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Loaner\AppData\Local\Box\Box Edit\Documents\hNXh9q+ieUqAGwPpMQqFpQ==\"/>
    </mc:Choice>
  </mc:AlternateContent>
  <xr:revisionPtr revIDLastSave="0" documentId="13_ncr:1_{583F20B9-D918-4A0C-8DC2-CF496C71D4D9}" xr6:coauthVersionLast="47" xr6:coauthVersionMax="47" xr10:uidLastSave="{00000000-0000-0000-0000-000000000000}"/>
  <bookViews>
    <workbookView xWindow="-110" yWindow="-110" windowWidth="19420" windowHeight="10420" firstSheet="4" activeTab="4" xr2:uid="{00000000-000D-0000-FFFF-FFFF00000000}"/>
  </bookViews>
  <sheets>
    <sheet name="Quickview Ref" sheetId="3" state="hidden" r:id="rId1"/>
    <sheet name="Player Profile Ref" sheetId="7" state="hidden" r:id="rId2"/>
    <sheet name="Team Wellness Ref" sheetId="8" state="hidden" r:id="rId3"/>
    <sheet name="Team Prac Ref" sheetId="9" state="hidden" r:id="rId4"/>
    <sheet name="Wellness Responses" sheetId="11" r:id="rId5"/>
    <sheet name="Control_Panel" sheetId="14" state="hidden" r:id="rId6"/>
    <sheet name="Team Comp Ref" sheetId="13" state="hidden" r:id="rId7"/>
  </sheets>
  <externalReferences>
    <externalReference r:id="rId8"/>
    <externalReference r:id="rId9"/>
    <externalReference r:id="rId10"/>
  </externalReferences>
  <definedNames>
    <definedName name="listNames">Table1[[#All],[Athlete]]</definedName>
    <definedName name="TBL_Name">Table1[#All]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12" i="11" l="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AQ1549" i="11"/>
  <c r="AM1549" i="11"/>
  <c r="AI1549" i="11"/>
  <c r="AE1549" i="11"/>
  <c r="AA1549" i="11"/>
  <c r="W1549" i="11"/>
  <c r="U1549" i="11" a="1"/>
  <c r="U1549" i="11" s="1"/>
  <c r="T1549" i="11" a="1"/>
  <c r="T1549" i="11" s="1"/>
  <c r="S1549" i="11"/>
  <c r="Q1549" i="11"/>
  <c r="P1549" i="11"/>
  <c r="M1549" i="11"/>
  <c r="AQ1548" i="11"/>
  <c r="AM1548" i="11"/>
  <c r="AI1548" i="11"/>
  <c r="AE1548" i="11"/>
  <c r="AA1548" i="11"/>
  <c r="W1548" i="11"/>
  <c r="U1548" i="11" a="1"/>
  <c r="U1548" i="11" s="1"/>
  <c r="T1548" i="11" a="1"/>
  <c r="T1548" i="11" s="1"/>
  <c r="S1548" i="11"/>
  <c r="Q1548" i="11"/>
  <c r="P1548" i="11"/>
  <c r="N1548" i="11" s="1"/>
  <c r="O1548" i="11" s="1"/>
  <c r="M1548" i="11"/>
  <c r="AQ1547" i="11"/>
  <c r="AM1547" i="11"/>
  <c r="AI1547" i="11"/>
  <c r="AE1547" i="11"/>
  <c r="AA1547" i="11"/>
  <c r="W1547" i="11"/>
  <c r="U1547" i="11" a="1"/>
  <c r="U1547" i="11" s="1"/>
  <c r="T1547" i="11" a="1"/>
  <c r="T1547" i="11" s="1"/>
  <c r="S1547" i="11"/>
  <c r="Q1547" i="11"/>
  <c r="R1547" i="11" s="1"/>
  <c r="P1547" i="11"/>
  <c r="N1547" i="11" s="1"/>
  <c r="O1547" i="11" s="1"/>
  <c r="M1547" i="11"/>
  <c r="AQ1546" i="11"/>
  <c r="AM1546" i="11"/>
  <c r="AI1546" i="11"/>
  <c r="AE1546" i="11"/>
  <c r="AA1546" i="11"/>
  <c r="W1546" i="11"/>
  <c r="U1546" i="11" a="1"/>
  <c r="U1546" i="11" s="1"/>
  <c r="T1546" i="11" a="1"/>
  <c r="T1546" i="11" s="1"/>
  <c r="S1546" i="11"/>
  <c r="Q1546" i="11"/>
  <c r="P1546" i="11"/>
  <c r="N1546" i="11" s="1"/>
  <c r="O1546" i="11" s="1"/>
  <c r="M1546" i="11"/>
  <c r="AQ1545" i="11"/>
  <c r="AM1545" i="11"/>
  <c r="AI1545" i="11"/>
  <c r="AE1545" i="11"/>
  <c r="AA1545" i="11"/>
  <c r="W1545" i="11"/>
  <c r="U1545" i="11" a="1"/>
  <c r="U1545" i="11" s="1"/>
  <c r="T1545" i="11" a="1"/>
  <c r="T1545" i="11" s="1"/>
  <c r="S1545" i="11"/>
  <c r="Q1545" i="11"/>
  <c r="R1545" i="11" s="1"/>
  <c r="P1545" i="11"/>
  <c r="M1545" i="11"/>
  <c r="AQ1544" i="11"/>
  <c r="AM1544" i="11"/>
  <c r="AI1544" i="11"/>
  <c r="AE1544" i="11"/>
  <c r="AA1544" i="11"/>
  <c r="W1544" i="11"/>
  <c r="U1544" i="11" a="1"/>
  <c r="U1544" i="11" s="1"/>
  <c r="T1544" i="11" a="1"/>
  <c r="T1544" i="11" s="1"/>
  <c r="S1544" i="11"/>
  <c r="Q1544" i="11"/>
  <c r="P1544" i="11"/>
  <c r="M1544" i="11"/>
  <c r="AQ1543" i="11"/>
  <c r="AM1543" i="11"/>
  <c r="AI1543" i="11"/>
  <c r="AE1543" i="11"/>
  <c r="AA1543" i="11"/>
  <c r="W1543" i="11"/>
  <c r="U1543" i="11" a="1"/>
  <c r="U1543" i="11" s="1"/>
  <c r="T1543" i="11" a="1"/>
  <c r="T1543" i="11" s="1"/>
  <c r="S1543" i="11"/>
  <c r="Q1543" i="11"/>
  <c r="P1543" i="11"/>
  <c r="N1543" i="11" s="1"/>
  <c r="O1543" i="11" s="1"/>
  <c r="M1543" i="11"/>
  <c r="AQ1542" i="11"/>
  <c r="AM1542" i="11"/>
  <c r="AI1542" i="11"/>
  <c r="AE1542" i="11"/>
  <c r="AA1542" i="11"/>
  <c r="W1542" i="11"/>
  <c r="U1542" i="11" a="1"/>
  <c r="U1542" i="11" s="1"/>
  <c r="T1542" i="11" a="1"/>
  <c r="T1542" i="11" s="1"/>
  <c r="S1542" i="11"/>
  <c r="Q1542" i="11"/>
  <c r="P1542" i="11"/>
  <c r="N1542" i="11" s="1"/>
  <c r="O1542" i="11" s="1"/>
  <c r="M1542" i="11"/>
  <c r="AQ1541" i="11"/>
  <c r="AM1541" i="11"/>
  <c r="AI1541" i="11"/>
  <c r="AE1541" i="11"/>
  <c r="AA1541" i="11"/>
  <c r="W1541" i="11"/>
  <c r="U1541" i="11"/>
  <c r="U1541" i="11" a="1"/>
  <c r="T1541" i="11" a="1"/>
  <c r="T1541" i="11" s="1"/>
  <c r="S1541" i="11"/>
  <c r="Q1541" i="11"/>
  <c r="P1541" i="11"/>
  <c r="N1541" i="11" s="1"/>
  <c r="O1541" i="11" s="1"/>
  <c r="M1541" i="11"/>
  <c r="AQ1540" i="11"/>
  <c r="AM1540" i="11"/>
  <c r="AI1540" i="11"/>
  <c r="AE1540" i="11"/>
  <c r="AA1540" i="11"/>
  <c r="W1540" i="11"/>
  <c r="U1540" i="11" a="1"/>
  <c r="U1540" i="11" s="1"/>
  <c r="T1540" i="11" a="1"/>
  <c r="T1540" i="11" s="1"/>
  <c r="S1540" i="11"/>
  <c r="Q1540" i="11"/>
  <c r="P1540" i="11"/>
  <c r="N1540" i="11" s="1"/>
  <c r="O1540" i="11" s="1"/>
  <c r="M1540" i="11"/>
  <c r="AQ1539" i="11"/>
  <c r="AM1539" i="11"/>
  <c r="AI1539" i="11"/>
  <c r="AE1539" i="11"/>
  <c r="AA1539" i="11"/>
  <c r="W1539" i="11"/>
  <c r="U1539" i="11" a="1"/>
  <c r="U1539" i="11" s="1"/>
  <c r="T1539" i="11" a="1"/>
  <c r="T1539" i="11" s="1"/>
  <c r="S1539" i="11"/>
  <c r="Q1539" i="11"/>
  <c r="P1539" i="11"/>
  <c r="N1539" i="11" s="1"/>
  <c r="O1539" i="11" s="1"/>
  <c r="M1539" i="11"/>
  <c r="AQ1538" i="11"/>
  <c r="AM1538" i="11"/>
  <c r="AI1538" i="11"/>
  <c r="AE1538" i="11"/>
  <c r="AA1538" i="11"/>
  <c r="W1538" i="11"/>
  <c r="U1538" i="11" a="1"/>
  <c r="U1538" i="11" s="1"/>
  <c r="T1538" i="11" a="1"/>
  <c r="T1538" i="11" s="1"/>
  <c r="S1538" i="11"/>
  <c r="Q1538" i="11"/>
  <c r="P1538" i="11"/>
  <c r="M1538" i="11"/>
  <c r="AQ1537" i="11"/>
  <c r="AM1537" i="11"/>
  <c r="AI1537" i="11"/>
  <c r="AE1537" i="11"/>
  <c r="AA1537" i="11"/>
  <c r="W1537" i="11"/>
  <c r="U1537" i="11" a="1"/>
  <c r="U1537" i="11" s="1"/>
  <c r="T1537" i="11" a="1"/>
  <c r="T1537" i="11" s="1"/>
  <c r="S1537" i="11"/>
  <c r="Q1537" i="11"/>
  <c r="P1537" i="11"/>
  <c r="M1537" i="11"/>
  <c r="AQ1536" i="11"/>
  <c r="AM1536" i="11"/>
  <c r="AI1536" i="11"/>
  <c r="AE1536" i="11"/>
  <c r="AA1536" i="11"/>
  <c r="W1536" i="11"/>
  <c r="U1536" i="11" a="1"/>
  <c r="U1536" i="11" s="1"/>
  <c r="T1536" i="11" a="1"/>
  <c r="T1536" i="11" s="1"/>
  <c r="S1536" i="11"/>
  <c r="Q1536" i="11"/>
  <c r="P1536" i="11"/>
  <c r="M1536" i="11"/>
  <c r="AQ1535" i="11"/>
  <c r="AM1535" i="11"/>
  <c r="AI1535" i="11"/>
  <c r="AE1535" i="11"/>
  <c r="AA1535" i="11"/>
  <c r="W1535" i="11"/>
  <c r="U1535" i="11" a="1"/>
  <c r="U1535" i="11" s="1"/>
  <c r="T1535" i="11" a="1"/>
  <c r="T1535" i="11" s="1"/>
  <c r="S1535" i="11"/>
  <c r="Q1535" i="11"/>
  <c r="P1535" i="11"/>
  <c r="N1535" i="11" s="1"/>
  <c r="O1535" i="11" s="1"/>
  <c r="M1535" i="11"/>
  <c r="AQ1534" i="11"/>
  <c r="AM1534" i="11"/>
  <c r="AI1534" i="11"/>
  <c r="AE1534" i="11"/>
  <c r="AA1534" i="11"/>
  <c r="W1534" i="11"/>
  <c r="U1534" i="11" a="1"/>
  <c r="U1534" i="11" s="1"/>
  <c r="T1534" i="11" a="1"/>
  <c r="T1534" i="11" s="1"/>
  <c r="S1534" i="11"/>
  <c r="Q1534" i="11"/>
  <c r="P1534" i="11"/>
  <c r="M1534" i="11"/>
  <c r="AQ1533" i="11"/>
  <c r="AM1533" i="11"/>
  <c r="AI1533" i="11"/>
  <c r="AE1533" i="11"/>
  <c r="AA1533" i="11"/>
  <c r="W1533" i="11"/>
  <c r="U1533" i="11" a="1"/>
  <c r="U1533" i="11" s="1"/>
  <c r="T1533" i="11" a="1"/>
  <c r="T1533" i="11" s="1"/>
  <c r="S1533" i="11"/>
  <c r="Q1533" i="11"/>
  <c r="P1533" i="11"/>
  <c r="N1533" i="11" s="1"/>
  <c r="O1533" i="11" s="1"/>
  <c r="M1533" i="11"/>
  <c r="AQ1532" i="11"/>
  <c r="AM1532" i="11"/>
  <c r="AI1532" i="11"/>
  <c r="AE1532" i="11"/>
  <c r="AA1532" i="11"/>
  <c r="W1532" i="11"/>
  <c r="U1532" i="11" a="1"/>
  <c r="U1532" i="11" s="1"/>
  <c r="T1532" i="11"/>
  <c r="T1532" i="11" a="1"/>
  <c r="S1532" i="11"/>
  <c r="Q1532" i="11"/>
  <c r="P1532" i="11"/>
  <c r="M1532" i="11"/>
  <c r="AQ1531" i="11"/>
  <c r="AM1531" i="11"/>
  <c r="AI1531" i="11"/>
  <c r="AE1531" i="11"/>
  <c r="AA1531" i="11"/>
  <c r="W1531" i="11"/>
  <c r="U1531" i="11"/>
  <c r="U1531" i="11" a="1"/>
  <c r="T1531" i="11" a="1"/>
  <c r="T1531" i="11" s="1"/>
  <c r="S1531" i="11"/>
  <c r="Q1531" i="11"/>
  <c r="P1531" i="11"/>
  <c r="N1531" i="11" s="1"/>
  <c r="O1531" i="11" s="1"/>
  <c r="M1531" i="11"/>
  <c r="AQ1530" i="11"/>
  <c r="AM1530" i="11"/>
  <c r="AI1530" i="11"/>
  <c r="AE1530" i="11"/>
  <c r="AA1530" i="11"/>
  <c r="W1530" i="11"/>
  <c r="U1530" i="11" a="1"/>
  <c r="U1530" i="11" s="1"/>
  <c r="T1530" i="11" a="1"/>
  <c r="T1530" i="11" s="1"/>
  <c r="S1530" i="11"/>
  <c r="Q1530" i="11"/>
  <c r="P1530" i="11"/>
  <c r="M1530" i="11"/>
  <c r="AQ1529" i="11"/>
  <c r="AM1529" i="11"/>
  <c r="AI1529" i="11"/>
  <c r="AE1529" i="11"/>
  <c r="AA1529" i="11"/>
  <c r="W1529" i="11"/>
  <c r="U1529" i="11"/>
  <c r="U1529" i="11" a="1"/>
  <c r="T1529" i="11" a="1"/>
  <c r="T1529" i="11" s="1"/>
  <c r="S1529" i="11"/>
  <c r="Q1529" i="11"/>
  <c r="P1529" i="11"/>
  <c r="N1529" i="11" s="1"/>
  <c r="O1529" i="11" s="1"/>
  <c r="M1529" i="11"/>
  <c r="AQ1528" i="11"/>
  <c r="AM1528" i="11"/>
  <c r="AI1528" i="11"/>
  <c r="AE1528" i="11"/>
  <c r="AA1528" i="11"/>
  <c r="W1528" i="11"/>
  <c r="U1528" i="11" a="1"/>
  <c r="U1528" i="11" s="1"/>
  <c r="T1528" i="11" a="1"/>
  <c r="T1528" i="11" s="1"/>
  <c r="S1528" i="11"/>
  <c r="Q1528" i="11"/>
  <c r="P1528" i="11"/>
  <c r="M1528" i="11"/>
  <c r="AQ1527" i="11"/>
  <c r="AM1527" i="11"/>
  <c r="AI1527" i="11"/>
  <c r="AE1527" i="11"/>
  <c r="AA1527" i="11"/>
  <c r="W1527" i="11"/>
  <c r="U1527" i="11" a="1"/>
  <c r="U1527" i="11" s="1"/>
  <c r="T1527" i="11" a="1"/>
  <c r="T1527" i="11" s="1"/>
  <c r="S1527" i="11"/>
  <c r="Q1527" i="11"/>
  <c r="P1527" i="11"/>
  <c r="M1527" i="11"/>
  <c r="AQ1526" i="11"/>
  <c r="AM1526" i="11"/>
  <c r="AI1526" i="11"/>
  <c r="AE1526" i="11"/>
  <c r="AA1526" i="11"/>
  <c r="W1526" i="11"/>
  <c r="U1526" i="11" a="1"/>
  <c r="U1526" i="11" s="1"/>
  <c r="T1526" i="11" a="1"/>
  <c r="T1526" i="11" s="1"/>
  <c r="S1526" i="11"/>
  <c r="Q1526" i="11"/>
  <c r="P1526" i="11"/>
  <c r="N1526" i="11" s="1"/>
  <c r="O1526" i="11" s="1"/>
  <c r="M1526" i="11"/>
  <c r="AQ1525" i="11"/>
  <c r="AM1525" i="11"/>
  <c r="AI1525" i="11"/>
  <c r="AE1525" i="11"/>
  <c r="AA1525" i="11"/>
  <c r="W1525" i="11"/>
  <c r="U1525" i="11" a="1"/>
  <c r="U1525" i="11" s="1"/>
  <c r="T1525" i="11" a="1"/>
  <c r="T1525" i="11" s="1"/>
  <c r="S1525" i="11"/>
  <c r="Q1525" i="11"/>
  <c r="P1525" i="11"/>
  <c r="N1525" i="11" s="1"/>
  <c r="O1525" i="11" s="1"/>
  <c r="M1525" i="11"/>
  <c r="AQ1524" i="11"/>
  <c r="AM1524" i="11"/>
  <c r="AI1524" i="11"/>
  <c r="AE1524" i="11"/>
  <c r="AA1524" i="11"/>
  <c r="W1524" i="11"/>
  <c r="U1524" i="11" a="1"/>
  <c r="U1524" i="11" s="1"/>
  <c r="T1524" i="11" a="1"/>
  <c r="T1524" i="11" s="1"/>
  <c r="S1524" i="11"/>
  <c r="Q1524" i="11"/>
  <c r="P1524" i="11"/>
  <c r="R1524" i="11" s="1"/>
  <c r="M1524" i="11"/>
  <c r="AQ1523" i="11"/>
  <c r="AM1523" i="11"/>
  <c r="AI1523" i="11"/>
  <c r="AE1523" i="11"/>
  <c r="AA1523" i="11"/>
  <c r="W1523" i="11"/>
  <c r="U1523" i="11" a="1"/>
  <c r="U1523" i="11" s="1"/>
  <c r="T1523" i="11" a="1"/>
  <c r="T1523" i="11" s="1"/>
  <c r="S1523" i="11"/>
  <c r="Q1523" i="11"/>
  <c r="P1523" i="11"/>
  <c r="N1523" i="11" s="1"/>
  <c r="O1523" i="11" s="1"/>
  <c r="M1523" i="11"/>
  <c r="AQ1522" i="11"/>
  <c r="AM1522" i="11"/>
  <c r="AI1522" i="11"/>
  <c r="AE1522" i="11"/>
  <c r="AA1522" i="11"/>
  <c r="W1522" i="11"/>
  <c r="U1522" i="11" a="1"/>
  <c r="U1522" i="11" s="1"/>
  <c r="T1522" i="11"/>
  <c r="T1522" i="11" a="1"/>
  <c r="S1522" i="11"/>
  <c r="Q1522" i="11"/>
  <c r="P1522" i="11"/>
  <c r="N1522" i="11" s="1"/>
  <c r="O1522" i="11" s="1"/>
  <c r="M1522" i="11"/>
  <c r="AQ1521" i="11"/>
  <c r="AM1521" i="11"/>
  <c r="AI1521" i="11"/>
  <c r="AE1521" i="11"/>
  <c r="AA1521" i="11"/>
  <c r="W1521" i="11"/>
  <c r="U1521" i="11" a="1"/>
  <c r="U1521" i="11" s="1"/>
  <c r="T1521" i="11" a="1"/>
  <c r="T1521" i="11" s="1"/>
  <c r="S1521" i="11"/>
  <c r="Q1521" i="11"/>
  <c r="P1521" i="11"/>
  <c r="N1521" i="11" s="1"/>
  <c r="O1521" i="11" s="1"/>
  <c r="M1521" i="11"/>
  <c r="AQ1520" i="11"/>
  <c r="AM1520" i="11"/>
  <c r="AI1520" i="11"/>
  <c r="AE1520" i="11"/>
  <c r="AA1520" i="11"/>
  <c r="W1520" i="11"/>
  <c r="U1520" i="11" a="1"/>
  <c r="U1520" i="11" s="1"/>
  <c r="T1520" i="11" a="1"/>
  <c r="T1520" i="11" s="1"/>
  <c r="S1520" i="11"/>
  <c r="Q1520" i="11"/>
  <c r="P1520" i="11"/>
  <c r="M1520" i="11"/>
  <c r="AQ1519" i="11"/>
  <c r="AM1519" i="11"/>
  <c r="AI1519" i="11"/>
  <c r="AE1519" i="11"/>
  <c r="AA1519" i="11"/>
  <c r="W1519" i="11"/>
  <c r="U1519" i="11" a="1"/>
  <c r="U1519" i="11" s="1"/>
  <c r="T1519" i="11" a="1"/>
  <c r="T1519" i="11" s="1"/>
  <c r="S1519" i="11"/>
  <c r="Q1519" i="11"/>
  <c r="P1519" i="11"/>
  <c r="N1519" i="11" s="1"/>
  <c r="O1519" i="11" s="1"/>
  <c r="M1519" i="11"/>
  <c r="AQ1518" i="11"/>
  <c r="AM1518" i="11"/>
  <c r="AI1518" i="11"/>
  <c r="AE1518" i="11"/>
  <c r="AA1518" i="11"/>
  <c r="W1518" i="11"/>
  <c r="U1518" i="11" a="1"/>
  <c r="U1518" i="11" s="1"/>
  <c r="T1518" i="11" a="1"/>
  <c r="T1518" i="11" s="1"/>
  <c r="S1518" i="11"/>
  <c r="Q1518" i="11"/>
  <c r="P1518" i="11"/>
  <c r="N1518" i="11" s="1"/>
  <c r="O1518" i="11" s="1"/>
  <c r="M1518" i="11"/>
  <c r="AQ1517" i="11"/>
  <c r="AM1517" i="11"/>
  <c r="AI1517" i="11"/>
  <c r="AE1517" i="11"/>
  <c r="AA1517" i="11"/>
  <c r="W1517" i="11"/>
  <c r="U1517" i="11" a="1"/>
  <c r="U1517" i="11" s="1"/>
  <c r="T1517" i="11" a="1"/>
  <c r="T1517" i="11" s="1"/>
  <c r="S1517" i="11"/>
  <c r="Q1517" i="11"/>
  <c r="R1517" i="11" s="1"/>
  <c r="P1517" i="11"/>
  <c r="N1517" i="11" s="1"/>
  <c r="O1517" i="11" s="1"/>
  <c r="M1517" i="11"/>
  <c r="AQ1516" i="11"/>
  <c r="AM1516" i="11"/>
  <c r="AI1516" i="11"/>
  <c r="AE1516" i="11"/>
  <c r="AA1516" i="11"/>
  <c r="W1516" i="11"/>
  <c r="U1516" i="11" a="1"/>
  <c r="U1516" i="11" s="1"/>
  <c r="T1516" i="11" a="1"/>
  <c r="T1516" i="11" s="1"/>
  <c r="S1516" i="11"/>
  <c r="Q1516" i="11"/>
  <c r="R1516" i="11" s="1"/>
  <c r="P1516" i="11"/>
  <c r="M1516" i="11"/>
  <c r="AQ1515" i="11"/>
  <c r="AM1515" i="11"/>
  <c r="AI1515" i="11"/>
  <c r="AE1515" i="11"/>
  <c r="AA1515" i="11"/>
  <c r="W1515" i="11"/>
  <c r="U1515" i="11" a="1"/>
  <c r="U1515" i="11" s="1"/>
  <c r="T1515" i="11" a="1"/>
  <c r="T1515" i="11" s="1"/>
  <c r="S1515" i="11"/>
  <c r="Q1515" i="11"/>
  <c r="P1515" i="11"/>
  <c r="N1515" i="11" s="1"/>
  <c r="O1515" i="11" s="1"/>
  <c r="M1515" i="11"/>
  <c r="AQ1514" i="11"/>
  <c r="AM1514" i="11"/>
  <c r="AI1514" i="11"/>
  <c r="AE1514" i="11"/>
  <c r="AA1514" i="11"/>
  <c r="W1514" i="11"/>
  <c r="U1514" i="11" a="1"/>
  <c r="U1514" i="11" s="1"/>
  <c r="T1514" i="11" a="1"/>
  <c r="T1514" i="11" s="1"/>
  <c r="S1514" i="11"/>
  <c r="Q1514" i="11"/>
  <c r="P1514" i="11"/>
  <c r="M1514" i="11"/>
  <c r="AQ1513" i="11"/>
  <c r="AM1513" i="11"/>
  <c r="AI1513" i="11"/>
  <c r="AE1513" i="11"/>
  <c r="AA1513" i="11"/>
  <c r="W1513" i="11"/>
  <c r="U1513" i="11" a="1"/>
  <c r="U1513" i="11" s="1"/>
  <c r="T1513" i="11" a="1"/>
  <c r="T1513" i="11" s="1"/>
  <c r="S1513" i="11"/>
  <c r="Q1513" i="11"/>
  <c r="P1513" i="11"/>
  <c r="M1513" i="11"/>
  <c r="AQ1512" i="11"/>
  <c r="AM1512" i="11"/>
  <c r="AI1512" i="11"/>
  <c r="AE1512" i="11"/>
  <c r="AA1512" i="11"/>
  <c r="W1512" i="11"/>
  <c r="U1512" i="11" a="1"/>
  <c r="U1512" i="11" s="1"/>
  <c r="T1512" i="11" a="1"/>
  <c r="T1512" i="11" s="1"/>
  <c r="S1512" i="11"/>
  <c r="Q1512" i="11"/>
  <c r="R1512" i="11" s="1"/>
  <c r="P1512" i="11"/>
  <c r="N1512" i="11" s="1"/>
  <c r="O1512" i="11" s="1"/>
  <c r="M1512" i="11"/>
  <c r="AQ1511" i="11"/>
  <c r="AM1511" i="11"/>
  <c r="AI1511" i="11"/>
  <c r="AE1511" i="11"/>
  <c r="AA1511" i="11"/>
  <c r="W1511" i="11"/>
  <c r="U1511" i="11" a="1"/>
  <c r="U1511" i="11" s="1"/>
  <c r="T1511" i="11" a="1"/>
  <c r="T1511" i="11" s="1"/>
  <c r="S1511" i="11"/>
  <c r="Q1511" i="11"/>
  <c r="P1511" i="11"/>
  <c r="M1511" i="11"/>
  <c r="AQ1510" i="11"/>
  <c r="AM1510" i="11"/>
  <c r="AI1510" i="11"/>
  <c r="AE1510" i="11"/>
  <c r="AA1510" i="11"/>
  <c r="W1510" i="11"/>
  <c r="U1510" i="11" a="1"/>
  <c r="U1510" i="11" s="1"/>
  <c r="T1510" i="11" a="1"/>
  <c r="T1510" i="11" s="1"/>
  <c r="S1510" i="11"/>
  <c r="Q1510" i="11"/>
  <c r="P1510" i="11"/>
  <c r="M1510" i="11"/>
  <c r="AQ1509" i="11"/>
  <c r="AM1509" i="11"/>
  <c r="AI1509" i="11"/>
  <c r="AE1509" i="11"/>
  <c r="AA1509" i="11"/>
  <c r="W1509" i="11"/>
  <c r="U1509" i="11"/>
  <c r="U1509" i="11" a="1"/>
  <c r="T1509" i="11" a="1"/>
  <c r="T1509" i="11" s="1"/>
  <c r="S1509" i="11"/>
  <c r="Q1509" i="11"/>
  <c r="P1509" i="11"/>
  <c r="N1509" i="11" s="1"/>
  <c r="O1509" i="11" s="1"/>
  <c r="M1509" i="11"/>
  <c r="AQ1508" i="11"/>
  <c r="AM1508" i="11"/>
  <c r="AI1508" i="11"/>
  <c r="AE1508" i="11"/>
  <c r="AA1508" i="11"/>
  <c r="W1508" i="11"/>
  <c r="U1508" i="11"/>
  <c r="U1508" i="11" a="1"/>
  <c r="T1508" i="11" a="1"/>
  <c r="T1508" i="11" s="1"/>
  <c r="S1508" i="11"/>
  <c r="Q1508" i="11"/>
  <c r="P1508" i="11"/>
  <c r="N1508" i="11" s="1"/>
  <c r="O1508" i="11" s="1"/>
  <c r="M1508" i="11"/>
  <c r="AQ1507" i="11"/>
  <c r="AM1507" i="11"/>
  <c r="AI1507" i="11"/>
  <c r="AE1507" i="11"/>
  <c r="AA1507" i="11"/>
  <c r="W1507" i="11"/>
  <c r="U1507" i="11" a="1"/>
  <c r="U1507" i="11" s="1"/>
  <c r="T1507" i="11" a="1"/>
  <c r="T1507" i="11" s="1"/>
  <c r="S1507" i="11"/>
  <c r="Q1507" i="11"/>
  <c r="P1507" i="11"/>
  <c r="N1507" i="11" s="1"/>
  <c r="O1507" i="11" s="1"/>
  <c r="M1507" i="11"/>
  <c r="AQ1506" i="11"/>
  <c r="AM1506" i="11"/>
  <c r="AI1506" i="11"/>
  <c r="AE1506" i="11"/>
  <c r="AA1506" i="11"/>
  <c r="W1506" i="11"/>
  <c r="U1506" i="11" a="1"/>
  <c r="U1506" i="11" s="1"/>
  <c r="T1506" i="11" a="1"/>
  <c r="T1506" i="11" s="1"/>
  <c r="S1506" i="11"/>
  <c r="Q1506" i="11"/>
  <c r="P1506" i="11"/>
  <c r="N1506" i="11" s="1"/>
  <c r="O1506" i="11" s="1"/>
  <c r="M1506" i="11"/>
  <c r="AQ1505" i="11"/>
  <c r="AM1505" i="11"/>
  <c r="AI1505" i="11"/>
  <c r="AE1505" i="11"/>
  <c r="AA1505" i="11"/>
  <c r="W1505" i="11"/>
  <c r="U1505" i="11" a="1"/>
  <c r="U1505" i="11" s="1"/>
  <c r="T1505" i="11" a="1"/>
  <c r="T1505" i="11" s="1"/>
  <c r="S1505" i="11"/>
  <c r="Q1505" i="11"/>
  <c r="P1505" i="11"/>
  <c r="N1505" i="11" s="1"/>
  <c r="O1505" i="11" s="1"/>
  <c r="M1505" i="11"/>
  <c r="AQ1504" i="11"/>
  <c r="AM1504" i="11"/>
  <c r="AI1504" i="11"/>
  <c r="AE1504" i="11"/>
  <c r="AA1504" i="11"/>
  <c r="W1504" i="11"/>
  <c r="U1504" i="11" a="1"/>
  <c r="U1504" i="11" s="1"/>
  <c r="T1504" i="11" a="1"/>
  <c r="T1504" i="11" s="1"/>
  <c r="S1504" i="11"/>
  <c r="Q1504" i="11"/>
  <c r="P1504" i="11"/>
  <c r="M1504" i="11"/>
  <c r="AQ1503" i="11"/>
  <c r="AM1503" i="11"/>
  <c r="AI1503" i="11"/>
  <c r="AE1503" i="11"/>
  <c r="AA1503" i="11"/>
  <c r="W1503" i="11"/>
  <c r="U1503" i="11" a="1"/>
  <c r="U1503" i="11" s="1"/>
  <c r="T1503" i="11" a="1"/>
  <c r="T1503" i="11" s="1"/>
  <c r="S1503" i="11"/>
  <c r="Q1503" i="11"/>
  <c r="P1503" i="11"/>
  <c r="N1503" i="11" s="1"/>
  <c r="O1503" i="11" s="1"/>
  <c r="M1503" i="11"/>
  <c r="AQ1502" i="11"/>
  <c r="AM1502" i="11"/>
  <c r="AI1502" i="11"/>
  <c r="AE1502" i="11"/>
  <c r="AA1502" i="11"/>
  <c r="W1502" i="11"/>
  <c r="U1502" i="11" a="1"/>
  <c r="U1502" i="11" s="1"/>
  <c r="T1502" i="11" a="1"/>
  <c r="T1502" i="11" s="1"/>
  <c r="S1502" i="11"/>
  <c r="Q1502" i="11"/>
  <c r="P1502" i="11"/>
  <c r="M1502" i="11"/>
  <c r="AQ1501" i="11"/>
  <c r="AM1501" i="11"/>
  <c r="AI1501" i="11"/>
  <c r="AE1501" i="11"/>
  <c r="AA1501" i="11"/>
  <c r="W1501" i="11"/>
  <c r="U1501" i="11" a="1"/>
  <c r="U1501" i="11" s="1"/>
  <c r="T1501" i="11" a="1"/>
  <c r="T1501" i="11" s="1"/>
  <c r="S1501" i="11"/>
  <c r="Q1501" i="11"/>
  <c r="P1501" i="11"/>
  <c r="N1501" i="11" s="1"/>
  <c r="O1501" i="11" s="1"/>
  <c r="M1501" i="11"/>
  <c r="AQ1500" i="11"/>
  <c r="AM1500" i="11"/>
  <c r="AI1500" i="11"/>
  <c r="AE1500" i="11"/>
  <c r="AA1500" i="11"/>
  <c r="W1500" i="11"/>
  <c r="U1500" i="11" a="1"/>
  <c r="U1500" i="11" s="1"/>
  <c r="T1500" i="11" a="1"/>
  <c r="T1500" i="11" s="1"/>
  <c r="S1500" i="11"/>
  <c r="Q1500" i="11"/>
  <c r="P1500" i="11"/>
  <c r="N1500" i="11" s="1"/>
  <c r="O1500" i="11" s="1"/>
  <c r="M1500" i="11"/>
  <c r="AQ1499" i="11"/>
  <c r="AM1499" i="11"/>
  <c r="AI1499" i="11"/>
  <c r="AE1499" i="11"/>
  <c r="AA1499" i="11"/>
  <c r="W1499" i="11"/>
  <c r="U1499" i="11" a="1"/>
  <c r="U1499" i="11" s="1"/>
  <c r="T1499" i="11"/>
  <c r="T1499" i="11" a="1"/>
  <c r="S1499" i="11"/>
  <c r="Q1499" i="11"/>
  <c r="P1499" i="11"/>
  <c r="N1499" i="11" s="1"/>
  <c r="O1499" i="11" s="1"/>
  <c r="M1499" i="11"/>
  <c r="AQ1498" i="11"/>
  <c r="AM1498" i="11"/>
  <c r="AI1498" i="11"/>
  <c r="AE1498" i="11"/>
  <c r="AA1498" i="11"/>
  <c r="W1498" i="11"/>
  <c r="U1498" i="11" a="1"/>
  <c r="U1498" i="11" s="1"/>
  <c r="T1498" i="11" a="1"/>
  <c r="T1498" i="11" s="1"/>
  <c r="S1498" i="11"/>
  <c r="Q1498" i="11"/>
  <c r="P1498" i="11"/>
  <c r="N1498" i="11" s="1"/>
  <c r="O1498" i="11" s="1"/>
  <c r="M1498" i="11"/>
  <c r="AQ1497" i="11"/>
  <c r="AM1497" i="11"/>
  <c r="AI1497" i="11"/>
  <c r="AE1497" i="11"/>
  <c r="AA1497" i="11"/>
  <c r="W1497" i="11"/>
  <c r="U1497" i="11" a="1"/>
  <c r="U1497" i="11" s="1"/>
  <c r="T1497" i="11" a="1"/>
  <c r="T1497" i="11" s="1"/>
  <c r="S1497" i="11"/>
  <c r="Q1497" i="11"/>
  <c r="P1497" i="11"/>
  <c r="M1497" i="11"/>
  <c r="AQ1496" i="11"/>
  <c r="AM1496" i="11"/>
  <c r="AI1496" i="11"/>
  <c r="AE1496" i="11"/>
  <c r="AA1496" i="11"/>
  <c r="W1496" i="11"/>
  <c r="U1496" i="11" a="1"/>
  <c r="U1496" i="11" s="1"/>
  <c r="T1496" i="11" a="1"/>
  <c r="T1496" i="11" s="1"/>
  <c r="S1496" i="11"/>
  <c r="Q1496" i="11"/>
  <c r="P1496" i="11"/>
  <c r="M1496" i="11"/>
  <c r="AQ1495" i="11"/>
  <c r="AM1495" i="11"/>
  <c r="AI1495" i="11"/>
  <c r="AE1495" i="11"/>
  <c r="AA1495" i="11"/>
  <c r="W1495" i="11"/>
  <c r="U1495" i="11" a="1"/>
  <c r="U1495" i="11" s="1"/>
  <c r="T1495" i="11" a="1"/>
  <c r="T1495" i="11" s="1"/>
  <c r="S1495" i="11"/>
  <c r="Q1495" i="11"/>
  <c r="P1495" i="11"/>
  <c r="M1495" i="11"/>
  <c r="AQ1494" i="11"/>
  <c r="AM1494" i="11"/>
  <c r="AI1494" i="11"/>
  <c r="AE1494" i="11"/>
  <c r="AA1494" i="11"/>
  <c r="W1494" i="11"/>
  <c r="U1494" i="11" a="1"/>
  <c r="U1494" i="11" s="1"/>
  <c r="T1494" i="11" a="1"/>
  <c r="T1494" i="11" s="1"/>
  <c r="S1494" i="11"/>
  <c r="Q1494" i="11"/>
  <c r="P1494" i="11"/>
  <c r="M1494" i="11"/>
  <c r="AQ1493" i="11"/>
  <c r="AM1493" i="11"/>
  <c r="AI1493" i="11"/>
  <c r="AE1493" i="11"/>
  <c r="AA1493" i="11"/>
  <c r="W1493" i="11"/>
  <c r="U1493" i="11" a="1"/>
  <c r="U1493" i="11" s="1"/>
  <c r="T1493" i="11" a="1"/>
  <c r="T1493" i="11" s="1"/>
  <c r="S1493" i="11"/>
  <c r="Q1493" i="11"/>
  <c r="P1493" i="11"/>
  <c r="N1493" i="11" s="1"/>
  <c r="O1493" i="11" s="1"/>
  <c r="M1493" i="11"/>
  <c r="AQ1492" i="11"/>
  <c r="AM1492" i="11"/>
  <c r="AI1492" i="11"/>
  <c r="AE1492" i="11"/>
  <c r="AA1492" i="11"/>
  <c r="W1492" i="11"/>
  <c r="U1492" i="11" a="1"/>
  <c r="U1492" i="11" s="1"/>
  <c r="T1492" i="11" a="1"/>
  <c r="T1492" i="11" s="1"/>
  <c r="S1492" i="11"/>
  <c r="Q1492" i="11"/>
  <c r="R1492" i="11" s="1"/>
  <c r="P1492" i="11"/>
  <c r="N1492" i="11"/>
  <c r="O1492" i="11" s="1"/>
  <c r="M1492" i="11"/>
  <c r="AQ1491" i="11"/>
  <c r="AM1491" i="11"/>
  <c r="AI1491" i="11"/>
  <c r="AE1491" i="11"/>
  <c r="AA1491" i="11"/>
  <c r="W1491" i="11"/>
  <c r="U1491" i="11" a="1"/>
  <c r="U1491" i="11" s="1"/>
  <c r="T1491" i="11"/>
  <c r="T1491" i="11" a="1"/>
  <c r="S1491" i="11"/>
  <c r="Q1491" i="11"/>
  <c r="P1491" i="11"/>
  <c r="N1491" i="11" s="1"/>
  <c r="O1491" i="11" s="1"/>
  <c r="M1491" i="11"/>
  <c r="AQ1490" i="11"/>
  <c r="AM1490" i="11"/>
  <c r="AI1490" i="11"/>
  <c r="AE1490" i="11"/>
  <c r="AA1490" i="11"/>
  <c r="W1490" i="11"/>
  <c r="U1490" i="11" a="1"/>
  <c r="U1490" i="11" s="1"/>
  <c r="T1490" i="11" a="1"/>
  <c r="T1490" i="11" s="1"/>
  <c r="S1490" i="11"/>
  <c r="Q1490" i="11"/>
  <c r="P1490" i="11"/>
  <c r="M1490" i="11"/>
  <c r="AQ1489" i="11"/>
  <c r="AM1489" i="11"/>
  <c r="AI1489" i="11"/>
  <c r="AE1489" i="11"/>
  <c r="AA1489" i="11"/>
  <c r="W1489" i="11"/>
  <c r="U1489" i="11" a="1"/>
  <c r="U1489" i="11" s="1"/>
  <c r="T1489" i="11" a="1"/>
  <c r="T1489" i="11" s="1"/>
  <c r="S1489" i="11"/>
  <c r="Q1489" i="11"/>
  <c r="P1489" i="11"/>
  <c r="M1489" i="11"/>
  <c r="AQ1488" i="11"/>
  <c r="AM1488" i="11"/>
  <c r="AI1488" i="11"/>
  <c r="AE1488" i="11"/>
  <c r="AA1488" i="11"/>
  <c r="W1488" i="11"/>
  <c r="U1488" i="11" a="1"/>
  <c r="U1488" i="11" s="1"/>
  <c r="T1488" i="11"/>
  <c r="T1488" i="11" a="1"/>
  <c r="S1488" i="11"/>
  <c r="Q1488" i="11"/>
  <c r="P1488" i="11"/>
  <c r="N1488" i="11" s="1"/>
  <c r="O1488" i="11" s="1"/>
  <c r="M1488" i="11"/>
  <c r="AQ1487" i="11"/>
  <c r="AM1487" i="11"/>
  <c r="AI1487" i="11"/>
  <c r="AE1487" i="11"/>
  <c r="AA1487" i="11"/>
  <c r="W1487" i="11"/>
  <c r="U1487" i="11"/>
  <c r="U1487" i="11" a="1"/>
  <c r="T1487" i="11" a="1"/>
  <c r="T1487" i="11" s="1"/>
  <c r="S1487" i="11"/>
  <c r="Q1487" i="11"/>
  <c r="P1487" i="11"/>
  <c r="M1487" i="11"/>
  <c r="AQ1486" i="11"/>
  <c r="AM1486" i="11"/>
  <c r="AI1486" i="11"/>
  <c r="AE1486" i="11"/>
  <c r="AA1486" i="11"/>
  <c r="W1486" i="11"/>
  <c r="U1486" i="11" a="1"/>
  <c r="U1486" i="11" s="1"/>
  <c r="T1486" i="11" a="1"/>
  <c r="T1486" i="11" s="1"/>
  <c r="S1486" i="11"/>
  <c r="Q1486" i="11"/>
  <c r="P1486" i="11"/>
  <c r="M1486" i="11"/>
  <c r="AQ1485" i="11"/>
  <c r="AM1485" i="11"/>
  <c r="AI1485" i="11"/>
  <c r="AE1485" i="11"/>
  <c r="AA1485" i="11"/>
  <c r="W1485" i="11"/>
  <c r="U1485" i="11" a="1"/>
  <c r="U1485" i="11" s="1"/>
  <c r="T1485" i="11" a="1"/>
  <c r="T1485" i="11" s="1"/>
  <c r="S1485" i="11"/>
  <c r="Q1485" i="11"/>
  <c r="P1485" i="11"/>
  <c r="N1485" i="11" s="1"/>
  <c r="O1485" i="11" s="1"/>
  <c r="M1485" i="11"/>
  <c r="AQ1484" i="11"/>
  <c r="AM1484" i="11"/>
  <c r="AI1484" i="11"/>
  <c r="AE1484" i="11"/>
  <c r="AA1484" i="11"/>
  <c r="W1484" i="11"/>
  <c r="U1484" i="11" a="1"/>
  <c r="U1484" i="11" s="1"/>
  <c r="T1484" i="11" a="1"/>
  <c r="T1484" i="11" s="1"/>
  <c r="S1484" i="11"/>
  <c r="Q1484" i="11"/>
  <c r="P1484" i="11"/>
  <c r="M1484" i="11"/>
  <c r="AQ1483" i="11"/>
  <c r="AM1483" i="11"/>
  <c r="AI1483" i="11"/>
  <c r="AE1483" i="11"/>
  <c r="AA1483" i="11"/>
  <c r="W1483" i="11"/>
  <c r="U1483" i="11" a="1"/>
  <c r="U1483" i="11" s="1"/>
  <c r="T1483" i="11"/>
  <c r="T1483" i="11" a="1"/>
  <c r="S1483" i="11"/>
  <c r="Q1483" i="11"/>
  <c r="P1483" i="11"/>
  <c r="N1483" i="11" s="1"/>
  <c r="O1483" i="11" s="1"/>
  <c r="M1483" i="11"/>
  <c r="AQ1482" i="11"/>
  <c r="AM1482" i="11"/>
  <c r="AI1482" i="11"/>
  <c r="AE1482" i="11"/>
  <c r="AA1482" i="11"/>
  <c r="W1482" i="11"/>
  <c r="U1482" i="11" a="1"/>
  <c r="U1482" i="11" s="1"/>
  <c r="T1482" i="11" a="1"/>
  <c r="T1482" i="11" s="1"/>
  <c r="S1482" i="11"/>
  <c r="Q1482" i="11"/>
  <c r="P1482" i="11"/>
  <c r="N1482" i="11" s="1"/>
  <c r="O1482" i="11" s="1"/>
  <c r="M1482" i="11"/>
  <c r="AQ1481" i="11"/>
  <c r="AM1481" i="11"/>
  <c r="AI1481" i="11"/>
  <c r="AE1481" i="11"/>
  <c r="AA1481" i="11"/>
  <c r="W1481" i="11"/>
  <c r="U1481" i="11" a="1"/>
  <c r="U1481" i="11" s="1"/>
  <c r="T1481" i="11" a="1"/>
  <c r="T1481" i="11" s="1"/>
  <c r="S1481" i="11"/>
  <c r="Q1481" i="11"/>
  <c r="P1481" i="11"/>
  <c r="M1481" i="11"/>
  <c r="AQ1480" i="11"/>
  <c r="AM1480" i="11"/>
  <c r="AI1480" i="11"/>
  <c r="AE1480" i="11"/>
  <c r="AA1480" i="11"/>
  <c r="W1480" i="11"/>
  <c r="U1480" i="11" a="1"/>
  <c r="U1480" i="11" s="1"/>
  <c r="T1480" i="11"/>
  <c r="T1480" i="11" a="1"/>
  <c r="S1480" i="11"/>
  <c r="Q1480" i="11"/>
  <c r="P1480" i="11"/>
  <c r="N1480" i="11" s="1"/>
  <c r="O1480" i="11" s="1"/>
  <c r="M1480" i="11"/>
  <c r="AQ1479" i="11"/>
  <c r="AM1479" i="11"/>
  <c r="AI1479" i="11"/>
  <c r="AE1479" i="11"/>
  <c r="AA1479" i="11"/>
  <c r="W1479" i="11"/>
  <c r="U1479" i="11" a="1"/>
  <c r="U1479" i="11" s="1"/>
  <c r="T1479" i="11" a="1"/>
  <c r="T1479" i="11" s="1"/>
  <c r="S1479" i="11"/>
  <c r="Q1479" i="11"/>
  <c r="R1479" i="11" s="1"/>
  <c r="P1479" i="11"/>
  <c r="M1479" i="11"/>
  <c r="AQ1478" i="11"/>
  <c r="AM1478" i="11"/>
  <c r="AI1478" i="11"/>
  <c r="AE1478" i="11"/>
  <c r="AA1478" i="11"/>
  <c r="W1478" i="11"/>
  <c r="U1478" i="11" a="1"/>
  <c r="U1478" i="11" s="1"/>
  <c r="T1478" i="11" a="1"/>
  <c r="T1478" i="11" s="1"/>
  <c r="S1478" i="11"/>
  <c r="Q1478" i="11"/>
  <c r="P1478" i="11"/>
  <c r="M1478" i="11"/>
  <c r="AQ1477" i="11"/>
  <c r="AM1477" i="11"/>
  <c r="AI1477" i="11"/>
  <c r="AE1477" i="11"/>
  <c r="AA1477" i="11"/>
  <c r="W1477" i="11"/>
  <c r="U1477" i="11" a="1"/>
  <c r="U1477" i="11" s="1"/>
  <c r="T1477" i="11" a="1"/>
  <c r="T1477" i="11" s="1"/>
  <c r="S1477" i="11"/>
  <c r="Q1477" i="11"/>
  <c r="P1477" i="11"/>
  <c r="M1477" i="11"/>
  <c r="AQ1476" i="11"/>
  <c r="AM1476" i="11"/>
  <c r="AI1476" i="11"/>
  <c r="AE1476" i="11"/>
  <c r="AA1476" i="11"/>
  <c r="W1476" i="11"/>
  <c r="U1476" i="11" a="1"/>
  <c r="U1476" i="11" s="1"/>
  <c r="T1476" i="11" a="1"/>
  <c r="T1476" i="11" s="1"/>
  <c r="S1476" i="11"/>
  <c r="Q1476" i="11"/>
  <c r="P1476" i="11"/>
  <c r="M1476" i="11"/>
  <c r="AQ1475" i="11"/>
  <c r="AM1475" i="11"/>
  <c r="AI1475" i="11"/>
  <c r="AE1475" i="11"/>
  <c r="AA1475" i="11"/>
  <c r="W1475" i="11"/>
  <c r="U1475" i="11" a="1"/>
  <c r="U1475" i="11" s="1"/>
  <c r="T1475" i="11" a="1"/>
  <c r="T1475" i="11" s="1"/>
  <c r="S1475" i="11"/>
  <c r="Q1475" i="11"/>
  <c r="P1475" i="11"/>
  <c r="M1475" i="11"/>
  <c r="AQ1474" i="11"/>
  <c r="AM1474" i="11"/>
  <c r="AI1474" i="11"/>
  <c r="AE1474" i="11"/>
  <c r="AA1474" i="11"/>
  <c r="W1474" i="11"/>
  <c r="U1474" i="11" a="1"/>
  <c r="U1474" i="11" s="1"/>
  <c r="T1474" i="11" a="1"/>
  <c r="T1474" i="11" s="1"/>
  <c r="S1474" i="11"/>
  <c r="Q1474" i="11"/>
  <c r="P1474" i="11"/>
  <c r="M1474" i="11"/>
  <c r="AQ1473" i="11"/>
  <c r="AM1473" i="11"/>
  <c r="AI1473" i="11"/>
  <c r="AE1473" i="11"/>
  <c r="AA1473" i="11"/>
  <c r="W1473" i="11"/>
  <c r="U1473" i="11" a="1"/>
  <c r="U1473" i="11" s="1"/>
  <c r="T1473" i="11"/>
  <c r="T1473" i="11" a="1"/>
  <c r="S1473" i="11"/>
  <c r="Q1473" i="11"/>
  <c r="P1473" i="11"/>
  <c r="N1473" i="11" s="1"/>
  <c r="O1473" i="11" s="1"/>
  <c r="M1473" i="11"/>
  <c r="AQ1472" i="11"/>
  <c r="AM1472" i="11"/>
  <c r="AI1472" i="11"/>
  <c r="AE1472" i="11"/>
  <c r="AA1472" i="11"/>
  <c r="W1472" i="11"/>
  <c r="U1472" i="11" a="1"/>
  <c r="U1472" i="11" s="1"/>
  <c r="T1472" i="11"/>
  <c r="T1472" i="11" a="1"/>
  <c r="S1472" i="11"/>
  <c r="Q1472" i="11"/>
  <c r="P1472" i="11"/>
  <c r="M1472" i="11"/>
  <c r="AQ1471" i="11"/>
  <c r="AM1471" i="11"/>
  <c r="AI1471" i="11"/>
  <c r="AE1471" i="11"/>
  <c r="AA1471" i="11"/>
  <c r="W1471" i="11"/>
  <c r="U1471" i="11"/>
  <c r="U1471" i="11" a="1"/>
  <c r="T1471" i="11" a="1"/>
  <c r="T1471" i="11" s="1"/>
  <c r="S1471" i="11"/>
  <c r="Q1471" i="11"/>
  <c r="P1471" i="11"/>
  <c r="N1471" i="11"/>
  <c r="O1471" i="11" s="1"/>
  <c r="M1471" i="11"/>
  <c r="AQ1470" i="11"/>
  <c r="AM1470" i="11"/>
  <c r="AI1470" i="11"/>
  <c r="AE1470" i="11"/>
  <c r="AA1470" i="11"/>
  <c r="W1470" i="11"/>
  <c r="U1470" i="11" a="1"/>
  <c r="U1470" i="11" s="1"/>
  <c r="T1470" i="11"/>
  <c r="T1470" i="11" a="1"/>
  <c r="S1470" i="11"/>
  <c r="Q1470" i="11"/>
  <c r="P1470" i="11"/>
  <c r="N1470" i="11" s="1"/>
  <c r="O1470" i="11" s="1"/>
  <c r="M1470" i="11"/>
  <c r="AQ1469" i="11"/>
  <c r="AM1469" i="11"/>
  <c r="AI1469" i="11"/>
  <c r="AE1469" i="11"/>
  <c r="AA1469" i="11"/>
  <c r="W1469" i="11"/>
  <c r="U1469" i="11" a="1"/>
  <c r="U1469" i="11" s="1"/>
  <c r="T1469" i="11" a="1"/>
  <c r="T1469" i="11" s="1"/>
  <c r="S1469" i="11"/>
  <c r="Q1469" i="11"/>
  <c r="P1469" i="11"/>
  <c r="N1469" i="11" s="1"/>
  <c r="O1469" i="11" s="1"/>
  <c r="M1469" i="11"/>
  <c r="AQ1468" i="11"/>
  <c r="AM1468" i="11"/>
  <c r="AI1468" i="11"/>
  <c r="AE1468" i="11"/>
  <c r="AA1468" i="11"/>
  <c r="W1468" i="11"/>
  <c r="U1468" i="11"/>
  <c r="U1468" i="11" a="1"/>
  <c r="T1468" i="11" a="1"/>
  <c r="T1468" i="11" s="1"/>
  <c r="S1468" i="11"/>
  <c r="Q1468" i="11"/>
  <c r="P1468" i="11"/>
  <c r="N1468" i="11" s="1"/>
  <c r="O1468" i="11" s="1"/>
  <c r="M1468" i="11"/>
  <c r="AQ1467" i="11"/>
  <c r="AM1467" i="11"/>
  <c r="AI1467" i="11"/>
  <c r="AE1467" i="11"/>
  <c r="AA1467" i="11"/>
  <c r="W1467" i="11"/>
  <c r="U1467" i="11" a="1"/>
  <c r="U1467" i="11" s="1"/>
  <c r="T1467" i="11" a="1"/>
  <c r="T1467" i="11" s="1"/>
  <c r="S1467" i="11"/>
  <c r="Q1467" i="11"/>
  <c r="P1467" i="11"/>
  <c r="M1467" i="11"/>
  <c r="AQ1466" i="11"/>
  <c r="AM1466" i="11"/>
  <c r="AI1466" i="11"/>
  <c r="AE1466" i="11"/>
  <c r="AA1466" i="11"/>
  <c r="W1466" i="11"/>
  <c r="U1466" i="11" a="1"/>
  <c r="U1466" i="11" s="1"/>
  <c r="T1466" i="11" a="1"/>
  <c r="T1466" i="11" s="1"/>
  <c r="S1466" i="11"/>
  <c r="Q1466" i="11"/>
  <c r="P1466" i="11"/>
  <c r="N1466" i="11" s="1"/>
  <c r="O1466" i="11" s="1"/>
  <c r="M1466" i="11"/>
  <c r="AQ1465" i="11"/>
  <c r="AM1465" i="11"/>
  <c r="AI1465" i="11"/>
  <c r="AE1465" i="11"/>
  <c r="AA1465" i="11"/>
  <c r="W1465" i="11"/>
  <c r="U1465" i="11" a="1"/>
  <c r="U1465" i="11" s="1"/>
  <c r="T1465" i="11" a="1"/>
  <c r="T1465" i="11" s="1"/>
  <c r="S1465" i="11"/>
  <c r="Q1465" i="11"/>
  <c r="P1465" i="11"/>
  <c r="N1465" i="11" s="1"/>
  <c r="O1465" i="11" s="1"/>
  <c r="M1465" i="11"/>
  <c r="AQ1464" i="11"/>
  <c r="AM1464" i="11"/>
  <c r="AI1464" i="11"/>
  <c r="AE1464" i="11"/>
  <c r="AA1464" i="11"/>
  <c r="W1464" i="11"/>
  <c r="U1464" i="11" a="1"/>
  <c r="U1464" i="11" s="1"/>
  <c r="T1464" i="11" a="1"/>
  <c r="T1464" i="11" s="1"/>
  <c r="S1464" i="11"/>
  <c r="Q1464" i="11"/>
  <c r="P1464" i="11"/>
  <c r="R1464" i="11" s="1"/>
  <c r="M1464" i="11"/>
  <c r="AQ1463" i="11"/>
  <c r="AM1463" i="11"/>
  <c r="AI1463" i="11"/>
  <c r="AE1463" i="11"/>
  <c r="AA1463" i="11"/>
  <c r="W1463" i="11"/>
  <c r="U1463" i="11" a="1"/>
  <c r="U1463" i="11" s="1"/>
  <c r="T1463" i="11" a="1"/>
  <c r="T1463" i="11" s="1"/>
  <c r="S1463" i="11"/>
  <c r="Q1463" i="11"/>
  <c r="P1463" i="11"/>
  <c r="N1463" i="11" s="1"/>
  <c r="O1463" i="11" s="1"/>
  <c r="M1463" i="11"/>
  <c r="AQ1462" i="11"/>
  <c r="AM1462" i="11"/>
  <c r="AI1462" i="11"/>
  <c r="AE1462" i="11"/>
  <c r="AA1462" i="11"/>
  <c r="W1462" i="11"/>
  <c r="U1462" i="11" a="1"/>
  <c r="U1462" i="11" s="1"/>
  <c r="T1462" i="11" a="1"/>
  <c r="T1462" i="11" s="1"/>
  <c r="S1462" i="11"/>
  <c r="Q1462" i="11"/>
  <c r="P1462" i="11"/>
  <c r="N1462" i="11" s="1"/>
  <c r="O1462" i="11" s="1"/>
  <c r="M1462" i="11"/>
  <c r="AQ1461" i="11"/>
  <c r="AM1461" i="11"/>
  <c r="AI1461" i="11"/>
  <c r="AE1461" i="11"/>
  <c r="AA1461" i="11"/>
  <c r="W1461" i="11"/>
  <c r="U1461" i="11"/>
  <c r="U1461" i="11" a="1"/>
  <c r="T1461" i="11" a="1"/>
  <c r="T1461" i="11" s="1"/>
  <c r="S1461" i="11"/>
  <c r="R1461" i="11"/>
  <c r="Q1461" i="11"/>
  <c r="P1461" i="11"/>
  <c r="N1461" i="11"/>
  <c r="O1461" i="11" s="1"/>
  <c r="M1461" i="11"/>
  <c r="AQ1460" i="11"/>
  <c r="AM1460" i="11"/>
  <c r="AI1460" i="11"/>
  <c r="AE1460" i="11"/>
  <c r="AA1460" i="11"/>
  <c r="W1460" i="11"/>
  <c r="U1460" i="11" a="1"/>
  <c r="U1460" i="11" s="1"/>
  <c r="T1460" i="11"/>
  <c r="T1460" i="11" a="1"/>
  <c r="S1460" i="11"/>
  <c r="Q1460" i="11"/>
  <c r="P1460" i="11"/>
  <c r="N1460" i="11" s="1"/>
  <c r="O1460" i="11" s="1"/>
  <c r="M1460" i="11"/>
  <c r="AQ1459" i="11"/>
  <c r="AM1459" i="11"/>
  <c r="AI1459" i="11"/>
  <c r="AE1459" i="11"/>
  <c r="AA1459" i="11"/>
  <c r="W1459" i="11"/>
  <c r="U1459" i="11" a="1"/>
  <c r="U1459" i="11" s="1"/>
  <c r="T1459" i="11" a="1"/>
  <c r="T1459" i="11" s="1"/>
  <c r="S1459" i="11"/>
  <c r="Q1459" i="11"/>
  <c r="P1459" i="11"/>
  <c r="N1459" i="11" s="1"/>
  <c r="O1459" i="11" s="1"/>
  <c r="M1459" i="11"/>
  <c r="AQ1458" i="11"/>
  <c r="AM1458" i="11"/>
  <c r="AI1458" i="11"/>
  <c r="AE1458" i="11"/>
  <c r="AA1458" i="11"/>
  <c r="W1458" i="11"/>
  <c r="U1458" i="11" a="1"/>
  <c r="U1458" i="11" s="1"/>
  <c r="T1458" i="11"/>
  <c r="T1458" i="11" a="1"/>
  <c r="S1458" i="11"/>
  <c r="Q1458" i="11"/>
  <c r="P1458" i="11"/>
  <c r="N1458" i="11" s="1"/>
  <c r="O1458" i="11" s="1"/>
  <c r="M1458" i="11"/>
  <c r="AQ1457" i="11"/>
  <c r="AM1457" i="11"/>
  <c r="AI1457" i="11"/>
  <c r="AE1457" i="11"/>
  <c r="AA1457" i="11"/>
  <c r="W1457" i="11"/>
  <c r="U1457" i="11" a="1"/>
  <c r="U1457" i="11" s="1"/>
  <c r="T1457" i="11" a="1"/>
  <c r="T1457" i="11" s="1"/>
  <c r="S1457" i="11"/>
  <c r="Q1457" i="11"/>
  <c r="P1457" i="11"/>
  <c r="N1457" i="11" s="1"/>
  <c r="O1457" i="11" s="1"/>
  <c r="M1457" i="11"/>
  <c r="AQ1456" i="11"/>
  <c r="AM1456" i="11"/>
  <c r="AI1456" i="11"/>
  <c r="AE1456" i="11"/>
  <c r="AA1456" i="11"/>
  <c r="W1456" i="11"/>
  <c r="U1456" i="11" a="1"/>
  <c r="U1456" i="11" s="1"/>
  <c r="T1456" i="11" a="1"/>
  <c r="T1456" i="11" s="1"/>
  <c r="S1456" i="11"/>
  <c r="Q1456" i="11"/>
  <c r="P1456" i="11"/>
  <c r="M1456" i="11"/>
  <c r="AQ1455" i="11"/>
  <c r="AM1455" i="11"/>
  <c r="AI1455" i="11"/>
  <c r="AE1455" i="11"/>
  <c r="AA1455" i="11"/>
  <c r="W1455" i="11"/>
  <c r="U1455" i="11" a="1"/>
  <c r="U1455" i="11" s="1"/>
  <c r="T1455" i="11"/>
  <c r="T1455" i="11" a="1"/>
  <c r="S1455" i="11"/>
  <c r="Q1455" i="11"/>
  <c r="P1455" i="11"/>
  <c r="N1455" i="11" s="1"/>
  <c r="O1455" i="11" s="1"/>
  <c r="M1455" i="11"/>
  <c r="AQ1454" i="11"/>
  <c r="AM1454" i="11"/>
  <c r="AI1454" i="11"/>
  <c r="AE1454" i="11"/>
  <c r="AA1454" i="11"/>
  <c r="W1454" i="11"/>
  <c r="U1454" i="11"/>
  <c r="U1454" i="11" a="1"/>
  <c r="T1454" i="11" a="1"/>
  <c r="T1454" i="11" s="1"/>
  <c r="S1454" i="11"/>
  <c r="Q1454" i="11"/>
  <c r="P1454" i="11"/>
  <c r="N1454" i="11" s="1"/>
  <c r="O1454" i="11" s="1"/>
  <c r="M1454" i="11"/>
  <c r="AQ1453" i="11"/>
  <c r="AM1453" i="11"/>
  <c r="AI1453" i="11"/>
  <c r="AE1453" i="11"/>
  <c r="AA1453" i="11"/>
  <c r="W1453" i="11"/>
  <c r="U1453" i="11" a="1"/>
  <c r="U1453" i="11" s="1"/>
  <c r="T1453" i="11" a="1"/>
  <c r="T1453" i="11" s="1"/>
  <c r="S1453" i="11"/>
  <c r="Q1453" i="11"/>
  <c r="P1453" i="11"/>
  <c r="M1453" i="11"/>
  <c r="AQ1452" i="11"/>
  <c r="AM1452" i="11"/>
  <c r="AI1452" i="11"/>
  <c r="AE1452" i="11"/>
  <c r="AA1452" i="11"/>
  <c r="W1452" i="11"/>
  <c r="U1452" i="11"/>
  <c r="U1452" i="11" a="1"/>
  <c r="T1452" i="11" a="1"/>
  <c r="T1452" i="11" s="1"/>
  <c r="S1452" i="11"/>
  <c r="Q1452" i="11"/>
  <c r="P1452" i="11"/>
  <c r="M1452" i="11"/>
  <c r="AQ1451" i="11"/>
  <c r="AM1451" i="11"/>
  <c r="AI1451" i="11"/>
  <c r="AE1451" i="11"/>
  <c r="AA1451" i="11"/>
  <c r="W1451" i="11"/>
  <c r="U1451" i="11" a="1"/>
  <c r="U1451" i="11" s="1"/>
  <c r="T1451" i="11" a="1"/>
  <c r="T1451" i="11" s="1"/>
  <c r="S1451" i="11"/>
  <c r="Q1451" i="11"/>
  <c r="P1451" i="11"/>
  <c r="N1451" i="11" s="1"/>
  <c r="O1451" i="11" s="1"/>
  <c r="M1451" i="11"/>
  <c r="AQ1450" i="11"/>
  <c r="AM1450" i="11"/>
  <c r="AI1450" i="11"/>
  <c r="AE1450" i="11"/>
  <c r="AA1450" i="11"/>
  <c r="W1450" i="11"/>
  <c r="U1450" i="11" a="1"/>
  <c r="U1450" i="11" s="1"/>
  <c r="T1450" i="11" a="1"/>
  <c r="T1450" i="11" s="1"/>
  <c r="S1450" i="11"/>
  <c r="Q1450" i="11"/>
  <c r="P1450" i="11"/>
  <c r="M1450" i="11"/>
  <c r="AQ1449" i="11"/>
  <c r="AM1449" i="11"/>
  <c r="AI1449" i="11"/>
  <c r="AE1449" i="11"/>
  <c r="AA1449" i="11"/>
  <c r="W1449" i="11"/>
  <c r="U1449" i="11" a="1"/>
  <c r="U1449" i="11" s="1"/>
  <c r="T1449" i="11" a="1"/>
  <c r="T1449" i="11" s="1"/>
  <c r="S1449" i="11"/>
  <c r="Q1449" i="11"/>
  <c r="P1449" i="11"/>
  <c r="M1449" i="11"/>
  <c r="AQ1448" i="11"/>
  <c r="AM1448" i="11"/>
  <c r="AI1448" i="11"/>
  <c r="AE1448" i="11"/>
  <c r="AA1448" i="11"/>
  <c r="W1448" i="11"/>
  <c r="U1448" i="11" a="1"/>
  <c r="U1448" i="11" s="1"/>
  <c r="T1448" i="11" a="1"/>
  <c r="T1448" i="11" s="1"/>
  <c r="S1448" i="11"/>
  <c r="Q1448" i="11"/>
  <c r="P1448" i="11"/>
  <c r="M1448" i="11"/>
  <c r="AQ1447" i="11"/>
  <c r="AM1447" i="11"/>
  <c r="AI1447" i="11"/>
  <c r="AE1447" i="11"/>
  <c r="AA1447" i="11"/>
  <c r="W1447" i="11"/>
  <c r="U1447" i="11" a="1"/>
  <c r="U1447" i="11" s="1"/>
  <c r="T1447" i="11" a="1"/>
  <c r="T1447" i="11" s="1"/>
  <c r="S1447" i="11"/>
  <c r="Q1447" i="11"/>
  <c r="P1447" i="11"/>
  <c r="M1447" i="11"/>
  <c r="AQ1446" i="11"/>
  <c r="AM1446" i="11"/>
  <c r="AI1446" i="11"/>
  <c r="AE1446" i="11"/>
  <c r="AA1446" i="11"/>
  <c r="W1446" i="11"/>
  <c r="U1446" i="11" a="1"/>
  <c r="U1446" i="11" s="1"/>
  <c r="T1446" i="11" a="1"/>
  <c r="T1446" i="11" s="1"/>
  <c r="S1446" i="11"/>
  <c r="Q1446" i="11"/>
  <c r="P1446" i="11"/>
  <c r="M1446" i="11"/>
  <c r="AQ1445" i="11"/>
  <c r="AM1445" i="11"/>
  <c r="AI1445" i="11"/>
  <c r="AE1445" i="11"/>
  <c r="AA1445" i="11"/>
  <c r="W1445" i="11"/>
  <c r="U1445" i="11" a="1"/>
  <c r="U1445" i="11" s="1"/>
  <c r="T1445" i="11" a="1"/>
  <c r="T1445" i="11" s="1"/>
  <c r="S1445" i="11"/>
  <c r="Q1445" i="11"/>
  <c r="P1445" i="11"/>
  <c r="N1445" i="11" s="1"/>
  <c r="O1445" i="11" s="1"/>
  <c r="M1445" i="11"/>
  <c r="AQ1444" i="11"/>
  <c r="AM1444" i="11"/>
  <c r="AI1444" i="11"/>
  <c r="AE1444" i="11"/>
  <c r="AA1444" i="11"/>
  <c r="W1444" i="11"/>
  <c r="U1444" i="11" a="1"/>
  <c r="U1444" i="11" s="1"/>
  <c r="T1444" i="11" a="1"/>
  <c r="T1444" i="11" s="1"/>
  <c r="S1444" i="11"/>
  <c r="Q1444" i="11"/>
  <c r="P1444" i="11"/>
  <c r="N1444" i="11" s="1"/>
  <c r="O1444" i="11" s="1"/>
  <c r="M1444" i="11"/>
  <c r="AQ1443" i="11"/>
  <c r="AM1443" i="11"/>
  <c r="AI1443" i="11"/>
  <c r="AE1443" i="11"/>
  <c r="AA1443" i="11"/>
  <c r="W1443" i="11"/>
  <c r="U1443" i="11" a="1"/>
  <c r="U1443" i="11" s="1"/>
  <c r="T1443" i="11" a="1"/>
  <c r="T1443" i="11" s="1"/>
  <c r="S1443" i="11"/>
  <c r="Q1443" i="11"/>
  <c r="P1443" i="11"/>
  <c r="M1443" i="11"/>
  <c r="AQ1442" i="11"/>
  <c r="AM1442" i="11"/>
  <c r="AI1442" i="11"/>
  <c r="AE1442" i="11"/>
  <c r="AA1442" i="11"/>
  <c r="W1442" i="11"/>
  <c r="U1442" i="11" a="1"/>
  <c r="U1442" i="11" s="1"/>
  <c r="T1442" i="11" a="1"/>
  <c r="T1442" i="11" s="1"/>
  <c r="S1442" i="11"/>
  <c r="Q1442" i="11"/>
  <c r="P1442" i="11"/>
  <c r="N1442" i="11" s="1"/>
  <c r="O1442" i="11" s="1"/>
  <c r="M1442" i="11"/>
  <c r="AQ1441" i="11"/>
  <c r="AM1441" i="11"/>
  <c r="AI1441" i="11"/>
  <c r="AE1441" i="11"/>
  <c r="AA1441" i="11"/>
  <c r="W1441" i="11"/>
  <c r="U1441" i="11" a="1"/>
  <c r="U1441" i="11" s="1"/>
  <c r="T1441" i="11"/>
  <c r="T1441" i="11" a="1"/>
  <c r="S1441" i="11"/>
  <c r="Q1441" i="11"/>
  <c r="P1441" i="11"/>
  <c r="N1441" i="11" s="1"/>
  <c r="O1441" i="11" s="1"/>
  <c r="M1441" i="11"/>
  <c r="AQ1440" i="11"/>
  <c r="AM1440" i="11"/>
  <c r="AI1440" i="11"/>
  <c r="AE1440" i="11"/>
  <c r="AA1440" i="11"/>
  <c r="W1440" i="11"/>
  <c r="U1440" i="11" a="1"/>
  <c r="U1440" i="11" s="1"/>
  <c r="T1440" i="11" a="1"/>
  <c r="T1440" i="11" s="1"/>
  <c r="S1440" i="11"/>
  <c r="Q1440" i="11"/>
  <c r="P1440" i="11"/>
  <c r="N1440" i="11" s="1"/>
  <c r="O1440" i="11" s="1"/>
  <c r="M1440" i="11"/>
  <c r="AQ1439" i="11"/>
  <c r="AM1439" i="11"/>
  <c r="AI1439" i="11"/>
  <c r="AE1439" i="11"/>
  <c r="AA1439" i="11"/>
  <c r="W1439" i="11"/>
  <c r="U1439" i="11" a="1"/>
  <c r="U1439" i="11" s="1"/>
  <c r="T1439" i="11" a="1"/>
  <c r="T1439" i="11" s="1"/>
  <c r="S1439" i="11"/>
  <c r="Q1439" i="11"/>
  <c r="P1439" i="11"/>
  <c r="N1439" i="11" s="1"/>
  <c r="O1439" i="11" s="1"/>
  <c r="M1439" i="11"/>
  <c r="AQ1438" i="11"/>
  <c r="AM1438" i="11"/>
  <c r="AI1438" i="11"/>
  <c r="AE1438" i="11"/>
  <c r="AA1438" i="11"/>
  <c r="W1438" i="11"/>
  <c r="U1438" i="11" a="1"/>
  <c r="U1438" i="11" s="1"/>
  <c r="T1438" i="11" a="1"/>
  <c r="T1438" i="11" s="1"/>
  <c r="S1438" i="11"/>
  <c r="Q1438" i="11"/>
  <c r="P1438" i="11"/>
  <c r="M1438" i="11"/>
  <c r="AQ1437" i="11"/>
  <c r="AM1437" i="11"/>
  <c r="AI1437" i="11"/>
  <c r="AE1437" i="11"/>
  <c r="AA1437" i="11"/>
  <c r="W1437" i="11"/>
  <c r="U1437" i="11" a="1"/>
  <c r="U1437" i="11" s="1"/>
  <c r="T1437" i="11" a="1"/>
  <c r="T1437" i="11" s="1"/>
  <c r="S1437" i="11"/>
  <c r="Q1437" i="11"/>
  <c r="P1437" i="11"/>
  <c r="M1437" i="11"/>
  <c r="AQ1436" i="11"/>
  <c r="AM1436" i="11"/>
  <c r="AI1436" i="11"/>
  <c r="AE1436" i="11"/>
  <c r="AA1436" i="11"/>
  <c r="W1436" i="11"/>
  <c r="U1436" i="11" a="1"/>
  <c r="U1436" i="11" s="1"/>
  <c r="T1436" i="11"/>
  <c r="T1436" i="11" a="1"/>
  <c r="S1436" i="11"/>
  <c r="Q1436" i="11"/>
  <c r="P1436" i="11"/>
  <c r="M1436" i="11"/>
  <c r="AQ1435" i="11"/>
  <c r="AM1435" i="11"/>
  <c r="AI1435" i="11"/>
  <c r="AE1435" i="11"/>
  <c r="AA1435" i="11"/>
  <c r="W1435" i="11"/>
  <c r="U1435" i="11" a="1"/>
  <c r="U1435" i="11" s="1"/>
  <c r="T1435" i="11" a="1"/>
  <c r="T1435" i="11" s="1"/>
  <c r="S1435" i="11"/>
  <c r="Q1435" i="11"/>
  <c r="P1435" i="11"/>
  <c r="N1435" i="11" s="1"/>
  <c r="O1435" i="11" s="1"/>
  <c r="M1435" i="11"/>
  <c r="AQ1434" i="11"/>
  <c r="AM1434" i="11"/>
  <c r="AI1434" i="11"/>
  <c r="AE1434" i="11"/>
  <c r="AA1434" i="11"/>
  <c r="W1434" i="11"/>
  <c r="U1434" i="11"/>
  <c r="U1434" i="11" a="1"/>
  <c r="T1434" i="11" a="1"/>
  <c r="T1434" i="11" s="1"/>
  <c r="S1434" i="11"/>
  <c r="Q1434" i="11"/>
  <c r="R1434" i="11" s="1"/>
  <c r="P1434" i="11"/>
  <c r="N1434" i="11" s="1"/>
  <c r="O1434" i="11" s="1"/>
  <c r="M1434" i="11"/>
  <c r="AQ1433" i="11"/>
  <c r="AM1433" i="11"/>
  <c r="AI1433" i="11"/>
  <c r="AE1433" i="11"/>
  <c r="AA1433" i="11"/>
  <c r="W1433" i="11"/>
  <c r="U1433" i="11" a="1"/>
  <c r="U1433" i="11" s="1"/>
  <c r="T1433" i="11" a="1"/>
  <c r="T1433" i="11" s="1"/>
  <c r="S1433" i="11"/>
  <c r="Q1433" i="11"/>
  <c r="P1433" i="11"/>
  <c r="M1433" i="11"/>
  <c r="AQ1432" i="11"/>
  <c r="AM1432" i="11"/>
  <c r="AI1432" i="11"/>
  <c r="AE1432" i="11"/>
  <c r="AA1432" i="11"/>
  <c r="W1432" i="11"/>
  <c r="U1432" i="11"/>
  <c r="U1432" i="11" a="1"/>
  <c r="T1432" i="11" a="1"/>
  <c r="T1432" i="11" s="1"/>
  <c r="S1432" i="11"/>
  <c r="Q1432" i="11"/>
  <c r="P1432" i="11"/>
  <c r="M1432" i="11"/>
  <c r="AQ1431" i="11"/>
  <c r="AM1431" i="11"/>
  <c r="AI1431" i="11"/>
  <c r="AE1431" i="11"/>
  <c r="AA1431" i="11"/>
  <c r="W1431" i="11"/>
  <c r="U1431" i="11" a="1"/>
  <c r="U1431" i="11" s="1"/>
  <c r="T1431" i="11" a="1"/>
  <c r="T1431" i="11" s="1"/>
  <c r="S1431" i="11"/>
  <c r="R1431" i="11"/>
  <c r="Q1431" i="11"/>
  <c r="P1431" i="11"/>
  <c r="N1431" i="11" s="1"/>
  <c r="O1431" i="11" s="1"/>
  <c r="M1431" i="11"/>
  <c r="AQ1430" i="11"/>
  <c r="AM1430" i="11"/>
  <c r="AI1430" i="11"/>
  <c r="AE1430" i="11"/>
  <c r="AA1430" i="11"/>
  <c r="W1430" i="11"/>
  <c r="U1430" i="11" a="1"/>
  <c r="U1430" i="11" s="1"/>
  <c r="T1430" i="11" a="1"/>
  <c r="T1430" i="11" s="1"/>
  <c r="S1430" i="11"/>
  <c r="Q1430" i="11"/>
  <c r="P1430" i="11"/>
  <c r="N1430" i="11" s="1"/>
  <c r="O1430" i="11" s="1"/>
  <c r="M1430" i="11"/>
  <c r="AQ1429" i="11"/>
  <c r="AM1429" i="11"/>
  <c r="AI1429" i="11"/>
  <c r="AE1429" i="11"/>
  <c r="AA1429" i="11"/>
  <c r="W1429" i="11"/>
  <c r="U1429" i="11" a="1"/>
  <c r="U1429" i="11" s="1"/>
  <c r="T1429" i="11" a="1"/>
  <c r="T1429" i="11" s="1"/>
  <c r="S1429" i="11"/>
  <c r="Q1429" i="11"/>
  <c r="P1429" i="11"/>
  <c r="N1429" i="11" s="1"/>
  <c r="O1429" i="11" s="1"/>
  <c r="M1429" i="11"/>
  <c r="AQ1428" i="11"/>
  <c r="AM1428" i="11"/>
  <c r="AI1428" i="11"/>
  <c r="AE1428" i="11"/>
  <c r="AA1428" i="11"/>
  <c r="W1428" i="11"/>
  <c r="U1428" i="11" a="1"/>
  <c r="U1428" i="11" s="1"/>
  <c r="T1428" i="11" a="1"/>
  <c r="T1428" i="11" s="1"/>
  <c r="S1428" i="11"/>
  <c r="Q1428" i="11"/>
  <c r="P1428" i="11"/>
  <c r="R1428" i="11" s="1"/>
  <c r="M1428" i="11"/>
  <c r="AQ1427" i="11"/>
  <c r="AM1427" i="11"/>
  <c r="AI1427" i="11"/>
  <c r="AE1427" i="11"/>
  <c r="AA1427" i="11"/>
  <c r="W1427" i="11"/>
  <c r="U1427" i="11"/>
  <c r="U1427" i="11" a="1"/>
  <c r="T1427" i="11" a="1"/>
  <c r="T1427" i="11" s="1"/>
  <c r="S1427" i="11"/>
  <c r="Q1427" i="11"/>
  <c r="P1427" i="11"/>
  <c r="M1427" i="11"/>
  <c r="AQ1426" i="11"/>
  <c r="AM1426" i="11"/>
  <c r="AI1426" i="11"/>
  <c r="AE1426" i="11"/>
  <c r="AA1426" i="11"/>
  <c r="W1426" i="11"/>
  <c r="U1426" i="11" a="1"/>
  <c r="U1426" i="11" s="1"/>
  <c r="T1426" i="11" a="1"/>
  <c r="T1426" i="11" s="1"/>
  <c r="S1426" i="11"/>
  <c r="Q1426" i="11"/>
  <c r="P1426" i="11"/>
  <c r="M1426" i="11"/>
  <c r="AQ1425" i="11"/>
  <c r="AM1425" i="11"/>
  <c r="AI1425" i="11"/>
  <c r="AE1425" i="11"/>
  <c r="AA1425" i="11"/>
  <c r="W1425" i="11"/>
  <c r="U1425" i="11" a="1"/>
  <c r="U1425" i="11" s="1"/>
  <c r="T1425" i="11" a="1"/>
  <c r="T1425" i="11" s="1"/>
  <c r="S1425" i="11"/>
  <c r="Q1425" i="11"/>
  <c r="P1425" i="11"/>
  <c r="M1425" i="11"/>
  <c r="AQ1424" i="11"/>
  <c r="AM1424" i="11"/>
  <c r="AI1424" i="11"/>
  <c r="AE1424" i="11"/>
  <c r="AA1424" i="11"/>
  <c r="W1424" i="11"/>
  <c r="U1424" i="11" a="1"/>
  <c r="U1424" i="11" s="1"/>
  <c r="T1424" i="11" a="1"/>
  <c r="T1424" i="11" s="1"/>
  <c r="S1424" i="11"/>
  <c r="Q1424" i="11"/>
  <c r="P1424" i="11"/>
  <c r="N1424" i="11" s="1"/>
  <c r="O1424" i="11" s="1"/>
  <c r="M1424" i="11"/>
  <c r="AQ1423" i="11"/>
  <c r="AM1423" i="11"/>
  <c r="AI1423" i="11"/>
  <c r="AE1423" i="11"/>
  <c r="AA1423" i="11"/>
  <c r="W1423" i="11"/>
  <c r="U1423" i="11" a="1"/>
  <c r="U1423" i="11" s="1"/>
  <c r="T1423" i="11" a="1"/>
  <c r="T1423" i="11" s="1"/>
  <c r="S1423" i="11"/>
  <c r="Q1423" i="11"/>
  <c r="P1423" i="11"/>
  <c r="N1423" i="11"/>
  <c r="O1423" i="11" s="1"/>
  <c r="M1423" i="11"/>
  <c r="AQ1422" i="11"/>
  <c r="AM1422" i="11"/>
  <c r="AI1422" i="11"/>
  <c r="AE1422" i="11"/>
  <c r="AA1422" i="11"/>
  <c r="W1422" i="11"/>
  <c r="U1422" i="11" a="1"/>
  <c r="U1422" i="11" s="1"/>
  <c r="T1422" i="11"/>
  <c r="T1422" i="11" a="1"/>
  <c r="S1422" i="11"/>
  <c r="Q1422" i="11"/>
  <c r="P1422" i="11"/>
  <c r="N1422" i="11" s="1"/>
  <c r="O1422" i="11" s="1"/>
  <c r="M1422" i="11"/>
  <c r="AQ1421" i="11"/>
  <c r="AM1421" i="11"/>
  <c r="AI1421" i="11"/>
  <c r="AE1421" i="11"/>
  <c r="AA1421" i="11"/>
  <c r="W1421" i="11"/>
  <c r="U1421" i="11" a="1"/>
  <c r="U1421" i="11" s="1"/>
  <c r="T1421" i="11"/>
  <c r="T1421" i="11" a="1"/>
  <c r="S1421" i="11"/>
  <c r="Q1421" i="11"/>
  <c r="R1421" i="11" s="1"/>
  <c r="P1421" i="11"/>
  <c r="N1421" i="11" s="1"/>
  <c r="O1421" i="11" s="1"/>
  <c r="M1421" i="11"/>
  <c r="AQ1420" i="11"/>
  <c r="AM1420" i="11"/>
  <c r="AI1420" i="11"/>
  <c r="AE1420" i="11"/>
  <c r="AA1420" i="11"/>
  <c r="W1420" i="11"/>
  <c r="U1420" i="11" a="1"/>
  <c r="U1420" i="11" s="1"/>
  <c r="T1420" i="11" a="1"/>
  <c r="T1420" i="11" s="1"/>
  <c r="S1420" i="11"/>
  <c r="Q1420" i="11"/>
  <c r="P1420" i="11"/>
  <c r="M1420" i="11"/>
  <c r="AQ1419" i="11"/>
  <c r="AM1419" i="11"/>
  <c r="AI1419" i="11"/>
  <c r="AE1419" i="11"/>
  <c r="AA1419" i="11"/>
  <c r="W1419" i="11"/>
  <c r="U1419" i="11" a="1"/>
  <c r="U1419" i="11" s="1"/>
  <c r="T1419" i="11" a="1"/>
  <c r="T1419" i="11" s="1"/>
  <c r="S1419" i="11"/>
  <c r="Q1419" i="11"/>
  <c r="P1419" i="11"/>
  <c r="M1419" i="11"/>
  <c r="AQ1418" i="11"/>
  <c r="AM1418" i="11"/>
  <c r="AI1418" i="11"/>
  <c r="AE1418" i="11"/>
  <c r="AA1418" i="11"/>
  <c r="W1418" i="11"/>
  <c r="U1418" i="11" a="1"/>
  <c r="U1418" i="11" s="1"/>
  <c r="T1418" i="11" a="1"/>
  <c r="T1418" i="11" s="1"/>
  <c r="S1418" i="11"/>
  <c r="Q1418" i="11"/>
  <c r="P1418" i="11"/>
  <c r="N1418" i="11" s="1"/>
  <c r="O1418" i="11" s="1"/>
  <c r="M1418" i="11"/>
  <c r="AQ1417" i="11"/>
  <c r="AM1417" i="11"/>
  <c r="AI1417" i="11"/>
  <c r="AE1417" i="11"/>
  <c r="AA1417" i="11"/>
  <c r="W1417" i="11"/>
  <c r="U1417" i="11" a="1"/>
  <c r="U1417" i="11" s="1"/>
  <c r="T1417" i="11"/>
  <c r="T1417" i="11" a="1"/>
  <c r="S1417" i="11"/>
  <c r="Q1417" i="11"/>
  <c r="P1417" i="11"/>
  <c r="N1417" i="11" s="1"/>
  <c r="O1417" i="11" s="1"/>
  <c r="M1417" i="11"/>
  <c r="AQ1416" i="11"/>
  <c r="AM1416" i="11"/>
  <c r="AI1416" i="11"/>
  <c r="AE1416" i="11"/>
  <c r="AA1416" i="11"/>
  <c r="W1416" i="11"/>
  <c r="U1416" i="11" a="1"/>
  <c r="U1416" i="11" s="1"/>
  <c r="T1416" i="11" a="1"/>
  <c r="T1416" i="11" s="1"/>
  <c r="S1416" i="11"/>
  <c r="Q1416" i="11"/>
  <c r="P1416" i="11"/>
  <c r="N1416" i="11" s="1"/>
  <c r="O1416" i="11" s="1"/>
  <c r="M1416" i="11"/>
  <c r="AQ1415" i="11"/>
  <c r="AM1415" i="11"/>
  <c r="AI1415" i="11"/>
  <c r="AE1415" i="11"/>
  <c r="AA1415" i="11"/>
  <c r="W1415" i="11"/>
  <c r="U1415" i="11" a="1"/>
  <c r="U1415" i="11" s="1"/>
  <c r="T1415" i="11" a="1"/>
  <c r="T1415" i="11" s="1"/>
  <c r="S1415" i="11"/>
  <c r="Q1415" i="11"/>
  <c r="P1415" i="11"/>
  <c r="N1415" i="11" s="1"/>
  <c r="O1415" i="11" s="1"/>
  <c r="M1415" i="11"/>
  <c r="AQ1414" i="11"/>
  <c r="AM1414" i="11"/>
  <c r="AI1414" i="11"/>
  <c r="AE1414" i="11"/>
  <c r="AA1414" i="11"/>
  <c r="W1414" i="11"/>
  <c r="U1414" i="11" a="1"/>
  <c r="U1414" i="11" s="1"/>
  <c r="T1414" i="11" a="1"/>
  <c r="T1414" i="11" s="1"/>
  <c r="S1414" i="11"/>
  <c r="Q1414" i="11"/>
  <c r="P1414" i="11"/>
  <c r="N1414" i="11" s="1"/>
  <c r="O1414" i="11" s="1"/>
  <c r="M1414" i="11"/>
  <c r="AQ1413" i="11"/>
  <c r="AM1413" i="11"/>
  <c r="AI1413" i="11"/>
  <c r="AE1413" i="11"/>
  <c r="AA1413" i="11"/>
  <c r="W1413" i="11"/>
  <c r="U1413" i="11" a="1"/>
  <c r="U1413" i="11" s="1"/>
  <c r="T1413" i="11" a="1"/>
  <c r="T1413" i="11" s="1"/>
  <c r="S1413" i="11"/>
  <c r="Q1413" i="11"/>
  <c r="P1413" i="11"/>
  <c r="N1413" i="11" s="1"/>
  <c r="O1413" i="11" s="1"/>
  <c r="M1413" i="11"/>
  <c r="AQ1412" i="11"/>
  <c r="AM1412" i="11"/>
  <c r="AI1412" i="11"/>
  <c r="AE1412" i="11"/>
  <c r="AA1412" i="11"/>
  <c r="W1412" i="11"/>
  <c r="U1412" i="11" a="1"/>
  <c r="U1412" i="11" s="1"/>
  <c r="T1412" i="11"/>
  <c r="T1412" i="11" a="1"/>
  <c r="S1412" i="11"/>
  <c r="Q1412" i="11"/>
  <c r="P1412" i="11"/>
  <c r="M1412" i="11"/>
  <c r="AQ1411" i="11"/>
  <c r="AM1411" i="11"/>
  <c r="AI1411" i="11"/>
  <c r="AE1411" i="11"/>
  <c r="AA1411" i="11"/>
  <c r="W1411" i="11"/>
  <c r="U1411" i="11" a="1"/>
  <c r="U1411" i="11" s="1"/>
  <c r="T1411" i="11" a="1"/>
  <c r="T1411" i="11" s="1"/>
  <c r="S1411" i="11"/>
  <c r="R1411" i="11"/>
  <c r="Q1411" i="11"/>
  <c r="P1411" i="11"/>
  <c r="N1411" i="11" s="1"/>
  <c r="O1411" i="11" s="1"/>
  <c r="M1411" i="11"/>
  <c r="AQ1410" i="11"/>
  <c r="AM1410" i="11"/>
  <c r="AI1410" i="11"/>
  <c r="AE1410" i="11"/>
  <c r="AA1410" i="11"/>
  <c r="W1410" i="11"/>
  <c r="U1410" i="11" a="1"/>
  <c r="U1410" i="11" s="1"/>
  <c r="T1410" i="11" a="1"/>
  <c r="T1410" i="11" s="1"/>
  <c r="S1410" i="11"/>
  <c r="Q1410" i="11"/>
  <c r="P1410" i="11"/>
  <c r="M1410" i="11"/>
  <c r="AQ1409" i="11"/>
  <c r="AM1409" i="11"/>
  <c r="AI1409" i="11"/>
  <c r="AE1409" i="11"/>
  <c r="AA1409" i="11"/>
  <c r="W1409" i="11"/>
  <c r="U1409" i="11" a="1"/>
  <c r="U1409" i="11" s="1"/>
  <c r="T1409" i="11" a="1"/>
  <c r="T1409" i="11" s="1"/>
  <c r="S1409" i="11"/>
  <c r="Q1409" i="11"/>
  <c r="P1409" i="11"/>
  <c r="N1409" i="11" s="1"/>
  <c r="O1409" i="11" s="1"/>
  <c r="M1409" i="11"/>
  <c r="AQ1408" i="11"/>
  <c r="AM1408" i="11"/>
  <c r="AI1408" i="11"/>
  <c r="AE1408" i="11"/>
  <c r="AA1408" i="11"/>
  <c r="W1408" i="11"/>
  <c r="U1408" i="11" a="1"/>
  <c r="U1408" i="11" s="1"/>
  <c r="T1408" i="11" a="1"/>
  <c r="T1408" i="11" s="1"/>
  <c r="S1408" i="11"/>
  <c r="Q1408" i="11"/>
  <c r="P1408" i="11"/>
  <c r="N1408" i="11" s="1"/>
  <c r="O1408" i="11" s="1"/>
  <c r="M1408" i="11"/>
  <c r="AQ1407" i="11"/>
  <c r="AM1407" i="11"/>
  <c r="AI1407" i="11"/>
  <c r="AE1407" i="11"/>
  <c r="AA1407" i="11"/>
  <c r="W1407" i="11"/>
  <c r="U1407" i="11" a="1"/>
  <c r="U1407" i="11" s="1"/>
  <c r="T1407" i="11" a="1"/>
  <c r="T1407" i="11" s="1"/>
  <c r="S1407" i="11"/>
  <c r="Q1407" i="11"/>
  <c r="P1407" i="11"/>
  <c r="M1407" i="11"/>
  <c r="AQ1406" i="11"/>
  <c r="AM1406" i="11"/>
  <c r="AI1406" i="11"/>
  <c r="AE1406" i="11"/>
  <c r="AA1406" i="11"/>
  <c r="W1406" i="11"/>
  <c r="U1406" i="11" a="1"/>
  <c r="U1406" i="11" s="1"/>
  <c r="T1406" i="11" a="1"/>
  <c r="T1406" i="11" s="1"/>
  <c r="S1406" i="11"/>
  <c r="Q1406" i="11"/>
  <c r="P1406" i="11"/>
  <c r="M1406" i="11"/>
  <c r="AQ1405" i="11"/>
  <c r="AM1405" i="11"/>
  <c r="AI1405" i="11"/>
  <c r="AE1405" i="11"/>
  <c r="AA1405" i="11"/>
  <c r="W1405" i="11"/>
  <c r="U1405" i="11" a="1"/>
  <c r="U1405" i="11" s="1"/>
  <c r="T1405" i="11" a="1"/>
  <c r="T1405" i="11" s="1"/>
  <c r="S1405" i="11"/>
  <c r="Q1405" i="11"/>
  <c r="P1405" i="11"/>
  <c r="N1405" i="11" s="1"/>
  <c r="O1405" i="11" s="1"/>
  <c r="M1405" i="11"/>
  <c r="AQ1404" i="11"/>
  <c r="AM1404" i="11"/>
  <c r="AI1404" i="11"/>
  <c r="AE1404" i="11"/>
  <c r="AA1404" i="11"/>
  <c r="W1404" i="11"/>
  <c r="U1404" i="11" a="1"/>
  <c r="U1404" i="11" s="1"/>
  <c r="T1404" i="11"/>
  <c r="T1404" i="11" a="1"/>
  <c r="S1404" i="11"/>
  <c r="Q1404" i="11"/>
  <c r="P1404" i="11"/>
  <c r="N1404" i="11" s="1"/>
  <c r="O1404" i="11" s="1"/>
  <c r="M1404" i="11"/>
  <c r="AQ1403" i="11"/>
  <c r="AM1403" i="11"/>
  <c r="AI1403" i="11"/>
  <c r="AE1403" i="11"/>
  <c r="AA1403" i="11"/>
  <c r="W1403" i="11"/>
  <c r="U1403" i="11" a="1"/>
  <c r="U1403" i="11" s="1"/>
  <c r="T1403" i="11" a="1"/>
  <c r="T1403" i="11" s="1"/>
  <c r="S1403" i="11"/>
  <c r="Q1403" i="11"/>
  <c r="P1403" i="11"/>
  <c r="N1403" i="11" s="1"/>
  <c r="O1403" i="11" s="1"/>
  <c r="M1403" i="11"/>
  <c r="AQ1402" i="11"/>
  <c r="AM1402" i="11"/>
  <c r="AI1402" i="11"/>
  <c r="AE1402" i="11"/>
  <c r="AA1402" i="11"/>
  <c r="W1402" i="11"/>
  <c r="U1402" i="11" a="1"/>
  <c r="U1402" i="11" s="1"/>
  <c r="T1402" i="11" a="1"/>
  <c r="T1402" i="11" s="1"/>
  <c r="S1402" i="11"/>
  <c r="Q1402" i="11"/>
  <c r="P1402" i="11"/>
  <c r="M1402" i="11"/>
  <c r="AQ1401" i="11"/>
  <c r="AM1401" i="11"/>
  <c r="AI1401" i="11"/>
  <c r="AE1401" i="11"/>
  <c r="AA1401" i="11"/>
  <c r="W1401" i="11"/>
  <c r="U1401" i="11" a="1"/>
  <c r="U1401" i="11" s="1"/>
  <c r="T1401" i="11" a="1"/>
  <c r="T1401" i="11" s="1"/>
  <c r="S1401" i="11"/>
  <c r="Q1401" i="11"/>
  <c r="P1401" i="11"/>
  <c r="M1401" i="11"/>
  <c r="AQ1400" i="11"/>
  <c r="AM1400" i="11"/>
  <c r="AI1400" i="11"/>
  <c r="AE1400" i="11"/>
  <c r="AA1400" i="11"/>
  <c r="W1400" i="11"/>
  <c r="U1400" i="11" a="1"/>
  <c r="U1400" i="11" s="1"/>
  <c r="T1400" i="11" a="1"/>
  <c r="T1400" i="11" s="1"/>
  <c r="S1400" i="11"/>
  <c r="Q1400" i="11"/>
  <c r="P1400" i="11"/>
  <c r="M1400" i="11"/>
  <c r="AQ1399" i="11"/>
  <c r="AM1399" i="11"/>
  <c r="AI1399" i="11"/>
  <c r="AE1399" i="11"/>
  <c r="AA1399" i="11"/>
  <c r="W1399" i="11"/>
  <c r="U1399" i="11" a="1"/>
  <c r="U1399" i="11" s="1"/>
  <c r="T1399" i="11" a="1"/>
  <c r="T1399" i="11" s="1"/>
  <c r="S1399" i="11"/>
  <c r="Q1399" i="11"/>
  <c r="P1399" i="11"/>
  <c r="M1399" i="11"/>
  <c r="AQ1398" i="11"/>
  <c r="AM1398" i="11"/>
  <c r="AI1398" i="11"/>
  <c r="AE1398" i="11"/>
  <c r="AA1398" i="11"/>
  <c r="W1398" i="11"/>
  <c r="U1398" i="11" a="1"/>
  <c r="U1398" i="11" s="1"/>
  <c r="T1398" i="11" a="1"/>
  <c r="T1398" i="11" s="1"/>
  <c r="S1398" i="11"/>
  <c r="Q1398" i="11"/>
  <c r="P1398" i="11"/>
  <c r="N1398" i="11" s="1"/>
  <c r="O1398" i="11" s="1"/>
  <c r="M1398" i="11"/>
  <c r="AQ1397" i="11"/>
  <c r="AM1397" i="11"/>
  <c r="AI1397" i="11"/>
  <c r="AE1397" i="11"/>
  <c r="AA1397" i="11"/>
  <c r="W1397" i="11"/>
  <c r="U1397" i="11" a="1"/>
  <c r="U1397" i="11" s="1"/>
  <c r="T1397" i="11" a="1"/>
  <c r="T1397" i="11" s="1"/>
  <c r="S1397" i="11"/>
  <c r="Q1397" i="11"/>
  <c r="P1397" i="11"/>
  <c r="M1397" i="11"/>
  <c r="AQ1396" i="11"/>
  <c r="AM1396" i="11"/>
  <c r="AI1396" i="11"/>
  <c r="AE1396" i="11"/>
  <c r="AA1396" i="11"/>
  <c r="W1396" i="11"/>
  <c r="U1396" i="11" a="1"/>
  <c r="U1396" i="11" s="1"/>
  <c r="T1396" i="11" a="1"/>
  <c r="T1396" i="11" s="1"/>
  <c r="S1396" i="11"/>
  <c r="Q1396" i="11"/>
  <c r="P1396" i="11"/>
  <c r="M1396" i="11"/>
  <c r="AQ1395" i="11"/>
  <c r="AM1395" i="11"/>
  <c r="AI1395" i="11"/>
  <c r="AE1395" i="11"/>
  <c r="AA1395" i="11"/>
  <c r="W1395" i="11"/>
  <c r="U1395" i="11" a="1"/>
  <c r="U1395" i="11" s="1"/>
  <c r="T1395" i="11" a="1"/>
  <c r="T1395" i="11" s="1"/>
  <c r="S1395" i="11"/>
  <c r="Q1395" i="11"/>
  <c r="P1395" i="11"/>
  <c r="M1395" i="11"/>
  <c r="AQ1394" i="11"/>
  <c r="AM1394" i="11"/>
  <c r="AI1394" i="11"/>
  <c r="AE1394" i="11"/>
  <c r="AA1394" i="11"/>
  <c r="W1394" i="11"/>
  <c r="U1394" i="11" a="1"/>
  <c r="U1394" i="11" s="1"/>
  <c r="T1394" i="11" a="1"/>
  <c r="T1394" i="11" s="1"/>
  <c r="S1394" i="11"/>
  <c r="Q1394" i="11"/>
  <c r="P1394" i="11"/>
  <c r="N1394" i="11" s="1"/>
  <c r="O1394" i="11" s="1"/>
  <c r="M1394" i="11"/>
  <c r="AQ1393" i="11"/>
  <c r="AM1393" i="11"/>
  <c r="AI1393" i="11"/>
  <c r="AE1393" i="11"/>
  <c r="AA1393" i="11"/>
  <c r="W1393" i="11"/>
  <c r="U1393" i="11" a="1"/>
  <c r="U1393" i="11" s="1"/>
  <c r="T1393" i="11" a="1"/>
  <c r="T1393" i="11" s="1"/>
  <c r="S1393" i="11"/>
  <c r="Q1393" i="11"/>
  <c r="P1393" i="11"/>
  <c r="N1393" i="11"/>
  <c r="O1393" i="11" s="1"/>
  <c r="M1393" i="11"/>
  <c r="AQ1392" i="11"/>
  <c r="AM1392" i="11"/>
  <c r="AI1392" i="11"/>
  <c r="AE1392" i="11"/>
  <c r="AA1392" i="11"/>
  <c r="W1392" i="11"/>
  <c r="U1392" i="11" a="1"/>
  <c r="U1392" i="11" s="1"/>
  <c r="T1392" i="11"/>
  <c r="T1392" i="11" a="1"/>
  <c r="S1392" i="11"/>
  <c r="Q1392" i="11"/>
  <c r="P1392" i="11"/>
  <c r="M1392" i="11"/>
  <c r="AQ1391" i="11"/>
  <c r="AM1391" i="11"/>
  <c r="AI1391" i="11"/>
  <c r="AE1391" i="11"/>
  <c r="AA1391" i="11"/>
  <c r="W1391" i="11"/>
  <c r="U1391" i="11"/>
  <c r="U1391" i="11" a="1"/>
  <c r="T1391" i="11" a="1"/>
  <c r="T1391" i="11" s="1"/>
  <c r="S1391" i="11"/>
  <c r="Q1391" i="11"/>
  <c r="P1391" i="11"/>
  <c r="N1391" i="11" s="1"/>
  <c r="O1391" i="11" s="1"/>
  <c r="M1391" i="11"/>
  <c r="AQ1390" i="11"/>
  <c r="AM1390" i="11"/>
  <c r="AI1390" i="11"/>
  <c r="AE1390" i="11"/>
  <c r="AA1390" i="11"/>
  <c r="W1390" i="11"/>
  <c r="U1390" i="11" a="1"/>
  <c r="U1390" i="11" s="1"/>
  <c r="T1390" i="11" a="1"/>
  <c r="T1390" i="11" s="1"/>
  <c r="S1390" i="11"/>
  <c r="Q1390" i="11"/>
  <c r="P1390" i="11"/>
  <c r="N1390" i="11"/>
  <c r="O1390" i="11" s="1"/>
  <c r="M1390" i="11"/>
  <c r="AQ1389" i="11"/>
  <c r="AM1389" i="11"/>
  <c r="AL1389" i="11" a="1"/>
  <c r="AI1389" i="11"/>
  <c r="AE1389" i="11"/>
  <c r="AA1389" i="11"/>
  <c r="W1389" i="11"/>
  <c r="U1389" i="11" a="1"/>
  <c r="U1389" i="11" s="1"/>
  <c r="T1389" i="11" a="1"/>
  <c r="T1389" i="11" s="1"/>
  <c r="S1389" i="11"/>
  <c r="Q1389" i="11"/>
  <c r="P1389" i="11"/>
  <c r="V1389" i="11" s="1" a="1"/>
  <c r="M1389" i="11"/>
  <c r="AQ1388" i="11"/>
  <c r="AM1388" i="11"/>
  <c r="AI1388" i="11"/>
  <c r="AE1388" i="11"/>
  <c r="AA1388" i="11"/>
  <c r="W1388" i="11"/>
  <c r="U1388" i="11" a="1"/>
  <c r="U1388" i="11" s="1"/>
  <c r="T1388" i="11" a="1"/>
  <c r="T1388" i="11" s="1"/>
  <c r="S1388" i="11"/>
  <c r="Q1388" i="11"/>
  <c r="P1388" i="11"/>
  <c r="N1388" i="11"/>
  <c r="O1388" i="11" s="1"/>
  <c r="M1388" i="11"/>
  <c r="AQ1387" i="11"/>
  <c r="AM1387" i="11"/>
  <c r="AI1387" i="11"/>
  <c r="AE1387" i="11"/>
  <c r="AA1387" i="11"/>
  <c r="W1387" i="11"/>
  <c r="U1387" i="11" a="1"/>
  <c r="U1387" i="11" s="1"/>
  <c r="T1387" i="11" a="1"/>
  <c r="T1387" i="11" s="1"/>
  <c r="S1387" i="11"/>
  <c r="Q1387" i="11"/>
  <c r="P1387" i="11"/>
  <c r="M1387" i="11"/>
  <c r="AQ1386" i="11"/>
  <c r="AM1386" i="11"/>
  <c r="AI1386" i="11"/>
  <c r="AE1386" i="11"/>
  <c r="AA1386" i="11"/>
  <c r="W1386" i="11"/>
  <c r="U1386" i="11" a="1"/>
  <c r="U1386" i="11" s="1"/>
  <c r="T1386" i="11" a="1"/>
  <c r="T1386" i="11" s="1"/>
  <c r="S1386" i="11"/>
  <c r="Q1386" i="11"/>
  <c r="P1386" i="11"/>
  <c r="N1386" i="11" s="1"/>
  <c r="O1386" i="11" s="1"/>
  <c r="M1386" i="11"/>
  <c r="AQ1385" i="11"/>
  <c r="AM1385" i="11"/>
  <c r="AI1385" i="11"/>
  <c r="AE1385" i="11"/>
  <c r="AA1385" i="11"/>
  <c r="W1385" i="11"/>
  <c r="U1385" i="11"/>
  <c r="U1385" i="11" a="1"/>
  <c r="T1385" i="11" a="1"/>
  <c r="T1385" i="11" s="1"/>
  <c r="S1385" i="11"/>
  <c r="Q1385" i="11"/>
  <c r="P1385" i="11"/>
  <c r="M1385" i="11"/>
  <c r="AQ1384" i="11"/>
  <c r="AM1384" i="11"/>
  <c r="AI1384" i="11"/>
  <c r="AE1384" i="11"/>
  <c r="AA1384" i="11"/>
  <c r="W1384" i="11"/>
  <c r="U1384" i="11" a="1"/>
  <c r="U1384" i="11" s="1"/>
  <c r="T1384" i="11" a="1"/>
  <c r="T1384" i="11" s="1"/>
  <c r="S1384" i="11"/>
  <c r="Q1384" i="11"/>
  <c r="P1384" i="11"/>
  <c r="N1384" i="11"/>
  <c r="O1384" i="11" s="1"/>
  <c r="M1384" i="11"/>
  <c r="AQ1383" i="11"/>
  <c r="AM1383" i="11"/>
  <c r="AI1383" i="11"/>
  <c r="AE1383" i="11"/>
  <c r="AA1383" i="11"/>
  <c r="W1383" i="11"/>
  <c r="U1383" i="11" a="1"/>
  <c r="U1383" i="11" s="1"/>
  <c r="T1383" i="11" a="1"/>
  <c r="T1383" i="11" s="1"/>
  <c r="S1383" i="11"/>
  <c r="Q1383" i="11"/>
  <c r="P1383" i="11"/>
  <c r="M1383" i="11"/>
  <c r="AQ1382" i="11"/>
  <c r="AM1382" i="11"/>
  <c r="AI1382" i="11"/>
  <c r="AE1382" i="11"/>
  <c r="AA1382" i="11"/>
  <c r="W1382" i="11"/>
  <c r="U1382" i="11" a="1"/>
  <c r="U1382" i="11" s="1"/>
  <c r="T1382" i="11" a="1"/>
  <c r="T1382" i="11" s="1"/>
  <c r="S1382" i="11"/>
  <c r="Q1382" i="11"/>
  <c r="P1382" i="11"/>
  <c r="N1382" i="11" s="1"/>
  <c r="O1382" i="11" s="1"/>
  <c r="M1382" i="11"/>
  <c r="AQ1381" i="11"/>
  <c r="AM1381" i="11"/>
  <c r="AI1381" i="11"/>
  <c r="AE1381" i="11"/>
  <c r="AA1381" i="11"/>
  <c r="W1381" i="11"/>
  <c r="U1381" i="11" a="1"/>
  <c r="U1381" i="11" s="1"/>
  <c r="T1381" i="11" a="1"/>
  <c r="T1381" i="11" s="1"/>
  <c r="S1381" i="11"/>
  <c r="Q1381" i="11"/>
  <c r="P1381" i="11"/>
  <c r="M1381" i="11"/>
  <c r="AQ1380" i="11"/>
  <c r="AM1380" i="11"/>
  <c r="AI1380" i="11"/>
  <c r="AE1380" i="11"/>
  <c r="AA1380" i="11"/>
  <c r="W1380" i="11"/>
  <c r="U1380" i="11" a="1"/>
  <c r="U1380" i="11" s="1"/>
  <c r="T1380" i="11" a="1"/>
  <c r="T1380" i="11" s="1"/>
  <c r="S1380" i="11"/>
  <c r="Q1380" i="11"/>
  <c r="P1380" i="11"/>
  <c r="N1380" i="11" s="1"/>
  <c r="O1380" i="11" s="1"/>
  <c r="M1380" i="11"/>
  <c r="AQ1379" i="11"/>
  <c r="AM1379" i="11"/>
  <c r="AI1379" i="11"/>
  <c r="AE1379" i="11"/>
  <c r="AA1379" i="11"/>
  <c r="W1379" i="11"/>
  <c r="U1379" i="11" a="1"/>
  <c r="U1379" i="11" s="1"/>
  <c r="T1379" i="11" a="1"/>
  <c r="T1379" i="11" s="1"/>
  <c r="S1379" i="11"/>
  <c r="Q1379" i="11"/>
  <c r="P1379" i="11"/>
  <c r="M1379" i="11"/>
  <c r="AQ1378" i="11"/>
  <c r="AM1378" i="11"/>
  <c r="AI1378" i="11"/>
  <c r="AE1378" i="11"/>
  <c r="AA1378" i="11"/>
  <c r="W1378" i="11"/>
  <c r="U1378" i="11" a="1"/>
  <c r="U1378" i="11" s="1"/>
  <c r="T1378" i="11" a="1"/>
  <c r="T1378" i="11" s="1"/>
  <c r="S1378" i="11"/>
  <c r="Q1378" i="11"/>
  <c r="P1378" i="11"/>
  <c r="N1378" i="11" s="1"/>
  <c r="O1378" i="11" s="1"/>
  <c r="M1378" i="11"/>
  <c r="AQ1377" i="11"/>
  <c r="AM1377" i="11"/>
  <c r="AI1377" i="11"/>
  <c r="AE1377" i="11"/>
  <c r="AA1377" i="11"/>
  <c r="W1377" i="11"/>
  <c r="U1377" i="11" a="1"/>
  <c r="U1377" i="11" s="1"/>
  <c r="T1377" i="11" a="1"/>
  <c r="T1377" i="11" s="1"/>
  <c r="S1377" i="11"/>
  <c r="Q1377" i="11"/>
  <c r="P1377" i="11"/>
  <c r="N1377" i="11" s="1"/>
  <c r="O1377" i="11" s="1"/>
  <c r="M1377" i="11"/>
  <c r="AQ1376" i="11"/>
  <c r="AM1376" i="11"/>
  <c r="AI1376" i="11"/>
  <c r="AE1376" i="11"/>
  <c r="AA1376" i="11"/>
  <c r="W1376" i="11"/>
  <c r="U1376" i="11" a="1"/>
  <c r="U1376" i="11" s="1"/>
  <c r="T1376" i="11" a="1"/>
  <c r="T1376" i="11" s="1"/>
  <c r="S1376" i="11"/>
  <c r="Q1376" i="11"/>
  <c r="P1376" i="11"/>
  <c r="M1376" i="11"/>
  <c r="AQ1375" i="11"/>
  <c r="AM1375" i="11"/>
  <c r="AI1375" i="11"/>
  <c r="AE1375" i="11"/>
  <c r="AA1375" i="11"/>
  <c r="W1375" i="11"/>
  <c r="U1375" i="11" a="1"/>
  <c r="U1375" i="11" s="1"/>
  <c r="T1375" i="11" a="1"/>
  <c r="T1375" i="11" s="1"/>
  <c r="S1375" i="11"/>
  <c r="Q1375" i="11"/>
  <c r="P1375" i="11"/>
  <c r="M1375" i="11"/>
  <c r="AQ1374" i="11"/>
  <c r="AM1374" i="11"/>
  <c r="AI1374" i="11"/>
  <c r="AE1374" i="11"/>
  <c r="AA1374" i="11"/>
  <c r="W1374" i="11"/>
  <c r="U1374" i="11" a="1"/>
  <c r="U1374" i="11" s="1"/>
  <c r="T1374" i="11" a="1"/>
  <c r="T1374" i="11" s="1"/>
  <c r="S1374" i="11"/>
  <c r="Q1374" i="11"/>
  <c r="P1374" i="11"/>
  <c r="N1374" i="11" s="1"/>
  <c r="O1374" i="11" s="1"/>
  <c r="M1374" i="11"/>
  <c r="AQ1373" i="11"/>
  <c r="AM1373" i="11"/>
  <c r="AI1373" i="11"/>
  <c r="AE1373" i="11"/>
  <c r="AA1373" i="11"/>
  <c r="W1373" i="11"/>
  <c r="U1373" i="11" a="1"/>
  <c r="U1373" i="11" s="1"/>
  <c r="T1373" i="11" a="1"/>
  <c r="T1373" i="11" s="1"/>
  <c r="S1373" i="11"/>
  <c r="Q1373" i="11"/>
  <c r="P1373" i="11"/>
  <c r="N1373" i="11" s="1"/>
  <c r="O1373" i="11" s="1"/>
  <c r="M1373" i="11"/>
  <c r="AQ1372" i="11"/>
  <c r="AM1372" i="11"/>
  <c r="AI1372" i="11"/>
  <c r="AE1372" i="11"/>
  <c r="AA1372" i="11"/>
  <c r="W1372" i="11"/>
  <c r="U1372" i="11" a="1"/>
  <c r="U1372" i="11" s="1"/>
  <c r="T1372" i="11" a="1"/>
  <c r="T1372" i="11" s="1"/>
  <c r="S1372" i="11"/>
  <c r="Q1372" i="11"/>
  <c r="P1372" i="11"/>
  <c r="N1372" i="11" s="1"/>
  <c r="O1372" i="11" s="1"/>
  <c r="M1372" i="11"/>
  <c r="AQ1371" i="11"/>
  <c r="AM1371" i="11"/>
  <c r="AI1371" i="11"/>
  <c r="AE1371" i="11"/>
  <c r="AA1371" i="11"/>
  <c r="W1371" i="11"/>
  <c r="U1371" i="11" a="1"/>
  <c r="U1371" i="11" s="1"/>
  <c r="T1371" i="11" a="1"/>
  <c r="T1371" i="11" s="1"/>
  <c r="S1371" i="11"/>
  <c r="Q1371" i="11"/>
  <c r="P1371" i="11"/>
  <c r="M1371" i="11"/>
  <c r="AQ1370" i="11"/>
  <c r="AM1370" i="11"/>
  <c r="AI1370" i="11"/>
  <c r="AE1370" i="11"/>
  <c r="AA1370" i="11"/>
  <c r="W1370" i="11"/>
  <c r="U1370" i="11" a="1"/>
  <c r="U1370" i="11" s="1"/>
  <c r="T1370" i="11" a="1"/>
  <c r="T1370" i="11" s="1"/>
  <c r="S1370" i="11"/>
  <c r="Q1370" i="11"/>
  <c r="P1370" i="11"/>
  <c r="M1370" i="11"/>
  <c r="AQ1369" i="11"/>
  <c r="AP1369" i="11" a="1"/>
  <c r="AM1369" i="11"/>
  <c r="AI1369" i="11"/>
  <c r="AE1369" i="11"/>
  <c r="AA1369" i="11"/>
  <c r="W1369" i="11"/>
  <c r="U1369" i="11" a="1"/>
  <c r="U1369" i="11" s="1"/>
  <c r="T1369" i="11" a="1"/>
  <c r="T1369" i="11" s="1"/>
  <c r="S1369" i="11"/>
  <c r="Q1369" i="11"/>
  <c r="P1369" i="11"/>
  <c r="M1369" i="11"/>
  <c r="AQ1368" i="11"/>
  <c r="AM1368" i="11"/>
  <c r="AL1368" i="11" a="1"/>
  <c r="AI1368" i="11"/>
  <c r="AE1368" i="11"/>
  <c r="AA1368" i="11"/>
  <c r="Z1368" i="11" a="1"/>
  <c r="W1368" i="11"/>
  <c r="V1368" i="11" a="1"/>
  <c r="U1368" i="11" a="1"/>
  <c r="U1368" i="11" s="1"/>
  <c r="T1368" i="11" a="1"/>
  <c r="T1368" i="11" s="1"/>
  <c r="S1368" i="11"/>
  <c r="Q1368" i="11"/>
  <c r="P1368" i="11"/>
  <c r="M1368" i="11"/>
  <c r="AQ1367" i="11"/>
  <c r="AM1367" i="11"/>
  <c r="AI1367" i="11"/>
  <c r="AE1367" i="11"/>
  <c r="AA1367" i="11"/>
  <c r="W1367" i="11"/>
  <c r="U1367" i="11" a="1"/>
  <c r="U1367" i="11" s="1"/>
  <c r="T1367" i="11" a="1"/>
  <c r="T1367" i="11" s="1"/>
  <c r="S1367" i="11"/>
  <c r="Q1367" i="11"/>
  <c r="P1367" i="11"/>
  <c r="Z1367" i="11" s="1" a="1"/>
  <c r="M1367" i="11"/>
  <c r="AQ1366" i="11"/>
  <c r="AM1366" i="11"/>
  <c r="AI1366" i="11"/>
  <c r="AE1366" i="11"/>
  <c r="AA1366" i="11"/>
  <c r="W1366" i="11"/>
  <c r="U1366" i="11" a="1"/>
  <c r="U1366" i="11" s="1"/>
  <c r="T1366" i="11" a="1"/>
  <c r="T1366" i="11" s="1"/>
  <c r="S1366" i="11"/>
  <c r="Q1366" i="11"/>
  <c r="P1366" i="11"/>
  <c r="M1366" i="11"/>
  <c r="AQ1365" i="11"/>
  <c r="AM1365" i="11"/>
  <c r="AI1365" i="11"/>
  <c r="AE1365" i="11"/>
  <c r="AA1365" i="11"/>
  <c r="W1365" i="11"/>
  <c r="U1365" i="11" a="1"/>
  <c r="U1365" i="11" s="1"/>
  <c r="T1365" i="11" a="1"/>
  <c r="T1365" i="11" s="1"/>
  <c r="S1365" i="11"/>
  <c r="Q1365" i="11"/>
  <c r="P1365" i="11"/>
  <c r="N1365" i="11" s="1"/>
  <c r="O1365" i="11" s="1"/>
  <c r="M1365" i="11"/>
  <c r="AQ1364" i="11"/>
  <c r="AM1364" i="11"/>
  <c r="AI1364" i="11"/>
  <c r="AE1364" i="11"/>
  <c r="AA1364" i="11"/>
  <c r="W1364" i="11"/>
  <c r="U1364" i="11" a="1"/>
  <c r="U1364" i="11" s="1"/>
  <c r="T1364" i="11" a="1"/>
  <c r="T1364" i="11" s="1"/>
  <c r="S1364" i="11"/>
  <c r="Q1364" i="11"/>
  <c r="P1364" i="11"/>
  <c r="N1364" i="11" s="1"/>
  <c r="O1364" i="11" s="1"/>
  <c r="M1364" i="11"/>
  <c r="AQ1363" i="11"/>
  <c r="AM1363" i="11"/>
  <c r="AI1363" i="11"/>
  <c r="AE1363" i="11"/>
  <c r="AA1363" i="11"/>
  <c r="W1363" i="11"/>
  <c r="U1363" i="11" a="1"/>
  <c r="U1363" i="11" s="1"/>
  <c r="T1363" i="11" a="1"/>
  <c r="T1363" i="11" s="1"/>
  <c r="S1363" i="11"/>
  <c r="Q1363" i="11"/>
  <c r="P1363" i="11"/>
  <c r="M1363" i="11"/>
  <c r="AQ1362" i="11"/>
  <c r="AM1362" i="11"/>
  <c r="AI1362" i="11"/>
  <c r="AE1362" i="11"/>
  <c r="AA1362" i="11"/>
  <c r="W1362" i="11"/>
  <c r="U1362" i="11" a="1"/>
  <c r="U1362" i="11" s="1"/>
  <c r="T1362" i="11" a="1"/>
  <c r="T1362" i="11" s="1"/>
  <c r="S1362" i="11"/>
  <c r="Q1362" i="11"/>
  <c r="R1362" i="11" s="1"/>
  <c r="P1362" i="11"/>
  <c r="N1362" i="11" s="1"/>
  <c r="O1362" i="11" s="1"/>
  <c r="M1362" i="11"/>
  <c r="AQ1361" i="11"/>
  <c r="AM1361" i="11"/>
  <c r="AI1361" i="11"/>
  <c r="AE1361" i="11"/>
  <c r="AA1361" i="11"/>
  <c r="W1361" i="11"/>
  <c r="U1361" i="11" a="1"/>
  <c r="U1361" i="11" s="1"/>
  <c r="T1361" i="11" a="1"/>
  <c r="T1361" i="11" s="1"/>
  <c r="S1361" i="11"/>
  <c r="Q1361" i="11"/>
  <c r="P1361" i="11"/>
  <c r="M1361" i="11"/>
  <c r="AQ1360" i="11"/>
  <c r="AM1360" i="11"/>
  <c r="AI1360" i="11"/>
  <c r="AE1360" i="11"/>
  <c r="AA1360" i="11"/>
  <c r="W1360" i="11"/>
  <c r="U1360" i="11" a="1"/>
  <c r="U1360" i="11" s="1"/>
  <c r="T1360" i="11" a="1"/>
  <c r="T1360" i="11" s="1"/>
  <c r="S1360" i="11"/>
  <c r="Q1360" i="11"/>
  <c r="P1360" i="11"/>
  <c r="N1360" i="11" s="1"/>
  <c r="O1360" i="11" s="1"/>
  <c r="M1360" i="11"/>
  <c r="AQ1359" i="11"/>
  <c r="AM1359" i="11"/>
  <c r="AI1359" i="11"/>
  <c r="AE1359" i="11"/>
  <c r="AA1359" i="11"/>
  <c r="W1359" i="11"/>
  <c r="U1359" i="11" a="1"/>
  <c r="U1359" i="11" s="1"/>
  <c r="T1359" i="11" a="1"/>
  <c r="T1359" i="11" s="1"/>
  <c r="S1359" i="11"/>
  <c r="Q1359" i="11"/>
  <c r="P1359" i="11"/>
  <c r="M1359" i="11"/>
  <c r="AQ1358" i="11"/>
  <c r="AM1358" i="11"/>
  <c r="AI1358" i="11"/>
  <c r="AE1358" i="11"/>
  <c r="AA1358" i="11"/>
  <c r="W1358" i="11"/>
  <c r="U1358" i="11" a="1"/>
  <c r="U1358" i="11" s="1"/>
  <c r="T1358" i="11" a="1"/>
  <c r="T1358" i="11" s="1"/>
  <c r="S1358" i="11"/>
  <c r="Q1358" i="11"/>
  <c r="P1358" i="11"/>
  <c r="N1358" i="11" s="1"/>
  <c r="O1358" i="11" s="1"/>
  <c r="M1358" i="11"/>
  <c r="AQ1357" i="11"/>
  <c r="AM1357" i="11"/>
  <c r="AI1357" i="11"/>
  <c r="AE1357" i="11"/>
  <c r="AA1357" i="11"/>
  <c r="W1357" i="11"/>
  <c r="U1357" i="11" a="1"/>
  <c r="U1357" i="11" s="1"/>
  <c r="T1357" i="11" a="1"/>
  <c r="T1357" i="11" s="1"/>
  <c r="S1357" i="11"/>
  <c r="Q1357" i="11"/>
  <c r="P1357" i="11"/>
  <c r="AD1357" i="11" s="1" a="1"/>
  <c r="M1357" i="11"/>
  <c r="AQ1356" i="11"/>
  <c r="AM1356" i="11"/>
  <c r="AI1356" i="11"/>
  <c r="AE1356" i="11"/>
  <c r="AA1356" i="11"/>
  <c r="W1356" i="11"/>
  <c r="U1356" i="11" a="1"/>
  <c r="U1356" i="11" s="1"/>
  <c r="T1356" i="11" a="1"/>
  <c r="T1356" i="11" s="1"/>
  <c r="S1356" i="11"/>
  <c r="Q1356" i="11"/>
  <c r="P1356" i="11"/>
  <c r="AH1356" i="11" s="1" a="1"/>
  <c r="M1356" i="11"/>
  <c r="AQ1355" i="11"/>
  <c r="AM1355" i="11"/>
  <c r="AI1355" i="11"/>
  <c r="AE1355" i="11"/>
  <c r="AA1355" i="11"/>
  <c r="W1355" i="11"/>
  <c r="U1355" i="11" a="1"/>
  <c r="U1355" i="11" s="1"/>
  <c r="T1355" i="11" a="1"/>
  <c r="T1355" i="11" s="1"/>
  <c r="S1355" i="11"/>
  <c r="Q1355" i="11"/>
  <c r="P1355" i="11"/>
  <c r="N1355" i="11" s="1"/>
  <c r="O1355" i="11" s="1"/>
  <c r="M1355" i="11"/>
  <c r="AQ1354" i="11"/>
  <c r="AM1354" i="11"/>
  <c r="AI1354" i="11"/>
  <c r="AE1354" i="11"/>
  <c r="AA1354" i="11"/>
  <c r="W1354" i="11"/>
  <c r="U1354" i="11" a="1"/>
  <c r="U1354" i="11" s="1"/>
  <c r="T1354" i="11" a="1"/>
  <c r="T1354" i="11" s="1"/>
  <c r="S1354" i="11"/>
  <c r="Q1354" i="11"/>
  <c r="P1354" i="11"/>
  <c r="N1354" i="11" s="1"/>
  <c r="O1354" i="11" s="1"/>
  <c r="M1354" i="11"/>
  <c r="AQ1353" i="11"/>
  <c r="AM1353" i="11"/>
  <c r="AI1353" i="11"/>
  <c r="AE1353" i="11"/>
  <c r="AA1353" i="11"/>
  <c r="W1353" i="11"/>
  <c r="U1353" i="11" a="1"/>
  <c r="U1353" i="11" s="1"/>
  <c r="T1353" i="11" a="1"/>
  <c r="T1353" i="11" s="1"/>
  <c r="S1353" i="11"/>
  <c r="Q1353" i="11"/>
  <c r="P1353" i="11"/>
  <c r="N1353" i="11" s="1"/>
  <c r="O1353" i="11" s="1"/>
  <c r="M1353" i="11"/>
  <c r="AQ1352" i="11"/>
  <c r="AM1352" i="11"/>
  <c r="AI1352" i="11"/>
  <c r="AH1352" i="11" a="1"/>
  <c r="AE1352" i="11"/>
  <c r="AA1352" i="11"/>
  <c r="Z1352" i="11" a="1"/>
  <c r="W1352" i="11"/>
  <c r="V1352" i="11" a="1"/>
  <c r="U1352" i="11" a="1"/>
  <c r="U1352" i="11" s="1"/>
  <c r="T1352" i="11" a="1"/>
  <c r="T1352" i="11" s="1"/>
  <c r="S1352" i="11"/>
  <c r="Q1352" i="11"/>
  <c r="P1352" i="11"/>
  <c r="AD1352" i="11" s="1" a="1"/>
  <c r="M1352" i="11"/>
  <c r="AQ1351" i="11"/>
  <c r="AP1351" i="11" a="1"/>
  <c r="AM1351" i="11"/>
  <c r="AI1351" i="11"/>
  <c r="AH1351" i="11" a="1"/>
  <c r="AE1351" i="11"/>
  <c r="AD1351" i="11" a="1"/>
  <c r="AA1351" i="11"/>
  <c r="Z1351" i="11" a="1"/>
  <c r="W1351" i="11"/>
  <c r="V1351" i="11" a="1"/>
  <c r="U1351" i="11" a="1"/>
  <c r="U1351" i="11" s="1"/>
  <c r="T1351" i="11" a="1"/>
  <c r="T1351" i="11" s="1"/>
  <c r="S1351" i="11"/>
  <c r="Q1351" i="11"/>
  <c r="P1351" i="11"/>
  <c r="N1351" i="11" s="1"/>
  <c r="O1351" i="11" s="1"/>
  <c r="M1351" i="11"/>
  <c r="AQ1350" i="11"/>
  <c r="AP1350" i="11" a="1"/>
  <c r="AM1350" i="11"/>
  <c r="AL1350" i="11" a="1"/>
  <c r="AI1350" i="11"/>
  <c r="AH1350" i="11" a="1"/>
  <c r="AE1350" i="11"/>
  <c r="AA1350" i="11"/>
  <c r="Z1350" i="11" a="1"/>
  <c r="W1350" i="11"/>
  <c r="U1350" i="11" a="1"/>
  <c r="U1350" i="11" s="1"/>
  <c r="T1350" i="11" a="1"/>
  <c r="T1350" i="11" s="1"/>
  <c r="S1350" i="11"/>
  <c r="Q1350" i="11"/>
  <c r="P1350" i="11"/>
  <c r="V1350" i="11" s="1" a="1"/>
  <c r="M1350" i="11"/>
  <c r="AQ1349" i="11"/>
  <c r="AM1349" i="11"/>
  <c r="AI1349" i="11"/>
  <c r="AE1349" i="11"/>
  <c r="AA1349" i="11"/>
  <c r="W1349" i="11"/>
  <c r="U1349" i="11" a="1"/>
  <c r="U1349" i="11" s="1"/>
  <c r="T1349" i="11" a="1"/>
  <c r="T1349" i="11" s="1"/>
  <c r="S1349" i="11"/>
  <c r="Q1349" i="11"/>
  <c r="P1349" i="11"/>
  <c r="N1349" i="11" s="1"/>
  <c r="O1349" i="11" s="1"/>
  <c r="M1349" i="11"/>
  <c r="AQ1348" i="11"/>
  <c r="AM1348" i="11"/>
  <c r="AI1348" i="11"/>
  <c r="AE1348" i="11"/>
  <c r="AA1348" i="11"/>
  <c r="W1348" i="11"/>
  <c r="U1348" i="11" a="1"/>
  <c r="U1348" i="11" s="1"/>
  <c r="T1348" i="11" a="1"/>
  <c r="T1348" i="11" s="1"/>
  <c r="S1348" i="11"/>
  <c r="Q1348" i="11"/>
  <c r="P1348" i="11"/>
  <c r="M1348" i="11"/>
  <c r="AQ1347" i="11"/>
  <c r="AM1347" i="11"/>
  <c r="AI1347" i="11"/>
  <c r="AE1347" i="11"/>
  <c r="AA1347" i="11"/>
  <c r="W1347" i="11"/>
  <c r="U1347" i="11" a="1"/>
  <c r="U1347" i="11" s="1"/>
  <c r="T1347" i="11" a="1"/>
  <c r="T1347" i="11" s="1"/>
  <c r="S1347" i="11"/>
  <c r="Q1347" i="11"/>
  <c r="P1347" i="11"/>
  <c r="N1347" i="11" s="1"/>
  <c r="O1347" i="11" s="1"/>
  <c r="M1347" i="11"/>
  <c r="AQ1346" i="11"/>
  <c r="AP1346" i="11" a="1"/>
  <c r="AM1346" i="11"/>
  <c r="AL1346" i="11" a="1"/>
  <c r="AI1346" i="11"/>
  <c r="AH1346" i="11" a="1"/>
  <c r="AE1346" i="11"/>
  <c r="AA1346" i="11"/>
  <c r="Z1346" i="11" a="1"/>
  <c r="W1346" i="11"/>
  <c r="U1346" i="11" a="1"/>
  <c r="U1346" i="11" s="1"/>
  <c r="T1346" i="11" a="1"/>
  <c r="T1346" i="11" s="1"/>
  <c r="S1346" i="11"/>
  <c r="Q1346" i="11"/>
  <c r="P1346" i="11"/>
  <c r="N1346" i="11" s="1"/>
  <c r="O1346" i="11" s="1"/>
  <c r="M1346" i="11"/>
  <c r="AQ1345" i="11"/>
  <c r="AP1345" i="11" a="1"/>
  <c r="AM1345" i="11"/>
  <c r="AI1345" i="11"/>
  <c r="AE1345" i="11"/>
  <c r="AA1345" i="11"/>
  <c r="W1345" i="11"/>
  <c r="U1345" i="11" a="1"/>
  <c r="U1345" i="11" s="1"/>
  <c r="T1345" i="11" a="1"/>
  <c r="T1345" i="11" s="1"/>
  <c r="S1345" i="11"/>
  <c r="Q1345" i="11"/>
  <c r="P1345" i="11"/>
  <c r="N1345" i="11" s="1"/>
  <c r="O1345" i="11" s="1"/>
  <c r="M1345" i="11"/>
  <c r="AQ1344" i="11"/>
  <c r="AM1344" i="11"/>
  <c r="AL1344" i="11" a="1"/>
  <c r="AI1344" i="11"/>
  <c r="AE1344" i="11"/>
  <c r="AA1344" i="11"/>
  <c r="W1344" i="11"/>
  <c r="V1344" i="11" a="1"/>
  <c r="U1344" i="11" a="1"/>
  <c r="U1344" i="11" s="1"/>
  <c r="T1344" i="11"/>
  <c r="T1344" i="11" a="1"/>
  <c r="S1344" i="11"/>
  <c r="Q1344" i="11"/>
  <c r="P1344" i="11"/>
  <c r="M1344" i="11"/>
  <c r="AQ1343" i="11"/>
  <c r="AM1343" i="11"/>
  <c r="AI1343" i="11"/>
  <c r="AE1343" i="11"/>
  <c r="AD1343" i="11" a="1"/>
  <c r="AA1343" i="11"/>
  <c r="W1343" i="11"/>
  <c r="U1343" i="11" a="1"/>
  <c r="U1343" i="11" s="1"/>
  <c r="T1343" i="11" a="1"/>
  <c r="T1343" i="11" s="1"/>
  <c r="S1343" i="11"/>
  <c r="Q1343" i="11"/>
  <c r="R1343" i="11" s="1"/>
  <c r="P1343" i="11"/>
  <c r="N1343" i="11" s="1"/>
  <c r="O1343" i="11" s="1"/>
  <c r="M1343" i="11"/>
  <c r="AQ1342" i="11"/>
  <c r="AM1342" i="11"/>
  <c r="AI1342" i="11"/>
  <c r="AE1342" i="11"/>
  <c r="AA1342" i="11"/>
  <c r="W1342" i="11"/>
  <c r="U1342" i="11" a="1"/>
  <c r="U1342" i="11" s="1"/>
  <c r="T1342" i="11" a="1"/>
  <c r="T1342" i="11" s="1"/>
  <c r="S1342" i="11"/>
  <c r="Q1342" i="11"/>
  <c r="P1342" i="11"/>
  <c r="Z1342" i="11" s="1" a="1"/>
  <c r="M1342" i="11"/>
  <c r="AQ1341" i="11"/>
  <c r="AP1341" i="11" a="1"/>
  <c r="AM1341" i="11"/>
  <c r="AI1341" i="11"/>
  <c r="AE1341" i="11"/>
  <c r="AA1341" i="11"/>
  <c r="Z1341" i="11" a="1"/>
  <c r="W1341" i="11"/>
  <c r="U1341" i="11" a="1"/>
  <c r="U1341" i="11" s="1"/>
  <c r="T1341" i="11"/>
  <c r="T1341" i="11" a="1"/>
  <c r="S1341" i="11"/>
  <c r="Q1341" i="11"/>
  <c r="P1341" i="11"/>
  <c r="N1341" i="11" s="1"/>
  <c r="O1341" i="11" s="1"/>
  <c r="M1341" i="11"/>
  <c r="AQ1340" i="11"/>
  <c r="AM1340" i="11"/>
  <c r="AI1340" i="11"/>
  <c r="AE1340" i="11"/>
  <c r="AA1340" i="11"/>
  <c r="W1340" i="11"/>
  <c r="U1340" i="11" a="1"/>
  <c r="U1340" i="11" s="1"/>
  <c r="T1340" i="11" a="1"/>
  <c r="T1340" i="11" s="1"/>
  <c r="S1340" i="11"/>
  <c r="Q1340" i="11"/>
  <c r="P1340" i="11"/>
  <c r="M1340" i="11"/>
  <c r="AQ1339" i="11"/>
  <c r="AP1339" i="11" a="1"/>
  <c r="AM1339" i="11"/>
  <c r="AI1339" i="11"/>
  <c r="AH1339" i="11" a="1"/>
  <c r="AE1339" i="11"/>
  <c r="AD1339" i="11" a="1"/>
  <c r="AA1339" i="11"/>
  <c r="Z1339" i="11" a="1"/>
  <c r="W1339" i="11"/>
  <c r="U1339" i="11" a="1"/>
  <c r="U1339" i="11" s="1"/>
  <c r="T1339" i="11" a="1"/>
  <c r="T1339" i="11" s="1"/>
  <c r="S1339" i="11"/>
  <c r="Q1339" i="11"/>
  <c r="P1339" i="11"/>
  <c r="V1339" i="11" s="1" a="1"/>
  <c r="M1339" i="11"/>
  <c r="AQ1338" i="11"/>
  <c r="AP1338" i="11" a="1"/>
  <c r="AM1338" i="11"/>
  <c r="AL1338" i="11" a="1"/>
  <c r="AI1338" i="11"/>
  <c r="AH1338" i="11" a="1"/>
  <c r="AE1338" i="11"/>
  <c r="AD1338" i="11" a="1"/>
  <c r="AA1338" i="11"/>
  <c r="Z1338" i="11" a="1"/>
  <c r="W1338" i="11"/>
  <c r="V1338" i="11" a="1"/>
  <c r="U1338" i="11" a="1"/>
  <c r="U1338" i="11" s="1"/>
  <c r="T1338" i="11"/>
  <c r="T1338" i="11" a="1"/>
  <c r="S1338" i="11"/>
  <c r="Q1338" i="11"/>
  <c r="P1338" i="11"/>
  <c r="M1338" i="11"/>
  <c r="AQ1337" i="11"/>
  <c r="AP1337" i="11" a="1"/>
  <c r="AM1337" i="11"/>
  <c r="AL1337" i="11" a="1"/>
  <c r="AI1337" i="11"/>
  <c r="AH1337" i="11" a="1"/>
  <c r="AE1337" i="11"/>
  <c r="AD1337" i="11" a="1"/>
  <c r="AA1337" i="11"/>
  <c r="Z1337" i="11" a="1"/>
  <c r="W1337" i="11"/>
  <c r="V1337" i="11" a="1"/>
  <c r="U1337" i="11" a="1"/>
  <c r="U1337" i="11" s="1"/>
  <c r="T1337" i="11" a="1"/>
  <c r="T1337" i="11" s="1"/>
  <c r="S1337" i="11"/>
  <c r="Q1337" i="11"/>
  <c r="P1337" i="11"/>
  <c r="M1337" i="11"/>
  <c r="AQ1336" i="11"/>
  <c r="AM1336" i="11"/>
  <c r="AI1336" i="11"/>
  <c r="AH1336" i="11" a="1"/>
  <c r="AE1336" i="11"/>
  <c r="AD1336" i="11" a="1"/>
  <c r="AA1336" i="11"/>
  <c r="W1336" i="11"/>
  <c r="U1336" i="11" a="1"/>
  <c r="U1336" i="11" s="1"/>
  <c r="T1336" i="11" a="1"/>
  <c r="T1336" i="11" s="1"/>
  <c r="S1336" i="11"/>
  <c r="Q1336" i="11"/>
  <c r="P1336" i="11"/>
  <c r="M1336" i="11"/>
  <c r="AQ1335" i="11"/>
  <c r="AM1335" i="11"/>
  <c r="AI1335" i="11"/>
  <c r="AE1335" i="11"/>
  <c r="AA1335" i="11"/>
  <c r="W1335" i="11"/>
  <c r="U1335" i="11" a="1"/>
  <c r="U1335" i="11" s="1"/>
  <c r="T1335" i="11" a="1"/>
  <c r="T1335" i="11" s="1"/>
  <c r="S1335" i="11"/>
  <c r="Q1335" i="11"/>
  <c r="P1335" i="11"/>
  <c r="M1335" i="11"/>
  <c r="AQ1334" i="11"/>
  <c r="AM1334" i="11"/>
  <c r="AL1334" i="11" a="1"/>
  <c r="AI1334" i="11"/>
  <c r="AH1334" i="11" a="1"/>
  <c r="AE1334" i="11"/>
  <c r="AD1334" i="11" a="1"/>
  <c r="AA1334" i="11"/>
  <c r="Z1334" i="11" a="1"/>
  <c r="W1334" i="11"/>
  <c r="U1334" i="11" a="1"/>
  <c r="U1334" i="11" s="1"/>
  <c r="T1334" i="11" a="1"/>
  <c r="T1334" i="11" s="1"/>
  <c r="S1334" i="11"/>
  <c r="Q1334" i="11"/>
  <c r="P1334" i="11"/>
  <c r="M1334" i="11"/>
  <c r="AQ1333" i="11"/>
  <c r="AM1333" i="11"/>
  <c r="AI1333" i="11"/>
  <c r="AE1333" i="11"/>
  <c r="AA1333" i="11"/>
  <c r="Z1333" i="11" a="1"/>
  <c r="W1333" i="11"/>
  <c r="U1333" i="11" a="1"/>
  <c r="U1333" i="11" s="1"/>
  <c r="T1333" i="11" a="1"/>
  <c r="T1333" i="11" s="1"/>
  <c r="S1333" i="11"/>
  <c r="Q1333" i="11"/>
  <c r="P1333" i="11"/>
  <c r="Z1359" i="11" s="1" a="1"/>
  <c r="M1333" i="11"/>
  <c r="AQ1332" i="11"/>
  <c r="AM1332" i="11"/>
  <c r="AI1332" i="11"/>
  <c r="AE1332" i="11"/>
  <c r="AA1332" i="11"/>
  <c r="W1332" i="11"/>
  <c r="U1332" i="11" a="1"/>
  <c r="U1332" i="11" s="1"/>
  <c r="T1332" i="11" a="1"/>
  <c r="T1332" i="11" s="1"/>
  <c r="S1332" i="11"/>
  <c r="Q1332" i="11"/>
  <c r="P1332" i="11"/>
  <c r="N1332" i="11" s="1"/>
  <c r="O1332" i="11" s="1"/>
  <c r="M1332" i="11"/>
  <c r="AQ1331" i="11"/>
  <c r="AM1331" i="11"/>
  <c r="AI1331" i="11"/>
  <c r="AH1331" i="11" a="1"/>
  <c r="AE1331" i="11"/>
  <c r="AD1331" i="11" a="1"/>
  <c r="AA1331" i="11"/>
  <c r="W1331" i="11"/>
  <c r="U1331" i="11"/>
  <c r="U1331" i="11" a="1"/>
  <c r="T1331" i="11" a="1"/>
  <c r="T1331" i="11" s="1"/>
  <c r="S1331" i="11"/>
  <c r="Q1331" i="11"/>
  <c r="P1331" i="11"/>
  <c r="AL1331" i="11" s="1" a="1"/>
  <c r="M1331" i="11"/>
  <c r="AQ1330" i="11"/>
  <c r="AP1330" i="11" a="1"/>
  <c r="AM1330" i="11"/>
  <c r="AL1330" i="11" a="1"/>
  <c r="AI1330" i="11"/>
  <c r="AH1330" i="11" a="1"/>
  <c r="AE1330" i="11"/>
  <c r="AD1330" i="11" a="1"/>
  <c r="AA1330" i="11"/>
  <c r="Z1330" i="11" a="1"/>
  <c r="W1330" i="11"/>
  <c r="V1330" i="11" a="1"/>
  <c r="U1330" i="11" a="1"/>
  <c r="U1330" i="11" s="1"/>
  <c r="T1330" i="11"/>
  <c r="T1330" i="11" a="1"/>
  <c r="S1330" i="11"/>
  <c r="Q1330" i="11"/>
  <c r="P1330" i="11"/>
  <c r="M1330" i="11"/>
  <c r="AQ1329" i="11"/>
  <c r="AM1329" i="11"/>
  <c r="AI1329" i="11"/>
  <c r="AE1329" i="11"/>
  <c r="AD1329" i="11" a="1"/>
  <c r="AA1329" i="11"/>
  <c r="Z1329" i="11" a="1"/>
  <c r="W1329" i="11"/>
  <c r="V1329" i="11" a="1"/>
  <c r="U1329" i="11" a="1"/>
  <c r="U1329" i="11" s="1"/>
  <c r="T1329" i="11"/>
  <c r="T1329" i="11" a="1"/>
  <c r="S1329" i="11"/>
  <c r="Q1329" i="11"/>
  <c r="P1329" i="11"/>
  <c r="M1329" i="11"/>
  <c r="AQ1328" i="11"/>
  <c r="AM1328" i="11"/>
  <c r="AI1328" i="11"/>
  <c r="AE1328" i="11"/>
  <c r="AA1328" i="11"/>
  <c r="W1328" i="11"/>
  <c r="U1328" i="11"/>
  <c r="U1328" i="11" a="1"/>
  <c r="T1328" i="11" a="1"/>
  <c r="T1328" i="11" s="1"/>
  <c r="S1328" i="11"/>
  <c r="Q1328" i="11"/>
  <c r="P1328" i="11"/>
  <c r="AP1328" i="11" s="1" a="1"/>
  <c r="M1328" i="11"/>
  <c r="AQ1327" i="11"/>
  <c r="AP1327" i="11" a="1"/>
  <c r="AM1327" i="11"/>
  <c r="AL1327" i="11" a="1"/>
  <c r="AI1327" i="11"/>
  <c r="AE1327" i="11"/>
  <c r="AA1327" i="11"/>
  <c r="Z1327" i="11" a="1"/>
  <c r="W1327" i="11"/>
  <c r="V1327" i="11" a="1"/>
  <c r="U1327" i="11" a="1"/>
  <c r="U1327" i="11" s="1"/>
  <c r="T1327" i="11" a="1"/>
  <c r="T1327" i="11" s="1"/>
  <c r="S1327" i="11"/>
  <c r="Q1327" i="11"/>
  <c r="P1327" i="11"/>
  <c r="M1327" i="11"/>
  <c r="AQ1326" i="11"/>
  <c r="AM1326" i="11"/>
  <c r="AL1326" i="11" a="1"/>
  <c r="AI1326" i="11"/>
  <c r="AE1326" i="11"/>
  <c r="AD1326" i="11" a="1"/>
  <c r="AA1326" i="11"/>
  <c r="Z1326" i="11" a="1"/>
  <c r="W1326" i="11"/>
  <c r="U1326" i="11" a="1"/>
  <c r="U1326" i="11" s="1"/>
  <c r="T1326" i="11" a="1"/>
  <c r="T1326" i="11" s="1"/>
  <c r="S1326" i="11"/>
  <c r="Q1326" i="11"/>
  <c r="P1326" i="11"/>
  <c r="V1370" i="11" s="1" a="1"/>
  <c r="M1326" i="11"/>
  <c r="AQ1325" i="11"/>
  <c r="AM1325" i="11"/>
  <c r="AI1325" i="11"/>
  <c r="AH1325" i="11" a="1"/>
  <c r="AE1325" i="11"/>
  <c r="AA1325" i="11"/>
  <c r="Z1325" i="11" a="1"/>
  <c r="W1325" i="11"/>
  <c r="U1325" i="11" a="1"/>
  <c r="U1325" i="11" s="1"/>
  <c r="T1325" i="11" a="1"/>
  <c r="T1325" i="11" s="1"/>
  <c r="S1325" i="11"/>
  <c r="Q1325" i="11"/>
  <c r="P1325" i="11"/>
  <c r="V1345" i="11" s="1" a="1"/>
  <c r="M1325" i="11"/>
  <c r="AQ1324" i="11"/>
  <c r="AM1324" i="11"/>
  <c r="AI1324" i="11"/>
  <c r="AH1324" i="11" a="1"/>
  <c r="AE1324" i="11"/>
  <c r="AA1324" i="11"/>
  <c r="W1324" i="11"/>
  <c r="V1324" i="11" a="1"/>
  <c r="U1324" i="11" a="1"/>
  <c r="U1324" i="11" s="1"/>
  <c r="T1324" i="11" a="1"/>
  <c r="T1324" i="11" s="1"/>
  <c r="S1324" i="11"/>
  <c r="Q1324" i="11"/>
  <c r="P1324" i="11"/>
  <c r="M1324" i="11"/>
  <c r="AQ1323" i="11"/>
  <c r="AM1323" i="11"/>
  <c r="AI1323" i="11"/>
  <c r="AE1323" i="11"/>
  <c r="AA1323" i="11"/>
  <c r="W1323" i="11"/>
  <c r="V1323" i="11" a="1"/>
  <c r="U1323" i="11" a="1"/>
  <c r="U1323" i="11" s="1"/>
  <c r="T1323" i="11" a="1"/>
  <c r="T1323" i="11" s="1"/>
  <c r="S1323" i="11"/>
  <c r="Q1323" i="11"/>
  <c r="P1323" i="11"/>
  <c r="N1323" i="11" s="1"/>
  <c r="O1323" i="11" s="1"/>
  <c r="M1323" i="11"/>
  <c r="AQ1322" i="11"/>
  <c r="AP1322" i="11" a="1"/>
  <c r="AM1322" i="11"/>
  <c r="AL1322" i="11" a="1"/>
  <c r="AI1322" i="11"/>
  <c r="AH1322" i="11" a="1"/>
  <c r="AE1322" i="11"/>
  <c r="AD1322" i="11" a="1"/>
  <c r="AA1322" i="11"/>
  <c r="Z1322" i="11" a="1"/>
  <c r="W1322" i="11"/>
  <c r="V1322" i="11" a="1"/>
  <c r="U1322" i="11" a="1"/>
  <c r="U1322" i="11" s="1"/>
  <c r="T1322" i="11" a="1"/>
  <c r="T1322" i="11" s="1"/>
  <c r="S1322" i="11"/>
  <c r="Q1322" i="11"/>
  <c r="P1322" i="11"/>
  <c r="AL1386" i="11" s="1" a="1"/>
  <c r="M1322" i="11"/>
  <c r="AQ1321" i="11"/>
  <c r="AP1321" i="11" a="1"/>
  <c r="AM1321" i="11"/>
  <c r="AL1321" i="11" a="1"/>
  <c r="AI1321" i="11"/>
  <c r="AH1321" i="11" a="1"/>
  <c r="AE1321" i="11"/>
  <c r="AD1321" i="11" a="1"/>
  <c r="AA1321" i="11"/>
  <c r="Z1321" i="11" a="1"/>
  <c r="W1321" i="11"/>
  <c r="V1321" i="11" a="1"/>
  <c r="U1321" i="11" a="1"/>
  <c r="U1321" i="11" s="1"/>
  <c r="T1321" i="11"/>
  <c r="T1321" i="11" a="1"/>
  <c r="S1321" i="11"/>
  <c r="Q1321" i="11"/>
  <c r="P1321" i="11"/>
  <c r="M1321" i="11"/>
  <c r="AQ1320" i="11"/>
  <c r="AM1320" i="11"/>
  <c r="AL1320" i="11" a="1"/>
  <c r="AI1320" i="11"/>
  <c r="AE1320" i="11"/>
  <c r="AD1320" i="11" a="1"/>
  <c r="AA1320" i="11"/>
  <c r="W1320" i="11"/>
  <c r="V1320" i="11" a="1"/>
  <c r="U1320" i="11" a="1"/>
  <c r="U1320" i="11" s="1"/>
  <c r="T1320" i="11" a="1"/>
  <c r="T1320" i="11" s="1"/>
  <c r="S1320" i="11"/>
  <c r="Q1320" i="11"/>
  <c r="P1320" i="11"/>
  <c r="AP1320" i="11" s="1" a="1"/>
  <c r="M1320" i="11"/>
  <c r="AQ1319" i="11"/>
  <c r="AP1319" i="11" a="1"/>
  <c r="AM1319" i="11"/>
  <c r="AL1319" i="11" a="1"/>
  <c r="AI1319" i="11"/>
  <c r="AE1319" i="11"/>
  <c r="AA1319" i="11"/>
  <c r="W1319" i="11"/>
  <c r="U1319" i="11" a="1"/>
  <c r="U1319" i="11" s="1"/>
  <c r="T1319" i="11" a="1"/>
  <c r="T1319" i="11" s="1"/>
  <c r="S1319" i="11"/>
  <c r="Q1319" i="11"/>
  <c r="P1319" i="11"/>
  <c r="Z1357" i="11" s="1" a="1"/>
  <c r="M1319" i="11"/>
  <c r="AQ1318" i="11"/>
  <c r="AM1318" i="11"/>
  <c r="AI1318" i="11"/>
  <c r="AH1318" i="11" a="1"/>
  <c r="AE1318" i="11"/>
  <c r="AD1318" i="11" a="1"/>
  <c r="AA1318" i="11"/>
  <c r="W1318" i="11"/>
  <c r="U1318" i="11" a="1"/>
  <c r="U1318" i="11" s="1"/>
  <c r="T1318" i="11" a="1"/>
  <c r="T1318" i="11" s="1"/>
  <c r="S1318" i="11"/>
  <c r="Q1318" i="11"/>
  <c r="P1318" i="11"/>
  <c r="AL1355" i="11" s="1" a="1"/>
  <c r="M1318" i="11"/>
  <c r="AQ1317" i="11"/>
  <c r="AM1317" i="11"/>
  <c r="AI1317" i="11"/>
  <c r="AE1317" i="11"/>
  <c r="AA1317" i="11"/>
  <c r="W1317" i="11"/>
  <c r="U1317" i="11" a="1"/>
  <c r="U1317" i="11" s="1"/>
  <c r="T1317" i="11" a="1"/>
  <c r="T1317" i="11" s="1"/>
  <c r="S1317" i="11"/>
  <c r="Q1317" i="11"/>
  <c r="P1317" i="11"/>
  <c r="N1317" i="11" s="1"/>
  <c r="O1317" i="11" s="1"/>
  <c r="M1317" i="11"/>
  <c r="AQ1316" i="11"/>
  <c r="AM1316" i="11"/>
  <c r="AI1316" i="11"/>
  <c r="AH1316" i="11" a="1"/>
  <c r="AE1316" i="11"/>
  <c r="AA1316" i="11"/>
  <c r="Z1316" i="11" a="1"/>
  <c r="W1316" i="11"/>
  <c r="V1316" i="11" a="1"/>
  <c r="U1316" i="11" a="1"/>
  <c r="U1316" i="11" s="1"/>
  <c r="T1316" i="11" a="1"/>
  <c r="T1316" i="11" s="1"/>
  <c r="S1316" i="11"/>
  <c r="Q1316" i="11"/>
  <c r="P1316" i="11"/>
  <c r="AP1316" i="11" s="1" a="1"/>
  <c r="M1316" i="11"/>
  <c r="AQ1315" i="11"/>
  <c r="AP1315" i="11" a="1"/>
  <c r="AM1315" i="11"/>
  <c r="AI1315" i="11"/>
  <c r="AH1315" i="11" a="1"/>
  <c r="AE1315" i="11"/>
  <c r="AD1315" i="11" a="1"/>
  <c r="AA1315" i="11"/>
  <c r="Z1315" i="11" a="1"/>
  <c r="W1315" i="11"/>
  <c r="V1315" i="11" a="1"/>
  <c r="U1315" i="11"/>
  <c r="U1315" i="11" a="1"/>
  <c r="T1315" i="11" a="1"/>
  <c r="T1315" i="11" s="1"/>
  <c r="S1315" i="11"/>
  <c r="Q1315" i="11"/>
  <c r="P1315" i="11"/>
  <c r="N1315" i="11"/>
  <c r="O1315" i="11" s="1"/>
  <c r="M1315" i="11"/>
  <c r="AQ1314" i="11"/>
  <c r="AP1314" i="11" a="1"/>
  <c r="AM1314" i="11"/>
  <c r="AL1314" i="11" a="1"/>
  <c r="AI1314" i="11"/>
  <c r="AH1314" i="11" a="1"/>
  <c r="AE1314" i="11"/>
  <c r="AD1314" i="11" a="1"/>
  <c r="AA1314" i="11"/>
  <c r="Z1314" i="11" a="1"/>
  <c r="W1314" i="11"/>
  <c r="V1314" i="11" a="1"/>
  <c r="U1314" i="11" a="1"/>
  <c r="U1314" i="11" s="1"/>
  <c r="T1314" i="11" a="1"/>
  <c r="T1314" i="11" s="1"/>
  <c r="S1314" i="11"/>
  <c r="Q1314" i="11"/>
  <c r="P1314" i="11"/>
  <c r="Z1399" i="11" s="1" a="1"/>
  <c r="M1314" i="11"/>
  <c r="AQ1313" i="11"/>
  <c r="AP1313" i="11" a="1"/>
  <c r="AM1313" i="11"/>
  <c r="AI1313" i="11"/>
  <c r="AH1313" i="11" a="1"/>
  <c r="AE1313" i="11"/>
  <c r="AD1313" i="11" a="1"/>
  <c r="AA1313" i="11"/>
  <c r="Z1313" i="11" a="1"/>
  <c r="W1313" i="11"/>
  <c r="V1313" i="11" a="1"/>
  <c r="U1313" i="11" a="1"/>
  <c r="U1313" i="11" s="1"/>
  <c r="T1313" i="11" a="1"/>
  <c r="T1313" i="11" s="1"/>
  <c r="S1313" i="11"/>
  <c r="Q1313" i="11"/>
  <c r="P1313" i="11"/>
  <c r="V1371" i="11" s="1" a="1"/>
  <c r="M1313" i="11"/>
  <c r="AQ1312" i="11"/>
  <c r="AP1312" i="11" a="1"/>
  <c r="AM1312" i="11"/>
  <c r="AL1312" i="11" a="1"/>
  <c r="AI1312" i="11"/>
  <c r="AH1312" i="11" a="1"/>
  <c r="AE1312" i="11"/>
  <c r="AD1312" i="11" a="1"/>
  <c r="AA1312" i="11"/>
  <c r="W1312" i="11"/>
  <c r="V1312" i="11" a="1"/>
  <c r="U1312" i="11" a="1"/>
  <c r="U1312" i="11" s="1"/>
  <c r="T1312" i="11" a="1"/>
  <c r="T1312" i="11" s="1"/>
  <c r="S1312" i="11"/>
  <c r="Q1312" i="11"/>
  <c r="P1312" i="11"/>
  <c r="M1312" i="11"/>
  <c r="R1413" i="11" l="1"/>
  <c r="R1430" i="11"/>
  <c r="R1440" i="11"/>
  <c r="R1456" i="11"/>
  <c r="R1458" i="11"/>
  <c r="R1460" i="11"/>
  <c r="R1500" i="11"/>
  <c r="R1501" i="11"/>
  <c r="R1536" i="11"/>
  <c r="R1346" i="11"/>
  <c r="R1351" i="11"/>
  <c r="R1388" i="11"/>
  <c r="R1330" i="11"/>
  <c r="N1339" i="11"/>
  <c r="O1339" i="11" s="1"/>
  <c r="R1400" i="11"/>
  <c r="R1520" i="11"/>
  <c r="R1457" i="11"/>
  <c r="R1470" i="11"/>
  <c r="R1480" i="11"/>
  <c r="R1483" i="11"/>
  <c r="R1491" i="11"/>
  <c r="R1499" i="11"/>
  <c r="R1523" i="11"/>
  <c r="R1533" i="11"/>
  <c r="R1537" i="11"/>
  <c r="R1538" i="11"/>
  <c r="R1540" i="11"/>
  <c r="R1318" i="11"/>
  <c r="R1322" i="11"/>
  <c r="R1326" i="11"/>
  <c r="R1345" i="11"/>
  <c r="R1352" i="11"/>
  <c r="R1353" i="11"/>
  <c r="R1358" i="11"/>
  <c r="R1312" i="11"/>
  <c r="N1333" i="11"/>
  <c r="O1333" i="11" s="1"/>
  <c r="R1339" i="11"/>
  <c r="R1368" i="11"/>
  <c r="R1378" i="11"/>
  <c r="R1390" i="11"/>
  <c r="R1445" i="11"/>
  <c r="R1451" i="11"/>
  <c r="R1468" i="11"/>
  <c r="R1469" i="11"/>
  <c r="R1471" i="11"/>
  <c r="R1505" i="11"/>
  <c r="R1509" i="11"/>
  <c r="R1515" i="11"/>
  <c r="R1521" i="11"/>
  <c r="R1529" i="11"/>
  <c r="R1531" i="11"/>
  <c r="R1541" i="11"/>
  <c r="N1313" i="11"/>
  <c r="O1313" i="11" s="1"/>
  <c r="R1530" i="11"/>
  <c r="R1548" i="11"/>
  <c r="R1314" i="11"/>
  <c r="N1312" i="11"/>
  <c r="O1312" i="11" s="1"/>
  <c r="R1315" i="11"/>
  <c r="N1316" i="11"/>
  <c r="O1316" i="11" s="1"/>
  <c r="N1321" i="11"/>
  <c r="O1321" i="11" s="1"/>
  <c r="N1329" i="11"/>
  <c r="O1329" i="11" s="1"/>
  <c r="AP1336" i="11" a="1"/>
  <c r="N1336" i="11"/>
  <c r="O1336" i="11" s="1"/>
  <c r="N1337" i="11"/>
  <c r="O1337" i="11" s="1"/>
  <c r="R1321" i="11"/>
  <c r="R1327" i="11"/>
  <c r="R1347" i="11"/>
  <c r="R1355" i="11"/>
  <c r="R1370" i="11"/>
  <c r="N1370" i="11"/>
  <c r="O1370" i="11" s="1"/>
  <c r="N1371" i="11"/>
  <c r="O1371" i="11" s="1"/>
  <c r="R1371" i="11"/>
  <c r="V1385" i="11" a="1"/>
  <c r="N1324" i="11"/>
  <c r="O1324" i="11" s="1"/>
  <c r="R1329" i="11"/>
  <c r="R1337" i="11"/>
  <c r="R1313" i="11"/>
  <c r="N1314" i="11"/>
  <c r="O1314" i="11" s="1"/>
  <c r="N1322" i="11"/>
  <c r="O1322" i="11" s="1"/>
  <c r="N1330" i="11"/>
  <c r="O1330" i="11" s="1"/>
  <c r="N1335" i="11"/>
  <c r="O1335" i="11" s="1"/>
  <c r="R1335" i="11"/>
  <c r="N1338" i="11"/>
  <c r="O1338" i="11" s="1"/>
  <c r="R1363" i="11"/>
  <c r="R1436" i="11"/>
  <c r="N1436" i="11"/>
  <c r="O1436" i="11" s="1"/>
  <c r="R1472" i="11"/>
  <c r="N1472" i="11"/>
  <c r="O1472" i="11" s="1"/>
  <c r="R1490" i="11"/>
  <c r="N1490" i="11"/>
  <c r="O1490" i="11" s="1"/>
  <c r="R1338" i="11"/>
  <c r="R1398" i="11"/>
  <c r="N1399" i="11"/>
  <c r="O1399" i="11" s="1"/>
  <c r="R1399" i="11"/>
  <c r="R1459" i="11"/>
  <c r="R1477" i="11"/>
  <c r="N1477" i="11"/>
  <c r="O1477" i="11" s="1"/>
  <c r="R1478" i="11"/>
  <c r="N1478" i="11"/>
  <c r="O1478" i="11" s="1"/>
  <c r="R1391" i="11"/>
  <c r="R1432" i="11"/>
  <c r="N1432" i="11"/>
  <c r="O1432" i="11" s="1"/>
  <c r="R1441" i="11"/>
  <c r="R1504" i="11"/>
  <c r="N1504" i="11"/>
  <c r="O1504" i="11" s="1"/>
  <c r="N1352" i="11"/>
  <c r="O1352" i="11" s="1"/>
  <c r="R1354" i="11"/>
  <c r="R1359" i="11"/>
  <c r="N1389" i="11"/>
  <c r="O1389" i="11" s="1"/>
  <c r="R1394" i="11"/>
  <c r="N1400" i="11"/>
  <c r="O1400" i="11" s="1"/>
  <c r="R1426" i="11"/>
  <c r="N1426" i="11"/>
  <c r="O1426" i="11" s="1"/>
  <c r="R1446" i="11"/>
  <c r="N1446" i="11"/>
  <c r="O1446" i="11" s="1"/>
  <c r="R1448" i="11"/>
  <c r="N1448" i="11"/>
  <c r="O1448" i="11" s="1"/>
  <c r="R1498" i="11"/>
  <c r="R1514" i="11"/>
  <c r="N1514" i="11"/>
  <c r="O1514" i="11" s="1"/>
  <c r="R1549" i="11"/>
  <c r="N1549" i="11"/>
  <c r="O1549" i="11" s="1"/>
  <c r="R1384" i="11"/>
  <c r="R1386" i="11"/>
  <c r="R1476" i="11"/>
  <c r="R1482" i="11"/>
  <c r="R1507" i="11"/>
  <c r="R1539" i="11"/>
  <c r="V1328" i="11" a="1"/>
  <c r="V1331" i="11" a="1"/>
  <c r="Z1335" i="11" a="1"/>
  <c r="AP1335" i="11" a="1"/>
  <c r="V1336" i="11" a="1"/>
  <c r="AP1522" i="11" a="1"/>
  <c r="V1522" i="11" a="1"/>
  <c r="Z1522" i="11" a="1"/>
  <c r="Z1503" i="11" a="1"/>
  <c r="AL1503" i="11" a="1"/>
  <c r="V1503" i="11" a="1"/>
  <c r="AL1522" i="11" a="1"/>
  <c r="AH1503" i="11" a="1"/>
  <c r="AD1522" i="11" a="1"/>
  <c r="AL1485" i="11" a="1"/>
  <c r="V1485" i="11" a="1"/>
  <c r="AP1476" i="11" a="1"/>
  <c r="Z1476" i="11" a="1"/>
  <c r="AP1485" i="11" a="1"/>
  <c r="AL1476" i="11" a="1"/>
  <c r="AH1485" i="11" a="1"/>
  <c r="AH1476" i="11" a="1"/>
  <c r="Z1485" i="11" a="1"/>
  <c r="AD1476" i="11" a="1"/>
  <c r="AP1394" i="11" a="1"/>
  <c r="AL1394" i="11" a="1"/>
  <c r="V1394" i="11" a="1"/>
  <c r="AD1394" i="11" a="1"/>
  <c r="AH1362" i="11" a="1"/>
  <c r="AH1394" i="11" a="1"/>
  <c r="AP1377" i="11" a="1"/>
  <c r="AP1402" i="11" a="1"/>
  <c r="AD1341" i="11" a="1"/>
  <c r="R1341" i="11"/>
  <c r="AH1402" i="11" a="1"/>
  <c r="Z1362" i="11" a="1"/>
  <c r="AL1341" i="11" a="1"/>
  <c r="AP1362" i="11" a="1"/>
  <c r="V1402" i="11" a="1"/>
  <c r="V1362" i="11" a="1"/>
  <c r="V1341" i="11" a="1"/>
  <c r="AL1362" i="11" a="1"/>
  <c r="N1344" i="11"/>
  <c r="O1344" i="11" s="1"/>
  <c r="Z1344" i="11" a="1"/>
  <c r="AD1344" i="11" a="1"/>
  <c r="AD1347" i="11" a="1"/>
  <c r="AL1358" i="11" a="1"/>
  <c r="AH1370" i="11" a="1"/>
  <c r="AL1504" i="11" a="1"/>
  <c r="AL1313" i="11" a="1"/>
  <c r="R1319" i="11"/>
  <c r="Z1323" i="11" a="1"/>
  <c r="V1334" i="11" a="1"/>
  <c r="AP1334" i="11" a="1"/>
  <c r="N1334" i="11"/>
  <c r="O1334" i="11" s="1"/>
  <c r="AL1336" i="11" a="1"/>
  <c r="N1340" i="11"/>
  <c r="O1340" i="11" s="1"/>
  <c r="AL1340" i="11" a="1"/>
  <c r="AD1340" i="11" a="1"/>
  <c r="R1340" i="11"/>
  <c r="AH1340" i="11" a="1"/>
  <c r="AH1342" i="11" a="1"/>
  <c r="N1348" i="11"/>
  <c r="O1348" i="11" s="1"/>
  <c r="AL1348" i="11" a="1"/>
  <c r="AD1348" i="11" a="1"/>
  <c r="R1348" i="11"/>
  <c r="AH1348" i="11" a="1"/>
  <c r="AH1349" i="11" a="1"/>
  <c r="Z1353" i="11" a="1"/>
  <c r="AP1531" i="11" a="1"/>
  <c r="V1531" i="11" a="1"/>
  <c r="AP1538" i="11" a="1"/>
  <c r="AH1531" i="11" a="1"/>
  <c r="AD1531" i="11" a="1"/>
  <c r="V1509" i="11" a="1"/>
  <c r="Z1538" i="11" a="1"/>
  <c r="AL1531" i="11" a="1"/>
  <c r="AH1509" i="11" a="1"/>
  <c r="AD1509" i="11" a="1"/>
  <c r="AD1484" i="11" a="1"/>
  <c r="AP1448" i="11" a="1"/>
  <c r="AD1459" i="11" a="1"/>
  <c r="AL1448" i="11" a="1"/>
  <c r="V1448" i="11" a="1"/>
  <c r="Z1459" i="11" a="1"/>
  <c r="AP1459" i="11" a="1"/>
  <c r="AH1448" i="11" a="1"/>
  <c r="Z1448" i="11" a="1"/>
  <c r="V1459" i="11" a="1"/>
  <c r="AL1459" i="11" a="1"/>
  <c r="V1426" i="11" a="1"/>
  <c r="Z1408" i="11" a="1"/>
  <c r="AD1448" i="11" a="1"/>
  <c r="AP1408" i="11" a="1"/>
  <c r="V1408" i="11" a="1"/>
  <c r="AP1426" i="11" a="1"/>
  <c r="Z1426" i="11" a="1"/>
  <c r="AD1408" i="11" a="1"/>
  <c r="Z1312" i="11" a="1"/>
  <c r="Z1534" i="11" a="1"/>
  <c r="V1534" i="11" a="1"/>
  <c r="AP1534" i="11" a="1"/>
  <c r="V1512" i="11" a="1"/>
  <c r="Z1512" i="11" a="1"/>
  <c r="AP1512" i="11" a="1"/>
  <c r="AL1512" i="11" a="1"/>
  <c r="AH1512" i="11" a="1"/>
  <c r="Z1470" i="11" a="1"/>
  <c r="V1470" i="11" a="1"/>
  <c r="V1480" i="11" a="1"/>
  <c r="AD1470" i="11" a="1"/>
  <c r="AP1470" i="11" a="1"/>
  <c r="AL1470" i="11" a="1"/>
  <c r="AH1470" i="11" a="1"/>
  <c r="AD1447" i="11" a="1"/>
  <c r="AL1413" i="11" a="1"/>
  <c r="AD1413" i="11" a="1"/>
  <c r="AP1413" i="11" a="1"/>
  <c r="AH1413" i="11" a="1"/>
  <c r="AL1427" i="11" a="1"/>
  <c r="Z1413" i="11" a="1"/>
  <c r="V1427" i="11" a="1"/>
  <c r="V1413" i="11" a="1"/>
  <c r="AD1346" i="11" a="1"/>
  <c r="V1346" i="11" a="1"/>
  <c r="AL1315" i="11" a="1"/>
  <c r="AP1323" i="11" a="1"/>
  <c r="AL1325" i="11" a="1"/>
  <c r="AH1326" i="11" a="1"/>
  <c r="AH1507" i="11" a="1"/>
  <c r="AD1507" i="11" a="1"/>
  <c r="V1507" i="11" a="1"/>
  <c r="AP1507" i="11" a="1"/>
  <c r="AL1507" i="11" a="1"/>
  <c r="AD1486" i="11" a="1"/>
  <c r="AP1455" i="11" a="1"/>
  <c r="AL1455" i="11" a="1"/>
  <c r="AH1455" i="11" a="1"/>
  <c r="Z1455" i="11" a="1"/>
  <c r="AH1449" i="11" a="1"/>
  <c r="Z1449" i="11" a="1"/>
  <c r="AH1431" i="11" a="1"/>
  <c r="AD1431" i="11" a="1"/>
  <c r="AP1431" i="11" a="1"/>
  <c r="AP1449" i="11" a="1"/>
  <c r="Z1431" i="11" a="1"/>
  <c r="Z1418" i="11" a="1"/>
  <c r="AL1418" i="11" a="1"/>
  <c r="AL1400" i="11" a="1"/>
  <c r="V1400" i="11" a="1"/>
  <c r="V1418" i="11" a="1"/>
  <c r="AD1400" i="11" a="1"/>
  <c r="Z1400" i="11" a="1"/>
  <c r="AP1376" i="11" a="1"/>
  <c r="V1376" i="11" a="1"/>
  <c r="N1327" i="11"/>
  <c r="O1327" i="11" s="1"/>
  <c r="AH1327" i="11" a="1"/>
  <c r="AD1327" i="11" a="1"/>
  <c r="AL1328" i="11" a="1"/>
  <c r="AH1333" i="11" a="1"/>
  <c r="AH1341" i="11" a="1"/>
  <c r="R1344" i="11"/>
  <c r="V1347" i="11" a="1"/>
  <c r="AD1385" i="11" a="1"/>
  <c r="Z1317" i="11" a="1"/>
  <c r="AL1318" i="11" a="1"/>
  <c r="N1320" i="11"/>
  <c r="O1320" i="11" s="1"/>
  <c r="AH1329" i="11" a="1"/>
  <c r="V1332" i="11" a="1"/>
  <c r="R1334" i="11"/>
  <c r="AD1335" i="11" a="1"/>
  <c r="Z1354" i="11" a="1"/>
  <c r="AP1317" i="11" a="1"/>
  <c r="Z1324" i="11" a="1"/>
  <c r="Z1331" i="11" a="1"/>
  <c r="AL1342" i="11" a="1"/>
  <c r="AH1344" i="11" a="1"/>
  <c r="AH1347" i="11" a="1"/>
  <c r="AL1353" i="11" a="1"/>
  <c r="AD1369" i="11" a="1"/>
  <c r="Z1377" i="11" a="1"/>
  <c r="AP1544" i="11" a="1"/>
  <c r="V1523" i="11" a="1"/>
  <c r="AP1523" i="11" a="1"/>
  <c r="AL1523" i="11" a="1"/>
  <c r="AP1504" i="11" a="1"/>
  <c r="AH1523" i="11" a="1"/>
  <c r="AH1504" i="11" a="1"/>
  <c r="AD1523" i="11" a="1"/>
  <c r="AD1482" i="11" a="1"/>
  <c r="Z1504" i="11" a="1"/>
  <c r="AL1482" i="11" a="1"/>
  <c r="AH1482" i="11" a="1"/>
  <c r="Z1482" i="11" a="1"/>
  <c r="V1473" i="11" a="1"/>
  <c r="AL1473" i="11" a="1"/>
  <c r="AP1482" i="11" a="1"/>
  <c r="AP1454" i="11" a="1"/>
  <c r="V1454" i="11" a="1"/>
  <c r="AL1446" i="11" a="1"/>
  <c r="AH1432" i="11" a="1"/>
  <c r="AD1432" i="11" a="1"/>
  <c r="Z1432" i="11" a="1"/>
  <c r="AP1432" i="11" a="1"/>
  <c r="V1432" i="11" a="1"/>
  <c r="AL1432" i="11" a="1"/>
  <c r="AP1446" i="11" a="1"/>
  <c r="AL1378" i="11" a="1"/>
  <c r="AH1415" i="11" a="1"/>
  <c r="AD1378" i="11" a="1"/>
  <c r="Z1407" i="11" a="1"/>
  <c r="Z1378" i="11" a="1"/>
  <c r="V1378" i="11" a="1"/>
  <c r="AP1378" i="11" a="1"/>
  <c r="Z1320" i="11" a="1"/>
  <c r="AH1378" i="11" a="1"/>
  <c r="AD1492" i="11" a="1"/>
  <c r="AP1492" i="11" a="1"/>
  <c r="V1492" i="11" a="1"/>
  <c r="AH1492" i="11" a="1"/>
  <c r="Z1492" i="11" a="1"/>
  <c r="AH1472" i="11" a="1"/>
  <c r="AD1472" i="11" a="1"/>
  <c r="V1461" i="11" a="1"/>
  <c r="AD1428" i="11" a="1"/>
  <c r="AD1453" i="11" a="1"/>
  <c r="Z1428" i="11" a="1"/>
  <c r="AD1388" i="11" a="1"/>
  <c r="AL1390" i="11" a="1"/>
  <c r="AP1388" i="11" a="1"/>
  <c r="AH1390" i="11" a="1"/>
  <c r="AD1390" i="11" a="1"/>
  <c r="AP1390" i="11" a="1"/>
  <c r="AL1323" i="11" a="1"/>
  <c r="Z1390" i="11" a="1"/>
  <c r="AP1324" i="11" a="1"/>
  <c r="AP1331" i="11" a="1"/>
  <c r="AL1333" i="11" a="1"/>
  <c r="AL1343" i="11" a="1"/>
  <c r="AD1359" i="11" a="1"/>
  <c r="AD1364" i="11" a="1"/>
  <c r="AH1379" i="11" a="1"/>
  <c r="AH1406" i="11" a="1"/>
  <c r="V1319" i="11" a="1"/>
  <c r="AD1323" i="11" a="1"/>
  <c r="N1328" i="11"/>
  <c r="O1328" i="11" s="1"/>
  <c r="AH1345" i="11" a="1"/>
  <c r="Z1356" i="11" a="1"/>
  <c r="AL1357" i="11" a="1"/>
  <c r="AP1359" i="11" a="1"/>
  <c r="AH1360" i="11" a="1"/>
  <c r="AH1361" i="11" a="1"/>
  <c r="AD1362" i="11" a="1"/>
  <c r="AD1363" i="11" a="1"/>
  <c r="AP1548" i="11" a="1"/>
  <c r="V1548" i="11" a="1"/>
  <c r="AP1543" i="11" a="1"/>
  <c r="AL1548" i="11" a="1"/>
  <c r="AL1526" i="11" a="1"/>
  <c r="AD1548" i="11" a="1"/>
  <c r="Z1548" i="11" a="1"/>
  <c r="AP1526" i="11" a="1"/>
  <c r="V1526" i="11" a="1"/>
  <c r="V1517" i="11" a="1"/>
  <c r="AL1543" i="11" a="1"/>
  <c r="Z1526" i="11" a="1"/>
  <c r="AH1517" i="11" a="1"/>
  <c r="AH1520" i="11" a="1"/>
  <c r="AL1498" i="11" a="1"/>
  <c r="Z1517" i="11" a="1"/>
  <c r="AD1520" i="11" a="1"/>
  <c r="V1498" i="11" a="1"/>
  <c r="AL1483" i="11" a="1"/>
  <c r="AH1498" i="11" a="1"/>
  <c r="AD1498" i="11" a="1"/>
  <c r="Z1498" i="11" a="1"/>
  <c r="AD1483" i="11" a="1"/>
  <c r="AP1498" i="11" a="1"/>
  <c r="AD1474" i="11" a="1"/>
  <c r="AP1457" i="11" a="1"/>
  <c r="AH1474" i="11" a="1"/>
  <c r="V1483" i="11" a="1"/>
  <c r="Z1474" i="11" a="1"/>
  <c r="AH1457" i="11" a="1"/>
  <c r="AD1442" i="11" a="1"/>
  <c r="Z1435" i="11" a="1"/>
  <c r="AL1457" i="11" a="1"/>
  <c r="AL1435" i="11" a="1"/>
  <c r="V1435" i="11" a="1"/>
  <c r="V1442" i="11" a="1"/>
  <c r="Z1457" i="11" a="1"/>
  <c r="AH1435" i="11" a="1"/>
  <c r="AH1424" i="11" a="1"/>
  <c r="V1457" i="11" a="1"/>
  <c r="AH1442" i="11" a="1"/>
  <c r="Z1442" i="11" a="1"/>
  <c r="AP1435" i="11" a="1"/>
  <c r="AL1420" i="11" a="1"/>
  <c r="V1404" i="11" a="1"/>
  <c r="AL1404" i="11" a="1"/>
  <c r="AH1404" i="11" a="1"/>
  <c r="AP1393" i="11" a="1"/>
  <c r="Z1393" i="11" a="1"/>
  <c r="AP1358" i="11" a="1"/>
  <c r="AH1383" i="11" a="1"/>
  <c r="AL1316" i="11" a="1"/>
  <c r="AD1383" i="11" a="1"/>
  <c r="AP1383" i="11" a="1"/>
  <c r="V1383" i="11" a="1"/>
  <c r="AD1358" i="11" a="1"/>
  <c r="AL1383" i="11" a="1"/>
  <c r="AD1316" i="11" a="1"/>
  <c r="R1316" i="11"/>
  <c r="AH1393" i="11" a="1"/>
  <c r="Z1318" i="11" a="1"/>
  <c r="R1320" i="11"/>
  <c r="R1323" i="11"/>
  <c r="AP1325" i="11" a="1"/>
  <c r="AL1329" i="11" a="1"/>
  <c r="N1331" i="11"/>
  <c r="O1331" i="11" s="1"/>
  <c r="Z1332" i="11" a="1"/>
  <c r="V1340" i="11" a="1"/>
  <c r="V1348" i="11" a="1"/>
  <c r="AP1349" i="11" a="1"/>
  <c r="AD1354" i="11" a="1"/>
  <c r="V1357" i="11" a="1"/>
  <c r="AH1357" i="11" a="1"/>
  <c r="N1357" i="11"/>
  <c r="O1357" i="11" s="1"/>
  <c r="R1357" i="11"/>
  <c r="AH1365" i="11" a="1"/>
  <c r="Z1328" i="11" a="1"/>
  <c r="AP1332" i="11" a="1"/>
  <c r="Z1336" i="11" a="1"/>
  <c r="Z1349" i="11" a="1"/>
  <c r="AL1352" i="11" a="1"/>
  <c r="AL1360" i="11" a="1"/>
  <c r="V1515" i="11" a="1"/>
  <c r="AD1515" i="11" a="1"/>
  <c r="AH1515" i="11" a="1"/>
  <c r="AL1495" i="11" a="1"/>
  <c r="AL1530" i="11" a="1"/>
  <c r="V1495" i="11" a="1"/>
  <c r="AP1515" i="11" a="1"/>
  <c r="AL1515" i="11" a="1"/>
  <c r="Z1495" i="11" a="1"/>
  <c r="AH1495" i="11" a="1"/>
  <c r="Z1468" i="11" a="1"/>
  <c r="AP1495" i="11" a="1"/>
  <c r="AP1468" i="11" a="1"/>
  <c r="V1468" i="11" a="1"/>
  <c r="AL1468" i="11" a="1"/>
  <c r="AH1468" i="11" a="1"/>
  <c r="AD1468" i="11" a="1"/>
  <c r="AH1363" i="11" a="1"/>
  <c r="AD1317" i="11" a="1"/>
  <c r="R1317" i="11"/>
  <c r="AD1380" i="11" a="1"/>
  <c r="AL1363" i="11" a="1"/>
  <c r="V1363" i="11" a="1"/>
  <c r="AP1405" i="11" a="1"/>
  <c r="V1317" i="11" a="1"/>
  <c r="V1380" i="11" a="1"/>
  <c r="AD1328" i="11" a="1"/>
  <c r="AP1343" i="11" a="1"/>
  <c r="V1353" i="11" a="1"/>
  <c r="AD1356" i="11" a="1"/>
  <c r="AP1357" i="11" a="1"/>
  <c r="AH1381" i="11" a="1"/>
  <c r="AH1323" i="11" a="1"/>
  <c r="AP1465" i="11" a="1"/>
  <c r="AL1465" i="11" a="1"/>
  <c r="V1465" i="11" a="1"/>
  <c r="Z1465" i="11" a="1"/>
  <c r="AH1465" i="11" a="1"/>
  <c r="AL1410" i="11" a="1"/>
  <c r="AH1410" i="11" a="1"/>
  <c r="V1410" i="11" a="1"/>
  <c r="AL1324" i="11" a="1"/>
  <c r="AD1324" i="11" a="1"/>
  <c r="R1324" i="11"/>
  <c r="N1325" i="11"/>
  <c r="O1325" i="11" s="1"/>
  <c r="R1328" i="11"/>
  <c r="R1331" i="11"/>
  <c r="AP1333" i="11" a="1"/>
  <c r="R1336" i="11"/>
  <c r="AP1340" i="11" a="1"/>
  <c r="Z1343" i="11" a="1"/>
  <c r="AP1347" i="11" a="1"/>
  <c r="AP1348" i="11" a="1"/>
  <c r="Z1358" i="11" a="1"/>
  <c r="AP1360" i="11" a="1"/>
  <c r="Z1369" i="11" a="1"/>
  <c r="AL1375" i="11" a="1"/>
  <c r="AL1540" i="11" a="1"/>
  <c r="AD1536" i="11" a="1"/>
  <c r="AD1540" i="11" a="1"/>
  <c r="Z1536" i="11" a="1"/>
  <c r="AP1536" i="11" a="1"/>
  <c r="AP1540" i="11" a="1"/>
  <c r="V1500" i="11" a="1"/>
  <c r="AH1536" i="11" a="1"/>
  <c r="Z1540" i="11" a="1"/>
  <c r="V1505" i="11" a="1"/>
  <c r="AL1505" i="11" a="1"/>
  <c r="AH1500" i="11" a="1"/>
  <c r="V1540" i="11" a="1"/>
  <c r="AH1505" i="11" a="1"/>
  <c r="AD1500" i="11" a="1"/>
  <c r="AP1500" i="11" a="1"/>
  <c r="Z1500" i="11" a="1"/>
  <c r="Z1505" i="11" a="1"/>
  <c r="AL1500" i="11" a="1"/>
  <c r="Z1494" i="11" a="1"/>
  <c r="AP1494" i="11" a="1"/>
  <c r="Z1479" i="11" a="1"/>
  <c r="V1479" i="11" a="1"/>
  <c r="AD1494" i="11" a="1"/>
  <c r="AD1479" i="11" a="1"/>
  <c r="AP1464" i="11" a="1"/>
  <c r="AH1464" i="11" a="1"/>
  <c r="AD1464" i="11" a="1"/>
  <c r="AH1430" i="11" a="1"/>
  <c r="AD1430" i="11" a="1"/>
  <c r="Z1430" i="11" a="1"/>
  <c r="AL1430" i="11" a="1"/>
  <c r="V1411" i="11" a="1"/>
  <c r="V1430" i="11" a="1"/>
  <c r="Z1411" i="11" a="1"/>
  <c r="AH1384" i="11" a="1"/>
  <c r="V1318" i="11" a="1"/>
  <c r="AD1384" i="11" a="1"/>
  <c r="AH1355" i="11" a="1"/>
  <c r="AP1318" i="11" a="1"/>
  <c r="V1384" i="11" a="1"/>
  <c r="N1318" i="11"/>
  <c r="O1318" i="11" s="1"/>
  <c r="AP1355" i="11" a="1"/>
  <c r="Z1319" i="11" a="1"/>
  <c r="AH1320" i="11" a="1"/>
  <c r="AP1329" i="11" a="1"/>
  <c r="V1335" i="11" a="1"/>
  <c r="Z1340" i="11" a="1"/>
  <c r="Z1348" i="11" a="1"/>
  <c r="AP1352" i="11" a="1"/>
  <c r="AH1317" i="11" a="1"/>
  <c r="AP1539" i="11" a="1"/>
  <c r="AL1545" i="11" a="1"/>
  <c r="V1545" i="11" a="1"/>
  <c r="AL1539" i="11" a="1"/>
  <c r="V1539" i="11" a="1"/>
  <c r="AH1545" i="11" a="1"/>
  <c r="AH1539" i="11" a="1"/>
  <c r="AD1539" i="11" a="1"/>
  <c r="Z1545" i="11" a="1"/>
  <c r="AD1501" i="11" a="1"/>
  <c r="Z1501" i="11" a="1"/>
  <c r="V1501" i="11" a="1"/>
  <c r="AH1528" i="11" a="1"/>
  <c r="AH1501" i="11" a="1"/>
  <c r="AD1460" i="11" a="1"/>
  <c r="AL1488" i="11" a="1"/>
  <c r="AL1460" i="11" a="1"/>
  <c r="AH1460" i="11" a="1"/>
  <c r="V1460" i="11" a="1"/>
  <c r="AP1460" i="11" a="1"/>
  <c r="AL1444" i="11" a="1"/>
  <c r="AH1444" i="11" a="1"/>
  <c r="AP1444" i="11" a="1"/>
  <c r="V1444" i="11" a="1"/>
  <c r="AP1398" i="11" a="1"/>
  <c r="Z1398" i="11" a="1"/>
  <c r="AL1398" i="11" a="1"/>
  <c r="AH1398" i="11" a="1"/>
  <c r="V1360" i="11" a="1"/>
  <c r="AL1345" i="11" a="1"/>
  <c r="AD1325" i="11" a="1"/>
  <c r="R1325" i="11"/>
  <c r="AD1398" i="11" a="1"/>
  <c r="AD1345" i="11" a="1"/>
  <c r="AP1406" i="11" a="1"/>
  <c r="V1325" i="11" a="1"/>
  <c r="AL1335" i="11" a="1"/>
  <c r="AP1344" i="11" a="1"/>
  <c r="AH1354" i="11" a="1"/>
  <c r="AP1354" i="11" a="1"/>
  <c r="V1354" i="11" a="1"/>
  <c r="AL1354" i="11" a="1"/>
  <c r="AD1361" i="11" a="1"/>
  <c r="AD1379" i="11" a="1"/>
  <c r="Z1380" i="11" a="1"/>
  <c r="AL1332" i="11" a="1"/>
  <c r="AD1332" i="11" a="1"/>
  <c r="R1332" i="11"/>
  <c r="Z1347" i="11" a="1"/>
  <c r="AH1358" i="11" a="1"/>
  <c r="AD1366" i="11" a="1"/>
  <c r="AP1404" i="11" a="1"/>
  <c r="AD1541" i="11" a="1"/>
  <c r="AH1541" i="11" a="1"/>
  <c r="V1541" i="11" a="1"/>
  <c r="AD1527" i="11" a="1"/>
  <c r="AP1527" i="11" a="1"/>
  <c r="Z1477" i="11" a="1"/>
  <c r="AL1477" i="11" a="1"/>
  <c r="V1477" i="11" a="1"/>
  <c r="AD1469" i="11" a="1"/>
  <c r="AH1477" i="11" a="1"/>
  <c r="AD1477" i="11" a="1"/>
  <c r="V1469" i="11" a="1"/>
  <c r="AL1469" i="11" a="1"/>
  <c r="AH1469" i="11" a="1"/>
  <c r="AL1445" i="11" a="1"/>
  <c r="AH1445" i="11" a="1"/>
  <c r="Z1439" i="11" a="1"/>
  <c r="AD1445" i="11" a="1"/>
  <c r="AP1439" i="11" a="1"/>
  <c r="AL1439" i="11" a="1"/>
  <c r="V1445" i="11" a="1"/>
  <c r="AH1439" i="11" a="1"/>
  <c r="AP1423" i="11" a="1"/>
  <c r="Z1423" i="11" a="1"/>
  <c r="V1423" i="11" a="1"/>
  <c r="V1414" i="11" a="1"/>
  <c r="AP1445" i="11" a="1"/>
  <c r="AL1423" i="11" a="1"/>
  <c r="AH1423" i="11" a="1"/>
  <c r="AH1414" i="11" a="1"/>
  <c r="AH1392" i="11" a="1"/>
  <c r="AL1370" i="11" a="1"/>
  <c r="V1326" i="11" a="1"/>
  <c r="AD1375" i="11" a="1"/>
  <c r="AP1401" i="11" a="1"/>
  <c r="AP1365" i="11" a="1"/>
  <c r="Z1375" i="11" a="1"/>
  <c r="AD1370" i="11" a="1"/>
  <c r="AP1326" i="11" a="1"/>
  <c r="Z1370" i="11" a="1"/>
  <c r="AP1370" i="11" a="1"/>
  <c r="N1326" i="11"/>
  <c r="O1326" i="11" s="1"/>
  <c r="AH1328" i="11" a="1"/>
  <c r="AP1356" i="11" a="1"/>
  <c r="R1356" i="11"/>
  <c r="N1356" i="11"/>
  <c r="O1356" i="11" s="1"/>
  <c r="AL1356" i="11" a="1"/>
  <c r="V1356" i="11" a="1"/>
  <c r="AL1364" i="11" a="1"/>
  <c r="AH1364" i="11" a="1"/>
  <c r="V1364" i="11" a="1"/>
  <c r="R1364" i="11"/>
  <c r="Z1364" i="11" a="1"/>
  <c r="AP1364" i="11" a="1"/>
  <c r="N1367" i="11"/>
  <c r="O1367" i="11" s="1"/>
  <c r="V1367" i="11" a="1"/>
  <c r="AD1367" i="11" a="1"/>
  <c r="AP1367" i="11" a="1"/>
  <c r="AL1367" i="11" a="1"/>
  <c r="AH1367" i="11" a="1"/>
  <c r="R1367" i="11"/>
  <c r="AP1385" i="11" a="1"/>
  <c r="Z1394" i="11" a="1"/>
  <c r="V1401" i="11" a="1"/>
  <c r="AL1317" i="11" a="1"/>
  <c r="AL1547" i="11" a="1"/>
  <c r="AH1547" i="11" a="1"/>
  <c r="V1529" i="11" a="1"/>
  <c r="AD1547" i="11" a="1"/>
  <c r="V1547" i="11" a="1"/>
  <c r="AL1529" i="11" a="1"/>
  <c r="AH1529" i="11" a="1"/>
  <c r="AL1493" i="11" a="1"/>
  <c r="AD1497" i="11" a="1"/>
  <c r="Z1497" i="11" a="1"/>
  <c r="V1462" i="11" a="1"/>
  <c r="Z1462" i="11" a="1"/>
  <c r="AP1462" i="11" a="1"/>
  <c r="V1441" i="11" a="1"/>
  <c r="Z1475" i="11" a="1"/>
  <c r="AH1462" i="11" a="1"/>
  <c r="V1434" i="11" a="1"/>
  <c r="AD1434" i="11" a="1"/>
  <c r="Z1441" i="11" a="1"/>
  <c r="AP1441" i="11" a="1"/>
  <c r="Z1434" i="11" a="1"/>
  <c r="AP1434" i="11" a="1"/>
  <c r="AH1441" i="11" a="1"/>
  <c r="AH1434" i="11" a="1"/>
  <c r="AD1441" i="11" a="1"/>
  <c r="AD1422" i="11" a="1"/>
  <c r="V1416" i="11" a="1"/>
  <c r="Z1422" i="11" a="1"/>
  <c r="AP1422" i="11" a="1"/>
  <c r="AP1403" i="11" a="1"/>
  <c r="N1319" i="11"/>
  <c r="O1319" i="11" s="1"/>
  <c r="AP1373" i="11" a="1"/>
  <c r="V1373" i="11" a="1"/>
  <c r="AD1353" i="11" a="1"/>
  <c r="Z1403" i="11" a="1"/>
  <c r="AH1319" i="11" a="1"/>
  <c r="AD1319" i="11" a="1"/>
  <c r="AH1332" i="11" a="1"/>
  <c r="AD1333" i="11" a="1"/>
  <c r="R1333" i="11"/>
  <c r="AH1359" i="11" a="1"/>
  <c r="V1343" i="11" a="1"/>
  <c r="V1333" i="11" a="1"/>
  <c r="V1342" i="11" a="1"/>
  <c r="AD1342" i="11" a="1"/>
  <c r="R1342" i="11"/>
  <c r="AP1342" i="11" a="1"/>
  <c r="N1342" i="11"/>
  <c r="O1342" i="11" s="1"/>
  <c r="Z1345" i="11" a="1"/>
  <c r="AD1349" i="11" a="1"/>
  <c r="R1349" i="11"/>
  <c r="AL1349" i="11" a="1"/>
  <c r="V1349" i="11" a="1"/>
  <c r="AP1375" i="11" a="1"/>
  <c r="AD1387" i="11" a="1"/>
  <c r="AP1397" i="11" a="1"/>
  <c r="V1361" i="11" a="1"/>
  <c r="R1366" i="11"/>
  <c r="R1374" i="11"/>
  <c r="R1379" i="11"/>
  <c r="AP1399" i="11" a="1"/>
  <c r="Z1415" i="11" a="1"/>
  <c r="V1549" i="11" a="1"/>
  <c r="AP1542" i="11" a="1"/>
  <c r="V1542" i="11" a="1"/>
  <c r="AD1549" i="11" a="1"/>
  <c r="Z1542" i="11" a="1"/>
  <c r="AL1499" i="11" a="1"/>
  <c r="AH1511" i="11" a="1"/>
  <c r="V1499" i="11" a="1"/>
  <c r="Z1521" i="11" a="1"/>
  <c r="AH1499" i="11" a="1"/>
  <c r="AD1499" i="11" a="1"/>
  <c r="Z1499" i="11" a="1"/>
  <c r="AH1471" i="11" a="1"/>
  <c r="Z1471" i="11" a="1"/>
  <c r="AL1471" i="11" a="1"/>
  <c r="AD1471" i="11" a="1"/>
  <c r="Z1451" i="11" a="1"/>
  <c r="AP1451" i="11" a="1"/>
  <c r="V1471" i="11" a="1"/>
  <c r="AL1451" i="11" a="1"/>
  <c r="V1451" i="11" a="1"/>
  <c r="AD1451" i="11" a="1"/>
  <c r="V1391" i="11" a="1"/>
  <c r="AH1371" i="11" a="1"/>
  <c r="AP1429" i="11" a="1"/>
  <c r="AP1391" i="11" a="1"/>
  <c r="AL1371" i="11" a="1"/>
  <c r="Z1391" i="11" a="1"/>
  <c r="V1516" i="11" a="1"/>
  <c r="AL1490" i="11" a="1"/>
  <c r="AP1516" i="11" a="1"/>
  <c r="AD1490" i="11" a="1"/>
  <c r="V1490" i="11" a="1"/>
  <c r="AH1490" i="11" a="1"/>
  <c r="Z1490" i="11" a="1"/>
  <c r="AP1490" i="11" a="1"/>
  <c r="AP1456" i="11" a="1"/>
  <c r="AL1456" i="11" a="1"/>
  <c r="AD1456" i="11" a="1"/>
  <c r="Z1456" i="11" a="1"/>
  <c r="AL1339" i="11" a="1"/>
  <c r="AL1347" i="11" a="1"/>
  <c r="N1350" i="11"/>
  <c r="O1350" i="11" s="1"/>
  <c r="AH1366" i="11" a="1"/>
  <c r="AD1372" i="11" a="1"/>
  <c r="AL1392" i="11" a="1"/>
  <c r="AD1392" i="11" a="1"/>
  <c r="N1392" i="11"/>
  <c r="O1392" i="11" s="1"/>
  <c r="AP1392" i="11" a="1"/>
  <c r="Z1392" i="11" a="1"/>
  <c r="V1392" i="11" a="1"/>
  <c r="AP1368" i="11" a="1"/>
  <c r="AD1368" i="11" a="1"/>
  <c r="V1382" i="11" a="1"/>
  <c r="R1382" i="11"/>
  <c r="AL1382" i="11" a="1"/>
  <c r="AH1382" i="11" a="1"/>
  <c r="Z1355" i="11" a="1"/>
  <c r="AD1355" i="11" a="1"/>
  <c r="Z1360" i="11" a="1"/>
  <c r="Z1361" i="11" a="1"/>
  <c r="AP1361" i="11" a="1"/>
  <c r="N1369" i="11"/>
  <c r="O1369" i="11" s="1"/>
  <c r="V1375" i="11" a="1"/>
  <c r="AD1377" i="11" a="1"/>
  <c r="Z1385" i="11" a="1"/>
  <c r="AP1389" i="11" a="1"/>
  <c r="R1392" i="11"/>
  <c r="AH1335" i="11" a="1"/>
  <c r="AH1343" i="11" a="1"/>
  <c r="AL1351" i="11" a="1"/>
  <c r="V1365" i="11" a="1"/>
  <c r="AL1365" i="11" a="1"/>
  <c r="AP1374" i="11" a="1"/>
  <c r="AH1386" i="11" a="1"/>
  <c r="V1387" i="11" a="1"/>
  <c r="R1350" i="11"/>
  <c r="AD1350" i="11" a="1"/>
  <c r="N1359" i="11"/>
  <c r="O1359" i="11" s="1"/>
  <c r="AL1359" i="11" a="1"/>
  <c r="V1359" i="11" a="1"/>
  <c r="AL1366" i="11" a="1"/>
  <c r="AL1369" i="11" a="1"/>
  <c r="V1369" i="11" a="1"/>
  <c r="AD1371" i="11" a="1"/>
  <c r="AL1372" i="11" a="1"/>
  <c r="AH1372" i="11" a="1"/>
  <c r="V1372" i="11" a="1"/>
  <c r="V1377" i="11" a="1"/>
  <c r="AH1377" i="11" a="1"/>
  <c r="V1388" i="11" a="1"/>
  <c r="AD1406" i="11" a="1"/>
  <c r="Z1443" i="11" a="1"/>
  <c r="AD1381" i="11" a="1"/>
  <c r="R1381" i="11"/>
  <c r="Z1381" i="11" a="1"/>
  <c r="V1381" i="11" a="1"/>
  <c r="N1381" i="11"/>
  <c r="O1381" i="11" s="1"/>
  <c r="AP1381" i="11" a="1"/>
  <c r="AP1382" i="11" a="1"/>
  <c r="AD1407" i="11" a="1"/>
  <c r="AD1419" i="11" a="1"/>
  <c r="AP1353" i="11" a="1"/>
  <c r="AD1360" i="11" a="1"/>
  <c r="R1360" i="11"/>
  <c r="N1361" i="11"/>
  <c r="O1361" i="11" s="1"/>
  <c r="AH1368" i="11" a="1"/>
  <c r="R1369" i="11"/>
  <c r="R1372" i="11"/>
  <c r="R1377" i="11"/>
  <c r="N1385" i="11"/>
  <c r="O1385" i="11" s="1"/>
  <c r="V1393" i="11" a="1"/>
  <c r="AH1369" i="11" a="1"/>
  <c r="Z1371" i="11" a="1"/>
  <c r="AH1376" i="11" a="1"/>
  <c r="AD1376" i="11" a="1"/>
  <c r="R1376" i="11"/>
  <c r="N1376" i="11"/>
  <c r="O1376" i="11" s="1"/>
  <c r="Z1376" i="11" a="1"/>
  <c r="AL1376" i="11" a="1"/>
  <c r="AL1377" i="11" a="1"/>
  <c r="Z1379" i="11" a="1"/>
  <c r="AD1401" i="11" a="1"/>
  <c r="AL1361" i="11" a="1"/>
  <c r="AL1381" i="11" a="1"/>
  <c r="AH1385" i="11" a="1"/>
  <c r="R1385" i="11"/>
  <c r="AH1395" i="11" a="1"/>
  <c r="AD1395" i="11" a="1"/>
  <c r="R1395" i="11"/>
  <c r="AP1395" i="11" a="1"/>
  <c r="N1395" i="11"/>
  <c r="O1395" i="11" s="1"/>
  <c r="Z1395" i="11" a="1"/>
  <c r="V1395" i="11" a="1"/>
  <c r="AL1395" i="11" a="1"/>
  <c r="Z1382" i="11" a="1"/>
  <c r="AH1391" i="11" a="1"/>
  <c r="Z1396" i="11" a="1"/>
  <c r="AL1396" i="11" a="1"/>
  <c r="V1396" i="11" a="1"/>
  <c r="AH1396" i="11" a="1"/>
  <c r="AD1396" i="11" a="1"/>
  <c r="N1396" i="11"/>
  <c r="O1396" i="11" s="1"/>
  <c r="AP1396" i="11" a="1"/>
  <c r="R1396" i="11"/>
  <c r="V1533" i="11" a="1"/>
  <c r="AL1487" i="11" a="1"/>
  <c r="V1487" i="11" a="1"/>
  <c r="AH1487" i="11" a="1"/>
  <c r="AH1458" i="11" a="1"/>
  <c r="Z1458" i="11" a="1"/>
  <c r="AH1440" i="11" a="1"/>
  <c r="Z1440" i="11" a="1"/>
  <c r="AP1440" i="11" a="1"/>
  <c r="V1440" i="11" a="1"/>
  <c r="AL1440" i="11" a="1"/>
  <c r="AP1436" i="11" a="1"/>
  <c r="AP1421" i="11" a="1"/>
  <c r="AL1436" i="11" a="1"/>
  <c r="AL1421" i="11" a="1"/>
  <c r="V1421" i="11" a="1"/>
  <c r="Z1436" i="11" a="1"/>
  <c r="AL1399" i="11" a="1"/>
  <c r="V1399" i="11" a="1"/>
  <c r="AH1399" i="11" a="1"/>
  <c r="AH1421" i="11" a="1"/>
  <c r="Z1514" i="11" a="1"/>
  <c r="AP1514" i="11" a="1"/>
  <c r="V1525" i="11" a="1"/>
  <c r="AD1514" i="11" a="1"/>
  <c r="AD1478" i="11" a="1"/>
  <c r="AP1491" i="11" a="1"/>
  <c r="Z1491" i="11" a="1"/>
  <c r="AH1491" i="11" a="1"/>
  <c r="AH1478" i="11" a="1"/>
  <c r="AD1491" i="11" a="1"/>
  <c r="V1491" i="11" a="1"/>
  <c r="AP1478" i="11" a="1"/>
  <c r="V1478" i="11" a="1"/>
  <c r="AP1467" i="11" a="1"/>
  <c r="AL1478" i="11" a="1"/>
  <c r="AH1467" i="11" a="1"/>
  <c r="Z1478" i="11" a="1"/>
  <c r="AD1467" i="11" a="1"/>
  <c r="Z1467" i="11" a="1"/>
  <c r="AP1443" i="11" a="1"/>
  <c r="AP1386" i="11" a="1"/>
  <c r="AD1443" i="11" a="1"/>
  <c r="V1443" i="11" a="1"/>
  <c r="AD1386" i="11" a="1"/>
  <c r="Z1386" i="11" a="1"/>
  <c r="V1355" i="11" a="1"/>
  <c r="R1361" i="11"/>
  <c r="AP1363" i="11" a="1"/>
  <c r="N1363" i="11"/>
  <c r="O1363" i="11" s="1"/>
  <c r="Z1363" i="11" a="1"/>
  <c r="AP1372" i="11" a="1"/>
  <c r="AD1374" i="11" a="1"/>
  <c r="N1375" i="11"/>
  <c r="O1375" i="11" s="1"/>
  <c r="AH1375" i="11" a="1"/>
  <c r="AL1380" i="11" a="1"/>
  <c r="AH1380" i="11" a="1"/>
  <c r="AP1380" i="11" a="1"/>
  <c r="R1380" i="11"/>
  <c r="AP1384" i="11" a="1"/>
  <c r="AL1385" i="11" a="1"/>
  <c r="V1386" i="11" a="1"/>
  <c r="AH1387" i="11" a="1"/>
  <c r="AP1387" i="11" a="1"/>
  <c r="N1387" i="11"/>
  <c r="O1387" i="11" s="1"/>
  <c r="Z1387" i="11" a="1"/>
  <c r="AL1391" i="11" a="1"/>
  <c r="AD1397" i="11" a="1"/>
  <c r="R1397" i="11"/>
  <c r="N1397" i="11"/>
  <c r="O1397" i="11" s="1"/>
  <c r="Z1397" i="11" a="1"/>
  <c r="V1397" i="11" a="1"/>
  <c r="AL1397" i="11" a="1"/>
  <c r="AH1397" i="11" a="1"/>
  <c r="Z1402" i="11" a="1"/>
  <c r="AH1353" i="11" a="1"/>
  <c r="AD1365" i="11" a="1"/>
  <c r="R1365" i="11"/>
  <c r="Z1365" i="11" a="1"/>
  <c r="Z1372" i="11" a="1"/>
  <c r="R1375" i="11"/>
  <c r="N1383" i="11"/>
  <c r="O1383" i="11" s="1"/>
  <c r="Z1383" i="11" a="1"/>
  <c r="R1383" i="11"/>
  <c r="V1366" i="11" a="1"/>
  <c r="AP1366" i="11" a="1"/>
  <c r="N1366" i="11"/>
  <c r="O1366" i="11" s="1"/>
  <c r="Z1366" i="11" a="1"/>
  <c r="V1374" i="11" a="1"/>
  <c r="Z1374" i="11" a="1"/>
  <c r="AL1374" i="11" a="1"/>
  <c r="AH1374" i="11" a="1"/>
  <c r="AP1379" i="11" a="1"/>
  <c r="N1379" i="11"/>
  <c r="O1379" i="11" s="1"/>
  <c r="AL1379" i="11" a="1"/>
  <c r="V1379" i="11" a="1"/>
  <c r="AD1382" i="11" a="1"/>
  <c r="R1387" i="11"/>
  <c r="AL1387" i="11" a="1"/>
  <c r="AD1389" i="11" a="1"/>
  <c r="R1389" i="11"/>
  <c r="Z1389" i="11" a="1"/>
  <c r="AH1389" i="11" a="1"/>
  <c r="AH1412" i="11" a="1"/>
  <c r="Z1409" i="11" a="1"/>
  <c r="AL1409" i="11" a="1"/>
  <c r="V1409" i="11" a="1"/>
  <c r="AH1409" i="11" a="1"/>
  <c r="R1409" i="11"/>
  <c r="AD1412" i="11" a="1"/>
  <c r="R1412" i="11"/>
  <c r="N1412" i="11"/>
  <c r="O1412" i="11" s="1"/>
  <c r="Z1412" i="11" a="1"/>
  <c r="AL1412" i="11" a="1"/>
  <c r="V1420" i="11" a="1"/>
  <c r="V1398" i="11" a="1"/>
  <c r="Z1405" i="11" a="1"/>
  <c r="Z1406" i="11" a="1"/>
  <c r="V1415" i="11" a="1"/>
  <c r="AL1393" i="11" a="1"/>
  <c r="AD1399" i="11" a="1"/>
  <c r="R1414" i="11"/>
  <c r="AD1414" i="11" a="1"/>
  <c r="AP1414" i="11" a="1"/>
  <c r="Z1414" i="11" a="1"/>
  <c r="AL1414" i="11" a="1"/>
  <c r="V1417" i="11" a="1"/>
  <c r="AD1433" i="11" a="1"/>
  <c r="R1433" i="11"/>
  <c r="AL1433" i="11" a="1"/>
  <c r="Z1433" i="11" a="1"/>
  <c r="N1433" i="11"/>
  <c r="O1433" i="11" s="1"/>
  <c r="AP1433" i="11" a="1"/>
  <c r="V1433" i="11" a="1"/>
  <c r="N1368" i="11"/>
  <c r="O1368" i="11" s="1"/>
  <c r="V1390" i="11" a="1"/>
  <c r="AH1416" i="11" a="1"/>
  <c r="R1416" i="11"/>
  <c r="AD1416" i="11" a="1"/>
  <c r="AP1416" i="11" a="1"/>
  <c r="Z1416" i="11" a="1"/>
  <c r="AL1416" i="11" a="1"/>
  <c r="AP1438" i="11" a="1"/>
  <c r="Z1438" i="11" a="1"/>
  <c r="AL1438" i="11" a="1"/>
  <c r="V1438" i="11" a="1"/>
  <c r="N1438" i="11"/>
  <c r="O1438" i="11" s="1"/>
  <c r="AD1438" i="11" a="1"/>
  <c r="AH1438" i="11" a="1"/>
  <c r="R1438" i="11"/>
  <c r="AD1373" i="11" a="1"/>
  <c r="R1373" i="11"/>
  <c r="Z1373" i="11" a="1"/>
  <c r="AL1384" i="11" a="1"/>
  <c r="N1401" i="11"/>
  <c r="O1401" i="11" s="1"/>
  <c r="AD1403" i="11" a="1"/>
  <c r="N1407" i="11"/>
  <c r="O1407" i="11" s="1"/>
  <c r="AP1412" i="11" a="1"/>
  <c r="N1437" i="11"/>
  <c r="O1437" i="11" s="1"/>
  <c r="R1437" i="11"/>
  <c r="AP1437" i="11" a="1"/>
  <c r="Z1437" i="11" a="1"/>
  <c r="AD1437" i="11" a="1"/>
  <c r="V1437" i="11" a="1"/>
  <c r="AL1437" i="11" a="1"/>
  <c r="AH1437" i="11" a="1"/>
  <c r="V1358" i="11" a="1"/>
  <c r="Z1384" i="11" a="1"/>
  <c r="AD1391" i="11" a="1"/>
  <c r="AD1404" i="11" a="1"/>
  <c r="R1404" i="11"/>
  <c r="Z1404" i="11" a="1"/>
  <c r="AP1409" i="11" a="1"/>
  <c r="R1423" i="11"/>
  <c r="Z1401" i="11" a="1"/>
  <c r="AL1401" i="11" a="1"/>
  <c r="AH1401" i="11" a="1"/>
  <c r="N1402" i="11"/>
  <c r="O1402" i="11" s="1"/>
  <c r="AL1402" i="11" a="1"/>
  <c r="AD1402" i="11" a="1"/>
  <c r="AL1405" i="11" a="1"/>
  <c r="AH1405" i="11" a="1"/>
  <c r="AD1405" i="11" a="1"/>
  <c r="R1406" i="11"/>
  <c r="N1406" i="11"/>
  <c r="O1406" i="11" s="1"/>
  <c r="AL1406" i="11" a="1"/>
  <c r="AP1407" i="11" a="1"/>
  <c r="AL1407" i="11" a="1"/>
  <c r="AH1407" i="11" a="1"/>
  <c r="R1407" i="11"/>
  <c r="AL1403" i="11" a="1"/>
  <c r="AH1403" i="11" a="1"/>
  <c r="R1403" i="11"/>
  <c r="AL1411" i="11" a="1"/>
  <c r="AD1411" i="11" a="1"/>
  <c r="AH1411" i="11" a="1"/>
  <c r="V1412" i="11" a="1"/>
  <c r="AP1425" i="11" a="1"/>
  <c r="AD1425" i="11" a="1"/>
  <c r="N1425" i="11"/>
  <c r="O1425" i="11" s="1"/>
  <c r="Z1425" i="11" a="1"/>
  <c r="AL1425" i="11" a="1"/>
  <c r="V1425" i="11" a="1"/>
  <c r="AH1425" i="11" a="1"/>
  <c r="R1425" i="11"/>
  <c r="AP1371" i="11" a="1"/>
  <c r="AH1373" i="11" a="1"/>
  <c r="R1401" i="11"/>
  <c r="R1402" i="11"/>
  <c r="R1405" i="11"/>
  <c r="AD1417" i="11" a="1"/>
  <c r="AP1424" i="11" a="1"/>
  <c r="Z1419" i="11" a="1"/>
  <c r="N1419" i="11"/>
  <c r="O1419" i="11" s="1"/>
  <c r="AP1419" i="11" a="1"/>
  <c r="AL1419" i="11" a="1"/>
  <c r="V1419" i="11" a="1"/>
  <c r="AH1419" i="11" a="1"/>
  <c r="R1419" i="11"/>
  <c r="AD1427" i="11" a="1"/>
  <c r="AD1410" i="11" a="1"/>
  <c r="AP1415" i="11" a="1"/>
  <c r="AL1415" i="11" a="1"/>
  <c r="R1415" i="11"/>
  <c r="AD1415" i="11" a="1"/>
  <c r="AP1428" i="11" a="1"/>
  <c r="V1407" i="11" a="1"/>
  <c r="AP1417" i="11" a="1"/>
  <c r="Z1417" i="11" a="1"/>
  <c r="AL1417" i="11" a="1"/>
  <c r="AH1417" i="11" a="1"/>
  <c r="R1417" i="11"/>
  <c r="AD1429" i="11" a="1"/>
  <c r="AH1433" i="11" a="1"/>
  <c r="AL1373" i="11" a="1"/>
  <c r="Z1388" i="11" a="1"/>
  <c r="AL1388" i="11" a="1"/>
  <c r="AH1388" i="11" a="1"/>
  <c r="AD1393" i="11" a="1"/>
  <c r="R1393" i="11"/>
  <c r="V1403" i="11" a="1"/>
  <c r="V1405" i="11" a="1"/>
  <c r="V1406" i="11" a="1"/>
  <c r="AD1409" i="11" a="1"/>
  <c r="AP1411" i="11" a="1"/>
  <c r="AL1422" i="11" a="1"/>
  <c r="Z1420" i="11" a="1"/>
  <c r="AH1428" i="11" a="1"/>
  <c r="V1424" i="11" a="1"/>
  <c r="AL1424" i="11" a="1"/>
  <c r="V1429" i="11" a="1"/>
  <c r="AL1429" i="11" a="1"/>
  <c r="AL1408" i="11" a="1"/>
  <c r="N1420" i="11"/>
  <c r="O1420" i="11" s="1"/>
  <c r="AP1420" i="11" a="1"/>
  <c r="R1422" i="11"/>
  <c r="AH1426" i="11" a="1"/>
  <c r="AD1426" i="11" a="1"/>
  <c r="AP1427" i="11" a="1"/>
  <c r="R1429" i="11"/>
  <c r="V1428" i="11" a="1"/>
  <c r="AP1447" i="11" a="1"/>
  <c r="N1447" i="11"/>
  <c r="O1447" i="11" s="1"/>
  <c r="AL1447" i="11" a="1"/>
  <c r="Z1447" i="11" a="1"/>
  <c r="V1447" i="11" a="1"/>
  <c r="R1447" i="11"/>
  <c r="AH1447" i="11" a="1"/>
  <c r="Z1410" i="11" a="1"/>
  <c r="AP1418" i="11" a="1"/>
  <c r="AD1420" i="11" a="1"/>
  <c r="AD1423" i="11" a="1"/>
  <c r="Z1424" i="11" a="1"/>
  <c r="N1427" i="11"/>
  <c r="O1427" i="11" s="1"/>
  <c r="AL1428" i="11" a="1"/>
  <c r="AH1429" i="11" a="1"/>
  <c r="Z1446" i="11" a="1"/>
  <c r="Z1452" i="11" a="1"/>
  <c r="AP1452" i="11" a="1"/>
  <c r="N1452" i="11"/>
  <c r="O1452" i="11" s="1"/>
  <c r="AL1452" i="11" a="1"/>
  <c r="V1452" i="11" a="1"/>
  <c r="AH1452" i="11" a="1"/>
  <c r="AD1452" i="11" a="1"/>
  <c r="R1452" i="11"/>
  <c r="AH1400" i="11" a="1"/>
  <c r="AP1400" i="11" a="1"/>
  <c r="N1410" i="11"/>
  <c r="O1410" i="11" s="1"/>
  <c r="R1420" i="11"/>
  <c r="AH1422" i="11" a="1"/>
  <c r="AP1430" i="11" a="1"/>
  <c r="AP1450" i="11" a="1"/>
  <c r="AD1450" i="11" a="1"/>
  <c r="AH1450" i="11" a="1"/>
  <c r="Z1450" i="11" a="1"/>
  <c r="V1450" i="11" a="1"/>
  <c r="R1450" i="11"/>
  <c r="AL1450" i="11" a="1"/>
  <c r="N1450" i="11"/>
  <c r="O1450" i="11" s="1"/>
  <c r="Z1427" i="11" a="1"/>
  <c r="AH1408" i="11" a="1"/>
  <c r="AP1410" i="11" a="1"/>
  <c r="AH1418" i="11" a="1"/>
  <c r="AD1418" i="11" a="1"/>
  <c r="AH1420" i="11" a="1"/>
  <c r="V1422" i="11" a="1"/>
  <c r="AD1424" i="11" a="1"/>
  <c r="R1427" i="11"/>
  <c r="R1408" i="11"/>
  <c r="R1410" i="11"/>
  <c r="R1418" i="11"/>
  <c r="Z1421" i="11" a="1"/>
  <c r="AD1421" i="11" a="1"/>
  <c r="AL1426" i="11" a="1"/>
  <c r="N1428" i="11"/>
  <c r="O1428" i="11" s="1"/>
  <c r="V1431" i="11" a="1"/>
  <c r="AL1431" i="11" a="1"/>
  <c r="R1424" i="11"/>
  <c r="AH1427" i="11" a="1"/>
  <c r="Z1429" i="11" a="1"/>
  <c r="V1436" i="11" a="1"/>
  <c r="AD1436" i="11" a="1"/>
  <c r="AH1436" i="11" a="1"/>
  <c r="Z1445" i="11" a="1"/>
  <c r="AD1446" i="11" a="1"/>
  <c r="AH1446" i="11" a="1"/>
  <c r="AL1453" i="11" a="1"/>
  <c r="N1453" i="11"/>
  <c r="O1453" i="11" s="1"/>
  <c r="V1453" i="11" a="1"/>
  <c r="AP1453" i="11" a="1"/>
  <c r="Z1453" i="11" a="1"/>
  <c r="AH1453" i="11" a="1"/>
  <c r="R1453" i="11"/>
  <c r="Z1460" i="11" a="1"/>
  <c r="AD1461" i="11" a="1"/>
  <c r="AH1443" i="11" a="1"/>
  <c r="AL1443" i="11" a="1"/>
  <c r="N1443" i="11"/>
  <c r="O1443" i="11" s="1"/>
  <c r="AL1449" i="11" a="1"/>
  <c r="V1439" i="11" a="1"/>
  <c r="AP1442" i="11" a="1"/>
  <c r="R1442" i="11"/>
  <c r="AL1442" i="11" a="1"/>
  <c r="R1443" i="11"/>
  <c r="V1446" i="11" a="1"/>
  <c r="V1463" i="11" a="1"/>
  <c r="AD1463" i="11" a="1"/>
  <c r="R1463" i="11"/>
  <c r="AH1463" i="11" a="1"/>
  <c r="Z1463" i="11" a="1"/>
  <c r="AP1463" i="11" a="1"/>
  <c r="AL1463" i="11" a="1"/>
  <c r="Z1464" i="11" a="1"/>
  <c r="AP1474" i="11" a="1"/>
  <c r="AL1441" i="11" a="1"/>
  <c r="N1449" i="11"/>
  <c r="O1449" i="11" s="1"/>
  <c r="N1475" i="11"/>
  <c r="O1475" i="11" s="1"/>
  <c r="R1475" i="11"/>
  <c r="AD1475" i="11" a="1"/>
  <c r="AP1475" i="11" a="1"/>
  <c r="AL1475" i="11" a="1"/>
  <c r="V1475" i="11" a="1"/>
  <c r="AH1475" i="11" a="1"/>
  <c r="AH1496" i="11" a="1"/>
  <c r="AD1454" i="11" a="1"/>
  <c r="R1454" i="11"/>
  <c r="AL1454" i="11" a="1"/>
  <c r="AH1454" i="11" a="1"/>
  <c r="N1456" i="11"/>
  <c r="O1456" i="11" s="1"/>
  <c r="V1456" i="11" a="1"/>
  <c r="AH1456" i="11" a="1"/>
  <c r="AD1435" i="11" a="1"/>
  <c r="R1435" i="11"/>
  <c r="Z1444" i="11" a="1"/>
  <c r="R1444" i="11"/>
  <c r="AD1444" i="11" a="1"/>
  <c r="AD1449" i="11" a="1"/>
  <c r="AL1472" i="11" a="1"/>
  <c r="V1472" i="11" a="1"/>
  <c r="Z1472" i="11" a="1"/>
  <c r="AP1472" i="11" a="1"/>
  <c r="R1439" i="11"/>
  <c r="AD1439" i="11" a="1"/>
  <c r="R1449" i="11"/>
  <c r="AP1458" i="11" a="1"/>
  <c r="AL1458" i="11" a="1"/>
  <c r="V1458" i="11" a="1"/>
  <c r="AD1458" i="11" a="1"/>
  <c r="AD1466" i="11" a="1"/>
  <c r="N1467" i="11"/>
  <c r="O1467" i="11" s="1"/>
  <c r="V1467" i="11" a="1"/>
  <c r="R1467" i="11"/>
  <c r="AL1467" i="11" a="1"/>
  <c r="AL1461" i="11" a="1"/>
  <c r="Z1461" i="11" a="1"/>
  <c r="AH1461" i="11" a="1"/>
  <c r="AL1489" i="11" a="1"/>
  <c r="AH1459" i="11" a="1"/>
  <c r="V1466" i="11" a="1"/>
  <c r="AP1466" i="11" a="1"/>
  <c r="AH1466" i="11" a="1"/>
  <c r="Z1466" i="11" a="1"/>
  <c r="AP1473" i="11" a="1"/>
  <c r="R1466" i="11"/>
  <c r="AL1434" i="11" a="1"/>
  <c r="AD1440" i="11" a="1"/>
  <c r="V1449" i="11" a="1"/>
  <c r="AH1451" i="11" a="1"/>
  <c r="Z1454" i="11" a="1"/>
  <c r="AP1461" i="11" a="1"/>
  <c r="AL1466" i="11" a="1"/>
  <c r="V1455" i="11" a="1"/>
  <c r="AD1455" i="11" a="1"/>
  <c r="R1455" i="11"/>
  <c r="AD1462" i="11" a="1"/>
  <c r="R1462" i="11"/>
  <c r="AL1462" i="11" a="1"/>
  <c r="R1474" i="11"/>
  <c r="N1476" i="11"/>
  <c r="O1476" i="11" s="1"/>
  <c r="V1476" i="11" a="1"/>
  <c r="AL1484" i="11" a="1"/>
  <c r="AH1484" i="11" a="1"/>
  <c r="R1484" i="11"/>
  <c r="N1484" i="11"/>
  <c r="O1484" i="11" s="1"/>
  <c r="AP1484" i="11" a="1"/>
  <c r="Z1484" i="11" a="1"/>
  <c r="V1489" i="11" a="1"/>
  <c r="AP1477" i="11" a="1"/>
  <c r="Z1496" i="11" a="1"/>
  <c r="AL1474" i="11" a="1"/>
  <c r="N1479" i="11"/>
  <c r="O1479" i="11" s="1"/>
  <c r="AL1479" i="11" a="1"/>
  <c r="AL1480" i="11" a="1"/>
  <c r="AD1480" i="11" a="1"/>
  <c r="AP1480" i="11" a="1"/>
  <c r="Z1480" i="11" a="1"/>
  <c r="AH1480" i="11" a="1"/>
  <c r="AD1481" i="11" a="1"/>
  <c r="R1481" i="11"/>
  <c r="V1481" i="11" a="1"/>
  <c r="AP1481" i="11" a="1"/>
  <c r="N1481" i="11"/>
  <c r="O1481" i="11" s="1"/>
  <c r="AH1481" i="11" a="1"/>
  <c r="AP1487" i="11" a="1"/>
  <c r="AD1489" i="11" a="1"/>
  <c r="AD1457" i="11" a="1"/>
  <c r="AL1464" i="11" a="1"/>
  <c r="N1464" i="11"/>
  <c r="O1464" i="11" s="1"/>
  <c r="V1464" i="11" a="1"/>
  <c r="AP1469" i="11" a="1"/>
  <c r="AH1479" i="11" a="1"/>
  <c r="V1484" i="11" a="1"/>
  <c r="AL1481" i="11" a="1"/>
  <c r="AH1502" i="11" a="1"/>
  <c r="N1489" i="11"/>
  <c r="O1489" i="11" s="1"/>
  <c r="AH1489" i="11" a="1"/>
  <c r="R1489" i="11"/>
  <c r="AP1489" i="11" a="1"/>
  <c r="Z1489" i="11" a="1"/>
  <c r="AP1508" i="11" a="1"/>
  <c r="V1496" i="11" a="1"/>
  <c r="AL1496" i="11" a="1"/>
  <c r="AD1496" i="11" a="1"/>
  <c r="N1496" i="11"/>
  <c r="O1496" i="11" s="1"/>
  <c r="AP1496" i="11" a="1"/>
  <c r="R1496" i="11"/>
  <c r="V1497" i="11" a="1"/>
  <c r="AP1471" i="11" a="1"/>
  <c r="AP1479" i="11" a="1"/>
  <c r="Z1481" i="11" a="1"/>
  <c r="Z1493" i="11" a="1"/>
  <c r="V1474" i="11" a="1"/>
  <c r="N1474" i="11"/>
  <c r="O1474" i="11" s="1"/>
  <c r="AL1486" i="11" a="1"/>
  <c r="V1486" i="11" a="1"/>
  <c r="AP1486" i="11" a="1"/>
  <c r="Z1486" i="11" a="1"/>
  <c r="AH1486" i="11" a="1"/>
  <c r="R1486" i="11"/>
  <c r="N1486" i="11"/>
  <c r="O1486" i="11" s="1"/>
  <c r="Z1469" i="11" a="1"/>
  <c r="Z1473" i="11" a="1"/>
  <c r="Z1483" i="11" a="1"/>
  <c r="Z1487" i="11" a="1"/>
  <c r="AL1491" i="11" a="1"/>
  <c r="Z1502" i="11" a="1"/>
  <c r="AD1465" i="11" a="1"/>
  <c r="R1465" i="11"/>
  <c r="AP1483" i="11" a="1"/>
  <c r="Z1488" i="11" a="1"/>
  <c r="AL1494" i="11" a="1"/>
  <c r="V1494" i="11" a="1"/>
  <c r="AH1494" i="11" a="1"/>
  <c r="R1494" i="11"/>
  <c r="N1494" i="11"/>
  <c r="O1494" i="11" s="1"/>
  <c r="AD1473" i="11" a="1"/>
  <c r="R1473" i="11"/>
  <c r="AD1487" i="11" a="1"/>
  <c r="R1487" i="11"/>
  <c r="N1487" i="11"/>
  <c r="O1487" i="11" s="1"/>
  <c r="AD1493" i="11" a="1"/>
  <c r="R1493" i="11"/>
  <c r="V1493" i="11" a="1"/>
  <c r="AH1493" i="11" a="1"/>
  <c r="V1488" i="11" a="1"/>
  <c r="AP1488" i="11" a="1"/>
  <c r="AD1488" i="11" a="1"/>
  <c r="AP1513" i="11" a="1"/>
  <c r="Z1513" i="11" a="1"/>
  <c r="AL1513" i="11" a="1"/>
  <c r="V1513" i="11" a="1"/>
  <c r="AH1513" i="11" a="1"/>
  <c r="R1513" i="11"/>
  <c r="N1513" i="11"/>
  <c r="O1513" i="11" s="1"/>
  <c r="AD1513" i="11" a="1"/>
  <c r="AP1499" i="11" a="1"/>
  <c r="AH1473" i="11" a="1"/>
  <c r="AH1483" i="11" a="1"/>
  <c r="R1488" i="11"/>
  <c r="N1497" i="11"/>
  <c r="O1497" i="11" s="1"/>
  <c r="R1497" i="11"/>
  <c r="AP1497" i="11" a="1"/>
  <c r="AL1497" i="11" a="1"/>
  <c r="AL1502" i="11" a="1"/>
  <c r="V1502" i="11" a="1"/>
  <c r="AD1502" i="11" a="1"/>
  <c r="N1502" i="11"/>
  <c r="O1502" i="11" s="1"/>
  <c r="AP1502" i="11" a="1"/>
  <c r="R1502" i="11"/>
  <c r="AH1497" i="11" a="1"/>
  <c r="V1482" i="11" a="1"/>
  <c r="AH1488" i="11" a="1"/>
  <c r="AP1493" i="11" a="1"/>
  <c r="AD1485" i="11" a="1"/>
  <c r="R1485" i="11"/>
  <c r="Z1515" i="11" a="1"/>
  <c r="AP1503" i="11" a="1"/>
  <c r="AD1506" i="11" a="1"/>
  <c r="Z1507" i="11" a="1"/>
  <c r="AH1510" i="11" a="1"/>
  <c r="AD1510" i="11" a="1"/>
  <c r="R1510" i="11"/>
  <c r="AL1510" i="11" a="1"/>
  <c r="V1510" i="11" a="1"/>
  <c r="N1510" i="11"/>
  <c r="O1510" i="11" s="1"/>
  <c r="Z1510" i="11" a="1"/>
  <c r="AP1510" i="11" a="1"/>
  <c r="AP1521" i="11" a="1"/>
  <c r="AD1521" i="11" a="1"/>
  <c r="AL1521" i="11" a="1"/>
  <c r="V1521" i="11" a="1"/>
  <c r="AH1521" i="11" a="1"/>
  <c r="V1504" i="11" a="1"/>
  <c r="AD1504" i="11" a="1"/>
  <c r="AH1518" i="11" a="1"/>
  <c r="AD1518" i="11" a="1"/>
  <c r="R1518" i="11"/>
  <c r="Z1518" i="11" a="1"/>
  <c r="AL1518" i="11" a="1"/>
  <c r="V1518" i="11" a="1"/>
  <c r="AP1518" i="11" a="1"/>
  <c r="AD1538" i="11" a="1"/>
  <c r="AH1537" i="11" a="1"/>
  <c r="AH1506" i="11" a="1"/>
  <c r="AP1506" i="11" a="1"/>
  <c r="Z1509" i="11" a="1"/>
  <c r="N1528" i="11"/>
  <c r="O1528" i="11" s="1"/>
  <c r="R1528" i="11"/>
  <c r="Z1528" i="11" a="1"/>
  <c r="AL1528" i="11" a="1"/>
  <c r="V1528" i="11" a="1"/>
  <c r="AD1528" i="11" a="1"/>
  <c r="AP1528" i="11" a="1"/>
  <c r="R1506" i="11"/>
  <c r="AL1506" i="11" a="1"/>
  <c r="Z1529" i="11" a="1"/>
  <c r="Z1519" i="11" a="1"/>
  <c r="V1519" i="11" a="1"/>
  <c r="AL1519" i="11" a="1"/>
  <c r="AD1519" i="11" a="1"/>
  <c r="AP1519" i="11" a="1"/>
  <c r="R1519" i="11"/>
  <c r="AH1519" i="11" a="1"/>
  <c r="Z1530" i="11" a="1"/>
  <c r="AD1508" i="11" a="1"/>
  <c r="AH1508" i="11" a="1"/>
  <c r="R1508" i="11"/>
  <c r="Z1508" i="11" a="1"/>
  <c r="V1508" i="11" a="1"/>
  <c r="AD1532" i="11" a="1"/>
  <c r="AP1501" i="11" a="1"/>
  <c r="AL1508" i="11" a="1"/>
  <c r="V1506" i="11" a="1"/>
  <c r="N1520" i="11"/>
  <c r="O1520" i="11" s="1"/>
  <c r="AP1520" i="11" a="1"/>
  <c r="Z1520" i="11" a="1"/>
  <c r="V1520" i="11" a="1"/>
  <c r="AL1520" i="11" a="1"/>
  <c r="Z1523" i="11" a="1"/>
  <c r="AL1492" i="11" a="1"/>
  <c r="AD1495" i="11" a="1"/>
  <c r="R1495" i="11"/>
  <c r="N1495" i="11"/>
  <c r="O1495" i="11" s="1"/>
  <c r="Z1511" i="11" a="1"/>
  <c r="V1511" i="11" a="1"/>
  <c r="R1511" i="11"/>
  <c r="AD1511" i="11" a="1"/>
  <c r="N1511" i="11"/>
  <c r="O1511" i="11" s="1"/>
  <c r="AP1511" i="11" a="1"/>
  <c r="AL1511" i="11" a="1"/>
  <c r="Z1506" i="11" a="1"/>
  <c r="AD1524" i="11" a="1"/>
  <c r="AL1524" i="11" a="1"/>
  <c r="AH1524" i="11" a="1"/>
  <c r="N1524" i="11"/>
  <c r="O1524" i="11" s="1"/>
  <c r="Z1524" i="11" a="1"/>
  <c r="V1524" i="11" a="1"/>
  <c r="AP1524" i="11" a="1"/>
  <c r="AH1514" i="11" a="1"/>
  <c r="V1514" i="11" a="1"/>
  <c r="AH1516" i="11" a="1"/>
  <c r="N1516" i="11"/>
  <c r="O1516" i="11" s="1"/>
  <c r="Z1516" i="11" a="1"/>
  <c r="AD1516" i="11" a="1"/>
  <c r="AP1517" i="11" a="1"/>
  <c r="AL1517" i="11" a="1"/>
  <c r="AD1517" i="11" a="1"/>
  <c r="Z1525" i="11" a="1"/>
  <c r="AL1501" i="11" a="1"/>
  <c r="AP1532" i="11" a="1"/>
  <c r="Z1533" i="11" a="1"/>
  <c r="Z1527" i="11" a="1"/>
  <c r="V1527" i="11" a="1"/>
  <c r="N1527" i="11"/>
  <c r="O1527" i="11" s="1"/>
  <c r="Z1532" i="11" a="1"/>
  <c r="AD1525" i="11" a="1"/>
  <c r="AH1527" i="11" a="1"/>
  <c r="V1537" i="11" a="1"/>
  <c r="R1527" i="11"/>
  <c r="AH1534" i="11" a="1"/>
  <c r="AD1534" i="11" a="1"/>
  <c r="R1534" i="11"/>
  <c r="AL1534" i="11" a="1"/>
  <c r="N1534" i="11"/>
  <c r="O1534" i="11" s="1"/>
  <c r="AD1503" i="11" a="1"/>
  <c r="R1503" i="11"/>
  <c r="AL1514" i="11" a="1"/>
  <c r="AL1516" i="11" a="1"/>
  <c r="AP1525" i="11" a="1"/>
  <c r="AL1525" i="11" a="1"/>
  <c r="AH1525" i="11" a="1"/>
  <c r="R1525" i="11"/>
  <c r="AH1538" i="11" a="1"/>
  <c r="N1538" i="11"/>
  <c r="O1538" i="11" s="1"/>
  <c r="AL1538" i="11" a="1"/>
  <c r="V1538" i="11" a="1"/>
  <c r="AL1527" i="11" a="1"/>
  <c r="AP1533" i="11" a="1"/>
  <c r="AL1533" i="11" a="1"/>
  <c r="AH1533" i="11" a="1"/>
  <c r="AD1533" i="11" a="1"/>
  <c r="R1532" i="11"/>
  <c r="N1532" i="11"/>
  <c r="O1532" i="11" s="1"/>
  <c r="AL1532" i="11" a="1"/>
  <c r="V1532" i="11" a="1"/>
  <c r="AH1532" i="11" a="1"/>
  <c r="AH1540" i="11" a="1"/>
  <c r="Z1531" i="11" a="1"/>
  <c r="AP1509" i="11" a="1"/>
  <c r="AL1509" i="11" a="1"/>
  <c r="AH1530" i="11" a="1"/>
  <c r="V1530" i="11" a="1"/>
  <c r="AD1530" i="11" a="1"/>
  <c r="N1530" i="11"/>
  <c r="O1530" i="11" s="1"/>
  <c r="AP1530" i="11" a="1"/>
  <c r="AP1537" i="11" a="1"/>
  <c r="N1537" i="11"/>
  <c r="O1537" i="11" s="1"/>
  <c r="AD1537" i="11" a="1"/>
  <c r="Z1537" i="11" a="1"/>
  <c r="AL1537" i="11" a="1"/>
  <c r="AD1544" i="11" a="1"/>
  <c r="Z1535" i="11" a="1"/>
  <c r="V1535" i="11" a="1"/>
  <c r="AD1535" i="11" a="1"/>
  <c r="R1535" i="11"/>
  <c r="AP1535" i="11" a="1"/>
  <c r="AL1535" i="11" a="1"/>
  <c r="AH1535" i="11" a="1"/>
  <c r="AD1545" i="11" a="1"/>
  <c r="AH1522" i="11" a="1"/>
  <c r="Z1539" i="11" a="1"/>
  <c r="Z1546" i="11" a="1"/>
  <c r="AP1546" i="11" a="1"/>
  <c r="N1544" i="11"/>
  <c r="O1544" i="11" s="1"/>
  <c r="V1544" i="11" a="1"/>
  <c r="AD1512" i="11" a="1"/>
  <c r="R1522" i="11"/>
  <c r="AH1526" i="11" a="1"/>
  <c r="AD1526" i="11" a="1"/>
  <c r="R1526" i="11"/>
  <c r="AP1541" i="11" a="1"/>
  <c r="Z1541" i="11" a="1"/>
  <c r="AL1541" i="11" a="1"/>
  <c r="AH1542" i="11" a="1"/>
  <c r="AD1542" i="11" a="1"/>
  <c r="R1542" i="11"/>
  <c r="AL1542" i="11" a="1"/>
  <c r="R1544" i="11"/>
  <c r="AP1545" i="11" a="1"/>
  <c r="N1545" i="11"/>
  <c r="O1545" i="11" s="1"/>
  <c r="AP1505" i="11" a="1"/>
  <c r="AD1505" i="11" a="1"/>
  <c r="N1536" i="11"/>
  <c r="O1536" i="11" s="1"/>
  <c r="V1536" i="11" a="1"/>
  <c r="Z1543" i="11" a="1"/>
  <c r="V1543" i="11" a="1"/>
  <c r="AD1543" i="11" a="1"/>
  <c r="R1543" i="11"/>
  <c r="AH1543" i="11" a="1"/>
  <c r="AH1544" i="11" a="1"/>
  <c r="AH1546" i="11" a="1"/>
  <c r="AD1546" i="11" a="1"/>
  <c r="AH1548" i="11" a="1"/>
  <c r="AP1549" i="11" a="1"/>
  <c r="Z1549" i="11" a="1"/>
  <c r="AL1549" i="11" a="1"/>
  <c r="AH1549" i="11" a="1"/>
  <c r="AL1544" i="11" a="1"/>
  <c r="R1546" i="11"/>
  <c r="AP1547" i="11" a="1"/>
  <c r="AL1536" i="11" a="1"/>
  <c r="Z1544" i="11" a="1"/>
  <c r="V1546" i="11" a="1"/>
  <c r="AL1546" i="11" a="1"/>
  <c r="AP1529" i="11" a="1"/>
  <c r="AD1529" i="11" a="1"/>
  <c r="Z1547" i="11" a="1"/>
  <c r="C1294" i="11" l="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AQ1311" i="11"/>
  <c r="AM1311" i="11"/>
  <c r="AI1311" i="11"/>
  <c r="AE1311" i="11"/>
  <c r="AA1311" i="11"/>
  <c r="W1311" i="11"/>
  <c r="U1311" i="11" a="1"/>
  <c r="U1311" i="11" s="1"/>
  <c r="T1311" i="11" a="1"/>
  <c r="T1311" i="11" s="1"/>
  <c r="S1311" i="11"/>
  <c r="Q1311" i="11"/>
  <c r="P1311" i="11"/>
  <c r="V1311" i="11" s="1" a="1"/>
  <c r="M1311" i="11"/>
  <c r="AQ1310" i="11"/>
  <c r="AM1310" i="11"/>
  <c r="AI1310" i="11"/>
  <c r="AE1310" i="11"/>
  <c r="AD1310" i="11" a="1"/>
  <c r="AA1310" i="11"/>
  <c r="W1310" i="11"/>
  <c r="U1310" i="11" a="1"/>
  <c r="U1310" i="11" s="1"/>
  <c r="T1310" i="11" a="1"/>
  <c r="T1310" i="11" s="1"/>
  <c r="S1310" i="11"/>
  <c r="Q1310" i="11"/>
  <c r="R1310" i="11" s="1"/>
  <c r="P1310" i="11"/>
  <c r="AP1310" i="11" s="1" a="1"/>
  <c r="M1310" i="11"/>
  <c r="AQ1309" i="11"/>
  <c r="AM1309" i="11"/>
  <c r="AI1309" i="11"/>
  <c r="AE1309" i="11"/>
  <c r="AA1309" i="11"/>
  <c r="W1309" i="11"/>
  <c r="U1309" i="11" a="1"/>
  <c r="U1309" i="11" s="1"/>
  <c r="T1309" i="11" a="1"/>
  <c r="T1309" i="11" s="1"/>
  <c r="S1309" i="11"/>
  <c r="Q1309" i="11"/>
  <c r="P1309" i="11"/>
  <c r="V1309" i="11" s="1" a="1"/>
  <c r="M1309" i="11"/>
  <c r="AQ1308" i="11"/>
  <c r="AM1308" i="11"/>
  <c r="AI1308" i="11"/>
  <c r="AE1308" i="11"/>
  <c r="AA1308" i="11"/>
  <c r="W1308" i="11"/>
  <c r="U1308" i="11" a="1"/>
  <c r="U1308" i="11" s="1"/>
  <c r="T1308" i="11" a="1"/>
  <c r="T1308" i="11" s="1"/>
  <c r="S1308" i="11"/>
  <c r="Q1308" i="11"/>
  <c r="P1308" i="11"/>
  <c r="AD1308" i="11" s="1" a="1"/>
  <c r="N1308" i="11"/>
  <c r="O1308" i="11" s="1"/>
  <c r="M1308" i="11"/>
  <c r="AQ1307" i="11"/>
  <c r="AM1307" i="11"/>
  <c r="AI1307" i="11"/>
  <c r="AE1307" i="11"/>
  <c r="AA1307" i="11"/>
  <c r="W1307" i="11"/>
  <c r="V1307" i="11" a="1"/>
  <c r="U1307" i="11" a="1"/>
  <c r="U1307" i="11" s="1"/>
  <c r="T1307" i="11" a="1"/>
  <c r="T1307" i="11" s="1"/>
  <c r="S1307" i="11"/>
  <c r="Q1307" i="11"/>
  <c r="P1307" i="11"/>
  <c r="N1307" i="11" s="1"/>
  <c r="O1307" i="11" s="1"/>
  <c r="M1307" i="11"/>
  <c r="AQ1306" i="11"/>
  <c r="AM1306" i="11"/>
  <c r="AI1306" i="11"/>
  <c r="AE1306" i="11"/>
  <c r="AA1306" i="11"/>
  <c r="W1306" i="11"/>
  <c r="U1306" i="11" a="1"/>
  <c r="U1306" i="11" s="1"/>
  <c r="T1306" i="11" a="1"/>
  <c r="T1306" i="11" s="1"/>
  <c r="S1306" i="11"/>
  <c r="Q1306" i="11"/>
  <c r="R1306" i="11" s="1"/>
  <c r="P1306" i="11"/>
  <c r="AH1306" i="11" s="1" a="1"/>
  <c r="M1306" i="11"/>
  <c r="AQ1305" i="11"/>
  <c r="AM1305" i="11"/>
  <c r="AL1305" i="11" a="1"/>
  <c r="AI1305" i="11"/>
  <c r="AE1305" i="11"/>
  <c r="AA1305" i="11"/>
  <c r="W1305" i="11"/>
  <c r="U1305" i="11" a="1"/>
  <c r="U1305" i="11" s="1"/>
  <c r="T1305" i="11" a="1"/>
  <c r="T1305" i="11" s="1"/>
  <c r="S1305" i="11"/>
  <c r="Q1305" i="11"/>
  <c r="P1305" i="11"/>
  <c r="AP1305" i="11" s="1" a="1"/>
  <c r="M1305" i="11"/>
  <c r="AQ1304" i="11"/>
  <c r="AM1304" i="11"/>
  <c r="AI1304" i="11"/>
  <c r="AE1304" i="11"/>
  <c r="AA1304" i="11"/>
  <c r="W1304" i="11"/>
  <c r="U1304" i="11" a="1"/>
  <c r="U1304" i="11" s="1"/>
  <c r="T1304" i="11" a="1"/>
  <c r="T1304" i="11" s="1"/>
  <c r="S1304" i="11"/>
  <c r="Q1304" i="11"/>
  <c r="P1304" i="11"/>
  <c r="Z1304" i="11" s="1" a="1"/>
  <c r="N1304" i="11"/>
  <c r="O1304" i="11" s="1"/>
  <c r="M1304" i="11"/>
  <c r="AQ1303" i="11"/>
  <c r="AM1303" i="11"/>
  <c r="AI1303" i="11"/>
  <c r="AE1303" i="11"/>
  <c r="AA1303" i="11"/>
  <c r="W1303" i="11"/>
  <c r="U1303" i="11" a="1"/>
  <c r="U1303" i="11" s="1"/>
  <c r="T1303" i="11" a="1"/>
  <c r="T1303" i="11" s="1"/>
  <c r="S1303" i="11"/>
  <c r="Q1303" i="11"/>
  <c r="P1303" i="11"/>
  <c r="V1303" i="11" s="1" a="1"/>
  <c r="M1303" i="11"/>
  <c r="AQ1302" i="11"/>
  <c r="AM1302" i="11"/>
  <c r="AI1302" i="11"/>
  <c r="AE1302" i="11"/>
  <c r="AA1302" i="11"/>
  <c r="W1302" i="11"/>
  <c r="U1302" i="11" a="1"/>
  <c r="U1302" i="11" s="1"/>
  <c r="T1302" i="11" a="1"/>
  <c r="T1302" i="11" s="1"/>
  <c r="S1302" i="11"/>
  <c r="Q1302" i="11"/>
  <c r="P1302" i="11"/>
  <c r="AP1302" i="11" s="1" a="1"/>
  <c r="M1302" i="11"/>
  <c r="AQ1301" i="11"/>
  <c r="AM1301" i="11"/>
  <c r="AL1301" i="11" a="1"/>
  <c r="AI1301" i="11"/>
  <c r="AE1301" i="11"/>
  <c r="AA1301" i="11"/>
  <c r="Z1301" i="11" a="1"/>
  <c r="W1301" i="11"/>
  <c r="U1301" i="11" a="1"/>
  <c r="U1301" i="11" s="1"/>
  <c r="T1301" i="11" a="1"/>
  <c r="T1301" i="11" s="1"/>
  <c r="S1301" i="11"/>
  <c r="Q1301" i="11"/>
  <c r="P1301" i="11"/>
  <c r="V1301" i="11" s="1" a="1"/>
  <c r="N1301" i="11"/>
  <c r="O1301" i="11" s="1"/>
  <c r="M1301" i="11"/>
  <c r="AQ1300" i="11"/>
  <c r="AM1300" i="11"/>
  <c r="AI1300" i="11"/>
  <c r="AE1300" i="11"/>
  <c r="AA1300" i="11"/>
  <c r="W1300" i="11"/>
  <c r="U1300" i="11" a="1"/>
  <c r="U1300" i="11" s="1"/>
  <c r="T1300" i="11" a="1"/>
  <c r="T1300" i="11" s="1"/>
  <c r="S1300" i="11"/>
  <c r="Q1300" i="11"/>
  <c r="P1300" i="11"/>
  <c r="AD1300" i="11" s="1" a="1"/>
  <c r="M1300" i="11"/>
  <c r="AQ1299" i="11"/>
  <c r="AP1299" i="11" a="1"/>
  <c r="AM1299" i="11"/>
  <c r="AI1299" i="11"/>
  <c r="AE1299" i="11"/>
  <c r="AA1299" i="11"/>
  <c r="W1299" i="11"/>
  <c r="V1299" i="11" a="1"/>
  <c r="U1299" i="11" a="1"/>
  <c r="U1299" i="11" s="1"/>
  <c r="T1299" i="11" a="1"/>
  <c r="T1299" i="11" s="1"/>
  <c r="S1299" i="11"/>
  <c r="Q1299" i="11"/>
  <c r="P1299" i="11"/>
  <c r="N1299" i="11" s="1"/>
  <c r="O1299" i="11" s="1"/>
  <c r="M1299" i="11"/>
  <c r="AQ1298" i="11"/>
  <c r="AM1298" i="11"/>
  <c r="AL1298" i="11" a="1"/>
  <c r="AI1298" i="11"/>
  <c r="AE1298" i="11"/>
  <c r="AD1298" i="11" a="1"/>
  <c r="AA1298" i="11"/>
  <c r="Z1298" i="11" a="1"/>
  <c r="W1298" i="11"/>
  <c r="V1298" i="11" a="1"/>
  <c r="U1298" i="11" a="1"/>
  <c r="U1298" i="11" s="1"/>
  <c r="T1298" i="11" a="1"/>
  <c r="T1298" i="11" s="1"/>
  <c r="S1298" i="11"/>
  <c r="Q1298" i="11"/>
  <c r="P1298" i="11"/>
  <c r="AH1298" i="11" s="1" a="1"/>
  <c r="M1298" i="11"/>
  <c r="AQ1297" i="11"/>
  <c r="AM1297" i="11"/>
  <c r="AL1297" i="11" a="1"/>
  <c r="AI1297" i="11"/>
  <c r="AH1297" i="11" a="1"/>
  <c r="AE1297" i="11"/>
  <c r="AD1297" i="11" a="1"/>
  <c r="AA1297" i="11"/>
  <c r="Z1297" i="11" a="1"/>
  <c r="W1297" i="11"/>
  <c r="V1297" i="11" a="1"/>
  <c r="U1297" i="11" a="1"/>
  <c r="U1297" i="11" s="1"/>
  <c r="T1297" i="11" a="1"/>
  <c r="T1297" i="11" s="1"/>
  <c r="S1297" i="11"/>
  <c r="Q1297" i="11"/>
  <c r="P1297" i="11"/>
  <c r="AP1297" i="11" s="1" a="1"/>
  <c r="M1297" i="11"/>
  <c r="AQ1296" i="11"/>
  <c r="AP1296" i="11" a="1"/>
  <c r="AM1296" i="11"/>
  <c r="AI1296" i="11"/>
  <c r="AE1296" i="11"/>
  <c r="AA1296" i="11"/>
  <c r="W1296" i="11"/>
  <c r="U1296" i="11" a="1"/>
  <c r="U1296" i="11" s="1"/>
  <c r="T1296" i="11" a="1"/>
  <c r="T1296" i="11" s="1"/>
  <c r="S1296" i="11"/>
  <c r="Q1296" i="11"/>
  <c r="P1296" i="11"/>
  <c r="N1296" i="11" s="1"/>
  <c r="O1296" i="11" s="1"/>
  <c r="M1296" i="11"/>
  <c r="AQ1295" i="11"/>
  <c r="AM1295" i="11"/>
  <c r="AI1295" i="11"/>
  <c r="AE1295" i="11"/>
  <c r="AA1295" i="11"/>
  <c r="W1295" i="11"/>
  <c r="U1295" i="11" a="1"/>
  <c r="U1295" i="11" s="1"/>
  <c r="T1295" i="11" a="1"/>
  <c r="T1295" i="11" s="1"/>
  <c r="S1295" i="11"/>
  <c r="Q1295" i="11"/>
  <c r="P1295" i="11"/>
  <c r="AL1309" i="11" s="1" a="1"/>
  <c r="M1295" i="11"/>
  <c r="AQ1294" i="11"/>
  <c r="AM1294" i="11"/>
  <c r="AI1294" i="11"/>
  <c r="AE1294" i="11"/>
  <c r="AD1294" i="11" a="1"/>
  <c r="AA1294" i="11"/>
  <c r="W1294" i="11"/>
  <c r="U1294" i="11" a="1"/>
  <c r="U1294" i="11" s="1"/>
  <c r="T1294" i="11" a="1"/>
  <c r="T1294" i="11" s="1"/>
  <c r="S1294" i="11"/>
  <c r="Q1294" i="11"/>
  <c r="P1294" i="11"/>
  <c r="AP1294" i="11" s="1" a="1"/>
  <c r="M129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AQ1293" i="11"/>
  <c r="AM1293" i="11"/>
  <c r="AI1293" i="11"/>
  <c r="AE1293" i="11"/>
  <c r="AA1293" i="11"/>
  <c r="W1293" i="11"/>
  <c r="U1293" i="11" a="1"/>
  <c r="U1293" i="11" s="1"/>
  <c r="T1293" i="11" a="1"/>
  <c r="T1293" i="11" s="1"/>
  <c r="S1293" i="11"/>
  <c r="Q1293" i="11"/>
  <c r="P1293" i="11"/>
  <c r="M1293" i="11"/>
  <c r="AQ1292" i="11"/>
  <c r="AM1292" i="11"/>
  <c r="AI1292" i="11"/>
  <c r="AE1292" i="11"/>
  <c r="AA1292" i="11"/>
  <c r="W1292" i="11"/>
  <c r="U1292" i="11" a="1"/>
  <c r="U1292" i="11" s="1"/>
  <c r="T1292" i="11" a="1"/>
  <c r="T1292" i="11" s="1"/>
  <c r="S1292" i="11"/>
  <c r="Q1292" i="11"/>
  <c r="P1292" i="11"/>
  <c r="N1292" i="11" s="1"/>
  <c r="O1292" i="11" s="1"/>
  <c r="M1292" i="11"/>
  <c r="AQ1291" i="11"/>
  <c r="AM1291" i="11"/>
  <c r="AI1291" i="11"/>
  <c r="AE1291" i="11"/>
  <c r="AA1291" i="11"/>
  <c r="W1291" i="11"/>
  <c r="U1291" i="11" a="1"/>
  <c r="U1291" i="11" s="1"/>
  <c r="T1291" i="11" a="1"/>
  <c r="T1291" i="11" s="1"/>
  <c r="S1291" i="11"/>
  <c r="Q1291" i="11"/>
  <c r="P1291" i="11"/>
  <c r="N1291" i="11" s="1"/>
  <c r="O1291" i="11" s="1"/>
  <c r="M1291" i="11"/>
  <c r="AQ1290" i="11"/>
  <c r="AM1290" i="11"/>
  <c r="AI1290" i="11"/>
  <c r="AE1290" i="11"/>
  <c r="AA1290" i="11"/>
  <c r="W1290" i="11"/>
  <c r="U1290" i="11" a="1"/>
  <c r="U1290" i="11" s="1"/>
  <c r="T1290" i="11" a="1"/>
  <c r="T1290" i="11" s="1"/>
  <c r="S1290" i="11"/>
  <c r="Q1290" i="11"/>
  <c r="P1290" i="11"/>
  <c r="M1290" i="11"/>
  <c r="AQ1289" i="11"/>
  <c r="AM1289" i="11"/>
  <c r="AI1289" i="11"/>
  <c r="AE1289" i="11"/>
  <c r="AA1289" i="11"/>
  <c r="W1289" i="11"/>
  <c r="U1289" i="11" a="1"/>
  <c r="U1289" i="11" s="1"/>
  <c r="T1289" i="11" a="1"/>
  <c r="T1289" i="11" s="1"/>
  <c r="S1289" i="11"/>
  <c r="Q1289" i="11"/>
  <c r="P1289" i="11"/>
  <c r="M1289" i="11"/>
  <c r="AQ1288" i="11"/>
  <c r="AM1288" i="11"/>
  <c r="AI1288" i="11"/>
  <c r="AE1288" i="11"/>
  <c r="AA1288" i="11"/>
  <c r="W1288" i="11"/>
  <c r="U1288" i="11" a="1"/>
  <c r="U1288" i="11" s="1"/>
  <c r="T1288" i="11" a="1"/>
  <c r="T1288" i="11" s="1"/>
  <c r="S1288" i="11"/>
  <c r="Q1288" i="11"/>
  <c r="P1288" i="11"/>
  <c r="M1288" i="11"/>
  <c r="AQ1287" i="11"/>
  <c r="AM1287" i="11"/>
  <c r="AI1287" i="11"/>
  <c r="AE1287" i="11"/>
  <c r="AA1287" i="11"/>
  <c r="W1287" i="11"/>
  <c r="U1287" i="11" a="1"/>
  <c r="U1287" i="11" s="1"/>
  <c r="T1287" i="11" a="1"/>
  <c r="T1287" i="11" s="1"/>
  <c r="S1287" i="11"/>
  <c r="Q1287" i="11"/>
  <c r="P1287" i="11"/>
  <c r="M1287" i="11"/>
  <c r="AQ1286" i="11"/>
  <c r="AM1286" i="11"/>
  <c r="AI1286" i="11"/>
  <c r="AE1286" i="11"/>
  <c r="AA1286" i="11"/>
  <c r="W1286" i="11"/>
  <c r="U1286" i="11" a="1"/>
  <c r="U1286" i="11" s="1"/>
  <c r="T1286" i="11" a="1"/>
  <c r="T1286" i="11" s="1"/>
  <c r="S1286" i="11"/>
  <c r="Q1286" i="11"/>
  <c r="P1286" i="11"/>
  <c r="N1286" i="11" s="1"/>
  <c r="O1286" i="11" s="1"/>
  <c r="M1286" i="11"/>
  <c r="AQ1285" i="11"/>
  <c r="AM1285" i="11"/>
  <c r="AI1285" i="11"/>
  <c r="AE1285" i="11"/>
  <c r="AA1285" i="11"/>
  <c r="W1285" i="11"/>
  <c r="U1285" i="11" a="1"/>
  <c r="U1285" i="11" s="1"/>
  <c r="T1285" i="11" a="1"/>
  <c r="T1285" i="11" s="1"/>
  <c r="S1285" i="11"/>
  <c r="Q1285" i="11"/>
  <c r="P1285" i="11"/>
  <c r="N1285" i="11" s="1"/>
  <c r="O1285" i="11" s="1"/>
  <c r="M1285" i="11"/>
  <c r="AQ1284" i="11"/>
  <c r="AM1284" i="11"/>
  <c r="AI1284" i="11"/>
  <c r="AE1284" i="11"/>
  <c r="AA1284" i="11"/>
  <c r="W1284" i="11"/>
  <c r="U1284" i="11" a="1"/>
  <c r="U1284" i="11" s="1"/>
  <c r="T1284" i="11" a="1"/>
  <c r="T1284" i="11" s="1"/>
  <c r="S1284" i="11"/>
  <c r="Q1284" i="11"/>
  <c r="P1284" i="11"/>
  <c r="M1284" i="11"/>
  <c r="AQ1283" i="11"/>
  <c r="AM1283" i="11"/>
  <c r="AI1283" i="11"/>
  <c r="AE1283" i="11"/>
  <c r="AA1283" i="11"/>
  <c r="W1283" i="11"/>
  <c r="U1283" i="11" a="1"/>
  <c r="U1283" i="11" s="1"/>
  <c r="T1283" i="11" a="1"/>
  <c r="T1283" i="11" s="1"/>
  <c r="S1283" i="11"/>
  <c r="Q1283" i="11"/>
  <c r="P1283" i="11"/>
  <c r="N1283" i="11" s="1"/>
  <c r="O1283" i="11" s="1"/>
  <c r="M1283" i="11"/>
  <c r="AQ1282" i="11"/>
  <c r="AM1282" i="11"/>
  <c r="AI1282" i="11"/>
  <c r="AE1282" i="11"/>
  <c r="AA1282" i="11"/>
  <c r="W1282" i="11"/>
  <c r="U1282" i="11" a="1"/>
  <c r="U1282" i="11" s="1"/>
  <c r="T1282" i="11" a="1"/>
  <c r="T1282" i="11" s="1"/>
  <c r="S1282" i="11"/>
  <c r="Q1282" i="11"/>
  <c r="P1282" i="11"/>
  <c r="N1282" i="11" s="1"/>
  <c r="O1282" i="11" s="1"/>
  <c r="M1282" i="11"/>
  <c r="AQ1281" i="11"/>
  <c r="AM1281" i="11"/>
  <c r="AI1281" i="11"/>
  <c r="AE1281" i="11"/>
  <c r="AA1281" i="11"/>
  <c r="W1281" i="11"/>
  <c r="U1281" i="11" a="1"/>
  <c r="U1281" i="11" s="1"/>
  <c r="T1281" i="11" a="1"/>
  <c r="T1281" i="11" s="1"/>
  <c r="S1281" i="11"/>
  <c r="Q1281" i="11"/>
  <c r="P1281" i="11"/>
  <c r="M1281" i="11"/>
  <c r="AQ1280" i="11"/>
  <c r="AM1280" i="11"/>
  <c r="AI1280" i="11"/>
  <c r="AE1280" i="11"/>
  <c r="AA1280" i="11"/>
  <c r="W1280" i="11"/>
  <c r="U1280" i="11" a="1"/>
  <c r="U1280" i="11" s="1"/>
  <c r="T1280" i="11" a="1"/>
  <c r="T1280" i="11" s="1"/>
  <c r="S1280" i="11"/>
  <c r="Q1280" i="11"/>
  <c r="P1280" i="11"/>
  <c r="M1280" i="11"/>
  <c r="AQ1279" i="11"/>
  <c r="AM1279" i="11"/>
  <c r="AI1279" i="11"/>
  <c r="AE1279" i="11"/>
  <c r="AA1279" i="11"/>
  <c r="W1279" i="11"/>
  <c r="U1279" i="11" a="1"/>
  <c r="U1279" i="11" s="1"/>
  <c r="T1279" i="11" a="1"/>
  <c r="T1279" i="11" s="1"/>
  <c r="S1279" i="11"/>
  <c r="Q1279" i="11"/>
  <c r="P1279" i="11"/>
  <c r="M1279" i="11"/>
  <c r="AQ1278" i="11"/>
  <c r="AM1278" i="11"/>
  <c r="AI1278" i="11"/>
  <c r="AE1278" i="11"/>
  <c r="AA1278" i="11"/>
  <c r="W1278" i="11"/>
  <c r="U1278" i="11" a="1"/>
  <c r="U1278" i="11" s="1"/>
  <c r="T1278" i="11" a="1"/>
  <c r="T1278" i="11" s="1"/>
  <c r="S1278" i="11"/>
  <c r="Q1278" i="11"/>
  <c r="P1278" i="11"/>
  <c r="N1278" i="11" s="1"/>
  <c r="O1278" i="11" s="1"/>
  <c r="M1278" i="11"/>
  <c r="AQ1277" i="11"/>
  <c r="AM1277" i="11"/>
  <c r="AI1277" i="11"/>
  <c r="AE1277" i="11"/>
  <c r="AA1277" i="11"/>
  <c r="W1277" i="11"/>
  <c r="U1277" i="11" a="1"/>
  <c r="U1277" i="11" s="1"/>
  <c r="T1277" i="11" a="1"/>
  <c r="T1277" i="11" s="1"/>
  <c r="S1277" i="11"/>
  <c r="Q1277" i="11"/>
  <c r="P1277" i="11"/>
  <c r="N1277" i="11" s="1"/>
  <c r="O1277" i="11" s="1"/>
  <c r="M1277" i="11"/>
  <c r="AQ1276" i="11"/>
  <c r="AM1276" i="11"/>
  <c r="AI1276" i="11"/>
  <c r="AE1276" i="11"/>
  <c r="AA1276" i="11"/>
  <c r="W1276" i="11"/>
  <c r="U1276" i="11" a="1"/>
  <c r="U1276" i="11" s="1"/>
  <c r="T1276" i="11" a="1"/>
  <c r="T1276" i="11" s="1"/>
  <c r="S1276" i="11"/>
  <c r="Q1276" i="11"/>
  <c r="P1276" i="11"/>
  <c r="N1276" i="11" s="1"/>
  <c r="O1276" i="11" s="1"/>
  <c r="M1276" i="11"/>
  <c r="AQ1275" i="11"/>
  <c r="AM1275" i="11"/>
  <c r="AI1275" i="11"/>
  <c r="AE1275" i="11"/>
  <c r="AA1275" i="11"/>
  <c r="W1275" i="11"/>
  <c r="U1275" i="11" a="1"/>
  <c r="U1275" i="11" s="1"/>
  <c r="T1275" i="11" a="1"/>
  <c r="T1275" i="11" s="1"/>
  <c r="S1275" i="11"/>
  <c r="Q1275" i="11"/>
  <c r="P1275" i="11"/>
  <c r="N1275" i="11" s="1"/>
  <c r="O1275" i="11" s="1"/>
  <c r="M1275" i="11"/>
  <c r="AQ1274" i="11"/>
  <c r="AM1274" i="11"/>
  <c r="AI1274" i="11"/>
  <c r="AE1274" i="11"/>
  <c r="AA1274" i="11"/>
  <c r="W1274" i="11"/>
  <c r="U1274" i="11" a="1"/>
  <c r="U1274" i="11" s="1"/>
  <c r="T1274" i="11" a="1"/>
  <c r="T1274" i="11" s="1"/>
  <c r="S1274" i="11"/>
  <c r="Q1274" i="11"/>
  <c r="R1274" i="11" s="1"/>
  <c r="P1274" i="11"/>
  <c r="N1274" i="11" s="1"/>
  <c r="O1274" i="11" s="1"/>
  <c r="M1274" i="11"/>
  <c r="AQ1273" i="11"/>
  <c r="AM1273" i="11"/>
  <c r="AI1273" i="11"/>
  <c r="AE1273" i="11"/>
  <c r="AA1273" i="11"/>
  <c r="W1273" i="11"/>
  <c r="U1273" i="11" a="1"/>
  <c r="U1273" i="11" s="1"/>
  <c r="T1273" i="11" a="1"/>
  <c r="T1273" i="11" s="1"/>
  <c r="S1273" i="11"/>
  <c r="Q1273" i="11"/>
  <c r="P1273" i="11"/>
  <c r="M1273" i="11"/>
  <c r="AQ1272" i="11"/>
  <c r="AM1272" i="11"/>
  <c r="AI1272" i="11"/>
  <c r="AE1272" i="11"/>
  <c r="AA1272" i="11"/>
  <c r="W1272" i="11"/>
  <c r="U1272" i="11" a="1"/>
  <c r="U1272" i="11" s="1"/>
  <c r="T1272" i="11" a="1"/>
  <c r="T1272" i="11" s="1"/>
  <c r="S1272" i="11"/>
  <c r="Q1272" i="11"/>
  <c r="P1272" i="11"/>
  <c r="M1272" i="11"/>
  <c r="AQ1271" i="11"/>
  <c r="AM1271" i="11"/>
  <c r="AI1271" i="11"/>
  <c r="AE1271" i="11"/>
  <c r="AA1271" i="11"/>
  <c r="W1271" i="11"/>
  <c r="U1271" i="11" a="1"/>
  <c r="U1271" i="11" s="1"/>
  <c r="T1271" i="11" a="1"/>
  <c r="T1271" i="11" s="1"/>
  <c r="S1271" i="11"/>
  <c r="Q1271" i="11"/>
  <c r="P1271" i="11"/>
  <c r="M1271" i="11"/>
  <c r="AQ1270" i="11"/>
  <c r="AM1270" i="11"/>
  <c r="AI1270" i="11"/>
  <c r="AE1270" i="11"/>
  <c r="AA1270" i="11"/>
  <c r="W1270" i="11"/>
  <c r="U1270" i="11" a="1"/>
  <c r="U1270" i="11" s="1"/>
  <c r="T1270" i="11" a="1"/>
  <c r="T1270" i="11" s="1"/>
  <c r="S1270" i="11"/>
  <c r="Q1270" i="11"/>
  <c r="P1270" i="11"/>
  <c r="N1270" i="11" s="1"/>
  <c r="O1270" i="11" s="1"/>
  <c r="M1270" i="11"/>
  <c r="AQ1269" i="11"/>
  <c r="AM1269" i="11"/>
  <c r="AI1269" i="11"/>
  <c r="AE1269" i="11"/>
  <c r="AA1269" i="11"/>
  <c r="W1269" i="11"/>
  <c r="U1269" i="11" a="1"/>
  <c r="U1269" i="11" s="1"/>
  <c r="T1269" i="11" a="1"/>
  <c r="T1269" i="11" s="1"/>
  <c r="S1269" i="11"/>
  <c r="Q1269" i="11"/>
  <c r="P1269" i="11"/>
  <c r="N1269" i="11" s="1"/>
  <c r="O1269" i="11" s="1"/>
  <c r="M1269" i="11"/>
  <c r="AQ1268" i="11"/>
  <c r="AM1268" i="11"/>
  <c r="AI1268" i="11"/>
  <c r="AE1268" i="11"/>
  <c r="AA1268" i="11"/>
  <c r="W1268" i="11"/>
  <c r="U1268" i="11" a="1"/>
  <c r="U1268" i="11" s="1"/>
  <c r="T1268" i="11" a="1"/>
  <c r="T1268" i="11" s="1"/>
  <c r="S1268" i="11"/>
  <c r="Q1268" i="11"/>
  <c r="P1268" i="11"/>
  <c r="N1268" i="11" s="1"/>
  <c r="O1268" i="11" s="1"/>
  <c r="M1268" i="11"/>
  <c r="AQ1267" i="11"/>
  <c r="AM1267" i="11"/>
  <c r="AI1267" i="11"/>
  <c r="AE1267" i="11"/>
  <c r="AA1267" i="11"/>
  <c r="W1267" i="11"/>
  <c r="U1267" i="11" a="1"/>
  <c r="U1267" i="11" s="1"/>
  <c r="T1267" i="11" a="1"/>
  <c r="T1267" i="11" s="1"/>
  <c r="S1267" i="11"/>
  <c r="Q1267" i="11"/>
  <c r="P1267" i="11"/>
  <c r="M1267" i="11"/>
  <c r="AQ1266" i="11"/>
  <c r="AM1266" i="11"/>
  <c r="AI1266" i="11"/>
  <c r="AE1266" i="11"/>
  <c r="AA1266" i="11"/>
  <c r="W1266" i="11"/>
  <c r="U1266" i="11" a="1"/>
  <c r="U1266" i="11" s="1"/>
  <c r="T1266" i="11" a="1"/>
  <c r="T1266" i="11" s="1"/>
  <c r="S1266" i="11"/>
  <c r="Q1266" i="11"/>
  <c r="P1266" i="11"/>
  <c r="N1266" i="11"/>
  <c r="O1266" i="11" s="1"/>
  <c r="M1266" i="11"/>
  <c r="AQ1265" i="11"/>
  <c r="AM1265" i="11"/>
  <c r="AI1265" i="11"/>
  <c r="AE1265" i="11"/>
  <c r="AA1265" i="11"/>
  <c r="W1265" i="11"/>
  <c r="U1265" i="11" a="1"/>
  <c r="U1265" i="11" s="1"/>
  <c r="T1265" i="11" a="1"/>
  <c r="T1265" i="11" s="1"/>
  <c r="S1265" i="11"/>
  <c r="Q1265" i="11"/>
  <c r="P1265" i="11"/>
  <c r="M1265" i="11"/>
  <c r="AQ1264" i="11"/>
  <c r="AM1264" i="11"/>
  <c r="AI1264" i="11"/>
  <c r="AE1264" i="11"/>
  <c r="AA1264" i="11"/>
  <c r="W1264" i="11"/>
  <c r="U1264" i="11" a="1"/>
  <c r="U1264" i="11" s="1"/>
  <c r="T1264" i="11" a="1"/>
  <c r="T1264" i="11" s="1"/>
  <c r="S1264" i="11"/>
  <c r="Q1264" i="11"/>
  <c r="P1264" i="11"/>
  <c r="M1264" i="11"/>
  <c r="AQ1263" i="11"/>
  <c r="AM1263" i="11"/>
  <c r="AI1263" i="11"/>
  <c r="AE1263" i="11"/>
  <c r="AA1263" i="11"/>
  <c r="W1263" i="11"/>
  <c r="U1263" i="11" a="1"/>
  <c r="U1263" i="11" s="1"/>
  <c r="T1263" i="11" a="1"/>
  <c r="T1263" i="11" s="1"/>
  <c r="S1263" i="11"/>
  <c r="Q1263" i="11"/>
  <c r="P1263" i="11"/>
  <c r="M1263" i="11"/>
  <c r="AQ1262" i="11"/>
  <c r="AM1262" i="11"/>
  <c r="AI1262" i="11"/>
  <c r="AE1262" i="11"/>
  <c r="AA1262" i="11"/>
  <c r="W1262" i="11"/>
  <c r="U1262" i="11" a="1"/>
  <c r="U1262" i="11" s="1"/>
  <c r="T1262" i="11" a="1"/>
  <c r="T1262" i="11" s="1"/>
  <c r="S1262" i="11"/>
  <c r="Q1262" i="11"/>
  <c r="P1262" i="11"/>
  <c r="M1262" i="11"/>
  <c r="AQ1261" i="11"/>
  <c r="AM1261" i="11"/>
  <c r="AI1261" i="11"/>
  <c r="AE1261" i="11"/>
  <c r="AA1261" i="11"/>
  <c r="W1261" i="11"/>
  <c r="U1261" i="11" a="1"/>
  <c r="U1261" i="11" s="1"/>
  <c r="T1261" i="11" a="1"/>
  <c r="T1261" i="11" s="1"/>
  <c r="S1261" i="11"/>
  <c r="Q1261" i="11"/>
  <c r="P1261" i="11"/>
  <c r="N1261" i="11" s="1"/>
  <c r="O1261" i="11" s="1"/>
  <c r="M1261" i="11"/>
  <c r="AQ1260" i="11"/>
  <c r="AM1260" i="11"/>
  <c r="AI1260" i="11"/>
  <c r="AE1260" i="11"/>
  <c r="AA1260" i="11"/>
  <c r="W1260" i="11"/>
  <c r="U1260" i="11" a="1"/>
  <c r="U1260" i="11" s="1"/>
  <c r="T1260" i="11" a="1"/>
  <c r="T1260" i="11" s="1"/>
  <c r="S1260" i="11"/>
  <c r="Q1260" i="11"/>
  <c r="P1260" i="11"/>
  <c r="N1260" i="11" s="1"/>
  <c r="O1260" i="11" s="1"/>
  <c r="M1260" i="11"/>
  <c r="AQ1259" i="11"/>
  <c r="AM1259" i="11"/>
  <c r="AI1259" i="11"/>
  <c r="AE1259" i="11"/>
  <c r="AA1259" i="11"/>
  <c r="W1259" i="11"/>
  <c r="U1259" i="11" a="1"/>
  <c r="U1259" i="11" s="1"/>
  <c r="T1259" i="11" a="1"/>
  <c r="T1259" i="11" s="1"/>
  <c r="S1259" i="11"/>
  <c r="Q1259" i="11"/>
  <c r="P1259" i="11"/>
  <c r="N1259" i="11"/>
  <c r="O1259" i="11" s="1"/>
  <c r="M1259" i="11"/>
  <c r="AQ1258" i="11"/>
  <c r="AM1258" i="11"/>
  <c r="AI1258" i="11"/>
  <c r="AE1258" i="11"/>
  <c r="AA1258" i="11"/>
  <c r="W1258" i="11"/>
  <c r="U1258" i="11" a="1"/>
  <c r="U1258" i="11" s="1"/>
  <c r="T1258" i="11" a="1"/>
  <c r="T1258" i="11" s="1"/>
  <c r="S1258" i="11"/>
  <c r="Q1258" i="11"/>
  <c r="P1258" i="11"/>
  <c r="N1258" i="11" s="1"/>
  <c r="O1258" i="11" s="1"/>
  <c r="M1258" i="11"/>
  <c r="AQ1257" i="11"/>
  <c r="AM1257" i="11"/>
  <c r="AI1257" i="11"/>
  <c r="AE1257" i="11"/>
  <c r="AA1257" i="11"/>
  <c r="W1257" i="11"/>
  <c r="U1257" i="11" a="1"/>
  <c r="U1257" i="11" s="1"/>
  <c r="T1257" i="11" a="1"/>
  <c r="T1257" i="11" s="1"/>
  <c r="S1257" i="11"/>
  <c r="Q1257" i="11"/>
  <c r="P1257" i="11"/>
  <c r="M1257" i="11"/>
  <c r="AQ1256" i="11"/>
  <c r="AM1256" i="11"/>
  <c r="AI1256" i="11"/>
  <c r="AE1256" i="11"/>
  <c r="AA1256" i="11"/>
  <c r="W1256" i="11"/>
  <c r="U1256" i="11" a="1"/>
  <c r="U1256" i="11" s="1"/>
  <c r="T1256" i="11" a="1"/>
  <c r="T1256" i="11" s="1"/>
  <c r="S1256" i="11"/>
  <c r="Q1256" i="11"/>
  <c r="P1256" i="11"/>
  <c r="M1256" i="11"/>
  <c r="AQ1255" i="11"/>
  <c r="AM1255" i="11"/>
  <c r="AI1255" i="11"/>
  <c r="AE1255" i="11"/>
  <c r="AA1255" i="11"/>
  <c r="W1255" i="11"/>
  <c r="U1255" i="11" a="1"/>
  <c r="U1255" i="11" s="1"/>
  <c r="T1255" i="11" a="1"/>
  <c r="T1255" i="11" s="1"/>
  <c r="S1255" i="11"/>
  <c r="Q1255" i="11"/>
  <c r="P1255" i="11"/>
  <c r="M1255" i="11"/>
  <c r="AQ1254" i="11"/>
  <c r="AM1254" i="11"/>
  <c r="AI1254" i="11"/>
  <c r="AE1254" i="11"/>
  <c r="AA1254" i="11"/>
  <c r="W1254" i="11"/>
  <c r="U1254" i="11" a="1"/>
  <c r="U1254" i="11" s="1"/>
  <c r="T1254" i="11" a="1"/>
  <c r="T1254" i="11" s="1"/>
  <c r="S1254" i="11"/>
  <c r="Q1254" i="11"/>
  <c r="P1254" i="11"/>
  <c r="N1254" i="11" s="1"/>
  <c r="O1254" i="11" s="1"/>
  <c r="M1254" i="11"/>
  <c r="AQ1253" i="11"/>
  <c r="AM1253" i="11"/>
  <c r="AI1253" i="11"/>
  <c r="AE1253" i="11"/>
  <c r="AA1253" i="11"/>
  <c r="W1253" i="11"/>
  <c r="U1253" i="11" a="1"/>
  <c r="U1253" i="11" s="1"/>
  <c r="T1253" i="11" a="1"/>
  <c r="T1253" i="11" s="1"/>
  <c r="S1253" i="11"/>
  <c r="Q1253" i="11"/>
  <c r="P1253" i="11"/>
  <c r="N1253" i="11" s="1"/>
  <c r="O1253" i="11" s="1"/>
  <c r="M1253" i="11"/>
  <c r="AQ1252" i="11"/>
  <c r="AM1252" i="11"/>
  <c r="AI1252" i="11"/>
  <c r="AE1252" i="11"/>
  <c r="AA1252" i="11"/>
  <c r="W1252" i="11"/>
  <c r="U1252" i="11" a="1"/>
  <c r="U1252" i="11" s="1"/>
  <c r="T1252" i="11" a="1"/>
  <c r="T1252" i="11" s="1"/>
  <c r="S1252" i="11"/>
  <c r="Q1252" i="11"/>
  <c r="P1252" i="11"/>
  <c r="N1252" i="11" s="1"/>
  <c r="O1252" i="11" s="1"/>
  <c r="M1252" i="11"/>
  <c r="AQ1251" i="11"/>
  <c r="AM1251" i="11"/>
  <c r="AI1251" i="11"/>
  <c r="AE1251" i="11"/>
  <c r="AA1251" i="11"/>
  <c r="W1251" i="11"/>
  <c r="U1251" i="11" a="1"/>
  <c r="U1251" i="11" s="1"/>
  <c r="T1251" i="11" a="1"/>
  <c r="T1251" i="11" s="1"/>
  <c r="S1251" i="11"/>
  <c r="Q1251" i="11"/>
  <c r="P1251" i="11"/>
  <c r="N1251" i="11" s="1"/>
  <c r="O1251" i="11" s="1"/>
  <c r="M1251" i="11"/>
  <c r="AQ1250" i="11"/>
  <c r="AM1250" i="11"/>
  <c r="AI1250" i="11"/>
  <c r="AE1250" i="11"/>
  <c r="AA1250" i="11"/>
  <c r="W1250" i="11"/>
  <c r="U1250" i="11" a="1"/>
  <c r="U1250" i="11" s="1"/>
  <c r="T1250" i="11" a="1"/>
  <c r="T1250" i="11" s="1"/>
  <c r="S1250" i="11"/>
  <c r="Q1250" i="11"/>
  <c r="P1250" i="11"/>
  <c r="N1250" i="11" s="1"/>
  <c r="O1250" i="11" s="1"/>
  <c r="M1250" i="11"/>
  <c r="AQ1249" i="11"/>
  <c r="AM1249" i="11"/>
  <c r="AI1249" i="11"/>
  <c r="AE1249" i="11"/>
  <c r="AA1249" i="11"/>
  <c r="W1249" i="11"/>
  <c r="U1249" i="11" a="1"/>
  <c r="U1249" i="11" s="1"/>
  <c r="T1249" i="11" a="1"/>
  <c r="T1249" i="11" s="1"/>
  <c r="S1249" i="11"/>
  <c r="Q1249" i="11"/>
  <c r="P1249" i="11"/>
  <c r="M1249" i="11"/>
  <c r="AQ1248" i="11"/>
  <c r="AM1248" i="11"/>
  <c r="AI1248" i="11"/>
  <c r="AE1248" i="11"/>
  <c r="AA1248" i="11"/>
  <c r="W1248" i="11"/>
  <c r="U1248" i="11" a="1"/>
  <c r="U1248" i="11" s="1"/>
  <c r="T1248" i="11" a="1"/>
  <c r="T1248" i="11" s="1"/>
  <c r="S1248" i="11"/>
  <c r="Q1248" i="11"/>
  <c r="P1248" i="11"/>
  <c r="N1248" i="11" s="1"/>
  <c r="O1248" i="11" s="1"/>
  <c r="M1248" i="11"/>
  <c r="AQ1247" i="11"/>
  <c r="AM1247" i="11"/>
  <c r="AI1247" i="11"/>
  <c r="AE1247" i="11"/>
  <c r="AA1247" i="11"/>
  <c r="W1247" i="11"/>
  <c r="U1247" i="11" a="1"/>
  <c r="U1247" i="11" s="1"/>
  <c r="T1247" i="11" a="1"/>
  <c r="T1247" i="11" s="1"/>
  <c r="S1247" i="11"/>
  <c r="Q1247" i="11"/>
  <c r="P1247" i="11"/>
  <c r="N1247" i="11" s="1"/>
  <c r="O1247" i="11" s="1"/>
  <c r="M1247" i="11"/>
  <c r="AQ1246" i="11"/>
  <c r="AM1246" i="11"/>
  <c r="AI1246" i="11"/>
  <c r="AE1246" i="11"/>
  <c r="AA1246" i="11"/>
  <c r="W1246" i="11"/>
  <c r="U1246" i="11" a="1"/>
  <c r="U1246" i="11" s="1"/>
  <c r="T1246" i="11" a="1"/>
  <c r="T1246" i="11" s="1"/>
  <c r="S1246" i="11"/>
  <c r="Q1246" i="11"/>
  <c r="P1246" i="11"/>
  <c r="N1246" i="11" s="1"/>
  <c r="O1246" i="11" s="1"/>
  <c r="M1246" i="11"/>
  <c r="AQ1245" i="11"/>
  <c r="AM1245" i="11"/>
  <c r="AI1245" i="11"/>
  <c r="AE1245" i="11"/>
  <c r="AA1245" i="11"/>
  <c r="W1245" i="11"/>
  <c r="U1245" i="11" a="1"/>
  <c r="U1245" i="11" s="1"/>
  <c r="T1245" i="11" a="1"/>
  <c r="T1245" i="11" s="1"/>
  <c r="S1245" i="11"/>
  <c r="Q1245" i="11"/>
  <c r="P1245" i="11"/>
  <c r="N1245" i="11" s="1"/>
  <c r="O1245" i="11" s="1"/>
  <c r="M1245" i="11"/>
  <c r="AQ1244" i="11"/>
  <c r="AM1244" i="11"/>
  <c r="AI1244" i="11"/>
  <c r="AE1244" i="11"/>
  <c r="AA1244" i="11"/>
  <c r="W1244" i="11"/>
  <c r="U1244" i="11" a="1"/>
  <c r="U1244" i="11" s="1"/>
  <c r="T1244" i="11" a="1"/>
  <c r="T1244" i="11" s="1"/>
  <c r="S1244" i="11"/>
  <c r="Q1244" i="11"/>
  <c r="P1244" i="11"/>
  <c r="N1244" i="11" s="1"/>
  <c r="O1244" i="11" s="1"/>
  <c r="M1244" i="11"/>
  <c r="AQ1243" i="11"/>
  <c r="AM1243" i="11"/>
  <c r="AI1243" i="11"/>
  <c r="AE1243" i="11"/>
  <c r="AA1243" i="11"/>
  <c r="W1243" i="11"/>
  <c r="U1243" i="11" a="1"/>
  <c r="U1243" i="11" s="1"/>
  <c r="T1243" i="11" a="1"/>
  <c r="T1243" i="11" s="1"/>
  <c r="S1243" i="11"/>
  <c r="Q1243" i="11"/>
  <c r="P1243" i="11"/>
  <c r="M1243" i="11"/>
  <c r="AQ1242" i="11"/>
  <c r="AM1242" i="11"/>
  <c r="AI1242" i="11"/>
  <c r="AE1242" i="11"/>
  <c r="AA1242" i="11"/>
  <c r="W1242" i="11"/>
  <c r="U1242" i="11" a="1"/>
  <c r="U1242" i="11" s="1"/>
  <c r="T1242" i="11" a="1"/>
  <c r="T1242" i="11" s="1"/>
  <c r="S1242" i="11"/>
  <c r="Q1242" i="11"/>
  <c r="P1242" i="11"/>
  <c r="N1242" i="11" s="1"/>
  <c r="O1242" i="11" s="1"/>
  <c r="M1242" i="11"/>
  <c r="AQ1241" i="11"/>
  <c r="AM1241" i="11"/>
  <c r="AI1241" i="11"/>
  <c r="AE1241" i="11"/>
  <c r="AA1241" i="11"/>
  <c r="W1241" i="11"/>
  <c r="U1241" i="11" a="1"/>
  <c r="U1241" i="11" s="1"/>
  <c r="T1241" i="11" a="1"/>
  <c r="T1241" i="11" s="1"/>
  <c r="S1241" i="11"/>
  <c r="Q1241" i="11"/>
  <c r="P1241" i="11"/>
  <c r="M1241" i="11"/>
  <c r="AQ1240" i="11"/>
  <c r="AM1240" i="11"/>
  <c r="AI1240" i="11"/>
  <c r="AE1240" i="11"/>
  <c r="AA1240" i="11"/>
  <c r="W1240" i="11"/>
  <c r="U1240" i="11" a="1"/>
  <c r="U1240" i="11" s="1"/>
  <c r="T1240" i="11" a="1"/>
  <c r="T1240" i="11" s="1"/>
  <c r="S1240" i="11"/>
  <c r="Q1240" i="11"/>
  <c r="P1240" i="11"/>
  <c r="N1240" i="11" s="1"/>
  <c r="O1240" i="11" s="1"/>
  <c r="M1240" i="11"/>
  <c r="AQ1239" i="11"/>
  <c r="AM1239" i="11"/>
  <c r="AI1239" i="11"/>
  <c r="AE1239" i="11"/>
  <c r="AA1239" i="11"/>
  <c r="W1239" i="11"/>
  <c r="U1239" i="11" a="1"/>
  <c r="U1239" i="11" s="1"/>
  <c r="T1239" i="11" a="1"/>
  <c r="T1239" i="11" s="1"/>
  <c r="S1239" i="11"/>
  <c r="Q1239" i="11"/>
  <c r="P1239" i="11"/>
  <c r="N1239" i="11" s="1"/>
  <c r="O1239" i="11" s="1"/>
  <c r="M1239" i="11"/>
  <c r="AQ1238" i="11"/>
  <c r="AM1238" i="11"/>
  <c r="AI1238" i="11"/>
  <c r="AE1238" i="11"/>
  <c r="AA1238" i="11"/>
  <c r="W1238" i="11"/>
  <c r="U1238" i="11" a="1"/>
  <c r="U1238" i="11" s="1"/>
  <c r="T1238" i="11" a="1"/>
  <c r="T1238" i="11" s="1"/>
  <c r="S1238" i="11"/>
  <c r="Q1238" i="11"/>
  <c r="P1238" i="11"/>
  <c r="N1238" i="11" s="1"/>
  <c r="O1238" i="11" s="1"/>
  <c r="M1238" i="11"/>
  <c r="AQ1237" i="11"/>
  <c r="AM1237" i="11"/>
  <c r="AI1237" i="11"/>
  <c r="AE1237" i="11"/>
  <c r="AA1237" i="11"/>
  <c r="W1237" i="11"/>
  <c r="U1237" i="11" a="1"/>
  <c r="U1237" i="11" s="1"/>
  <c r="T1237" i="11" a="1"/>
  <c r="T1237" i="11" s="1"/>
  <c r="S1237" i="11"/>
  <c r="Q1237" i="11"/>
  <c r="P1237" i="11"/>
  <c r="N1237" i="11" s="1"/>
  <c r="O1237" i="11" s="1"/>
  <c r="M1237" i="11"/>
  <c r="AQ1236" i="11"/>
  <c r="AM1236" i="11"/>
  <c r="AI1236" i="11"/>
  <c r="AE1236" i="11"/>
  <c r="AA1236" i="11"/>
  <c r="W1236" i="11"/>
  <c r="U1236" i="11" a="1"/>
  <c r="U1236" i="11" s="1"/>
  <c r="T1236" i="11" a="1"/>
  <c r="T1236" i="11" s="1"/>
  <c r="S1236" i="11"/>
  <c r="Q1236" i="11"/>
  <c r="P1236" i="11"/>
  <c r="M1236" i="11"/>
  <c r="AQ1235" i="11"/>
  <c r="AM1235" i="11"/>
  <c r="AI1235" i="11"/>
  <c r="AE1235" i="11"/>
  <c r="AA1235" i="11"/>
  <c r="W1235" i="11"/>
  <c r="U1235" i="11" a="1"/>
  <c r="U1235" i="11" s="1"/>
  <c r="T1235" i="11" a="1"/>
  <c r="T1235" i="11" s="1"/>
  <c r="S1235" i="11"/>
  <c r="Q1235" i="11"/>
  <c r="P1235" i="11"/>
  <c r="N1235" i="11" s="1"/>
  <c r="O1235" i="11" s="1"/>
  <c r="M1235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C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R1245" i="11" l="1"/>
  <c r="R1283" i="11"/>
  <c r="N1297" i="11"/>
  <c r="O1297" i="11" s="1"/>
  <c r="N1309" i="11"/>
  <c r="O1309" i="11" s="1"/>
  <c r="R1297" i="11"/>
  <c r="R1298" i="11"/>
  <c r="R1237" i="11"/>
  <c r="R1276" i="11"/>
  <c r="R1302" i="11"/>
  <c r="N1306" i="11"/>
  <c r="O1306" i="11" s="1"/>
  <c r="R1308" i="11"/>
  <c r="N1298" i="11"/>
  <c r="O1298" i="11" s="1"/>
  <c r="N1305" i="11"/>
  <c r="O1305" i="11" s="1"/>
  <c r="R1258" i="11"/>
  <c r="R1268" i="11"/>
  <c r="R1275" i="11"/>
  <c r="N1310" i="11"/>
  <c r="O1310" i="11" s="1"/>
  <c r="R1305" i="11"/>
  <c r="R1239" i="11"/>
  <c r="R1289" i="11"/>
  <c r="R1294" i="11"/>
  <c r="N1300" i="11"/>
  <c r="O1300" i="11" s="1"/>
  <c r="R1284" i="11"/>
  <c r="AH1300" i="11" a="1"/>
  <c r="AP1307" i="11" a="1"/>
  <c r="AH1308" i="11" a="1"/>
  <c r="Z1309" i="11" a="1"/>
  <c r="R1299" i="11"/>
  <c r="AD1299" i="11" a="1"/>
  <c r="V1300" i="11" a="1"/>
  <c r="AL1306" i="11" a="1"/>
  <c r="R1307" i="11"/>
  <c r="AD1307" i="11" a="1"/>
  <c r="V1308" i="11" a="1"/>
  <c r="AP1304" i="11" a="1"/>
  <c r="AH1305" i="11" a="1"/>
  <c r="Z1306" i="11" a="1"/>
  <c r="AL1295" i="11" a="1"/>
  <c r="R1296" i="11"/>
  <c r="AD1296" i="11" a="1"/>
  <c r="AL1303" i="11" a="1"/>
  <c r="R1304" i="11"/>
  <c r="AD1304" i="11" a="1"/>
  <c r="V1305" i="11" a="1"/>
  <c r="AL1311" i="11" a="1"/>
  <c r="AH1294" i="11" a="1"/>
  <c r="Z1295" i="11" a="1"/>
  <c r="AP1301" i="11" a="1"/>
  <c r="AH1302" i="11" a="1"/>
  <c r="Z1303" i="11" a="1"/>
  <c r="AP1309" i="11" a="1"/>
  <c r="AH1310" i="11" a="1"/>
  <c r="Z1311" i="11" a="1"/>
  <c r="V1294" i="11" a="1"/>
  <c r="N1295" i="11"/>
  <c r="O1295" i="11" s="1"/>
  <c r="AL1300" i="11" a="1"/>
  <c r="R1301" i="11"/>
  <c r="AD1301" i="11" a="1"/>
  <c r="V1302" i="11" a="1"/>
  <c r="N1303" i="11"/>
  <c r="O1303" i="11" s="1"/>
  <c r="AL1308" i="11" a="1"/>
  <c r="R1309" i="11"/>
  <c r="AD1309" i="11" a="1"/>
  <c r="V1310" i="11" a="1"/>
  <c r="N1311" i="11"/>
  <c r="O1311" i="11" s="1"/>
  <c r="AP1298" i="11" a="1"/>
  <c r="AH1299" i="11" a="1"/>
  <c r="Z1300" i="11" a="1"/>
  <c r="AP1306" i="11" a="1"/>
  <c r="AH1307" i="11" a="1"/>
  <c r="Z1308" i="11" a="1"/>
  <c r="AP1295" i="11" a="1"/>
  <c r="AH1296" i="11" a="1"/>
  <c r="AP1303" i="11" a="1"/>
  <c r="AH1304" i="11" a="1"/>
  <c r="Z1305" i="11" a="1"/>
  <c r="AP1311" i="11" a="1"/>
  <c r="AD1306" i="11" a="1"/>
  <c r="AL1294" i="11" a="1"/>
  <c r="R1295" i="11"/>
  <c r="AD1295" i="11" a="1"/>
  <c r="V1296" i="11" a="1"/>
  <c r="AL1302" i="11" a="1"/>
  <c r="R1303" i="11"/>
  <c r="AD1303" i="11" a="1"/>
  <c r="V1304" i="11" a="1"/>
  <c r="AL1310" i="11" a="1"/>
  <c r="R1311" i="11"/>
  <c r="AD1311" i="11" a="1"/>
  <c r="Z1294" i="11" a="1"/>
  <c r="AP1300" i="11" a="1"/>
  <c r="AH1301" i="11" a="1"/>
  <c r="Z1302" i="11" a="1"/>
  <c r="AP1308" i="11" a="1"/>
  <c r="AH1309" i="11" a="1"/>
  <c r="Z1310" i="11" a="1"/>
  <c r="N1294" i="11"/>
  <c r="O1294" i="11" s="1"/>
  <c r="AL1299" i="11" a="1"/>
  <c r="R1300" i="11"/>
  <c r="N1302" i="11"/>
  <c r="O1302" i="11" s="1"/>
  <c r="AL1307" i="11" a="1"/>
  <c r="Z1299" i="11" a="1"/>
  <c r="Z1307" i="11" a="1"/>
  <c r="AL1296" i="11" a="1"/>
  <c r="AL1304" i="11" a="1"/>
  <c r="AD1305" i="11" a="1"/>
  <c r="V1306" i="11" a="1"/>
  <c r="AH1295" i="11" a="1"/>
  <c r="Z1296" i="11" a="1"/>
  <c r="AH1303" i="11" a="1"/>
  <c r="AH1311" i="11" a="1"/>
  <c r="V1295" i="11" a="1"/>
  <c r="AD1302" i="11" a="1"/>
  <c r="R1259" i="11"/>
  <c r="R1290" i="11"/>
  <c r="R1267" i="11"/>
  <c r="R1266" i="11"/>
  <c r="R1280" i="11"/>
  <c r="R1292" i="11"/>
  <c r="R1291" i="11"/>
  <c r="R1246" i="11"/>
  <c r="R1282" i="11"/>
  <c r="R1236" i="11"/>
  <c r="N1267" i="11"/>
  <c r="O1267" i="11" s="1"/>
  <c r="N1284" i="11"/>
  <c r="O1284" i="11" s="1"/>
  <c r="N1290" i="11"/>
  <c r="O1290" i="11" s="1"/>
  <c r="R1244" i="11"/>
  <c r="R1260" i="11"/>
  <c r="R1238" i="11"/>
  <c r="R1252" i="11"/>
  <c r="R1262" i="11"/>
  <c r="R1253" i="11"/>
  <c r="R1286" i="11"/>
  <c r="N1257" i="11"/>
  <c r="O1257" i="11" s="1"/>
  <c r="N1272" i="11"/>
  <c r="O1272" i="11" s="1"/>
  <c r="R1277" i="11"/>
  <c r="N1236" i="11"/>
  <c r="O1236" i="11" s="1"/>
  <c r="R1242" i="11"/>
  <c r="R1250" i="11"/>
  <c r="R1263" i="11"/>
  <c r="N1263" i="11"/>
  <c r="O1263" i="11" s="1"/>
  <c r="N1281" i="11"/>
  <c r="O1281" i="11" s="1"/>
  <c r="R1257" i="11"/>
  <c r="R1272" i="11"/>
  <c r="R1287" i="11"/>
  <c r="N1287" i="11"/>
  <c r="O1287" i="11" s="1"/>
  <c r="R1293" i="11"/>
  <c r="N1293" i="11"/>
  <c r="O1293" i="11" s="1"/>
  <c r="N1241" i="11"/>
  <c r="O1241" i="11" s="1"/>
  <c r="R1247" i="11"/>
  <c r="N1249" i="11"/>
  <c r="O1249" i="11" s="1"/>
  <c r="R1254" i="11"/>
  <c r="R1281" i="11"/>
  <c r="R1278" i="11"/>
  <c r="N1264" i="11"/>
  <c r="O1264" i="11" s="1"/>
  <c r="R1269" i="11"/>
  <c r="R1255" i="11"/>
  <c r="N1255" i="11"/>
  <c r="O1255" i="11" s="1"/>
  <c r="N1273" i="11"/>
  <c r="O1273" i="11" s="1"/>
  <c r="N1288" i="11"/>
  <c r="O1288" i="11" s="1"/>
  <c r="R1241" i="11"/>
  <c r="N1243" i="11"/>
  <c r="O1243" i="11" s="1"/>
  <c r="R1249" i="11"/>
  <c r="R1264" i="11"/>
  <c r="R1279" i="11"/>
  <c r="N1279" i="11"/>
  <c r="O1279" i="11" s="1"/>
  <c r="R1273" i="11"/>
  <c r="R1288" i="11"/>
  <c r="R1270" i="11"/>
  <c r="N1256" i="11"/>
  <c r="O1256" i="11" s="1"/>
  <c r="R1261" i="11"/>
  <c r="R1235" i="11"/>
  <c r="R1243" i="11"/>
  <c r="R1251" i="11"/>
  <c r="N1265" i="11"/>
  <c r="O1265" i="11" s="1"/>
  <c r="N1280" i="11"/>
  <c r="O1280" i="11" s="1"/>
  <c r="R1285" i="11"/>
  <c r="R1256" i="11"/>
  <c r="R1271" i="11"/>
  <c r="N1271" i="11"/>
  <c r="O1271" i="11" s="1"/>
  <c r="R1240" i="11"/>
  <c r="R1248" i="11"/>
  <c r="N1262" i="11"/>
  <c r="O1262" i="11" s="1"/>
  <c r="R1265" i="11"/>
  <c r="N1289" i="11"/>
  <c r="O1289" i="11" s="1"/>
  <c r="N29" i="13"/>
  <c r="M29" i="13"/>
  <c r="I29" i="13"/>
  <c r="N28" i="13"/>
  <c r="M28" i="13"/>
  <c r="I28" i="13"/>
  <c r="N27" i="13"/>
  <c r="M27" i="13"/>
  <c r="I27" i="13"/>
  <c r="N26" i="13"/>
  <c r="M26" i="13"/>
  <c r="I26" i="13"/>
  <c r="N25" i="13"/>
  <c r="M25" i="13"/>
  <c r="I25" i="13"/>
  <c r="N24" i="13"/>
  <c r="M24" i="13"/>
  <c r="I24" i="13"/>
  <c r="N23" i="13"/>
  <c r="M23" i="13"/>
  <c r="I23" i="13"/>
  <c r="N22" i="13"/>
  <c r="M22" i="13"/>
  <c r="I22" i="13"/>
  <c r="A22" i="13"/>
  <c r="N21" i="13"/>
  <c r="M21" i="13"/>
  <c r="I21" i="13"/>
  <c r="A21" i="13"/>
  <c r="N20" i="13"/>
  <c r="M20" i="13"/>
  <c r="I20" i="13"/>
  <c r="A20" i="13"/>
  <c r="N19" i="13"/>
  <c r="M19" i="13"/>
  <c r="I19" i="13"/>
  <c r="A19" i="13"/>
  <c r="N18" i="13"/>
  <c r="M18" i="13"/>
  <c r="I18" i="13"/>
  <c r="A18" i="13"/>
  <c r="N17" i="13"/>
  <c r="M17" i="13"/>
  <c r="I17" i="13"/>
  <c r="C17" i="13"/>
  <c r="A17" i="13"/>
  <c r="N16" i="13"/>
  <c r="M16" i="13"/>
  <c r="I16" i="13"/>
  <c r="C16" i="13"/>
  <c r="A16" i="13"/>
  <c r="N15" i="13"/>
  <c r="M15" i="13"/>
  <c r="I15" i="13"/>
  <c r="C15" i="13"/>
  <c r="A15" i="13"/>
  <c r="N14" i="13"/>
  <c r="M14" i="13"/>
  <c r="I14" i="13"/>
  <c r="C14" i="13"/>
  <c r="A14" i="13"/>
  <c r="N13" i="13"/>
  <c r="M13" i="13"/>
  <c r="I13" i="13"/>
  <c r="C13" i="13"/>
  <c r="A13" i="13"/>
  <c r="N12" i="13"/>
  <c r="M12" i="13"/>
  <c r="I12" i="13"/>
  <c r="C12" i="13"/>
  <c r="A12" i="13"/>
  <c r="N11" i="13"/>
  <c r="M11" i="13"/>
  <c r="I11" i="13"/>
  <c r="C11" i="13"/>
  <c r="A11" i="13"/>
  <c r="N10" i="13"/>
  <c r="M10" i="13"/>
  <c r="I10" i="13"/>
  <c r="A10" i="13"/>
  <c r="N9" i="13"/>
  <c r="M9" i="13"/>
  <c r="I9" i="13"/>
  <c r="D9" i="13"/>
  <c r="C9" i="13"/>
  <c r="A9" i="13"/>
  <c r="N8" i="13"/>
  <c r="M8" i="13"/>
  <c r="I8" i="13"/>
  <c r="D8" i="13"/>
  <c r="C8" i="13"/>
  <c r="A8" i="13"/>
  <c r="N7" i="13"/>
  <c r="M7" i="13"/>
  <c r="I7" i="13"/>
  <c r="D7" i="13"/>
  <c r="C7" i="13"/>
  <c r="A7" i="13"/>
  <c r="N6" i="13"/>
  <c r="M6" i="13"/>
  <c r="I6" i="13"/>
  <c r="D6" i="13"/>
  <c r="C6" i="13"/>
  <c r="A6" i="13"/>
  <c r="N5" i="13"/>
  <c r="M5" i="13"/>
  <c r="I5" i="13"/>
  <c r="D5" i="13"/>
  <c r="C5" i="13"/>
  <c r="A5" i="13"/>
  <c r="N4" i="13"/>
  <c r="M4" i="13"/>
  <c r="I4" i="13"/>
  <c r="D4" i="13"/>
  <c r="C4" i="13"/>
  <c r="A4" i="13"/>
  <c r="N3" i="13"/>
  <c r="M3" i="13"/>
  <c r="I3" i="13"/>
  <c r="D3" i="13"/>
  <c r="C3" i="13"/>
  <c r="B3" i="13"/>
  <c r="A3" i="13"/>
  <c r="N2" i="13"/>
  <c r="M2" i="13"/>
  <c r="I2" i="13"/>
  <c r="H2" i="13"/>
  <c r="H3" i="13" s="1"/>
  <c r="D2" i="13"/>
  <c r="B2" i="13"/>
  <c r="A2" i="13"/>
  <c r="AQ1234" i="11"/>
  <c r="AM1234" i="11"/>
  <c r="AI1234" i="11"/>
  <c r="AE1234" i="11"/>
  <c r="AA1234" i="11"/>
  <c r="W1234" i="11"/>
  <c r="U1234" i="11" a="1"/>
  <c r="U1234" i="11" s="1"/>
  <c r="T1234" i="11" a="1"/>
  <c r="T1234" i="11" s="1"/>
  <c r="S1234" i="11"/>
  <c r="Q1234" i="11"/>
  <c r="P1234" i="11"/>
  <c r="AQ1233" i="11"/>
  <c r="AM1233" i="11"/>
  <c r="AI1233" i="11"/>
  <c r="AE1233" i="11"/>
  <c r="AA1233" i="11"/>
  <c r="W1233" i="11"/>
  <c r="U1233" i="11" a="1"/>
  <c r="U1233" i="11" s="1"/>
  <c r="T1233" i="11" a="1"/>
  <c r="T1233" i="11" s="1"/>
  <c r="S1233" i="11"/>
  <c r="Q1233" i="11"/>
  <c r="P1233" i="11"/>
  <c r="AQ1232" i="11"/>
  <c r="AM1232" i="11"/>
  <c r="AI1232" i="11"/>
  <c r="AE1232" i="11"/>
  <c r="AA1232" i="11"/>
  <c r="W1232" i="11"/>
  <c r="U1232" i="11" a="1"/>
  <c r="U1232" i="11" s="1"/>
  <c r="T1232" i="11" a="1"/>
  <c r="T1232" i="11" s="1"/>
  <c r="S1232" i="11"/>
  <c r="Q1232" i="11"/>
  <c r="P1232" i="11"/>
  <c r="AQ1231" i="11"/>
  <c r="AM1231" i="11"/>
  <c r="AI1231" i="11"/>
  <c r="AE1231" i="11"/>
  <c r="AA1231" i="11"/>
  <c r="W1231" i="11"/>
  <c r="U1231" i="11" a="1"/>
  <c r="U1231" i="11" s="1"/>
  <c r="T1231" i="11" a="1"/>
  <c r="T1231" i="11" s="1"/>
  <c r="S1231" i="11"/>
  <c r="Q1231" i="11"/>
  <c r="P1231" i="11"/>
  <c r="N1231" i="11" s="1"/>
  <c r="O1231" i="11" s="1"/>
  <c r="AQ1230" i="11"/>
  <c r="AM1230" i="11"/>
  <c r="AI1230" i="11"/>
  <c r="AE1230" i="11"/>
  <c r="AA1230" i="11"/>
  <c r="W1230" i="11"/>
  <c r="U1230" i="11" a="1"/>
  <c r="U1230" i="11" s="1"/>
  <c r="T1230" i="11" a="1"/>
  <c r="T1230" i="11" s="1"/>
  <c r="S1230" i="11"/>
  <c r="Q1230" i="11"/>
  <c r="R1230" i="11" s="1"/>
  <c r="P1230" i="11"/>
  <c r="AQ1229" i="11"/>
  <c r="AM1229" i="11"/>
  <c r="AI1229" i="11"/>
  <c r="AE1229" i="11"/>
  <c r="AA1229" i="11"/>
  <c r="W1229" i="11"/>
  <c r="U1229" i="11" a="1"/>
  <c r="U1229" i="11" s="1"/>
  <c r="T1229" i="11" a="1"/>
  <c r="T1229" i="11" s="1"/>
  <c r="S1229" i="11"/>
  <c r="Q1229" i="11"/>
  <c r="P1229" i="11"/>
  <c r="AQ1228" i="11"/>
  <c r="AM1228" i="11"/>
  <c r="AI1228" i="11"/>
  <c r="AE1228" i="11"/>
  <c r="AA1228" i="11"/>
  <c r="W1228" i="11"/>
  <c r="U1228" i="11" a="1"/>
  <c r="U1228" i="11" s="1"/>
  <c r="T1228" i="11" a="1"/>
  <c r="T1228" i="11" s="1"/>
  <c r="S1228" i="11"/>
  <c r="Q1228" i="11"/>
  <c r="P1228" i="11"/>
  <c r="N1228" i="11" s="1"/>
  <c r="O1228" i="11" s="1"/>
  <c r="AQ1227" i="11"/>
  <c r="AM1227" i="11"/>
  <c r="AI1227" i="11"/>
  <c r="AE1227" i="11"/>
  <c r="AA1227" i="11"/>
  <c r="W1227" i="11"/>
  <c r="U1227" i="11" a="1"/>
  <c r="U1227" i="11" s="1"/>
  <c r="T1227" i="11" a="1"/>
  <c r="T1227" i="11" s="1"/>
  <c r="S1227" i="11"/>
  <c r="Q1227" i="11"/>
  <c r="P1227" i="11"/>
  <c r="AQ1226" i="11"/>
  <c r="AM1226" i="11"/>
  <c r="AI1226" i="11"/>
  <c r="AE1226" i="11"/>
  <c r="AA1226" i="11"/>
  <c r="W1226" i="11"/>
  <c r="U1226" i="11" a="1"/>
  <c r="U1226" i="11" s="1"/>
  <c r="T1226" i="11" a="1"/>
  <c r="T1226" i="11" s="1"/>
  <c r="S1226" i="11"/>
  <c r="Q1226" i="11"/>
  <c r="P1226" i="11"/>
  <c r="N1226" i="11" s="1"/>
  <c r="O1226" i="11" s="1"/>
  <c r="AQ1225" i="11"/>
  <c r="AM1225" i="11"/>
  <c r="AI1225" i="11"/>
  <c r="AE1225" i="11"/>
  <c r="AA1225" i="11"/>
  <c r="W1225" i="11"/>
  <c r="U1225" i="11" a="1"/>
  <c r="U1225" i="11" s="1"/>
  <c r="T1225" i="11" a="1"/>
  <c r="T1225" i="11" s="1"/>
  <c r="S1225" i="11"/>
  <c r="Q1225" i="11"/>
  <c r="P1225" i="11"/>
  <c r="N1225" i="11" s="1"/>
  <c r="O1225" i="11" s="1"/>
  <c r="AQ1224" i="11"/>
  <c r="AM1224" i="11"/>
  <c r="AI1224" i="11"/>
  <c r="AE1224" i="11"/>
  <c r="AA1224" i="11"/>
  <c r="W1224" i="11"/>
  <c r="U1224" i="11" a="1"/>
  <c r="U1224" i="11" s="1"/>
  <c r="T1224" i="11" a="1"/>
  <c r="T1224" i="11" s="1"/>
  <c r="S1224" i="11"/>
  <c r="Q1224" i="11"/>
  <c r="P1224" i="11"/>
  <c r="N1224" i="11" s="1"/>
  <c r="O1224" i="11" s="1"/>
  <c r="AQ1223" i="11"/>
  <c r="AM1223" i="11"/>
  <c r="AI1223" i="11"/>
  <c r="AE1223" i="11"/>
  <c r="AA1223" i="11"/>
  <c r="W1223" i="11"/>
  <c r="U1223" i="11" a="1"/>
  <c r="U1223" i="11" s="1"/>
  <c r="T1223" i="11" a="1"/>
  <c r="T1223" i="11" s="1"/>
  <c r="S1223" i="11"/>
  <c r="Q1223" i="11"/>
  <c r="P1223" i="11"/>
  <c r="AQ1222" i="11"/>
  <c r="AM1222" i="11"/>
  <c r="AI1222" i="11"/>
  <c r="AE1222" i="11"/>
  <c r="AA1222" i="11"/>
  <c r="W1222" i="11"/>
  <c r="U1222" i="11" a="1"/>
  <c r="U1222" i="11" s="1"/>
  <c r="T1222" i="11" a="1"/>
  <c r="T1222" i="11" s="1"/>
  <c r="S1222" i="11"/>
  <c r="Q1222" i="11"/>
  <c r="P1222" i="11"/>
  <c r="AQ1221" i="11"/>
  <c r="AM1221" i="11"/>
  <c r="AI1221" i="11"/>
  <c r="AE1221" i="11"/>
  <c r="AA1221" i="11"/>
  <c r="W1221" i="11"/>
  <c r="U1221" i="11" a="1"/>
  <c r="U1221" i="11" s="1"/>
  <c r="T1221" i="11" a="1"/>
  <c r="T1221" i="11" s="1"/>
  <c r="S1221" i="11"/>
  <c r="Q1221" i="11"/>
  <c r="P1221" i="11"/>
  <c r="N1221" i="11" s="1"/>
  <c r="O1221" i="11" s="1"/>
  <c r="AQ1220" i="11"/>
  <c r="AM1220" i="11"/>
  <c r="AI1220" i="11"/>
  <c r="AE1220" i="11"/>
  <c r="AA1220" i="11"/>
  <c r="W1220" i="11"/>
  <c r="U1220" i="11" a="1"/>
  <c r="U1220" i="11" s="1"/>
  <c r="T1220" i="11" a="1"/>
  <c r="T1220" i="11" s="1"/>
  <c r="S1220" i="11"/>
  <c r="Q1220" i="11"/>
  <c r="P1220" i="11"/>
  <c r="N1220" i="11" s="1"/>
  <c r="O1220" i="11" s="1"/>
  <c r="AQ1219" i="11"/>
  <c r="AM1219" i="11"/>
  <c r="AI1219" i="11"/>
  <c r="AE1219" i="11"/>
  <c r="AA1219" i="11"/>
  <c r="W1219" i="11"/>
  <c r="U1219" i="11" a="1"/>
  <c r="U1219" i="11" s="1"/>
  <c r="T1219" i="11" a="1"/>
  <c r="T1219" i="11" s="1"/>
  <c r="S1219" i="11"/>
  <c r="Q1219" i="11"/>
  <c r="P1219" i="11"/>
  <c r="N1219" i="11" s="1"/>
  <c r="O1219" i="11" s="1"/>
  <c r="AQ1218" i="11"/>
  <c r="AM1218" i="11"/>
  <c r="AI1218" i="11"/>
  <c r="AE1218" i="11"/>
  <c r="AA1218" i="11"/>
  <c r="W1218" i="11"/>
  <c r="U1218" i="11" a="1"/>
  <c r="U1218" i="11" s="1"/>
  <c r="T1218" i="11" a="1"/>
  <c r="T1218" i="11" s="1"/>
  <c r="S1218" i="11"/>
  <c r="Q1218" i="11"/>
  <c r="P1218" i="11"/>
  <c r="AQ1217" i="11"/>
  <c r="AM1217" i="11"/>
  <c r="AI1217" i="11"/>
  <c r="AE1217" i="11"/>
  <c r="AA1217" i="11"/>
  <c r="W1217" i="11"/>
  <c r="U1217" i="11" a="1"/>
  <c r="U1217" i="11" s="1"/>
  <c r="T1217" i="11" a="1"/>
  <c r="T1217" i="11" s="1"/>
  <c r="S1217" i="11"/>
  <c r="Q1217" i="11"/>
  <c r="P1217" i="11"/>
  <c r="N1217" i="11" s="1"/>
  <c r="O1217" i="11" s="1"/>
  <c r="AQ1216" i="11"/>
  <c r="AM1216" i="11"/>
  <c r="AI1216" i="11"/>
  <c r="AE1216" i="11"/>
  <c r="AA1216" i="11"/>
  <c r="W1216" i="11"/>
  <c r="U1216" i="11" a="1"/>
  <c r="U1216" i="11" s="1"/>
  <c r="T1216" i="11" a="1"/>
  <c r="T1216" i="11" s="1"/>
  <c r="S1216" i="11"/>
  <c r="Q1216" i="11"/>
  <c r="P1216" i="11"/>
  <c r="AQ1215" i="11"/>
  <c r="AM1215" i="11"/>
  <c r="AI1215" i="11"/>
  <c r="AE1215" i="11"/>
  <c r="AA1215" i="11"/>
  <c r="W1215" i="11"/>
  <c r="U1215" i="11" a="1"/>
  <c r="U1215" i="11" s="1"/>
  <c r="T1215" i="11" a="1"/>
  <c r="T1215" i="11" s="1"/>
  <c r="S1215" i="11"/>
  <c r="Q1215" i="11"/>
  <c r="P1215" i="11"/>
  <c r="N1215" i="11" s="1"/>
  <c r="O1215" i="11" s="1"/>
  <c r="AQ1214" i="11"/>
  <c r="AM1214" i="11"/>
  <c r="AI1214" i="11"/>
  <c r="AE1214" i="11"/>
  <c r="AA1214" i="11"/>
  <c r="W1214" i="11"/>
  <c r="U1214" i="11" a="1"/>
  <c r="U1214" i="11" s="1"/>
  <c r="T1214" i="11" a="1"/>
  <c r="T1214" i="11" s="1"/>
  <c r="S1214" i="11"/>
  <c r="Q1214" i="11"/>
  <c r="P1214" i="11"/>
  <c r="AQ1213" i="11"/>
  <c r="AM1213" i="11"/>
  <c r="AI1213" i="11"/>
  <c r="AE1213" i="11"/>
  <c r="AA1213" i="11"/>
  <c r="W1213" i="11"/>
  <c r="U1213" i="11" a="1"/>
  <c r="U1213" i="11" s="1"/>
  <c r="T1213" i="11" a="1"/>
  <c r="T1213" i="11" s="1"/>
  <c r="S1213" i="11"/>
  <c r="Q1213" i="11"/>
  <c r="P1213" i="11"/>
  <c r="AQ1212" i="11"/>
  <c r="AM1212" i="11"/>
  <c r="AI1212" i="11"/>
  <c r="AE1212" i="11"/>
  <c r="AA1212" i="11"/>
  <c r="W1212" i="11"/>
  <c r="U1212" i="11" a="1"/>
  <c r="U1212" i="11" s="1"/>
  <c r="T1212" i="11" a="1"/>
  <c r="T1212" i="11" s="1"/>
  <c r="S1212" i="11"/>
  <c r="Q1212" i="11"/>
  <c r="P1212" i="11"/>
  <c r="AQ1211" i="11"/>
  <c r="AM1211" i="11"/>
  <c r="AI1211" i="11"/>
  <c r="AE1211" i="11"/>
  <c r="AA1211" i="11"/>
  <c r="W1211" i="11"/>
  <c r="U1211" i="11" a="1"/>
  <c r="U1211" i="11" s="1"/>
  <c r="T1211" i="11" a="1"/>
  <c r="T1211" i="11" s="1"/>
  <c r="S1211" i="11"/>
  <c r="Q1211" i="11"/>
  <c r="P1211" i="11"/>
  <c r="AQ1210" i="11"/>
  <c r="AM1210" i="11"/>
  <c r="AI1210" i="11"/>
  <c r="AE1210" i="11"/>
  <c r="AA1210" i="11"/>
  <c r="W1210" i="11"/>
  <c r="U1210" i="11" a="1"/>
  <c r="U1210" i="11" s="1"/>
  <c r="T1210" i="11" a="1"/>
  <c r="T1210" i="11" s="1"/>
  <c r="S1210" i="11"/>
  <c r="Q1210" i="11"/>
  <c r="P1210" i="11"/>
  <c r="N1210" i="11"/>
  <c r="O1210" i="11" s="1"/>
  <c r="AQ1209" i="11"/>
  <c r="AM1209" i="11"/>
  <c r="AI1209" i="11"/>
  <c r="AE1209" i="11"/>
  <c r="AA1209" i="11"/>
  <c r="W1209" i="11"/>
  <c r="U1209" i="11" a="1"/>
  <c r="U1209" i="11" s="1"/>
  <c r="T1209" i="11" a="1"/>
  <c r="T1209" i="11" s="1"/>
  <c r="S1209" i="11"/>
  <c r="Q1209" i="11"/>
  <c r="P1209" i="11"/>
  <c r="N1209" i="11" s="1"/>
  <c r="O1209" i="11" s="1"/>
  <c r="AQ1208" i="11"/>
  <c r="AM1208" i="11"/>
  <c r="AI1208" i="11"/>
  <c r="AE1208" i="11"/>
  <c r="AA1208" i="11"/>
  <c r="W1208" i="11"/>
  <c r="U1208" i="11" a="1"/>
  <c r="U1208" i="11" s="1"/>
  <c r="T1208" i="11" a="1"/>
  <c r="T1208" i="11" s="1"/>
  <c r="S1208" i="11"/>
  <c r="Q1208" i="11"/>
  <c r="P1208" i="11"/>
  <c r="N1208" i="11" s="1"/>
  <c r="O1208" i="11" s="1"/>
  <c r="AQ1207" i="11"/>
  <c r="AM1207" i="11"/>
  <c r="AI1207" i="11"/>
  <c r="AE1207" i="11"/>
  <c r="AA1207" i="11"/>
  <c r="W1207" i="11"/>
  <c r="U1207" i="11" a="1"/>
  <c r="U1207" i="11" s="1"/>
  <c r="T1207" i="11" a="1"/>
  <c r="T1207" i="11" s="1"/>
  <c r="S1207" i="11"/>
  <c r="Q1207" i="11"/>
  <c r="P1207" i="11"/>
  <c r="AQ1206" i="11"/>
  <c r="AM1206" i="11"/>
  <c r="AI1206" i="11"/>
  <c r="AE1206" i="11"/>
  <c r="AA1206" i="11"/>
  <c r="W1206" i="11"/>
  <c r="U1206" i="11" a="1"/>
  <c r="U1206" i="11" s="1"/>
  <c r="T1206" i="11" a="1"/>
  <c r="T1206" i="11" s="1"/>
  <c r="S1206" i="11"/>
  <c r="Q1206" i="11"/>
  <c r="P1206" i="11"/>
  <c r="N1206" i="11" s="1"/>
  <c r="O1206" i="11" s="1"/>
  <c r="AQ1205" i="11"/>
  <c r="AM1205" i="11"/>
  <c r="AI1205" i="11"/>
  <c r="AE1205" i="11"/>
  <c r="AA1205" i="11"/>
  <c r="W1205" i="11"/>
  <c r="U1205" i="11" a="1"/>
  <c r="U1205" i="11" s="1"/>
  <c r="T1205" i="11" a="1"/>
  <c r="T1205" i="11" s="1"/>
  <c r="S1205" i="11"/>
  <c r="Q1205" i="11"/>
  <c r="P1205" i="11"/>
  <c r="AQ1204" i="11"/>
  <c r="AM1204" i="11"/>
  <c r="AI1204" i="11"/>
  <c r="AE1204" i="11"/>
  <c r="AA1204" i="11"/>
  <c r="W1204" i="11"/>
  <c r="U1204" i="11" a="1"/>
  <c r="U1204" i="11" s="1"/>
  <c r="T1204" i="11" a="1"/>
  <c r="T1204" i="11" s="1"/>
  <c r="S1204" i="11"/>
  <c r="Q1204" i="11"/>
  <c r="P1204" i="11"/>
  <c r="N1204" i="11" s="1"/>
  <c r="O1204" i="11" s="1"/>
  <c r="AQ1203" i="11"/>
  <c r="AM1203" i="11"/>
  <c r="AI1203" i="11"/>
  <c r="AE1203" i="11"/>
  <c r="AA1203" i="11"/>
  <c r="W1203" i="11"/>
  <c r="U1203" i="11" a="1"/>
  <c r="U1203" i="11" s="1"/>
  <c r="T1203" i="11" a="1"/>
  <c r="T1203" i="11" s="1"/>
  <c r="S1203" i="11"/>
  <c r="Q1203" i="11"/>
  <c r="P1203" i="11"/>
  <c r="AQ1202" i="11"/>
  <c r="AM1202" i="11"/>
  <c r="AI1202" i="11"/>
  <c r="AE1202" i="11"/>
  <c r="AA1202" i="11"/>
  <c r="W1202" i="11"/>
  <c r="U1202" i="11" a="1"/>
  <c r="U1202" i="11" s="1"/>
  <c r="T1202" i="11" a="1"/>
  <c r="T1202" i="11" s="1"/>
  <c r="S1202" i="11"/>
  <c r="Q1202" i="11"/>
  <c r="P1202" i="11"/>
  <c r="N1202" i="11" s="1"/>
  <c r="O1202" i="11" s="1"/>
  <c r="AQ1201" i="11"/>
  <c r="AM1201" i="11"/>
  <c r="AI1201" i="11"/>
  <c r="AE1201" i="11"/>
  <c r="AA1201" i="11"/>
  <c r="W1201" i="11"/>
  <c r="U1201" i="11" a="1"/>
  <c r="U1201" i="11" s="1"/>
  <c r="T1201" i="11" a="1"/>
  <c r="T1201" i="11" s="1"/>
  <c r="S1201" i="11"/>
  <c r="Q1201" i="11"/>
  <c r="P1201" i="11"/>
  <c r="N1201" i="11" s="1"/>
  <c r="O1201" i="11" s="1"/>
  <c r="AQ1200" i="11"/>
  <c r="AM1200" i="11"/>
  <c r="AI1200" i="11"/>
  <c r="AE1200" i="11"/>
  <c r="AA1200" i="11"/>
  <c r="W1200" i="11"/>
  <c r="U1200" i="11" a="1"/>
  <c r="U1200" i="11" s="1"/>
  <c r="T1200" i="11" a="1"/>
  <c r="T1200" i="11" s="1"/>
  <c r="S1200" i="11"/>
  <c r="Q1200" i="11"/>
  <c r="P1200" i="11"/>
  <c r="AQ1199" i="11"/>
  <c r="AM1199" i="11"/>
  <c r="AI1199" i="11"/>
  <c r="AE1199" i="11"/>
  <c r="AA1199" i="11"/>
  <c r="W1199" i="11"/>
  <c r="U1199" i="11" a="1"/>
  <c r="U1199" i="11" s="1"/>
  <c r="T1199" i="11" a="1"/>
  <c r="T1199" i="11" s="1"/>
  <c r="S1199" i="11"/>
  <c r="Q1199" i="11"/>
  <c r="P1199" i="11"/>
  <c r="N1199" i="11" s="1"/>
  <c r="O1199" i="11" s="1"/>
  <c r="AQ1198" i="11"/>
  <c r="AM1198" i="11"/>
  <c r="AI1198" i="11"/>
  <c r="AE1198" i="11"/>
  <c r="AA1198" i="11"/>
  <c r="W1198" i="11"/>
  <c r="U1198" i="11" a="1"/>
  <c r="U1198" i="11" s="1"/>
  <c r="T1198" i="11" a="1"/>
  <c r="T1198" i="11" s="1"/>
  <c r="S1198" i="11"/>
  <c r="Q1198" i="11"/>
  <c r="P1198" i="11"/>
  <c r="N1198" i="11" s="1"/>
  <c r="O1198" i="11" s="1"/>
  <c r="AQ1197" i="11"/>
  <c r="AM1197" i="11"/>
  <c r="AI1197" i="11"/>
  <c r="AE1197" i="11"/>
  <c r="AA1197" i="11"/>
  <c r="W1197" i="11"/>
  <c r="U1197" i="11" a="1"/>
  <c r="U1197" i="11" s="1"/>
  <c r="T1197" i="11" a="1"/>
  <c r="T1197" i="11" s="1"/>
  <c r="S1197" i="11"/>
  <c r="Q1197" i="11"/>
  <c r="P1197" i="11"/>
  <c r="N1197" i="11" s="1"/>
  <c r="O1197" i="11" s="1"/>
  <c r="AQ1196" i="11"/>
  <c r="AM1196" i="11"/>
  <c r="AI1196" i="11"/>
  <c r="AE1196" i="11"/>
  <c r="AA1196" i="11"/>
  <c r="W1196" i="11"/>
  <c r="U1196" i="11" a="1"/>
  <c r="U1196" i="11" s="1"/>
  <c r="T1196" i="11" a="1"/>
  <c r="T1196" i="11" s="1"/>
  <c r="S1196" i="11"/>
  <c r="Q1196" i="11"/>
  <c r="P1196" i="11"/>
  <c r="AQ1195" i="11"/>
  <c r="AM1195" i="11"/>
  <c r="AI1195" i="11"/>
  <c r="AE1195" i="11"/>
  <c r="AA1195" i="11"/>
  <c r="W1195" i="11"/>
  <c r="U1195" i="11" a="1"/>
  <c r="U1195" i="11" s="1"/>
  <c r="T1195" i="11" a="1"/>
  <c r="T1195" i="11" s="1"/>
  <c r="S1195" i="11"/>
  <c r="Q1195" i="11"/>
  <c r="P1195" i="11"/>
  <c r="N1195" i="11" s="1"/>
  <c r="O1195" i="11" s="1"/>
  <c r="AQ1194" i="11"/>
  <c r="AM1194" i="11"/>
  <c r="AI1194" i="11"/>
  <c r="AE1194" i="11"/>
  <c r="AA1194" i="11"/>
  <c r="W1194" i="11"/>
  <c r="U1194" i="11" a="1"/>
  <c r="U1194" i="11" s="1"/>
  <c r="T1194" i="11" a="1"/>
  <c r="T1194" i="11" s="1"/>
  <c r="S1194" i="11"/>
  <c r="Q1194" i="11"/>
  <c r="P1194" i="11"/>
  <c r="N1194" i="11" s="1"/>
  <c r="O1194" i="11" s="1"/>
  <c r="AQ1193" i="11"/>
  <c r="AM1193" i="11"/>
  <c r="AI1193" i="11"/>
  <c r="AE1193" i="11"/>
  <c r="AA1193" i="11"/>
  <c r="W1193" i="11"/>
  <c r="U1193" i="11" a="1"/>
  <c r="U1193" i="11" s="1"/>
  <c r="T1193" i="11" a="1"/>
  <c r="T1193" i="11" s="1"/>
  <c r="S1193" i="11"/>
  <c r="Q1193" i="11"/>
  <c r="P1193" i="11"/>
  <c r="N1193" i="11" s="1"/>
  <c r="O1193" i="11" s="1"/>
  <c r="AQ1192" i="11"/>
  <c r="AM1192" i="11"/>
  <c r="AI1192" i="11"/>
  <c r="AE1192" i="11"/>
  <c r="AA1192" i="11"/>
  <c r="W1192" i="11"/>
  <c r="U1192" i="11" a="1"/>
  <c r="U1192" i="11" s="1"/>
  <c r="T1192" i="11" a="1"/>
  <c r="T1192" i="11" s="1"/>
  <c r="S1192" i="11"/>
  <c r="Q1192" i="11"/>
  <c r="P1192" i="11"/>
  <c r="N1192" i="11" s="1"/>
  <c r="O1192" i="11" s="1"/>
  <c r="AQ1191" i="11"/>
  <c r="AM1191" i="11"/>
  <c r="AI1191" i="11"/>
  <c r="AE1191" i="11"/>
  <c r="AA1191" i="11"/>
  <c r="W1191" i="11"/>
  <c r="U1191" i="11" a="1"/>
  <c r="U1191" i="11" s="1"/>
  <c r="T1191" i="11" a="1"/>
  <c r="T1191" i="11" s="1"/>
  <c r="S1191" i="11"/>
  <c r="Q1191" i="11"/>
  <c r="P1191" i="11"/>
  <c r="AQ1190" i="11"/>
  <c r="AM1190" i="11"/>
  <c r="AI1190" i="11"/>
  <c r="AE1190" i="11"/>
  <c r="AA1190" i="11"/>
  <c r="W1190" i="11"/>
  <c r="U1190" i="11" a="1"/>
  <c r="U1190" i="11" s="1"/>
  <c r="T1190" i="11" a="1"/>
  <c r="T1190" i="11" s="1"/>
  <c r="S1190" i="11"/>
  <c r="Q1190" i="11"/>
  <c r="P1190" i="11"/>
  <c r="AQ1189" i="11"/>
  <c r="AM1189" i="11"/>
  <c r="AI1189" i="11"/>
  <c r="AE1189" i="11"/>
  <c r="AA1189" i="11"/>
  <c r="W1189" i="11"/>
  <c r="U1189" i="11" a="1"/>
  <c r="U1189" i="11" s="1"/>
  <c r="T1189" i="11" a="1"/>
  <c r="T1189" i="11" s="1"/>
  <c r="S1189" i="11"/>
  <c r="Q1189" i="11"/>
  <c r="P1189" i="11"/>
  <c r="N1189" i="11" s="1"/>
  <c r="O1189" i="11" s="1"/>
  <c r="AQ1188" i="11"/>
  <c r="AM1188" i="11"/>
  <c r="AI1188" i="11"/>
  <c r="AE1188" i="11"/>
  <c r="AA1188" i="11"/>
  <c r="W1188" i="11"/>
  <c r="U1188" i="11" a="1"/>
  <c r="U1188" i="11" s="1"/>
  <c r="T1188" i="11" a="1"/>
  <c r="T1188" i="11" s="1"/>
  <c r="S1188" i="11"/>
  <c r="Q1188" i="11"/>
  <c r="P1188" i="11"/>
  <c r="N1188" i="11" s="1"/>
  <c r="O1188" i="11" s="1"/>
  <c r="AQ1187" i="11"/>
  <c r="AM1187" i="11"/>
  <c r="AI1187" i="11"/>
  <c r="AE1187" i="11"/>
  <c r="AA1187" i="11"/>
  <c r="W1187" i="11"/>
  <c r="U1187" i="11" a="1"/>
  <c r="U1187" i="11" s="1"/>
  <c r="T1187" i="11" a="1"/>
  <c r="T1187" i="11" s="1"/>
  <c r="S1187" i="11"/>
  <c r="Q1187" i="11"/>
  <c r="P1187" i="11"/>
  <c r="N1187" i="11" s="1"/>
  <c r="O1187" i="11" s="1"/>
  <c r="AQ1186" i="11"/>
  <c r="AM1186" i="11"/>
  <c r="AI1186" i="11"/>
  <c r="AE1186" i="11"/>
  <c r="AA1186" i="11"/>
  <c r="W1186" i="11"/>
  <c r="U1186" i="11" a="1"/>
  <c r="U1186" i="11" s="1"/>
  <c r="T1186" i="11" a="1"/>
  <c r="T1186" i="11" s="1"/>
  <c r="S1186" i="11"/>
  <c r="Q1186" i="11"/>
  <c r="P1186" i="11"/>
  <c r="N1186" i="11" s="1"/>
  <c r="O1186" i="11" s="1"/>
  <c r="AQ1185" i="11"/>
  <c r="AM1185" i="11"/>
  <c r="AI1185" i="11"/>
  <c r="AE1185" i="11"/>
  <c r="AA1185" i="11"/>
  <c r="W1185" i="11"/>
  <c r="U1185" i="11" a="1"/>
  <c r="U1185" i="11" s="1"/>
  <c r="T1185" i="11" a="1"/>
  <c r="T1185" i="11" s="1"/>
  <c r="S1185" i="11"/>
  <c r="Q1185" i="11"/>
  <c r="P1185" i="11"/>
  <c r="N1185" i="11" s="1"/>
  <c r="O1185" i="11" s="1"/>
  <c r="AQ1184" i="11"/>
  <c r="AM1184" i="11"/>
  <c r="AI1184" i="11"/>
  <c r="AE1184" i="11"/>
  <c r="AA1184" i="11"/>
  <c r="W1184" i="11"/>
  <c r="U1184" i="11" a="1"/>
  <c r="U1184" i="11" s="1"/>
  <c r="T1184" i="11" a="1"/>
  <c r="T1184" i="11" s="1"/>
  <c r="S1184" i="11"/>
  <c r="Q1184" i="11"/>
  <c r="P1184" i="11"/>
  <c r="AQ1183" i="11"/>
  <c r="AM1183" i="11"/>
  <c r="AI1183" i="11"/>
  <c r="AE1183" i="11"/>
  <c r="AA1183" i="11"/>
  <c r="W1183" i="11"/>
  <c r="U1183" i="11" a="1"/>
  <c r="U1183" i="11" s="1"/>
  <c r="T1183" i="11" a="1"/>
  <c r="T1183" i="11" s="1"/>
  <c r="S1183" i="11"/>
  <c r="Q1183" i="11"/>
  <c r="P1183" i="11"/>
  <c r="AQ1182" i="11"/>
  <c r="AM1182" i="11"/>
  <c r="AI1182" i="11"/>
  <c r="AE1182" i="11"/>
  <c r="AA1182" i="11"/>
  <c r="W1182" i="11"/>
  <c r="U1182" i="11" a="1"/>
  <c r="U1182" i="11" s="1"/>
  <c r="T1182" i="11" a="1"/>
  <c r="T1182" i="11" s="1"/>
  <c r="S1182" i="11"/>
  <c r="Q1182" i="11"/>
  <c r="P1182" i="11"/>
  <c r="AQ1181" i="11"/>
  <c r="AM1181" i="11"/>
  <c r="AI1181" i="11"/>
  <c r="AE1181" i="11"/>
  <c r="AA1181" i="11"/>
  <c r="W1181" i="11"/>
  <c r="U1181" i="11" a="1"/>
  <c r="U1181" i="11" s="1"/>
  <c r="T1181" i="11" a="1"/>
  <c r="T1181" i="11" s="1"/>
  <c r="S1181" i="11"/>
  <c r="Q1181" i="11"/>
  <c r="P1181" i="11"/>
  <c r="AQ1180" i="11"/>
  <c r="AM1180" i="11"/>
  <c r="AI1180" i="11"/>
  <c r="AE1180" i="11"/>
  <c r="AA1180" i="11"/>
  <c r="W1180" i="11"/>
  <c r="U1180" i="11" a="1"/>
  <c r="U1180" i="11" s="1"/>
  <c r="T1180" i="11" a="1"/>
  <c r="T1180" i="11" s="1"/>
  <c r="S1180" i="11"/>
  <c r="Q1180" i="11"/>
  <c r="P1180" i="11"/>
  <c r="N1180" i="11" s="1"/>
  <c r="O1180" i="11" s="1"/>
  <c r="AQ1179" i="11"/>
  <c r="AM1179" i="11"/>
  <c r="AI1179" i="11"/>
  <c r="AE1179" i="11"/>
  <c r="AA1179" i="11"/>
  <c r="W1179" i="11"/>
  <c r="U1179" i="11" a="1"/>
  <c r="U1179" i="11" s="1"/>
  <c r="T1179" i="11" a="1"/>
  <c r="T1179" i="11" s="1"/>
  <c r="S1179" i="11"/>
  <c r="Q1179" i="11"/>
  <c r="P1179" i="11"/>
  <c r="AQ1178" i="11"/>
  <c r="AM1178" i="11"/>
  <c r="AI1178" i="11"/>
  <c r="AE1178" i="11"/>
  <c r="AA1178" i="11"/>
  <c r="W1178" i="11"/>
  <c r="U1178" i="11" a="1"/>
  <c r="U1178" i="11" s="1"/>
  <c r="T1178" i="11" a="1"/>
  <c r="T1178" i="11" s="1"/>
  <c r="S1178" i="11"/>
  <c r="Q1178" i="11"/>
  <c r="P1178" i="11"/>
  <c r="N1178" i="11" s="1"/>
  <c r="O1178" i="11" s="1"/>
  <c r="AQ1177" i="11"/>
  <c r="AM1177" i="11"/>
  <c r="AI1177" i="11"/>
  <c r="AE1177" i="11"/>
  <c r="AA1177" i="11"/>
  <c r="W1177" i="11"/>
  <c r="U1177" i="11" a="1"/>
  <c r="U1177" i="11" s="1"/>
  <c r="T1177" i="11" a="1"/>
  <c r="T1177" i="11" s="1"/>
  <c r="S1177" i="11"/>
  <c r="Q1177" i="11"/>
  <c r="P1177" i="11"/>
  <c r="AQ1176" i="11"/>
  <c r="AM1176" i="11"/>
  <c r="AI1176" i="11"/>
  <c r="AE1176" i="11"/>
  <c r="AA1176" i="11"/>
  <c r="W1176" i="11"/>
  <c r="U1176" i="11" a="1"/>
  <c r="U1176" i="11" s="1"/>
  <c r="T1176" i="11" a="1"/>
  <c r="T1176" i="11" s="1"/>
  <c r="S1176" i="11"/>
  <c r="Q1176" i="11"/>
  <c r="P1176" i="11"/>
  <c r="N1176" i="11" s="1"/>
  <c r="O1176" i="11" s="1"/>
  <c r="AQ1175" i="11"/>
  <c r="AM1175" i="11"/>
  <c r="AI1175" i="11"/>
  <c r="AE1175" i="11"/>
  <c r="AA1175" i="11"/>
  <c r="W1175" i="11"/>
  <c r="U1175" i="11" a="1"/>
  <c r="U1175" i="11" s="1"/>
  <c r="T1175" i="11" a="1"/>
  <c r="T1175" i="11" s="1"/>
  <c r="S1175" i="11"/>
  <c r="Q1175" i="11"/>
  <c r="P1175" i="11"/>
  <c r="AQ1174" i="11"/>
  <c r="AM1174" i="11"/>
  <c r="AI1174" i="11"/>
  <c r="AE1174" i="11"/>
  <c r="AA1174" i="11"/>
  <c r="W1174" i="11"/>
  <c r="U1174" i="11" a="1"/>
  <c r="U1174" i="11" s="1"/>
  <c r="T1174" i="11" a="1"/>
  <c r="T1174" i="11" s="1"/>
  <c r="S1174" i="11"/>
  <c r="Q1174" i="11"/>
  <c r="P1174" i="11"/>
  <c r="N1174" i="11" s="1"/>
  <c r="O1174" i="11" s="1"/>
  <c r="AQ1173" i="11"/>
  <c r="AM1173" i="11"/>
  <c r="AI1173" i="11"/>
  <c r="AE1173" i="11"/>
  <c r="AA1173" i="11"/>
  <c r="W1173" i="11"/>
  <c r="U1173" i="11" a="1"/>
  <c r="U1173" i="11" s="1"/>
  <c r="T1173" i="11" a="1"/>
  <c r="T1173" i="11" s="1"/>
  <c r="S1173" i="11"/>
  <c r="Q1173" i="11"/>
  <c r="P1173" i="11"/>
  <c r="N1173" i="11" s="1"/>
  <c r="O1173" i="11" s="1"/>
  <c r="AQ1172" i="11"/>
  <c r="AM1172" i="11"/>
  <c r="AI1172" i="11"/>
  <c r="AE1172" i="11"/>
  <c r="AA1172" i="11"/>
  <c r="W1172" i="11"/>
  <c r="U1172" i="11" a="1"/>
  <c r="U1172" i="11" s="1"/>
  <c r="T1172" i="11" a="1"/>
  <c r="T1172" i="11" s="1"/>
  <c r="S1172" i="11"/>
  <c r="Q1172" i="11"/>
  <c r="P1172" i="11"/>
  <c r="N1172" i="11" s="1"/>
  <c r="O1172" i="11" s="1"/>
  <c r="AQ1171" i="11"/>
  <c r="AM1171" i="11"/>
  <c r="AI1171" i="11"/>
  <c r="AE1171" i="11"/>
  <c r="AA1171" i="11"/>
  <c r="W1171" i="11"/>
  <c r="U1171" i="11" a="1"/>
  <c r="U1171" i="11" s="1"/>
  <c r="T1171" i="11" a="1"/>
  <c r="T1171" i="11" s="1"/>
  <c r="S1171" i="11"/>
  <c r="Q1171" i="11"/>
  <c r="P1171" i="11"/>
  <c r="AQ1170" i="11"/>
  <c r="AM1170" i="11"/>
  <c r="AI1170" i="11"/>
  <c r="AE1170" i="11"/>
  <c r="AA1170" i="11"/>
  <c r="W1170" i="11"/>
  <c r="U1170" i="11" a="1"/>
  <c r="U1170" i="11" s="1"/>
  <c r="T1170" i="11" a="1"/>
  <c r="T1170" i="11" s="1"/>
  <c r="S1170" i="11"/>
  <c r="Q1170" i="11"/>
  <c r="P1170" i="11"/>
  <c r="N1170" i="11" s="1"/>
  <c r="O1170" i="11" s="1"/>
  <c r="AQ1169" i="11"/>
  <c r="AM1169" i="11"/>
  <c r="AI1169" i="11"/>
  <c r="AE1169" i="11"/>
  <c r="AA1169" i="11"/>
  <c r="W1169" i="11"/>
  <c r="U1169" i="11" a="1"/>
  <c r="U1169" i="11" s="1"/>
  <c r="T1169" i="11" a="1"/>
  <c r="T1169" i="11" s="1"/>
  <c r="S1169" i="11"/>
  <c r="Q1169" i="11"/>
  <c r="P1169" i="11"/>
  <c r="AQ1168" i="11"/>
  <c r="AM1168" i="11"/>
  <c r="AI1168" i="11"/>
  <c r="AE1168" i="11"/>
  <c r="AA1168" i="11"/>
  <c r="W1168" i="11"/>
  <c r="U1168" i="11" a="1"/>
  <c r="U1168" i="11" s="1"/>
  <c r="T1168" i="11" a="1"/>
  <c r="T1168" i="11" s="1"/>
  <c r="S1168" i="11"/>
  <c r="Q1168" i="11"/>
  <c r="P1168" i="11"/>
  <c r="N1168" i="11" s="1"/>
  <c r="O1168" i="11" s="1"/>
  <c r="AQ1167" i="11"/>
  <c r="AM1167" i="11"/>
  <c r="AI1167" i="11"/>
  <c r="AE1167" i="11"/>
  <c r="AA1167" i="11"/>
  <c r="W1167" i="11"/>
  <c r="U1167" i="11" a="1"/>
  <c r="U1167" i="11" s="1"/>
  <c r="T1167" i="11" a="1"/>
  <c r="T1167" i="11" s="1"/>
  <c r="S1167" i="11"/>
  <c r="Q1167" i="11"/>
  <c r="P1167" i="11"/>
  <c r="N1167" i="11" s="1"/>
  <c r="O1167" i="11" s="1"/>
  <c r="AQ1166" i="11"/>
  <c r="AM1166" i="11"/>
  <c r="AI1166" i="11"/>
  <c r="AE1166" i="11"/>
  <c r="AA1166" i="11"/>
  <c r="W1166" i="11"/>
  <c r="U1166" i="11" a="1"/>
  <c r="U1166" i="11" s="1"/>
  <c r="T1166" i="11" a="1"/>
  <c r="T1166" i="11" s="1"/>
  <c r="S1166" i="11"/>
  <c r="Q1166" i="11"/>
  <c r="P1166" i="11"/>
  <c r="N1166" i="11" s="1"/>
  <c r="O1166" i="11" s="1"/>
  <c r="AQ1165" i="11"/>
  <c r="AM1165" i="11"/>
  <c r="AI1165" i="11"/>
  <c r="AE1165" i="11"/>
  <c r="AA1165" i="11"/>
  <c r="W1165" i="11"/>
  <c r="U1165" i="11" a="1"/>
  <c r="U1165" i="11" s="1"/>
  <c r="T1165" i="11" a="1"/>
  <c r="T1165" i="11" s="1"/>
  <c r="S1165" i="11"/>
  <c r="Q1165" i="11"/>
  <c r="P1165" i="11"/>
  <c r="AQ1164" i="11"/>
  <c r="AM1164" i="11"/>
  <c r="AI1164" i="11"/>
  <c r="AE1164" i="11"/>
  <c r="AA1164" i="11"/>
  <c r="W1164" i="11"/>
  <c r="U1164" i="11" a="1"/>
  <c r="U1164" i="11" s="1"/>
  <c r="T1164" i="11" a="1"/>
  <c r="T1164" i="11" s="1"/>
  <c r="S1164" i="11"/>
  <c r="Q1164" i="11"/>
  <c r="P1164" i="11"/>
  <c r="AQ1163" i="11"/>
  <c r="AM1163" i="11"/>
  <c r="AI1163" i="11"/>
  <c r="AE1163" i="11"/>
  <c r="AA1163" i="11"/>
  <c r="W1163" i="11"/>
  <c r="U1163" i="11" a="1"/>
  <c r="U1163" i="11" s="1"/>
  <c r="T1163" i="11" a="1"/>
  <c r="T1163" i="11" s="1"/>
  <c r="S1163" i="11"/>
  <c r="Q1163" i="11"/>
  <c r="P1163" i="11"/>
  <c r="AQ1162" i="11"/>
  <c r="AM1162" i="11"/>
  <c r="AI1162" i="11"/>
  <c r="AE1162" i="11"/>
  <c r="AA1162" i="11"/>
  <c r="W1162" i="11"/>
  <c r="U1162" i="11" a="1"/>
  <c r="U1162" i="11" s="1"/>
  <c r="T1162" i="11" a="1"/>
  <c r="T1162" i="11" s="1"/>
  <c r="S1162" i="11"/>
  <c r="Q1162" i="11"/>
  <c r="P1162" i="11"/>
  <c r="N1162" i="11" s="1"/>
  <c r="O1162" i="11" s="1"/>
  <c r="AQ1161" i="11"/>
  <c r="AM1161" i="11"/>
  <c r="AI1161" i="11"/>
  <c r="AE1161" i="11"/>
  <c r="AA1161" i="11"/>
  <c r="W1161" i="11"/>
  <c r="U1161" i="11" a="1"/>
  <c r="U1161" i="11" s="1"/>
  <c r="T1161" i="11" a="1"/>
  <c r="T1161" i="11" s="1"/>
  <c r="S1161" i="11"/>
  <c r="Q1161" i="11"/>
  <c r="P1161" i="11"/>
  <c r="AQ1160" i="11"/>
  <c r="AM1160" i="11"/>
  <c r="AI1160" i="11"/>
  <c r="AE1160" i="11"/>
  <c r="AA1160" i="11"/>
  <c r="W1160" i="11"/>
  <c r="U1160" i="11" a="1"/>
  <c r="U1160" i="11" s="1"/>
  <c r="T1160" i="11" a="1"/>
  <c r="T1160" i="11" s="1"/>
  <c r="S1160" i="11"/>
  <c r="Q1160" i="11"/>
  <c r="P1160" i="11"/>
  <c r="N1160" i="11" s="1"/>
  <c r="O1160" i="11" s="1"/>
  <c r="AQ1159" i="11"/>
  <c r="AM1159" i="11"/>
  <c r="AI1159" i="11"/>
  <c r="AE1159" i="11"/>
  <c r="AA1159" i="11"/>
  <c r="W1159" i="11"/>
  <c r="U1159" i="11" a="1"/>
  <c r="U1159" i="11" s="1"/>
  <c r="T1159" i="11" a="1"/>
  <c r="T1159" i="11" s="1"/>
  <c r="S1159" i="11"/>
  <c r="Q1159" i="11"/>
  <c r="R1159" i="11" s="1"/>
  <c r="P1159" i="11"/>
  <c r="N1159" i="11" s="1"/>
  <c r="O1159" i="11" s="1"/>
  <c r="AQ1158" i="11"/>
  <c r="AM1158" i="11"/>
  <c r="AI1158" i="11"/>
  <c r="AE1158" i="11"/>
  <c r="AA1158" i="11"/>
  <c r="W1158" i="11"/>
  <c r="U1158" i="11" a="1"/>
  <c r="U1158" i="11" s="1"/>
  <c r="T1158" i="11" a="1"/>
  <c r="T1158" i="11" s="1"/>
  <c r="S1158" i="11"/>
  <c r="Q1158" i="11"/>
  <c r="P1158" i="11"/>
  <c r="N1158" i="11" s="1"/>
  <c r="O1158" i="11" s="1"/>
  <c r="AQ1157" i="11"/>
  <c r="AM1157" i="11"/>
  <c r="AI1157" i="11"/>
  <c r="AE1157" i="11"/>
  <c r="AA1157" i="11"/>
  <c r="W1157" i="11"/>
  <c r="U1157" i="11" a="1"/>
  <c r="U1157" i="11" s="1"/>
  <c r="T1157" i="11" a="1"/>
  <c r="T1157" i="11" s="1"/>
  <c r="S1157" i="11"/>
  <c r="Q1157" i="11"/>
  <c r="P1157" i="11"/>
  <c r="AQ1156" i="11"/>
  <c r="AM1156" i="11"/>
  <c r="AI1156" i="11"/>
  <c r="AE1156" i="11"/>
  <c r="AA1156" i="11"/>
  <c r="W1156" i="11"/>
  <c r="U1156" i="11" a="1"/>
  <c r="U1156" i="11" s="1"/>
  <c r="T1156" i="11" a="1"/>
  <c r="T1156" i="11" s="1"/>
  <c r="S1156" i="11"/>
  <c r="Q1156" i="11"/>
  <c r="P1156" i="11"/>
  <c r="AQ1155" i="11"/>
  <c r="AM1155" i="11"/>
  <c r="AI1155" i="11"/>
  <c r="AE1155" i="11"/>
  <c r="AA1155" i="11"/>
  <c r="W1155" i="11"/>
  <c r="U1155" i="11" a="1"/>
  <c r="U1155" i="11" s="1"/>
  <c r="T1155" i="11" a="1"/>
  <c r="T1155" i="11" s="1"/>
  <c r="S1155" i="11"/>
  <c r="Q1155" i="11"/>
  <c r="P1155" i="11"/>
  <c r="AQ1154" i="11"/>
  <c r="AM1154" i="11"/>
  <c r="AI1154" i="11"/>
  <c r="AE1154" i="11"/>
  <c r="AA1154" i="11"/>
  <c r="W1154" i="11"/>
  <c r="U1154" i="11" a="1"/>
  <c r="U1154" i="11" s="1"/>
  <c r="T1154" i="11" a="1"/>
  <c r="T1154" i="11" s="1"/>
  <c r="S1154" i="11"/>
  <c r="Q1154" i="11"/>
  <c r="P1154" i="11"/>
  <c r="N1154" i="11" s="1"/>
  <c r="O1154" i="11" s="1"/>
  <c r="AQ1153" i="11"/>
  <c r="AM1153" i="11"/>
  <c r="AI1153" i="11"/>
  <c r="AE1153" i="11"/>
  <c r="AA1153" i="11"/>
  <c r="W1153" i="11"/>
  <c r="U1153" i="11" a="1"/>
  <c r="U1153" i="11" s="1"/>
  <c r="T1153" i="11" a="1"/>
  <c r="T1153" i="11" s="1"/>
  <c r="S1153" i="11"/>
  <c r="Q1153" i="11"/>
  <c r="P1153" i="11"/>
  <c r="N1153" i="11" s="1"/>
  <c r="O1153" i="11" s="1"/>
  <c r="AQ1152" i="11"/>
  <c r="AM1152" i="11"/>
  <c r="AI1152" i="11"/>
  <c r="AE1152" i="11"/>
  <c r="AA1152" i="11"/>
  <c r="W1152" i="11"/>
  <c r="U1152" i="11" a="1"/>
  <c r="U1152" i="11" s="1"/>
  <c r="T1152" i="11" a="1"/>
  <c r="T1152" i="11" s="1"/>
  <c r="S1152" i="11"/>
  <c r="Q1152" i="11"/>
  <c r="P1152" i="11"/>
  <c r="AQ1151" i="11"/>
  <c r="AM1151" i="11"/>
  <c r="AI1151" i="11"/>
  <c r="AE1151" i="11"/>
  <c r="AA1151" i="11"/>
  <c r="W1151" i="11"/>
  <c r="U1151" i="11" a="1"/>
  <c r="U1151" i="11" s="1"/>
  <c r="T1151" i="11" a="1"/>
  <c r="T1151" i="11" s="1"/>
  <c r="S1151" i="11"/>
  <c r="Q1151" i="11"/>
  <c r="R1151" i="11" s="1"/>
  <c r="P1151" i="11"/>
  <c r="N1151" i="11" s="1"/>
  <c r="O1151" i="11" s="1"/>
  <c r="AQ1150" i="11"/>
  <c r="AM1150" i="11"/>
  <c r="AI1150" i="11"/>
  <c r="AE1150" i="11"/>
  <c r="AA1150" i="11"/>
  <c r="W1150" i="11"/>
  <c r="U1150" i="11" a="1"/>
  <c r="U1150" i="11" s="1"/>
  <c r="T1150" i="11" a="1"/>
  <c r="T1150" i="11" s="1"/>
  <c r="S1150" i="11"/>
  <c r="Q1150" i="11"/>
  <c r="P1150" i="11"/>
  <c r="N1150" i="11" s="1"/>
  <c r="O1150" i="11" s="1"/>
  <c r="AQ1149" i="11"/>
  <c r="AM1149" i="11"/>
  <c r="AI1149" i="11"/>
  <c r="AE1149" i="11"/>
  <c r="AA1149" i="11"/>
  <c r="W1149" i="11"/>
  <c r="U1149" i="11" a="1"/>
  <c r="U1149" i="11" s="1"/>
  <c r="T1149" i="11" a="1"/>
  <c r="T1149" i="11" s="1"/>
  <c r="S1149" i="11"/>
  <c r="Q1149" i="11"/>
  <c r="P1149" i="11"/>
  <c r="N1149" i="11" s="1"/>
  <c r="O1149" i="11" s="1"/>
  <c r="AQ1148" i="11"/>
  <c r="AM1148" i="11"/>
  <c r="AI1148" i="11"/>
  <c r="AE1148" i="11"/>
  <c r="AA1148" i="11"/>
  <c r="W1148" i="11"/>
  <c r="U1148" i="11" a="1"/>
  <c r="U1148" i="11" s="1"/>
  <c r="T1148" i="11" a="1"/>
  <c r="T1148" i="11" s="1"/>
  <c r="S1148" i="11"/>
  <c r="Q1148" i="11"/>
  <c r="P1148" i="11"/>
  <c r="N1148" i="11" s="1"/>
  <c r="O1148" i="11" s="1"/>
  <c r="AQ1147" i="11"/>
  <c r="AM1147" i="11"/>
  <c r="AI1147" i="11"/>
  <c r="AE1147" i="11"/>
  <c r="AA1147" i="11"/>
  <c r="W1147" i="11"/>
  <c r="U1147" i="11" a="1"/>
  <c r="U1147" i="11" s="1"/>
  <c r="T1147" i="11" a="1"/>
  <c r="T1147" i="11" s="1"/>
  <c r="S1147" i="11"/>
  <c r="Q1147" i="11"/>
  <c r="P1147" i="11"/>
  <c r="N1147" i="11" s="1"/>
  <c r="O1147" i="11" s="1"/>
  <c r="AQ1146" i="11"/>
  <c r="AM1146" i="11"/>
  <c r="AI1146" i="11"/>
  <c r="AE1146" i="11"/>
  <c r="AA1146" i="11"/>
  <c r="W1146" i="11"/>
  <c r="U1146" i="11" a="1"/>
  <c r="U1146" i="11" s="1"/>
  <c r="T1146" i="11" a="1"/>
  <c r="T1146" i="11" s="1"/>
  <c r="S1146" i="11"/>
  <c r="Q1146" i="11"/>
  <c r="P1146" i="11"/>
  <c r="AQ1145" i="11"/>
  <c r="AM1145" i="11"/>
  <c r="AI1145" i="11"/>
  <c r="AE1145" i="11"/>
  <c r="AA1145" i="11"/>
  <c r="W1145" i="11"/>
  <c r="U1145" i="11" a="1"/>
  <c r="U1145" i="11" s="1"/>
  <c r="T1145" i="11" a="1"/>
  <c r="T1145" i="11" s="1"/>
  <c r="S1145" i="11"/>
  <c r="Q1145" i="11"/>
  <c r="P1145" i="11"/>
  <c r="AQ1144" i="11"/>
  <c r="AM1144" i="11"/>
  <c r="AI1144" i="11"/>
  <c r="AE1144" i="11"/>
  <c r="AA1144" i="11"/>
  <c r="W1144" i="11"/>
  <c r="U1144" i="11" a="1"/>
  <c r="U1144" i="11" s="1"/>
  <c r="T1144" i="11" a="1"/>
  <c r="T1144" i="11" s="1"/>
  <c r="S1144" i="11"/>
  <c r="Q1144" i="11"/>
  <c r="P1144" i="11"/>
  <c r="N1144" i="11" s="1"/>
  <c r="O1144" i="11" s="1"/>
  <c r="AQ1143" i="11"/>
  <c r="AM1143" i="11"/>
  <c r="AI1143" i="11"/>
  <c r="AE1143" i="11"/>
  <c r="AA1143" i="11"/>
  <c r="W1143" i="11"/>
  <c r="U1143" i="11" a="1"/>
  <c r="U1143" i="11" s="1"/>
  <c r="T1143" i="11" a="1"/>
  <c r="T1143" i="11" s="1"/>
  <c r="S1143" i="11"/>
  <c r="Q1143" i="11"/>
  <c r="P1143" i="11"/>
  <c r="AQ1142" i="11"/>
  <c r="AM1142" i="11"/>
  <c r="AI1142" i="11"/>
  <c r="AE1142" i="11"/>
  <c r="AA1142" i="11"/>
  <c r="W1142" i="11"/>
  <c r="U1142" i="11" a="1"/>
  <c r="U1142" i="11" s="1"/>
  <c r="T1142" i="11" a="1"/>
  <c r="T1142" i="11" s="1"/>
  <c r="S1142" i="11"/>
  <c r="Q1142" i="11"/>
  <c r="P1142" i="11"/>
  <c r="N1142" i="11" s="1"/>
  <c r="O1142" i="11" s="1"/>
  <c r="AQ1141" i="11"/>
  <c r="AM1141" i="11"/>
  <c r="AI1141" i="11"/>
  <c r="AE1141" i="11"/>
  <c r="AA1141" i="11"/>
  <c r="W1141" i="11"/>
  <c r="U1141" i="11" a="1"/>
  <c r="U1141" i="11" s="1"/>
  <c r="T1141" i="11" a="1"/>
  <c r="T1141" i="11" s="1"/>
  <c r="S1141" i="11"/>
  <c r="Q1141" i="11"/>
  <c r="P1141" i="11"/>
  <c r="AQ1140" i="11"/>
  <c r="AM1140" i="11"/>
  <c r="AI1140" i="11"/>
  <c r="AE1140" i="11"/>
  <c r="AA1140" i="11"/>
  <c r="W1140" i="11"/>
  <c r="U1140" i="11" a="1"/>
  <c r="U1140" i="11" s="1"/>
  <c r="T1140" i="11" a="1"/>
  <c r="T1140" i="11" s="1"/>
  <c r="S1140" i="11"/>
  <c r="Q1140" i="11"/>
  <c r="P1140" i="11"/>
  <c r="N1140" i="11" s="1"/>
  <c r="O1140" i="11" s="1"/>
  <c r="AQ1139" i="11"/>
  <c r="AM1139" i="11"/>
  <c r="AI1139" i="11"/>
  <c r="AE1139" i="11"/>
  <c r="AA1139" i="11"/>
  <c r="W1139" i="11"/>
  <c r="U1139" i="11" a="1"/>
  <c r="U1139" i="11" s="1"/>
  <c r="T1139" i="11" a="1"/>
  <c r="T1139" i="11" s="1"/>
  <c r="S1139" i="11"/>
  <c r="Q1139" i="11"/>
  <c r="P1139" i="11"/>
  <c r="AQ1138" i="11"/>
  <c r="AM1138" i="11"/>
  <c r="AI1138" i="11"/>
  <c r="AE1138" i="11"/>
  <c r="AA1138" i="11"/>
  <c r="W1138" i="11"/>
  <c r="U1138" i="11" a="1"/>
  <c r="U1138" i="11" s="1"/>
  <c r="T1138" i="11" a="1"/>
  <c r="T1138" i="11" s="1"/>
  <c r="S1138" i="11"/>
  <c r="Q1138" i="11"/>
  <c r="P1138" i="11"/>
  <c r="N1138" i="11" s="1"/>
  <c r="O1138" i="11" s="1"/>
  <c r="AQ1137" i="11"/>
  <c r="AM1137" i="11"/>
  <c r="AI1137" i="11"/>
  <c r="AE1137" i="11"/>
  <c r="AA1137" i="11"/>
  <c r="W1137" i="11"/>
  <c r="U1137" i="11" a="1"/>
  <c r="U1137" i="11" s="1"/>
  <c r="T1137" i="11" a="1"/>
  <c r="T1137" i="11" s="1"/>
  <c r="S1137" i="11"/>
  <c r="Q1137" i="11"/>
  <c r="P1137" i="11"/>
  <c r="N1137" i="11" s="1"/>
  <c r="O1137" i="11" s="1"/>
  <c r="AQ1136" i="11"/>
  <c r="AM1136" i="11"/>
  <c r="AI1136" i="11"/>
  <c r="AE1136" i="11"/>
  <c r="AA1136" i="11"/>
  <c r="W1136" i="11"/>
  <c r="U1136" i="11" a="1"/>
  <c r="U1136" i="11" s="1"/>
  <c r="T1136" i="11" a="1"/>
  <c r="T1136" i="11" s="1"/>
  <c r="S1136" i="11"/>
  <c r="Q1136" i="11"/>
  <c r="P1136" i="11"/>
  <c r="N1136" i="11" s="1"/>
  <c r="O1136" i="11" s="1"/>
  <c r="AQ1135" i="11"/>
  <c r="AM1135" i="11"/>
  <c r="AI1135" i="11"/>
  <c r="AE1135" i="11"/>
  <c r="AA1135" i="11"/>
  <c r="W1135" i="11"/>
  <c r="U1135" i="11" a="1"/>
  <c r="U1135" i="11" s="1"/>
  <c r="T1135" i="11" a="1"/>
  <c r="T1135" i="11" s="1"/>
  <c r="S1135" i="11"/>
  <c r="Q1135" i="11"/>
  <c r="P1135" i="11"/>
  <c r="AQ1134" i="11"/>
  <c r="AM1134" i="11"/>
  <c r="AI1134" i="11"/>
  <c r="AE1134" i="11"/>
  <c r="AA1134" i="11"/>
  <c r="W1134" i="11"/>
  <c r="U1134" i="11" a="1"/>
  <c r="U1134" i="11" s="1"/>
  <c r="T1134" i="11" a="1"/>
  <c r="T1134" i="11" s="1"/>
  <c r="S1134" i="11"/>
  <c r="Q1134" i="11"/>
  <c r="P1134" i="11"/>
  <c r="N1134" i="11" s="1"/>
  <c r="O1134" i="11" s="1"/>
  <c r="AQ1133" i="11"/>
  <c r="AM1133" i="11"/>
  <c r="AI1133" i="11"/>
  <c r="AE1133" i="11"/>
  <c r="AA1133" i="11"/>
  <c r="W1133" i="11"/>
  <c r="U1133" i="11" a="1"/>
  <c r="U1133" i="11" s="1"/>
  <c r="T1133" i="11" a="1"/>
  <c r="T1133" i="11" s="1"/>
  <c r="S1133" i="11"/>
  <c r="Q1133" i="11"/>
  <c r="P1133" i="11"/>
  <c r="AQ1132" i="11"/>
  <c r="AM1132" i="11"/>
  <c r="AI1132" i="11"/>
  <c r="AE1132" i="11"/>
  <c r="AA1132" i="11"/>
  <c r="W1132" i="11"/>
  <c r="U1132" i="11" a="1"/>
  <c r="U1132" i="11" s="1"/>
  <c r="T1132" i="11" a="1"/>
  <c r="T1132" i="11" s="1"/>
  <c r="S1132" i="11"/>
  <c r="Q1132" i="11"/>
  <c r="P1132" i="11"/>
  <c r="N1132" i="11" s="1"/>
  <c r="O1132" i="11" s="1"/>
  <c r="AQ1131" i="11"/>
  <c r="AM1131" i="11"/>
  <c r="AI1131" i="11"/>
  <c r="AE1131" i="11"/>
  <c r="AA1131" i="11"/>
  <c r="W1131" i="11"/>
  <c r="U1131" i="11" a="1"/>
  <c r="U1131" i="11" s="1"/>
  <c r="T1131" i="11" a="1"/>
  <c r="T1131" i="11" s="1"/>
  <c r="S1131" i="11"/>
  <c r="Q1131" i="11"/>
  <c r="P1131" i="11"/>
  <c r="N1131" i="11" s="1"/>
  <c r="O1131" i="11" s="1"/>
  <c r="AQ1130" i="11"/>
  <c r="AM1130" i="11"/>
  <c r="AI1130" i="11"/>
  <c r="AE1130" i="11"/>
  <c r="AA1130" i="11"/>
  <c r="W1130" i="11"/>
  <c r="U1130" i="11" a="1"/>
  <c r="U1130" i="11" s="1"/>
  <c r="T1130" i="11" a="1"/>
  <c r="T1130" i="11" s="1"/>
  <c r="S1130" i="11"/>
  <c r="Q1130" i="11"/>
  <c r="P1130" i="11"/>
  <c r="N1130" i="11" s="1"/>
  <c r="O1130" i="11" s="1"/>
  <c r="AQ1129" i="11"/>
  <c r="AM1129" i="11"/>
  <c r="AI1129" i="11"/>
  <c r="AE1129" i="11"/>
  <c r="AA1129" i="11"/>
  <c r="W1129" i="11"/>
  <c r="U1129" i="11" a="1"/>
  <c r="U1129" i="11" s="1"/>
  <c r="T1129" i="11" a="1"/>
  <c r="T1129" i="11" s="1"/>
  <c r="S1129" i="11"/>
  <c r="Q1129" i="11"/>
  <c r="P1129" i="11"/>
  <c r="N1129" i="11" s="1"/>
  <c r="O1129" i="11" s="1"/>
  <c r="AQ1128" i="11"/>
  <c r="AM1128" i="11"/>
  <c r="AI1128" i="11"/>
  <c r="AE1128" i="11"/>
  <c r="AA1128" i="11"/>
  <c r="W1128" i="11"/>
  <c r="U1128" i="11" a="1"/>
  <c r="U1128" i="11" s="1"/>
  <c r="T1128" i="11" a="1"/>
  <c r="T1128" i="11" s="1"/>
  <c r="S1128" i="11"/>
  <c r="Q1128" i="11"/>
  <c r="P1128" i="11"/>
  <c r="AQ1127" i="11"/>
  <c r="AM1127" i="11"/>
  <c r="AI1127" i="11"/>
  <c r="AE1127" i="11"/>
  <c r="AA1127" i="11"/>
  <c r="W1127" i="11"/>
  <c r="U1127" i="11" a="1"/>
  <c r="U1127" i="11" s="1"/>
  <c r="T1127" i="11" a="1"/>
  <c r="T1127" i="11" s="1"/>
  <c r="S1127" i="11"/>
  <c r="Q1127" i="11"/>
  <c r="P1127" i="11"/>
  <c r="N1127" i="11" s="1"/>
  <c r="O1127" i="11" s="1"/>
  <c r="AQ1126" i="11"/>
  <c r="AM1126" i="11"/>
  <c r="AI1126" i="11"/>
  <c r="AE1126" i="11"/>
  <c r="AA1126" i="11"/>
  <c r="W1126" i="11"/>
  <c r="U1126" i="11" a="1"/>
  <c r="U1126" i="11" s="1"/>
  <c r="T1126" i="11" a="1"/>
  <c r="T1126" i="11" s="1"/>
  <c r="S1126" i="11"/>
  <c r="Q1126" i="11"/>
  <c r="P1126" i="11"/>
  <c r="N1126" i="11" s="1"/>
  <c r="O1126" i="11" s="1"/>
  <c r="AQ1125" i="11"/>
  <c r="AM1125" i="11"/>
  <c r="AI1125" i="11"/>
  <c r="AE1125" i="11"/>
  <c r="AA1125" i="11"/>
  <c r="W1125" i="11"/>
  <c r="U1125" i="11" a="1"/>
  <c r="U1125" i="11" s="1"/>
  <c r="T1125" i="11" a="1"/>
  <c r="T1125" i="11" s="1"/>
  <c r="S1125" i="11"/>
  <c r="Q1125" i="11"/>
  <c r="P1125" i="11"/>
  <c r="AQ1124" i="11"/>
  <c r="AM1124" i="11"/>
  <c r="AI1124" i="11"/>
  <c r="AE1124" i="11"/>
  <c r="AA1124" i="11"/>
  <c r="W1124" i="11"/>
  <c r="U1124" i="11" a="1"/>
  <c r="U1124" i="11" s="1"/>
  <c r="T1124" i="11" a="1"/>
  <c r="T1124" i="11" s="1"/>
  <c r="S1124" i="11"/>
  <c r="Q1124" i="11"/>
  <c r="P1124" i="11"/>
  <c r="N1124" i="11" s="1"/>
  <c r="O1124" i="11" s="1"/>
  <c r="AQ1123" i="11"/>
  <c r="AM1123" i="11"/>
  <c r="AI1123" i="11"/>
  <c r="AE1123" i="11"/>
  <c r="AA1123" i="11"/>
  <c r="W1123" i="11"/>
  <c r="U1123" i="11" a="1"/>
  <c r="U1123" i="11" s="1"/>
  <c r="T1123" i="11" a="1"/>
  <c r="T1123" i="11" s="1"/>
  <c r="S1123" i="11"/>
  <c r="Q1123" i="11"/>
  <c r="P1123" i="11"/>
  <c r="Z1065" i="11" s="1" a="1"/>
  <c r="AQ1122" i="11"/>
  <c r="AM1122" i="11"/>
  <c r="AI1122" i="11"/>
  <c r="AE1122" i="11"/>
  <c r="AA1122" i="11"/>
  <c r="W1122" i="11"/>
  <c r="U1122" i="11" a="1"/>
  <c r="U1122" i="11" s="1"/>
  <c r="T1122" i="11" a="1"/>
  <c r="T1122" i="11" s="1"/>
  <c r="S1122" i="11"/>
  <c r="Q1122" i="11"/>
  <c r="P1122" i="11"/>
  <c r="N1122" i="11" s="1"/>
  <c r="O1122" i="11" s="1"/>
  <c r="AQ1121" i="11"/>
  <c r="AM1121" i="11"/>
  <c r="AI1121" i="11"/>
  <c r="AE1121" i="11"/>
  <c r="AA1121" i="11"/>
  <c r="W1121" i="11"/>
  <c r="U1121" i="11" a="1"/>
  <c r="U1121" i="11" s="1"/>
  <c r="T1121" i="11" a="1"/>
  <c r="T1121" i="11" s="1"/>
  <c r="S1121" i="11"/>
  <c r="Q1121" i="11"/>
  <c r="P1121" i="11"/>
  <c r="N1121" i="11" s="1"/>
  <c r="O1121" i="11" s="1"/>
  <c r="AQ1120" i="11"/>
  <c r="AM1120" i="11"/>
  <c r="AI1120" i="11"/>
  <c r="AE1120" i="11"/>
  <c r="AA1120" i="11"/>
  <c r="W1120" i="11"/>
  <c r="U1120" i="11" a="1"/>
  <c r="U1120" i="11" s="1"/>
  <c r="T1120" i="11" a="1"/>
  <c r="T1120" i="11" s="1"/>
  <c r="S1120" i="11"/>
  <c r="Q1120" i="11"/>
  <c r="P1120" i="11"/>
  <c r="Z1085" i="11" s="1" a="1"/>
  <c r="AQ1119" i="11"/>
  <c r="AM1119" i="11"/>
  <c r="AI1119" i="11"/>
  <c r="AE1119" i="11"/>
  <c r="AA1119" i="11"/>
  <c r="W1119" i="11"/>
  <c r="U1119" i="11" a="1"/>
  <c r="U1119" i="11" s="1"/>
  <c r="T1119" i="11" a="1"/>
  <c r="T1119" i="11" s="1"/>
  <c r="S1119" i="11"/>
  <c r="Q1119" i="11"/>
  <c r="P1119" i="11"/>
  <c r="N1119" i="11" s="1"/>
  <c r="O1119" i="11" s="1"/>
  <c r="AQ1118" i="11"/>
  <c r="AM1118" i="11"/>
  <c r="AI1118" i="11"/>
  <c r="AE1118" i="11"/>
  <c r="AA1118" i="11"/>
  <c r="W1118" i="11"/>
  <c r="U1118" i="11" a="1"/>
  <c r="U1118" i="11" s="1"/>
  <c r="T1118" i="11" a="1"/>
  <c r="T1118" i="11" s="1"/>
  <c r="S1118" i="11"/>
  <c r="Q1118" i="11"/>
  <c r="P1118" i="11"/>
  <c r="N1118" i="11" s="1"/>
  <c r="O1118" i="11" s="1"/>
  <c r="AQ1117" i="11"/>
  <c r="AM1117" i="11"/>
  <c r="AI1117" i="11"/>
  <c r="AE1117" i="11"/>
  <c r="AA1117" i="11"/>
  <c r="W1117" i="11"/>
  <c r="U1117" i="11" a="1"/>
  <c r="U1117" i="11" s="1"/>
  <c r="T1117" i="11" a="1"/>
  <c r="T1117" i="11" s="1"/>
  <c r="S1117" i="11"/>
  <c r="Q1117" i="11"/>
  <c r="P1117" i="11"/>
  <c r="AQ1116" i="11"/>
  <c r="AM1116" i="11"/>
  <c r="AI1116" i="11"/>
  <c r="AE1116" i="11"/>
  <c r="AA1116" i="11"/>
  <c r="W1116" i="11"/>
  <c r="U1116" i="11" a="1"/>
  <c r="U1116" i="11" s="1"/>
  <c r="T1116" i="11" a="1"/>
  <c r="T1116" i="11" s="1"/>
  <c r="S1116" i="11"/>
  <c r="Q1116" i="11"/>
  <c r="P1116" i="11"/>
  <c r="N1116" i="11" s="1"/>
  <c r="O1116" i="11" s="1"/>
  <c r="AQ1115" i="11"/>
  <c r="AM1115" i="11"/>
  <c r="AI1115" i="11"/>
  <c r="AE1115" i="11"/>
  <c r="AA1115" i="11"/>
  <c r="W1115" i="11"/>
  <c r="U1115" i="11" a="1"/>
  <c r="U1115" i="11" s="1"/>
  <c r="T1115" i="11" a="1"/>
  <c r="T1115" i="11" s="1"/>
  <c r="S1115" i="11"/>
  <c r="Q1115" i="11"/>
  <c r="P1115" i="11"/>
  <c r="N1115" i="11" s="1"/>
  <c r="O1115" i="11" s="1"/>
  <c r="AQ1114" i="11"/>
  <c r="AM1114" i="11"/>
  <c r="AI1114" i="11"/>
  <c r="AE1114" i="11"/>
  <c r="AA1114" i="11"/>
  <c r="W1114" i="11"/>
  <c r="U1114" i="11" a="1"/>
  <c r="U1114" i="11" s="1"/>
  <c r="T1114" i="11" a="1"/>
  <c r="T1114" i="11" s="1"/>
  <c r="S1114" i="11"/>
  <c r="Q1114" i="11"/>
  <c r="P1114" i="11"/>
  <c r="N1114" i="11" s="1"/>
  <c r="O1114" i="11" s="1"/>
  <c r="AQ1113" i="11"/>
  <c r="AM1113" i="11"/>
  <c r="AI1113" i="11"/>
  <c r="AE1113" i="11"/>
  <c r="AA1113" i="11"/>
  <c r="W1113" i="11"/>
  <c r="U1113" i="11" a="1"/>
  <c r="U1113" i="11" s="1"/>
  <c r="T1113" i="11" a="1"/>
  <c r="T1113" i="11" s="1"/>
  <c r="S1113" i="11"/>
  <c r="Q1113" i="11"/>
  <c r="P1113" i="11"/>
  <c r="N1113" i="11" s="1"/>
  <c r="O1113" i="11" s="1"/>
  <c r="AQ1112" i="11"/>
  <c r="AM1112" i="11"/>
  <c r="AI1112" i="11"/>
  <c r="AE1112" i="11"/>
  <c r="AA1112" i="11"/>
  <c r="W1112" i="11"/>
  <c r="U1112" i="11" a="1"/>
  <c r="U1112" i="11" s="1"/>
  <c r="T1112" i="11" a="1"/>
  <c r="T1112" i="11" s="1"/>
  <c r="S1112" i="11"/>
  <c r="Q1112" i="11"/>
  <c r="P1112" i="11"/>
  <c r="N1112" i="11" s="1"/>
  <c r="O1112" i="11" s="1"/>
  <c r="AQ1111" i="11"/>
  <c r="AM1111" i="11"/>
  <c r="AI1111" i="11"/>
  <c r="AE1111" i="11"/>
  <c r="AA1111" i="11"/>
  <c r="W1111" i="11"/>
  <c r="U1111" i="11" a="1"/>
  <c r="U1111" i="11" s="1"/>
  <c r="T1111" i="11" a="1"/>
  <c r="T1111" i="11" s="1"/>
  <c r="S1111" i="11"/>
  <c r="Q1111" i="11"/>
  <c r="P1111" i="11"/>
  <c r="AQ1110" i="11"/>
  <c r="AM1110" i="11"/>
  <c r="AI1110" i="11"/>
  <c r="AE1110" i="11"/>
  <c r="AA1110" i="11"/>
  <c r="W1110" i="11"/>
  <c r="U1110" i="11" a="1"/>
  <c r="U1110" i="11" s="1"/>
  <c r="T1110" i="11" a="1"/>
  <c r="T1110" i="11" s="1"/>
  <c r="S1110" i="11"/>
  <c r="Q1110" i="11"/>
  <c r="P1110" i="11"/>
  <c r="N1110" i="11" s="1"/>
  <c r="O1110" i="11" s="1"/>
  <c r="AQ1109" i="11"/>
  <c r="AM1109" i="11"/>
  <c r="AI1109" i="11"/>
  <c r="AE1109" i="11"/>
  <c r="AA1109" i="11"/>
  <c r="W1109" i="11"/>
  <c r="U1109" i="11" a="1"/>
  <c r="U1109" i="11" s="1"/>
  <c r="T1109" i="11" a="1"/>
  <c r="T1109" i="11" s="1"/>
  <c r="S1109" i="11"/>
  <c r="Q1109" i="11"/>
  <c r="P1109" i="11"/>
  <c r="N1109" i="11" s="1"/>
  <c r="O1109" i="11" s="1"/>
  <c r="AQ1108" i="11"/>
  <c r="AM1108" i="11"/>
  <c r="AI1108" i="11"/>
  <c r="AE1108" i="11"/>
  <c r="AA1108" i="11"/>
  <c r="W1108" i="11"/>
  <c r="U1108" i="11" a="1"/>
  <c r="U1108" i="11" s="1"/>
  <c r="T1108" i="11" a="1"/>
  <c r="T1108" i="11" s="1"/>
  <c r="S1108" i="11"/>
  <c r="Q1108" i="11"/>
  <c r="P1108" i="11"/>
  <c r="N1108" i="11" s="1"/>
  <c r="O1108" i="11" s="1"/>
  <c r="AQ1107" i="11"/>
  <c r="AM1107" i="11"/>
  <c r="AI1107" i="11"/>
  <c r="AE1107" i="11"/>
  <c r="AA1107" i="11"/>
  <c r="W1107" i="11"/>
  <c r="U1107" i="11" a="1"/>
  <c r="U1107" i="11" s="1"/>
  <c r="T1107" i="11" a="1"/>
  <c r="T1107" i="11" s="1"/>
  <c r="S1107" i="11"/>
  <c r="Q1107" i="11"/>
  <c r="P1107" i="11"/>
  <c r="N1107" i="11" s="1"/>
  <c r="O1107" i="11" s="1"/>
  <c r="AQ1106" i="11"/>
  <c r="AM1106" i="11"/>
  <c r="AI1106" i="11"/>
  <c r="AE1106" i="11"/>
  <c r="AA1106" i="11"/>
  <c r="W1106" i="11"/>
  <c r="U1106" i="11" a="1"/>
  <c r="U1106" i="11" s="1"/>
  <c r="T1106" i="11" a="1"/>
  <c r="T1106" i="11" s="1"/>
  <c r="S1106" i="11"/>
  <c r="Q1106" i="11"/>
  <c r="P1106" i="11"/>
  <c r="AQ1105" i="11"/>
  <c r="AM1105" i="11"/>
  <c r="AI1105" i="11"/>
  <c r="AE1105" i="11"/>
  <c r="AA1105" i="11"/>
  <c r="W1105" i="11"/>
  <c r="U1105" i="11" a="1"/>
  <c r="U1105" i="11" s="1"/>
  <c r="T1105" i="11" a="1"/>
  <c r="T1105" i="11" s="1"/>
  <c r="S1105" i="11"/>
  <c r="Q1105" i="11"/>
  <c r="P1105" i="11"/>
  <c r="AQ1104" i="11"/>
  <c r="AM1104" i="11"/>
  <c r="AI1104" i="11"/>
  <c r="AE1104" i="11"/>
  <c r="AA1104" i="11"/>
  <c r="W1104" i="11"/>
  <c r="U1104" i="11" a="1"/>
  <c r="U1104" i="11" s="1"/>
  <c r="T1104" i="11" a="1"/>
  <c r="T1104" i="11" s="1"/>
  <c r="S1104" i="11"/>
  <c r="Q1104" i="11"/>
  <c r="P1104" i="11"/>
  <c r="AQ1103" i="11"/>
  <c r="AM1103" i="11"/>
  <c r="AI1103" i="11"/>
  <c r="AE1103" i="11"/>
  <c r="AA1103" i="11"/>
  <c r="W1103" i="11"/>
  <c r="U1103" i="11" a="1"/>
  <c r="U1103" i="11" s="1"/>
  <c r="T1103" i="11" a="1"/>
  <c r="T1103" i="11" s="1"/>
  <c r="S1103" i="11"/>
  <c r="Q1103" i="11"/>
  <c r="P1103" i="11"/>
  <c r="N1103" i="11" s="1"/>
  <c r="O1103" i="11" s="1"/>
  <c r="AQ1102" i="11"/>
  <c r="AM1102" i="11"/>
  <c r="AI1102" i="11"/>
  <c r="AE1102" i="11"/>
  <c r="AA1102" i="11"/>
  <c r="W1102" i="11"/>
  <c r="U1102" i="11" a="1"/>
  <c r="U1102" i="11" s="1"/>
  <c r="T1102" i="11" a="1"/>
  <c r="T1102" i="11" s="1"/>
  <c r="S1102" i="11"/>
  <c r="Q1102" i="11"/>
  <c r="P1102" i="11"/>
  <c r="AQ1101" i="11"/>
  <c r="AM1101" i="11"/>
  <c r="AI1101" i="11"/>
  <c r="AE1101" i="11"/>
  <c r="AA1101" i="11"/>
  <c r="W1101" i="11"/>
  <c r="U1101" i="11" a="1"/>
  <c r="U1101" i="11" s="1"/>
  <c r="T1101" i="11" a="1"/>
  <c r="T1101" i="11" s="1"/>
  <c r="S1101" i="11"/>
  <c r="Q1101" i="11"/>
  <c r="P1101" i="11"/>
  <c r="N1101" i="11"/>
  <c r="O1101" i="11" s="1"/>
  <c r="AQ1100" i="11"/>
  <c r="AM1100" i="11"/>
  <c r="AI1100" i="11"/>
  <c r="AE1100" i="11"/>
  <c r="AA1100" i="11"/>
  <c r="W1100" i="11"/>
  <c r="U1100" i="11" a="1"/>
  <c r="U1100" i="11"/>
  <c r="T1100" i="11" a="1"/>
  <c r="T1100" i="11" s="1"/>
  <c r="S1100" i="11"/>
  <c r="Q1100" i="11"/>
  <c r="P1100" i="11"/>
  <c r="AQ1099" i="11"/>
  <c r="AM1099" i="11"/>
  <c r="AI1099" i="11"/>
  <c r="AE1099" i="11"/>
  <c r="AA1099" i="11"/>
  <c r="W1099" i="11"/>
  <c r="U1099" i="11" a="1"/>
  <c r="U1099" i="11" s="1"/>
  <c r="T1099" i="11" a="1"/>
  <c r="T1099" i="11" s="1"/>
  <c r="S1099" i="11"/>
  <c r="Q1099" i="11"/>
  <c r="P1099" i="11"/>
  <c r="AQ1098" i="11"/>
  <c r="AM1098" i="11"/>
  <c r="AI1098" i="11"/>
  <c r="AE1098" i="11"/>
  <c r="AA1098" i="11"/>
  <c r="W1098" i="11"/>
  <c r="U1098" i="11" a="1"/>
  <c r="U1098" i="11" s="1"/>
  <c r="T1098" i="11" a="1"/>
  <c r="T1098" i="11" s="1"/>
  <c r="S1098" i="11"/>
  <c r="Q1098" i="11"/>
  <c r="P1098" i="11"/>
  <c r="N1098" i="11" s="1"/>
  <c r="O1098" i="11" s="1"/>
  <c r="AQ1097" i="11"/>
  <c r="AM1097" i="11"/>
  <c r="AI1097" i="11"/>
  <c r="AE1097" i="11"/>
  <c r="AA1097" i="11"/>
  <c r="W1097" i="11"/>
  <c r="U1097" i="11" a="1"/>
  <c r="U1097" i="11" s="1"/>
  <c r="T1097" i="11" a="1"/>
  <c r="T1097" i="11" s="1"/>
  <c r="S1097" i="11"/>
  <c r="Q1097" i="11"/>
  <c r="P1097" i="11"/>
  <c r="AQ1096" i="11"/>
  <c r="AM1096" i="11"/>
  <c r="AI1096" i="11"/>
  <c r="AE1096" i="11"/>
  <c r="AA1096" i="11"/>
  <c r="W1096" i="11"/>
  <c r="U1096" i="11" a="1"/>
  <c r="U1096" i="11" s="1"/>
  <c r="T1096" i="11" a="1"/>
  <c r="T1096" i="11" s="1"/>
  <c r="S1096" i="11"/>
  <c r="Q1096" i="11"/>
  <c r="P1096" i="11"/>
  <c r="AD1096" i="11" s="1" a="1"/>
  <c r="AQ1095" i="11"/>
  <c r="AM1095" i="11"/>
  <c r="AI1095" i="11"/>
  <c r="AE1095" i="11"/>
  <c r="AA1095" i="11"/>
  <c r="W1095" i="11"/>
  <c r="U1095" i="11" a="1"/>
  <c r="U1095" i="11" s="1"/>
  <c r="T1095" i="11" a="1"/>
  <c r="T1095" i="11" s="1"/>
  <c r="S1095" i="11"/>
  <c r="Q1095" i="11"/>
  <c r="P1095" i="11"/>
  <c r="N1095" i="11" s="1"/>
  <c r="O1095" i="11" s="1"/>
  <c r="AQ1094" i="11"/>
  <c r="AM1094" i="11"/>
  <c r="AI1094" i="11"/>
  <c r="AE1094" i="11"/>
  <c r="AA1094" i="11"/>
  <c r="W1094" i="11"/>
  <c r="U1094" i="11" a="1"/>
  <c r="U1094" i="11" s="1"/>
  <c r="T1094" i="11" a="1"/>
  <c r="T1094" i="11" s="1"/>
  <c r="S1094" i="11"/>
  <c r="Q1094" i="11"/>
  <c r="P1094" i="11"/>
  <c r="N1094" i="11" s="1"/>
  <c r="O1094" i="11" s="1"/>
  <c r="AQ1093" i="11"/>
  <c r="AM1093" i="11"/>
  <c r="AI1093" i="11"/>
  <c r="AE1093" i="11"/>
  <c r="AA1093" i="11"/>
  <c r="W1093" i="11"/>
  <c r="U1093" i="11" a="1"/>
  <c r="U1093" i="11" s="1"/>
  <c r="T1093" i="11" a="1"/>
  <c r="T1093" i="11" s="1"/>
  <c r="S1093" i="11"/>
  <c r="Q1093" i="11"/>
  <c r="P1093" i="11"/>
  <c r="N1093" i="11" s="1"/>
  <c r="O1093" i="11" s="1"/>
  <c r="AQ1092" i="11"/>
  <c r="AM1092" i="11"/>
  <c r="AI1092" i="11"/>
  <c r="AE1092" i="11"/>
  <c r="AA1092" i="11"/>
  <c r="W1092" i="11"/>
  <c r="U1092" i="11" a="1"/>
  <c r="U1092" i="11" s="1"/>
  <c r="T1092" i="11" a="1"/>
  <c r="T1092" i="11" s="1"/>
  <c r="S1092" i="11"/>
  <c r="Q1092" i="11"/>
  <c r="P1092" i="11"/>
  <c r="Z1092" i="11" s="1" a="1"/>
  <c r="AQ1091" i="11"/>
  <c r="AM1091" i="11"/>
  <c r="AI1091" i="11"/>
  <c r="AE1091" i="11"/>
  <c r="AA1091" i="11"/>
  <c r="W1091" i="11"/>
  <c r="U1091" i="11" a="1"/>
  <c r="U1091" i="11" s="1"/>
  <c r="T1091" i="11" a="1"/>
  <c r="T1091" i="11" s="1"/>
  <c r="S1091" i="11"/>
  <c r="Q1091" i="11"/>
  <c r="P1091" i="11"/>
  <c r="N1091" i="11" s="1"/>
  <c r="O1091" i="11" s="1"/>
  <c r="AQ1090" i="11"/>
  <c r="AM1090" i="11"/>
  <c r="AI1090" i="11"/>
  <c r="AE1090" i="11"/>
  <c r="AA1090" i="11"/>
  <c r="W1090" i="11"/>
  <c r="U1090" i="11" a="1"/>
  <c r="U1090" i="11" s="1"/>
  <c r="T1090" i="11" a="1"/>
  <c r="T1090" i="11" s="1"/>
  <c r="S1090" i="11"/>
  <c r="Q1090" i="11"/>
  <c r="P1090" i="11"/>
  <c r="AQ1089" i="11"/>
  <c r="AM1089" i="11"/>
  <c r="AI1089" i="11"/>
  <c r="AE1089" i="11"/>
  <c r="AA1089" i="11"/>
  <c r="Z1089" i="11" a="1"/>
  <c r="W1089" i="11"/>
  <c r="U1089" i="11" a="1"/>
  <c r="U1089" i="11" s="1"/>
  <c r="T1089" i="11" a="1"/>
  <c r="T1089" i="11" s="1"/>
  <c r="S1089" i="11"/>
  <c r="Q1089" i="11"/>
  <c r="P1089" i="11"/>
  <c r="AQ1088" i="11"/>
  <c r="AM1088" i="11"/>
  <c r="AI1088" i="11"/>
  <c r="AE1088" i="11"/>
  <c r="AA1088" i="11"/>
  <c r="W1088" i="11"/>
  <c r="U1088" i="11" a="1"/>
  <c r="U1088" i="11" s="1"/>
  <c r="T1088" i="11" a="1"/>
  <c r="T1088" i="11" s="1"/>
  <c r="S1088" i="11"/>
  <c r="Q1088" i="11"/>
  <c r="P1088" i="11"/>
  <c r="Z1070" i="11" s="1" a="1"/>
  <c r="AQ1087" i="11"/>
  <c r="AM1087" i="11"/>
  <c r="AI1087" i="11"/>
  <c r="AE1087" i="11"/>
  <c r="AA1087" i="11"/>
  <c r="W1087" i="11"/>
  <c r="U1087" i="11" a="1"/>
  <c r="U1087" i="11" s="1"/>
  <c r="T1087" i="11" a="1"/>
  <c r="T1087" i="11" s="1"/>
  <c r="S1087" i="11"/>
  <c r="Q1087" i="11"/>
  <c r="P1087" i="11"/>
  <c r="N1087" i="11" s="1"/>
  <c r="O1087" i="11" s="1"/>
  <c r="AQ1086" i="11"/>
  <c r="AM1086" i="11"/>
  <c r="AI1086" i="11"/>
  <c r="AE1086" i="11"/>
  <c r="AA1086" i="11"/>
  <c r="W1086" i="11"/>
  <c r="U1086" i="11" a="1"/>
  <c r="U1086" i="11" s="1"/>
  <c r="T1086" i="11" a="1"/>
  <c r="T1086" i="11" s="1"/>
  <c r="S1086" i="11"/>
  <c r="Q1086" i="11"/>
  <c r="P1086" i="11"/>
  <c r="N1086" i="11" s="1"/>
  <c r="O1086" i="11" s="1"/>
  <c r="AQ1085" i="11"/>
  <c r="AM1085" i="11"/>
  <c r="AI1085" i="11"/>
  <c r="AE1085" i="11"/>
  <c r="AA1085" i="11"/>
  <c r="W1085" i="11"/>
  <c r="U1085" i="11" a="1"/>
  <c r="U1085" i="11" s="1"/>
  <c r="T1085" i="11" a="1"/>
  <c r="T1085" i="11" s="1"/>
  <c r="S1085" i="11"/>
  <c r="Q1085" i="11"/>
  <c r="P1085" i="11"/>
  <c r="N1085" i="11" s="1"/>
  <c r="O1085" i="11" s="1"/>
  <c r="AQ1084" i="11"/>
  <c r="AM1084" i="11"/>
  <c r="AI1084" i="11"/>
  <c r="AE1084" i="11"/>
  <c r="AA1084" i="11"/>
  <c r="W1084" i="11"/>
  <c r="U1084" i="11" a="1"/>
  <c r="U1084" i="11" s="1"/>
  <c r="T1084" i="11" a="1"/>
  <c r="T1084" i="11" s="1"/>
  <c r="S1084" i="11"/>
  <c r="Q1084" i="11"/>
  <c r="P1084" i="11"/>
  <c r="N1084" i="11" s="1"/>
  <c r="O1084" i="11" s="1"/>
  <c r="AQ1083" i="11"/>
  <c r="AM1083" i="11"/>
  <c r="AI1083" i="11"/>
  <c r="AE1083" i="11"/>
  <c r="AA1083" i="11"/>
  <c r="W1083" i="11"/>
  <c r="U1083" i="11" a="1"/>
  <c r="U1083" i="11" s="1"/>
  <c r="T1083" i="11" a="1"/>
  <c r="T1083" i="11" s="1"/>
  <c r="S1083" i="11"/>
  <c r="Q1083" i="11"/>
  <c r="P1083" i="11"/>
  <c r="AH1083" i="11" s="1" a="1"/>
  <c r="AQ1082" i="11"/>
  <c r="AM1082" i="11"/>
  <c r="AI1082" i="11"/>
  <c r="AE1082" i="11"/>
  <c r="AA1082" i="11"/>
  <c r="W1082" i="11"/>
  <c r="U1082" i="11" a="1"/>
  <c r="U1082" i="11" s="1"/>
  <c r="T1082" i="11" a="1"/>
  <c r="T1082" i="11" s="1"/>
  <c r="S1082" i="11"/>
  <c r="Q1082" i="11"/>
  <c r="P1082" i="11"/>
  <c r="AQ1081" i="11"/>
  <c r="AP1081" i="11" a="1"/>
  <c r="AM1081" i="11"/>
  <c r="AI1081" i="11"/>
  <c r="AE1081" i="11"/>
  <c r="AA1081" i="11"/>
  <c r="W1081" i="11"/>
  <c r="U1081" i="11" a="1"/>
  <c r="U1081" i="11" s="1"/>
  <c r="T1081" i="11" a="1"/>
  <c r="T1081" i="11" s="1"/>
  <c r="S1081" i="11"/>
  <c r="Q1081" i="11"/>
  <c r="P1081" i="11"/>
  <c r="AQ1080" i="11"/>
  <c r="AM1080" i="11"/>
  <c r="AI1080" i="11"/>
  <c r="AE1080" i="11"/>
  <c r="AA1080" i="11"/>
  <c r="W1080" i="11"/>
  <c r="U1080" i="11" a="1"/>
  <c r="U1080" i="11" s="1"/>
  <c r="T1080" i="11" a="1"/>
  <c r="T1080" i="11" s="1"/>
  <c r="S1080" i="11"/>
  <c r="Q1080" i="11"/>
  <c r="P1080" i="11"/>
  <c r="N1080" i="11" s="1"/>
  <c r="O1080" i="11" s="1"/>
  <c r="AQ1079" i="11"/>
  <c r="AM1079" i="11"/>
  <c r="AI1079" i="11"/>
  <c r="AE1079" i="11"/>
  <c r="AA1079" i="11"/>
  <c r="W1079" i="11"/>
  <c r="U1079" i="11" a="1"/>
  <c r="U1079" i="11" s="1"/>
  <c r="T1079" i="11" a="1"/>
  <c r="T1079" i="11" s="1"/>
  <c r="S1079" i="11"/>
  <c r="Q1079" i="11"/>
  <c r="P1079" i="11"/>
  <c r="AL1105" i="11" s="1" a="1"/>
  <c r="AL1105" i="11" s="1"/>
  <c r="AQ1078" i="11"/>
  <c r="AM1078" i="11"/>
  <c r="AI1078" i="11"/>
  <c r="AE1078" i="11"/>
  <c r="AA1078" i="11"/>
  <c r="W1078" i="11"/>
  <c r="U1078" i="11" a="1"/>
  <c r="U1078" i="11" s="1"/>
  <c r="T1078" i="11" a="1"/>
  <c r="T1078" i="11" s="1"/>
  <c r="S1078" i="11"/>
  <c r="Q1078" i="11"/>
  <c r="P1078" i="11"/>
  <c r="AQ1077" i="11"/>
  <c r="AM1077" i="11"/>
  <c r="AI1077" i="11"/>
  <c r="AE1077" i="11"/>
  <c r="AA1077" i="11"/>
  <c r="W1077" i="11"/>
  <c r="U1077" i="11" a="1"/>
  <c r="U1077" i="11" s="1"/>
  <c r="T1077" i="11" a="1"/>
  <c r="T1077" i="11" s="1"/>
  <c r="S1077" i="11"/>
  <c r="Q1077" i="11"/>
  <c r="P1077" i="11"/>
  <c r="AQ1076" i="11"/>
  <c r="AM1076" i="11"/>
  <c r="AI1076" i="11"/>
  <c r="AE1076" i="11"/>
  <c r="AA1076" i="11"/>
  <c r="W1076" i="11"/>
  <c r="U1076" i="11" a="1"/>
  <c r="U1076" i="11" s="1"/>
  <c r="T1076" i="11" a="1"/>
  <c r="T1076" i="11" s="1"/>
  <c r="S1076" i="11"/>
  <c r="Q1076" i="11"/>
  <c r="P1076" i="11"/>
  <c r="N1076" i="11" s="1"/>
  <c r="O1076" i="11" s="1"/>
  <c r="AQ1075" i="11"/>
  <c r="AM1075" i="11"/>
  <c r="AI1075" i="11"/>
  <c r="AE1075" i="11"/>
  <c r="AA1075" i="11"/>
  <c r="W1075" i="11"/>
  <c r="U1075" i="11" a="1"/>
  <c r="U1075" i="11" s="1"/>
  <c r="T1075" i="11" a="1"/>
  <c r="T1075" i="11" s="1"/>
  <c r="S1075" i="11"/>
  <c r="Q1075" i="11"/>
  <c r="P1075" i="11"/>
  <c r="N1075" i="11" s="1"/>
  <c r="O1075" i="11" s="1"/>
  <c r="AQ1074" i="11"/>
  <c r="AM1074" i="11"/>
  <c r="AI1074" i="11"/>
  <c r="AE1074" i="11"/>
  <c r="AA1074" i="11"/>
  <c r="W1074" i="11"/>
  <c r="U1074" i="11" a="1"/>
  <c r="U1074" i="11" s="1"/>
  <c r="T1074" i="11" a="1"/>
  <c r="T1074" i="11" s="1"/>
  <c r="S1074" i="11"/>
  <c r="Q1074" i="11"/>
  <c r="P1074" i="11"/>
  <c r="AQ1073" i="11"/>
  <c r="AM1073" i="11"/>
  <c r="AI1073" i="11"/>
  <c r="AE1073" i="11"/>
  <c r="AA1073" i="11"/>
  <c r="W1073" i="11"/>
  <c r="U1073" i="11" a="1"/>
  <c r="U1073" i="11" s="1"/>
  <c r="T1073" i="11" a="1"/>
  <c r="T1073" i="11" s="1"/>
  <c r="S1073" i="11"/>
  <c r="Q1073" i="11"/>
  <c r="P1073" i="11"/>
  <c r="AQ1072" i="11"/>
  <c r="AM1072" i="11"/>
  <c r="AI1072" i="11"/>
  <c r="AE1072" i="11"/>
  <c r="AA1072" i="11"/>
  <c r="W1072" i="11"/>
  <c r="U1072" i="11" a="1"/>
  <c r="U1072" i="11" s="1"/>
  <c r="T1072" i="11" a="1"/>
  <c r="T1072" i="11" s="1"/>
  <c r="S1072" i="11"/>
  <c r="Q1072" i="11"/>
  <c r="P1072" i="11"/>
  <c r="AQ1071" i="11"/>
  <c r="AM1071" i="11"/>
  <c r="AI1071" i="11"/>
  <c r="AE1071" i="11"/>
  <c r="AA1071" i="11"/>
  <c r="W1071" i="11"/>
  <c r="U1071" i="11" a="1"/>
  <c r="U1071" i="11" s="1"/>
  <c r="T1071" i="11" a="1"/>
  <c r="T1071" i="11" s="1"/>
  <c r="S1071" i="11"/>
  <c r="Q1071" i="11"/>
  <c r="P1071" i="11"/>
  <c r="AQ1070" i="11"/>
  <c r="AM1070" i="11"/>
  <c r="AI1070" i="11"/>
  <c r="AH1070" i="11" a="1"/>
  <c r="AE1070" i="11"/>
  <c r="AA1070" i="11"/>
  <c r="W1070" i="11"/>
  <c r="V1070" i="11" a="1"/>
  <c r="U1070" i="11" a="1"/>
  <c r="U1070" i="11" s="1"/>
  <c r="T1070" i="11" a="1"/>
  <c r="T1070" i="11" s="1"/>
  <c r="S1070" i="11"/>
  <c r="Q1070" i="11"/>
  <c r="P1070" i="11"/>
  <c r="N1070" i="11" s="1"/>
  <c r="O1070" i="11" s="1"/>
  <c r="AQ1069" i="11"/>
  <c r="AM1069" i="11"/>
  <c r="AI1069" i="11"/>
  <c r="AE1069" i="11"/>
  <c r="AA1069" i="11"/>
  <c r="W1069" i="11"/>
  <c r="U1069" i="11" a="1"/>
  <c r="U1069" i="11" s="1"/>
  <c r="T1069" i="11" a="1"/>
  <c r="T1069" i="11" s="1"/>
  <c r="S1069" i="11"/>
  <c r="Q1069" i="11"/>
  <c r="P1069" i="11"/>
  <c r="AQ1068" i="11"/>
  <c r="AM1068" i="11"/>
  <c r="AI1068" i="11"/>
  <c r="AE1068" i="11"/>
  <c r="AA1068" i="11"/>
  <c r="W1068" i="11"/>
  <c r="U1068" i="11" a="1"/>
  <c r="U1068" i="11" s="1"/>
  <c r="T1068" i="11" a="1"/>
  <c r="T1068" i="11" s="1"/>
  <c r="S1068" i="11"/>
  <c r="Q1068" i="11"/>
  <c r="P1068" i="11"/>
  <c r="AQ1067" i="11"/>
  <c r="AM1067" i="11"/>
  <c r="AI1067" i="11"/>
  <c r="AE1067" i="11"/>
  <c r="AA1067" i="11"/>
  <c r="W1067" i="11"/>
  <c r="U1067" i="11" a="1"/>
  <c r="U1067" i="11" s="1"/>
  <c r="T1067" i="11" a="1"/>
  <c r="T1067" i="11" s="1"/>
  <c r="S1067" i="11"/>
  <c r="Q1067" i="11"/>
  <c r="P1067" i="11"/>
  <c r="AQ1066" i="11"/>
  <c r="AM1066" i="11"/>
  <c r="AI1066" i="11"/>
  <c r="AE1066" i="11"/>
  <c r="AA1066" i="11"/>
  <c r="W1066" i="11"/>
  <c r="U1066" i="11" a="1"/>
  <c r="U1066" i="11" s="1"/>
  <c r="T1066" i="11" a="1"/>
  <c r="T1066" i="11" s="1"/>
  <c r="S1066" i="11"/>
  <c r="Q1066" i="11"/>
  <c r="P1066" i="11"/>
  <c r="N1066" i="11"/>
  <c r="O1066" i="11" s="1"/>
  <c r="AQ1065" i="11"/>
  <c r="AM1065" i="11"/>
  <c r="AI1065" i="11"/>
  <c r="AE1065" i="11"/>
  <c r="AA1065" i="11"/>
  <c r="W1065" i="11"/>
  <c r="U1065" i="11" a="1"/>
  <c r="U1065" i="11" s="1"/>
  <c r="T1065" i="11" a="1"/>
  <c r="T1065" i="11" s="1"/>
  <c r="S1065" i="11"/>
  <c r="Q1065" i="11"/>
  <c r="P1065" i="11"/>
  <c r="AQ1064" i="11"/>
  <c r="AM1064" i="11"/>
  <c r="AI1064" i="11"/>
  <c r="AE1064" i="11"/>
  <c r="AA1064" i="11"/>
  <c r="W1064" i="11"/>
  <c r="U1064" i="11" a="1"/>
  <c r="U1064" i="11" s="1"/>
  <c r="T1064" i="11" a="1"/>
  <c r="T1064" i="11" s="1"/>
  <c r="S1064" i="11"/>
  <c r="Q1064" i="11"/>
  <c r="P1064" i="11"/>
  <c r="AD1310" i="11" s="1"/>
  <c r="AF1310" i="11" s="1"/>
  <c r="AG1310" i="11" s="1"/>
  <c r="AQ1063" i="11"/>
  <c r="AM1063" i="11"/>
  <c r="AI1063" i="11"/>
  <c r="AE1063" i="11"/>
  <c r="AA1063" i="11"/>
  <c r="W1063" i="11"/>
  <c r="U1063" i="11" a="1"/>
  <c r="U1063" i="11" s="1"/>
  <c r="T1063" i="11" a="1"/>
  <c r="T1063" i="11" s="1"/>
  <c r="S1063" i="11"/>
  <c r="Q1063" i="11"/>
  <c r="P1063" i="11"/>
  <c r="AI1062" i="11"/>
  <c r="AE1062" i="11"/>
  <c r="AA1062" i="11"/>
  <c r="W1062" i="11"/>
  <c r="U1062" i="11" a="1"/>
  <c r="U1062" i="11" s="1"/>
  <c r="T1062" i="11" a="1"/>
  <c r="T1062" i="11" s="1"/>
  <c r="S1062" i="11"/>
  <c r="Q1062" i="11"/>
  <c r="P1062" i="11"/>
  <c r="N29" i="9"/>
  <c r="M29" i="9"/>
  <c r="K29" i="9"/>
  <c r="J29" i="9"/>
  <c r="N28" i="9"/>
  <c r="M28" i="9"/>
  <c r="K28" i="9"/>
  <c r="J28" i="9"/>
  <c r="N27" i="9"/>
  <c r="M27" i="9"/>
  <c r="K27" i="9"/>
  <c r="J27" i="9"/>
  <c r="N26" i="9"/>
  <c r="M26" i="9"/>
  <c r="K26" i="9"/>
  <c r="J26" i="9"/>
  <c r="N25" i="9"/>
  <c r="M25" i="9"/>
  <c r="K25" i="9"/>
  <c r="J25" i="9"/>
  <c r="N24" i="9"/>
  <c r="M24" i="9"/>
  <c r="K24" i="9"/>
  <c r="J24" i="9"/>
  <c r="N23" i="9"/>
  <c r="M23" i="9"/>
  <c r="K23" i="9"/>
  <c r="J23" i="9"/>
  <c r="N22" i="9"/>
  <c r="M22" i="9"/>
  <c r="K22" i="9"/>
  <c r="J22" i="9"/>
  <c r="N21" i="9"/>
  <c r="M21" i="9"/>
  <c r="K21" i="9"/>
  <c r="J21" i="9"/>
  <c r="N20" i="9"/>
  <c r="M20" i="9"/>
  <c r="K20" i="9"/>
  <c r="J20" i="9"/>
  <c r="N19" i="9"/>
  <c r="M19" i="9"/>
  <c r="K19" i="9"/>
  <c r="J19" i="9"/>
  <c r="N18" i="9"/>
  <c r="M18" i="9"/>
  <c r="K18" i="9"/>
  <c r="J18" i="9"/>
  <c r="N17" i="9"/>
  <c r="M17" i="9"/>
  <c r="K17" i="9"/>
  <c r="J17" i="9"/>
  <c r="C17" i="9"/>
  <c r="N16" i="9"/>
  <c r="M16" i="9"/>
  <c r="K16" i="9"/>
  <c r="J16" i="9"/>
  <c r="C16" i="9"/>
  <c r="N15" i="9"/>
  <c r="M15" i="9"/>
  <c r="K15" i="9"/>
  <c r="J15" i="9"/>
  <c r="C15" i="9"/>
  <c r="N14" i="9"/>
  <c r="M14" i="9"/>
  <c r="K14" i="9"/>
  <c r="J14" i="9"/>
  <c r="C14" i="9"/>
  <c r="N13" i="9"/>
  <c r="M13" i="9"/>
  <c r="K13" i="9"/>
  <c r="J13" i="9"/>
  <c r="C13" i="9"/>
  <c r="N12" i="9"/>
  <c r="M12" i="9"/>
  <c r="K12" i="9"/>
  <c r="J12" i="9"/>
  <c r="C12" i="9"/>
  <c r="A12" i="9"/>
  <c r="N11" i="9"/>
  <c r="M11" i="9"/>
  <c r="K11" i="9"/>
  <c r="J11" i="9"/>
  <c r="C11" i="9"/>
  <c r="A11" i="9"/>
  <c r="N10" i="9"/>
  <c r="M10" i="9"/>
  <c r="K10" i="9"/>
  <c r="J10" i="9"/>
  <c r="A10" i="9"/>
  <c r="N9" i="9"/>
  <c r="M9" i="9"/>
  <c r="K9" i="9"/>
  <c r="J9" i="9"/>
  <c r="D9" i="9"/>
  <c r="C9" i="9"/>
  <c r="A9" i="9"/>
  <c r="N8" i="9"/>
  <c r="M8" i="9"/>
  <c r="K8" i="9"/>
  <c r="J8" i="9"/>
  <c r="D8" i="9"/>
  <c r="C8" i="9"/>
  <c r="A8" i="9"/>
  <c r="N7" i="9"/>
  <c r="M7" i="9"/>
  <c r="K7" i="9"/>
  <c r="J7" i="9"/>
  <c r="D7" i="9"/>
  <c r="C7" i="9"/>
  <c r="A7" i="9"/>
  <c r="N6" i="9"/>
  <c r="M6" i="9"/>
  <c r="K6" i="9"/>
  <c r="J6" i="9"/>
  <c r="D6" i="9"/>
  <c r="C6" i="9"/>
  <c r="A6" i="9"/>
  <c r="N5" i="9"/>
  <c r="M5" i="9"/>
  <c r="K5" i="9"/>
  <c r="J5" i="9"/>
  <c r="D5" i="9"/>
  <c r="C5" i="9"/>
  <c r="A5" i="9"/>
  <c r="N4" i="9"/>
  <c r="M4" i="9"/>
  <c r="K4" i="9"/>
  <c r="J4" i="9"/>
  <c r="D4" i="9"/>
  <c r="C4" i="9"/>
  <c r="A4" i="9"/>
  <c r="N3" i="9"/>
  <c r="M3" i="9"/>
  <c r="K3" i="9"/>
  <c r="J3" i="9"/>
  <c r="D3" i="9"/>
  <c r="C3" i="9"/>
  <c r="B3" i="9"/>
  <c r="A3" i="9"/>
  <c r="N2" i="9"/>
  <c r="M2" i="9"/>
  <c r="K2" i="9"/>
  <c r="J2" i="9"/>
  <c r="H2" i="9"/>
  <c r="H3" i="9" s="1"/>
  <c r="H4" i="9" s="1"/>
  <c r="D2" i="9"/>
  <c r="B2" i="9"/>
  <c r="A2" i="9"/>
  <c r="A40" i="8"/>
  <c r="A39" i="8"/>
  <c r="A38" i="8"/>
  <c r="A37" i="8"/>
  <c r="A36" i="8"/>
  <c r="A35" i="8"/>
  <c r="A34" i="8"/>
  <c r="A33" i="8"/>
  <c r="A32" i="8"/>
  <c r="A31" i="8"/>
  <c r="A30" i="8"/>
  <c r="N29" i="8"/>
  <c r="M29" i="8"/>
  <c r="K29" i="8"/>
  <c r="J29" i="8"/>
  <c r="I29" i="8"/>
  <c r="A29" i="8"/>
  <c r="N28" i="8"/>
  <c r="M28" i="8"/>
  <c r="K28" i="8"/>
  <c r="J28" i="8"/>
  <c r="I28" i="8"/>
  <c r="A28" i="8"/>
  <c r="N27" i="8"/>
  <c r="M27" i="8"/>
  <c r="K27" i="8"/>
  <c r="J27" i="8"/>
  <c r="I27" i="8"/>
  <c r="A27" i="8"/>
  <c r="N26" i="8"/>
  <c r="M26" i="8"/>
  <c r="K26" i="8"/>
  <c r="J26" i="8"/>
  <c r="I26" i="8"/>
  <c r="A26" i="8"/>
  <c r="N25" i="8"/>
  <c r="M25" i="8"/>
  <c r="K25" i="8"/>
  <c r="J25" i="8"/>
  <c r="I25" i="8"/>
  <c r="A25" i="8"/>
  <c r="N24" i="8"/>
  <c r="M24" i="8"/>
  <c r="K24" i="8"/>
  <c r="J24" i="8"/>
  <c r="I24" i="8"/>
  <c r="A24" i="8"/>
  <c r="N23" i="8"/>
  <c r="M23" i="8"/>
  <c r="K23" i="8"/>
  <c r="J23" i="8"/>
  <c r="I23" i="8"/>
  <c r="A23" i="8"/>
  <c r="N22" i="8"/>
  <c r="M22" i="8"/>
  <c r="K22" i="8"/>
  <c r="J22" i="8"/>
  <c r="I22" i="8"/>
  <c r="A22" i="8"/>
  <c r="N21" i="8"/>
  <c r="M21" i="8"/>
  <c r="K21" i="8"/>
  <c r="J21" i="8"/>
  <c r="I21" i="8"/>
  <c r="A21" i="8"/>
  <c r="N20" i="8"/>
  <c r="M20" i="8"/>
  <c r="K20" i="8"/>
  <c r="J20" i="8"/>
  <c r="I20" i="8"/>
  <c r="A20" i="8"/>
  <c r="N19" i="8"/>
  <c r="M19" i="8"/>
  <c r="K19" i="8"/>
  <c r="J19" i="8"/>
  <c r="I19" i="8"/>
  <c r="A19" i="8"/>
  <c r="N18" i="8"/>
  <c r="M18" i="8"/>
  <c r="K18" i="8"/>
  <c r="J18" i="8"/>
  <c r="I18" i="8"/>
  <c r="A18" i="8"/>
  <c r="N17" i="8"/>
  <c r="M17" i="8"/>
  <c r="K17" i="8"/>
  <c r="J17" i="8"/>
  <c r="I17" i="8"/>
  <c r="C17" i="8"/>
  <c r="A17" i="8"/>
  <c r="N16" i="8"/>
  <c r="M16" i="8"/>
  <c r="K16" i="8"/>
  <c r="J16" i="8"/>
  <c r="I16" i="8"/>
  <c r="C16" i="8"/>
  <c r="A16" i="8"/>
  <c r="N15" i="8"/>
  <c r="M15" i="8"/>
  <c r="K15" i="8"/>
  <c r="J15" i="8"/>
  <c r="I15" i="8"/>
  <c r="C15" i="8"/>
  <c r="A15" i="8"/>
  <c r="N14" i="8"/>
  <c r="M14" i="8"/>
  <c r="K14" i="8"/>
  <c r="J14" i="8"/>
  <c r="I14" i="8"/>
  <c r="C14" i="8"/>
  <c r="A14" i="8"/>
  <c r="N13" i="8"/>
  <c r="M13" i="8"/>
  <c r="K13" i="8"/>
  <c r="J13" i="8"/>
  <c r="I13" i="8"/>
  <c r="C13" i="8"/>
  <c r="A13" i="8"/>
  <c r="N12" i="8"/>
  <c r="M12" i="8"/>
  <c r="K12" i="8"/>
  <c r="J12" i="8"/>
  <c r="I12" i="8"/>
  <c r="C12" i="8"/>
  <c r="A12" i="8"/>
  <c r="N11" i="8"/>
  <c r="M11" i="8"/>
  <c r="K11" i="8"/>
  <c r="J11" i="8"/>
  <c r="I11" i="8"/>
  <c r="C11" i="8"/>
  <c r="A11" i="8"/>
  <c r="N10" i="8"/>
  <c r="M10" i="8"/>
  <c r="K10" i="8"/>
  <c r="J10" i="8"/>
  <c r="I10" i="8"/>
  <c r="A10" i="8"/>
  <c r="N9" i="8"/>
  <c r="M9" i="8"/>
  <c r="K9" i="8"/>
  <c r="J9" i="8"/>
  <c r="I9" i="8"/>
  <c r="D9" i="8"/>
  <c r="C9" i="8"/>
  <c r="A9" i="8"/>
  <c r="N8" i="8"/>
  <c r="M8" i="8"/>
  <c r="K8" i="8"/>
  <c r="J8" i="8"/>
  <c r="I8" i="8"/>
  <c r="D8" i="8"/>
  <c r="C8" i="8"/>
  <c r="A8" i="8"/>
  <c r="N7" i="8"/>
  <c r="M7" i="8"/>
  <c r="K7" i="8"/>
  <c r="J7" i="8"/>
  <c r="I7" i="8"/>
  <c r="D7" i="8"/>
  <c r="C7" i="8"/>
  <c r="A7" i="8"/>
  <c r="N6" i="8"/>
  <c r="M6" i="8"/>
  <c r="K6" i="8"/>
  <c r="J6" i="8"/>
  <c r="I6" i="8"/>
  <c r="D6" i="8"/>
  <c r="C6" i="8"/>
  <c r="A6" i="8"/>
  <c r="N5" i="8"/>
  <c r="M5" i="8"/>
  <c r="K5" i="8"/>
  <c r="J5" i="8"/>
  <c r="I5" i="8"/>
  <c r="D5" i="8"/>
  <c r="C5" i="8"/>
  <c r="A5" i="8"/>
  <c r="N4" i="8"/>
  <c r="M4" i="8"/>
  <c r="K4" i="8"/>
  <c r="J4" i="8"/>
  <c r="I4" i="8"/>
  <c r="D4" i="8"/>
  <c r="C4" i="8"/>
  <c r="A4" i="8"/>
  <c r="N3" i="8"/>
  <c r="M3" i="8"/>
  <c r="K3" i="8"/>
  <c r="J3" i="8"/>
  <c r="I3" i="8"/>
  <c r="D3" i="8"/>
  <c r="C3" i="8"/>
  <c r="B3" i="8"/>
  <c r="A3" i="8"/>
  <c r="N2" i="8"/>
  <c r="M2" i="8"/>
  <c r="K2" i="8"/>
  <c r="J2" i="8"/>
  <c r="I2" i="8"/>
  <c r="H2" i="8"/>
  <c r="H3" i="8" s="1"/>
  <c r="H4" i="8" s="1"/>
  <c r="H5" i="8" s="1"/>
  <c r="D2" i="8"/>
  <c r="B2" i="8"/>
  <c r="A2" i="8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C17" i="7"/>
  <c r="A17" i="7"/>
  <c r="C16" i="7"/>
  <c r="A16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C15" i="7"/>
  <c r="A15" i="7"/>
  <c r="H14" i="7"/>
  <c r="C14" i="7"/>
  <c r="A14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C13" i="7"/>
  <c r="A13" i="7"/>
  <c r="H12" i="7"/>
  <c r="C12" i="7"/>
  <c r="A12" i="7"/>
  <c r="AJ11" i="7" a="1"/>
  <c r="AJ11" i="7" s="1"/>
  <c r="C11" i="7"/>
  <c r="A11" i="7"/>
  <c r="A10" i="7"/>
  <c r="D9" i="7"/>
  <c r="C9" i="7"/>
  <c r="A9" i="7"/>
  <c r="D8" i="7"/>
  <c r="C8" i="7"/>
  <c r="A8" i="7"/>
  <c r="D7" i="7"/>
  <c r="C7" i="7"/>
  <c r="A7" i="7"/>
  <c r="D6" i="7"/>
  <c r="C6" i="7"/>
  <c r="A6" i="7"/>
  <c r="D5" i="7"/>
  <c r="C5" i="7"/>
  <c r="A5" i="7"/>
  <c r="D4" i="7"/>
  <c r="C4" i="7"/>
  <c r="A4" i="7"/>
  <c r="AJ3" i="7"/>
  <c r="D3" i="7"/>
  <c r="C3" i="7"/>
  <c r="B3" i="7"/>
  <c r="A3" i="7"/>
  <c r="D2" i="7"/>
  <c r="B2" i="7"/>
  <c r="A2" i="7"/>
  <c r="A40" i="3"/>
  <c r="A39" i="3"/>
  <c r="A38" i="3"/>
  <c r="A37" i="3"/>
  <c r="A36" i="3"/>
  <c r="A35" i="3"/>
  <c r="A34" i="3"/>
  <c r="A33" i="3"/>
  <c r="A32" i="3"/>
  <c r="A31" i="3"/>
  <c r="A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A29" i="3"/>
  <c r="H28" i="3"/>
  <c r="A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A27" i="3"/>
  <c r="H26" i="3"/>
  <c r="A26" i="3"/>
  <c r="AJ25" i="3" a="1"/>
  <c r="AJ25" i="3" s="1"/>
  <c r="AI25" i="3" s="1"/>
  <c r="AH25" i="3" s="1"/>
  <c r="AG25" i="3" s="1"/>
  <c r="AF25" i="3" s="1"/>
  <c r="AE25" i="3" s="1"/>
  <c r="AD25" i="3" s="1"/>
  <c r="AC25" i="3" s="1"/>
  <c r="AB25" i="3" s="1"/>
  <c r="AA25" i="3" s="1"/>
  <c r="Z25" i="3" s="1"/>
  <c r="Y25" i="3" s="1"/>
  <c r="X25" i="3" s="1"/>
  <c r="W25" i="3" s="1"/>
  <c r="V25" i="3" s="1"/>
  <c r="U25" i="3" s="1"/>
  <c r="T25" i="3" s="1"/>
  <c r="S25" i="3" s="1"/>
  <c r="R25" i="3" s="1"/>
  <c r="Q25" i="3" s="1"/>
  <c r="P25" i="3" s="1"/>
  <c r="O25" i="3" s="1"/>
  <c r="N25" i="3" s="1"/>
  <c r="M25" i="3" s="1"/>
  <c r="L25" i="3" s="1"/>
  <c r="K25" i="3" s="1"/>
  <c r="J25" i="3" s="1"/>
  <c r="I25" i="3" s="1"/>
  <c r="A25" i="3"/>
  <c r="A24" i="3"/>
  <c r="A23" i="3"/>
  <c r="A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A21" i="3"/>
  <c r="H20" i="3"/>
  <c r="A20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A19" i="3"/>
  <c r="H18" i="3"/>
  <c r="A18" i="3"/>
  <c r="AJ17" i="3" a="1"/>
  <c r="AJ17" i="3" s="1"/>
  <c r="AI17" i="3" s="1"/>
  <c r="AH17" i="3" s="1"/>
  <c r="AG17" i="3" s="1"/>
  <c r="AF17" i="3" s="1"/>
  <c r="AE17" i="3" s="1"/>
  <c r="AD17" i="3" s="1"/>
  <c r="AC17" i="3" s="1"/>
  <c r="AB17" i="3" s="1"/>
  <c r="AA17" i="3" s="1"/>
  <c r="Z17" i="3" s="1"/>
  <c r="Y17" i="3" s="1"/>
  <c r="X17" i="3" s="1"/>
  <c r="W17" i="3" s="1"/>
  <c r="V17" i="3" s="1"/>
  <c r="U17" i="3" s="1"/>
  <c r="T17" i="3" s="1"/>
  <c r="S17" i="3" s="1"/>
  <c r="R17" i="3" s="1"/>
  <c r="Q17" i="3" s="1"/>
  <c r="P17" i="3" s="1"/>
  <c r="O17" i="3" s="1"/>
  <c r="N17" i="3" s="1"/>
  <c r="M17" i="3" s="1"/>
  <c r="L17" i="3" s="1"/>
  <c r="K17" i="3" s="1"/>
  <c r="J17" i="3" s="1"/>
  <c r="I17" i="3" s="1"/>
  <c r="C17" i="3"/>
  <c r="A17" i="3"/>
  <c r="C16" i="3"/>
  <c r="A16" i="3"/>
  <c r="C15" i="3"/>
  <c r="A15" i="3"/>
  <c r="C14" i="3"/>
  <c r="A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C13" i="3"/>
  <c r="A13" i="3"/>
  <c r="H12" i="3"/>
  <c r="C12" i="3"/>
  <c r="A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C11" i="3"/>
  <c r="A11" i="3"/>
  <c r="H10" i="3"/>
  <c r="A10" i="3"/>
  <c r="AJ9" i="3" a="1"/>
  <c r="AJ9" i="3" s="1"/>
  <c r="AI9" i="3"/>
  <c r="AH9" i="3"/>
  <c r="AG9" i="3"/>
  <c r="AF9" i="3"/>
  <c r="AE9" i="3" s="1"/>
  <c r="AD9" i="3" s="1"/>
  <c r="AC9" i="3" s="1"/>
  <c r="AB9" i="3" s="1"/>
  <c r="AA9" i="3" s="1"/>
  <c r="Z9" i="3" s="1"/>
  <c r="Y9" i="3" s="1"/>
  <c r="X9" i="3" s="1"/>
  <c r="W9" i="3" s="1"/>
  <c r="V9" i="3" s="1"/>
  <c r="U9" i="3" s="1"/>
  <c r="T9" i="3" s="1"/>
  <c r="S9" i="3" s="1"/>
  <c r="R9" i="3" s="1"/>
  <c r="Q9" i="3" s="1"/>
  <c r="P9" i="3" s="1"/>
  <c r="O9" i="3" s="1"/>
  <c r="N9" i="3" s="1"/>
  <c r="M9" i="3" s="1"/>
  <c r="L9" i="3" s="1"/>
  <c r="K9" i="3" s="1"/>
  <c r="J9" i="3" s="1"/>
  <c r="I9" i="3" s="1"/>
  <c r="D9" i="3"/>
  <c r="C9" i="3"/>
  <c r="A9" i="3"/>
  <c r="D8" i="3"/>
  <c r="C8" i="3"/>
  <c r="A8" i="3"/>
  <c r="D7" i="3"/>
  <c r="C7" i="3"/>
  <c r="A7" i="3"/>
  <c r="D6" i="3"/>
  <c r="C6" i="3"/>
  <c r="A6" i="3"/>
  <c r="D5" i="3"/>
  <c r="C5" i="3"/>
  <c r="A5" i="3"/>
  <c r="D4" i="3"/>
  <c r="C4" i="3"/>
  <c r="A4" i="3"/>
  <c r="AJ3" i="3"/>
  <c r="AJ5" i="3" s="1"/>
  <c r="D3" i="3"/>
  <c r="C3" i="3"/>
  <c r="B3" i="3"/>
  <c r="A3" i="3"/>
  <c r="D2" i="3"/>
  <c r="B2" i="3"/>
  <c r="A2" i="3"/>
  <c r="AL1305" i="11" l="1"/>
  <c r="AN1305" i="11" s="1"/>
  <c r="AO1305" i="11" s="1"/>
  <c r="R1093" i="11"/>
  <c r="AD1300" i="11"/>
  <c r="AF1300" i="11" s="1"/>
  <c r="AG1300" i="11" s="1"/>
  <c r="R1110" i="11"/>
  <c r="AP1081" i="11"/>
  <c r="AP1294" i="11"/>
  <c r="AR1294" i="11" s="1"/>
  <c r="AS1294" i="11" s="1"/>
  <c r="V1311" i="11"/>
  <c r="X1311" i="11" s="1"/>
  <c r="Y1311" i="11" s="1"/>
  <c r="R1168" i="11"/>
  <c r="N1092" i="11"/>
  <c r="O1092" i="11" s="1"/>
  <c r="R1127" i="11"/>
  <c r="AL1297" i="11"/>
  <c r="AN1297" i="11" s="1"/>
  <c r="AO1297" i="11" s="1"/>
  <c r="N1096" i="11"/>
  <c r="O1096" i="11" s="1"/>
  <c r="V1295" i="11"/>
  <c r="X1295" i="11" s="1"/>
  <c r="Y1295" i="11" s="1"/>
  <c r="AH1301" i="11"/>
  <c r="AJ1301" i="11" s="1"/>
  <c r="AK1301" i="11" s="1"/>
  <c r="V1310" i="11"/>
  <c r="X1310" i="11" s="1"/>
  <c r="Y1310" i="11" s="1"/>
  <c r="AL1300" i="11"/>
  <c r="AN1300" i="11" s="1"/>
  <c r="AO1300" i="11" s="1"/>
  <c r="AH1310" i="11"/>
  <c r="AJ1310" i="11" s="1"/>
  <c r="AK1310" i="11" s="1"/>
  <c r="AP1301" i="11"/>
  <c r="AR1301" i="11" s="1"/>
  <c r="AS1301" i="11" s="1"/>
  <c r="V1305" i="11"/>
  <c r="X1305" i="11" s="1"/>
  <c r="Y1305" i="11" s="1"/>
  <c r="AD1296" i="11"/>
  <c r="AF1296" i="11" s="1"/>
  <c r="AG1296" i="11" s="1"/>
  <c r="AH1305" i="11"/>
  <c r="AJ1305" i="11" s="1"/>
  <c r="AK1305" i="11" s="1"/>
  <c r="AH1300" i="11"/>
  <c r="AJ1300" i="11" s="1"/>
  <c r="AK1300" i="11" s="1"/>
  <c r="AD1294" i="11"/>
  <c r="AF1294" i="11" s="1"/>
  <c r="AG1294" i="11" s="1"/>
  <c r="AP1310" i="11"/>
  <c r="AR1310" i="11" s="1"/>
  <c r="AS1310" i="11" s="1"/>
  <c r="V1299" i="11"/>
  <c r="X1299" i="11" s="1"/>
  <c r="Y1299" i="11" s="1"/>
  <c r="Z1297" i="11"/>
  <c r="AB1297" i="11" s="1"/>
  <c r="AC1297" i="11" s="1"/>
  <c r="AH1306" i="11"/>
  <c r="AJ1306" i="11" s="1"/>
  <c r="AK1306" i="11" s="1"/>
  <c r="AL1309" i="11"/>
  <c r="AN1309" i="11" s="1"/>
  <c r="AO1309" i="11" s="1"/>
  <c r="AL1301" i="11"/>
  <c r="AN1301" i="11" s="1"/>
  <c r="AO1301" i="11" s="1"/>
  <c r="Z1298" i="11"/>
  <c r="AB1298" i="11" s="1"/>
  <c r="AC1298" i="11" s="1"/>
  <c r="Z1310" i="11"/>
  <c r="AB1310" i="11" s="1"/>
  <c r="AC1310" i="11" s="1"/>
  <c r="Z1300" i="11"/>
  <c r="AB1300" i="11" s="1"/>
  <c r="AC1300" i="11" s="1"/>
  <c r="AD1284" i="11" a="1"/>
  <c r="AD1284" i="11" s="1"/>
  <c r="AF1284" i="11" s="1"/>
  <c r="AG1284" i="11" s="1"/>
  <c r="AL1319" i="11"/>
  <c r="AN1319" i="11" s="1"/>
  <c r="AO1319" i="11" s="1"/>
  <c r="AP1319" i="11"/>
  <c r="AR1319" i="11" s="1"/>
  <c r="AS1319" i="11" s="1"/>
  <c r="AD1357" i="11"/>
  <c r="AF1357" i="11" s="1"/>
  <c r="AG1357" i="11" s="1"/>
  <c r="Z1367" i="11"/>
  <c r="AB1367" i="11" s="1"/>
  <c r="AC1367" i="11" s="1"/>
  <c r="AP1328" i="11"/>
  <c r="AR1328" i="11" s="1"/>
  <c r="AS1328" i="11" s="1"/>
  <c r="Z1357" i="11"/>
  <c r="AB1357" i="11" s="1"/>
  <c r="AC1357" i="11" s="1"/>
  <c r="V1519" i="11"/>
  <c r="X1519" i="11" s="1"/>
  <c r="Y1519" i="11" s="1"/>
  <c r="AP1497" i="11"/>
  <c r="AR1497" i="11" s="1"/>
  <c r="AS1497" i="11" s="1"/>
  <c r="Z1519" i="11"/>
  <c r="AB1519" i="11" s="1"/>
  <c r="AC1519" i="11" s="1"/>
  <c r="AD1319" i="11"/>
  <c r="AF1319" i="11" s="1"/>
  <c r="AG1319" i="11" s="1"/>
  <c r="Z1434" i="11"/>
  <c r="AB1434" i="11" s="1"/>
  <c r="AC1434" i="11" s="1"/>
  <c r="Z1373" i="11"/>
  <c r="AB1373" i="11" s="1"/>
  <c r="AC1373" i="11" s="1"/>
  <c r="AH1416" i="11"/>
  <c r="AJ1416" i="11" s="1"/>
  <c r="AK1416" i="11" s="1"/>
  <c r="AL1397" i="11"/>
  <c r="AN1397" i="11" s="1"/>
  <c r="AO1397" i="11" s="1"/>
  <c r="AD1381" i="11"/>
  <c r="AF1381" i="11" s="1"/>
  <c r="AG1381" i="11" s="1"/>
  <c r="AP1397" i="11"/>
  <c r="AR1397" i="11" s="1"/>
  <c r="AS1397" i="11" s="1"/>
  <c r="AP1373" i="11"/>
  <c r="AR1373" i="11" s="1"/>
  <c r="AS1373" i="11" s="1"/>
  <c r="AD1519" i="11"/>
  <c r="AF1519" i="11" s="1"/>
  <c r="AG1519" i="11" s="1"/>
  <c r="AP1508" i="11"/>
  <c r="AR1508" i="11" s="1"/>
  <c r="AS1508" i="11" s="1"/>
  <c r="AD1397" i="11"/>
  <c r="AF1397" i="11" s="1"/>
  <c r="AG1397" i="11" s="1"/>
  <c r="AL1381" i="11"/>
  <c r="AN1381" i="11" s="1"/>
  <c r="AO1381" i="11" s="1"/>
  <c r="V1381" i="11"/>
  <c r="X1381" i="11" s="1"/>
  <c r="Y1381" i="11" s="1"/>
  <c r="Z1403" i="11"/>
  <c r="AB1403" i="11" s="1"/>
  <c r="AC1403" i="11" s="1"/>
  <c r="Z1475" i="11"/>
  <c r="AB1475" i="11" s="1"/>
  <c r="AC1475" i="11" s="1"/>
  <c r="AH1519" i="11"/>
  <c r="AJ1519" i="11" s="1"/>
  <c r="AK1519" i="11" s="1"/>
  <c r="AL1497" i="11"/>
  <c r="AN1497" i="11" s="1"/>
  <c r="AO1497" i="11" s="1"/>
  <c r="V1493" i="11"/>
  <c r="X1493" i="11" s="1"/>
  <c r="Y1493" i="11" s="1"/>
  <c r="AL1441" i="11"/>
  <c r="AN1441" i="11" s="1"/>
  <c r="AO1441" i="11" s="1"/>
  <c r="Z1547" i="11"/>
  <c r="AB1547" i="11" s="1"/>
  <c r="AC1547" i="11" s="1"/>
  <c r="V1508" i="11"/>
  <c r="X1508" i="11" s="1"/>
  <c r="Y1508" i="11" s="1"/>
  <c r="AP1493" i="11"/>
  <c r="AR1493" i="11" s="1"/>
  <c r="AS1493" i="11" s="1"/>
  <c r="AP1547" i="11"/>
  <c r="AR1547" i="11" s="1"/>
  <c r="AS1547" i="11" s="1"/>
  <c r="AD1529" i="11"/>
  <c r="AF1529" i="11" s="1"/>
  <c r="AG1529" i="11" s="1"/>
  <c r="AP1353" i="11"/>
  <c r="AR1353" i="11" s="1"/>
  <c r="AS1353" i="11" s="1"/>
  <c r="V1373" i="11"/>
  <c r="X1373" i="11" s="1"/>
  <c r="Y1373" i="11" s="1"/>
  <c r="V1434" i="11"/>
  <c r="X1434" i="11" s="1"/>
  <c r="Y1434" i="11" s="1"/>
  <c r="AD1493" i="11"/>
  <c r="AF1493" i="11" s="1"/>
  <c r="AG1493" i="11" s="1"/>
  <c r="AL1508" i="11"/>
  <c r="AN1508" i="11" s="1"/>
  <c r="AO1508" i="11" s="1"/>
  <c r="Z1529" i="11"/>
  <c r="AB1529" i="11" s="1"/>
  <c r="AC1529" i="11" s="1"/>
  <c r="AH1493" i="11"/>
  <c r="AJ1493" i="11" s="1"/>
  <c r="AK1493" i="11" s="1"/>
  <c r="AP1416" i="11"/>
  <c r="AR1416" i="11" s="1"/>
  <c r="AS1416" i="11" s="1"/>
  <c r="V1416" i="11"/>
  <c r="X1416" i="11" s="1"/>
  <c r="Y1416" i="11" s="1"/>
  <c r="V1462" i="11"/>
  <c r="X1462" i="11" s="1"/>
  <c r="Y1462" i="11" s="1"/>
  <c r="AH1367" i="11"/>
  <c r="AJ1367" i="11" s="1"/>
  <c r="AK1367" i="11" s="1"/>
  <c r="AL1519" i="11"/>
  <c r="AN1519" i="11" s="1"/>
  <c r="AO1519" i="11" s="1"/>
  <c r="Z1493" i="11"/>
  <c r="AB1493" i="11" s="1"/>
  <c r="AC1493" i="11" s="1"/>
  <c r="AH1397" i="11"/>
  <c r="AJ1397" i="11" s="1"/>
  <c r="AK1397" i="11" s="1"/>
  <c r="AH1508" i="11"/>
  <c r="AJ1508" i="11" s="1"/>
  <c r="AK1508" i="11" s="1"/>
  <c r="AD1508" i="11"/>
  <c r="AF1508" i="11" s="1"/>
  <c r="AG1508" i="11" s="1"/>
  <c r="AL1422" i="11"/>
  <c r="AN1422" i="11" s="1"/>
  <c r="AO1422" i="11" s="1"/>
  <c r="AP1381" i="11"/>
  <c r="AR1381" i="11" s="1"/>
  <c r="AS1381" i="11" s="1"/>
  <c r="AP1422" i="11"/>
  <c r="AR1422" i="11" s="1"/>
  <c r="AS1422" i="11" s="1"/>
  <c r="AP1462" i="11"/>
  <c r="AR1462" i="11" s="1"/>
  <c r="AS1462" i="11" s="1"/>
  <c r="AL1434" i="11"/>
  <c r="AN1434" i="11" s="1"/>
  <c r="AO1434" i="11" s="1"/>
  <c r="Z1508" i="11"/>
  <c r="AB1508" i="11" s="1"/>
  <c r="AC1508" i="11" s="1"/>
  <c r="AD1403" i="11"/>
  <c r="AF1403" i="11" s="1"/>
  <c r="AG1403" i="11" s="1"/>
  <c r="AH1353" i="11"/>
  <c r="AJ1353" i="11" s="1"/>
  <c r="AK1353" i="11" s="1"/>
  <c r="AH1441" i="11"/>
  <c r="AJ1441" i="11" s="1"/>
  <c r="AK1441" i="11" s="1"/>
  <c r="AH1529" i="11"/>
  <c r="AJ1529" i="11" s="1"/>
  <c r="AK1529" i="11" s="1"/>
  <c r="V1367" i="11"/>
  <c r="X1367" i="11" s="1"/>
  <c r="Y1367" i="11" s="1"/>
  <c r="V1497" i="11"/>
  <c r="X1497" i="11" s="1"/>
  <c r="Y1497" i="11" s="1"/>
  <c r="AD1462" i="11"/>
  <c r="AF1462" i="11" s="1"/>
  <c r="AG1462" i="11" s="1"/>
  <c r="AH1475" i="11"/>
  <c r="AJ1475" i="11" s="1"/>
  <c r="AK1475" i="11" s="1"/>
  <c r="AH1497" i="11"/>
  <c r="AJ1497" i="11" s="1"/>
  <c r="AK1497" i="11" s="1"/>
  <c r="AP1529" i="11"/>
  <c r="AR1529" i="11" s="1"/>
  <c r="AS1529" i="11" s="1"/>
  <c r="AL1416" i="11"/>
  <c r="AN1416" i="11" s="1"/>
  <c r="AO1416" i="11" s="1"/>
  <c r="V1475" i="11"/>
  <c r="X1475" i="11" s="1"/>
  <c r="Y1475" i="11" s="1"/>
  <c r="V1422" i="11"/>
  <c r="X1422" i="11" s="1"/>
  <c r="Y1422" i="11" s="1"/>
  <c r="AP1519" i="11"/>
  <c r="AR1519" i="11" s="1"/>
  <c r="AS1519" i="11" s="1"/>
  <c r="AH1422" i="11"/>
  <c r="AJ1422" i="11" s="1"/>
  <c r="AK1422" i="11" s="1"/>
  <c r="AD1441" i="11"/>
  <c r="AF1441" i="11" s="1"/>
  <c r="AG1441" i="11" s="1"/>
  <c r="AL1462" i="11"/>
  <c r="AN1462" i="11" s="1"/>
  <c r="AO1462" i="11" s="1"/>
  <c r="AL1475" i="11"/>
  <c r="AN1475" i="11" s="1"/>
  <c r="AO1475" i="11" s="1"/>
  <c r="V1403" i="11"/>
  <c r="X1403" i="11" s="1"/>
  <c r="Y1403" i="11" s="1"/>
  <c r="Z1416" i="11"/>
  <c r="AB1416" i="11" s="1"/>
  <c r="AC1416" i="11" s="1"/>
  <c r="AH1319" i="11"/>
  <c r="AJ1319" i="11" s="1"/>
  <c r="AK1319" i="11" s="1"/>
  <c r="AP1475" i="11"/>
  <c r="AR1475" i="11" s="1"/>
  <c r="AS1475" i="11" s="1"/>
  <c r="AH1403" i="11"/>
  <c r="AJ1403" i="11" s="1"/>
  <c r="AK1403" i="11" s="1"/>
  <c r="V1397" i="11"/>
  <c r="X1397" i="11" s="1"/>
  <c r="Y1397" i="11" s="1"/>
  <c r="AD1475" i="11"/>
  <c r="AF1475" i="11" s="1"/>
  <c r="AG1475" i="11" s="1"/>
  <c r="AD1416" i="11"/>
  <c r="AF1416" i="11" s="1"/>
  <c r="AG1416" i="11" s="1"/>
  <c r="AD1353" i="11"/>
  <c r="AF1353" i="11" s="1"/>
  <c r="AG1353" i="11" s="1"/>
  <c r="V1547" i="11"/>
  <c r="X1547" i="11" s="1"/>
  <c r="Y1547" i="11" s="1"/>
  <c r="AL1353" i="11"/>
  <c r="AN1353" i="11" s="1"/>
  <c r="AO1353" i="11" s="1"/>
  <c r="AL1328" i="11"/>
  <c r="AN1328" i="11" s="1"/>
  <c r="AO1328" i="11" s="1"/>
  <c r="AH1462" i="11"/>
  <c r="AJ1462" i="11" s="1"/>
  <c r="AK1462" i="11" s="1"/>
  <c r="AH1381" i="11"/>
  <c r="AJ1381" i="11" s="1"/>
  <c r="AK1381" i="11" s="1"/>
  <c r="V1319" i="11"/>
  <c r="X1319" i="11" s="1"/>
  <c r="Y1319" i="11" s="1"/>
  <c r="Z1497" i="11"/>
  <c r="AB1497" i="11" s="1"/>
  <c r="AC1497" i="11" s="1"/>
  <c r="AL1367" i="11"/>
  <c r="AN1367" i="11" s="1"/>
  <c r="AO1367" i="11" s="1"/>
  <c r="Z1328" i="11"/>
  <c r="AB1328" i="11" s="1"/>
  <c r="AC1328" i="11" s="1"/>
  <c r="Z1441" i="11"/>
  <c r="AB1441" i="11" s="1"/>
  <c r="AC1441" i="11" s="1"/>
  <c r="AL1373" i="11"/>
  <c r="AN1373" i="11" s="1"/>
  <c r="AO1373" i="11" s="1"/>
  <c r="Z1381" i="11"/>
  <c r="AB1381" i="11" s="1"/>
  <c r="AC1381" i="11" s="1"/>
  <c r="AP1403" i="11"/>
  <c r="AR1403" i="11" s="1"/>
  <c r="AS1403" i="11" s="1"/>
  <c r="AL1547" i="11"/>
  <c r="AN1547" i="11" s="1"/>
  <c r="AO1547" i="11" s="1"/>
  <c r="V1357" i="11"/>
  <c r="X1357" i="11" s="1"/>
  <c r="Y1357" i="11" s="1"/>
  <c r="Z1422" i="11"/>
  <c r="AB1422" i="11" s="1"/>
  <c r="AC1422" i="11" s="1"/>
  <c r="Z1462" i="11"/>
  <c r="AB1462" i="11" s="1"/>
  <c r="AC1462" i="11" s="1"/>
  <c r="AD1367" i="11"/>
  <c r="AF1367" i="11" s="1"/>
  <c r="AG1367" i="11" s="1"/>
  <c r="AP1357" i="11"/>
  <c r="AR1357" i="11" s="1"/>
  <c r="AS1357" i="11" s="1"/>
  <c r="AP1434" i="11"/>
  <c r="AR1434" i="11" s="1"/>
  <c r="AS1434" i="11" s="1"/>
  <c r="AL1529" i="11"/>
  <c r="AN1529" i="11" s="1"/>
  <c r="AO1529" i="11" s="1"/>
  <c r="AH1357" i="11"/>
  <c r="AJ1357" i="11" s="1"/>
  <c r="AK1357" i="11" s="1"/>
  <c r="Z1353" i="11"/>
  <c r="AB1353" i="11" s="1"/>
  <c r="AC1353" i="11" s="1"/>
  <c r="V1328" i="11"/>
  <c r="X1328" i="11" s="1"/>
  <c r="Y1328" i="11" s="1"/>
  <c r="V1529" i="11"/>
  <c r="X1529" i="11" s="1"/>
  <c r="Y1529" i="11" s="1"/>
  <c r="AD1373" i="11"/>
  <c r="AF1373" i="11" s="1"/>
  <c r="AG1373" i="11" s="1"/>
  <c r="Z1397" i="11"/>
  <c r="AB1397" i="11" s="1"/>
  <c r="AC1397" i="11" s="1"/>
  <c r="AD1422" i="11"/>
  <c r="AF1422" i="11" s="1"/>
  <c r="AG1422" i="11" s="1"/>
  <c r="AH1328" i="11"/>
  <c r="AJ1328" i="11" s="1"/>
  <c r="AK1328" i="11" s="1"/>
  <c r="AH1434" i="11"/>
  <c r="AJ1434" i="11" s="1"/>
  <c r="AK1434" i="11" s="1"/>
  <c r="AT1434" i="11" s="1"/>
  <c r="AL1493" i="11"/>
  <c r="AN1493" i="11" s="1"/>
  <c r="AO1493" i="11" s="1"/>
  <c r="AD1328" i="11"/>
  <c r="AF1328" i="11" s="1"/>
  <c r="AG1328" i="11" s="1"/>
  <c r="AD1434" i="11"/>
  <c r="AF1434" i="11" s="1"/>
  <c r="AG1434" i="11" s="1"/>
  <c r="AH1547" i="11"/>
  <c r="AJ1547" i="11" s="1"/>
  <c r="AK1547" i="11" s="1"/>
  <c r="AH1373" i="11"/>
  <c r="AJ1373" i="11" s="1"/>
  <c r="AK1373" i="11" s="1"/>
  <c r="AL1403" i="11"/>
  <c r="AN1403" i="11" s="1"/>
  <c r="AO1403" i="11" s="1"/>
  <c r="AD1497" i="11"/>
  <c r="AF1497" i="11" s="1"/>
  <c r="AG1497" i="11" s="1"/>
  <c r="AP1367" i="11"/>
  <c r="AR1367" i="11" s="1"/>
  <c r="AS1367" i="11" s="1"/>
  <c r="Z1319" i="11"/>
  <c r="AB1319" i="11" s="1"/>
  <c r="AC1319" i="11" s="1"/>
  <c r="V1353" i="11"/>
  <c r="X1353" i="11" s="1"/>
  <c r="Y1353" i="11" s="1"/>
  <c r="AP1441" i="11"/>
  <c r="AR1441" i="11" s="1"/>
  <c r="AS1441" i="11" s="1"/>
  <c r="AD1547" i="11"/>
  <c r="AF1547" i="11" s="1"/>
  <c r="AG1547" i="11" s="1"/>
  <c r="AL1357" i="11"/>
  <c r="AN1357" i="11" s="1"/>
  <c r="AO1357" i="11" s="1"/>
  <c r="V1441" i="11"/>
  <c r="X1441" i="11" s="1"/>
  <c r="Y1441" i="11" s="1"/>
  <c r="AP1278" i="11" a="1"/>
  <c r="AP1278" i="11" s="1"/>
  <c r="AR1278" i="11" s="1"/>
  <c r="AS1278" i="11" s="1"/>
  <c r="V1323" i="11"/>
  <c r="X1323" i="11" s="1"/>
  <c r="Y1323" i="11" s="1"/>
  <c r="AH1356" i="11"/>
  <c r="AJ1356" i="11" s="1"/>
  <c r="AK1356" i="11" s="1"/>
  <c r="AL1472" i="11"/>
  <c r="AN1472" i="11" s="1"/>
  <c r="AO1472" i="11" s="1"/>
  <c r="AP1461" i="11"/>
  <c r="AR1461" i="11" s="1"/>
  <c r="AS1461" i="11" s="1"/>
  <c r="AP1472" i="11"/>
  <c r="AR1472" i="11" s="1"/>
  <c r="AS1472" i="11" s="1"/>
  <c r="AL1388" i="11"/>
  <c r="AN1388" i="11" s="1"/>
  <c r="AO1388" i="11" s="1"/>
  <c r="AP1409" i="11"/>
  <c r="AR1409" i="11" s="1"/>
  <c r="AS1409" i="11" s="1"/>
  <c r="AH1461" i="11"/>
  <c r="AJ1461" i="11" s="1"/>
  <c r="AK1461" i="11" s="1"/>
  <c r="Z1388" i="11"/>
  <c r="AB1388" i="11" s="1"/>
  <c r="AC1388" i="11" s="1"/>
  <c r="AP1356" i="11"/>
  <c r="AR1356" i="11" s="1"/>
  <c r="AS1356" i="11" s="1"/>
  <c r="AP1453" i="11"/>
  <c r="AR1453" i="11" s="1"/>
  <c r="AS1453" i="11" s="1"/>
  <c r="AP1428" i="11"/>
  <c r="AR1428" i="11" s="1"/>
  <c r="AS1428" i="11" s="1"/>
  <c r="V1453" i="11"/>
  <c r="X1453" i="11" s="1"/>
  <c r="Y1453" i="11" s="1"/>
  <c r="AL1409" i="11"/>
  <c r="AN1409" i="11" s="1"/>
  <c r="AO1409" i="11" s="1"/>
  <c r="V1428" i="11"/>
  <c r="X1428" i="11" s="1"/>
  <c r="Y1428" i="11" s="1"/>
  <c r="Z1409" i="11"/>
  <c r="AB1409" i="11" s="1"/>
  <c r="AC1409" i="11" s="1"/>
  <c r="Z1472" i="11"/>
  <c r="AB1472" i="11" s="1"/>
  <c r="AC1472" i="11" s="1"/>
  <c r="AH1428" i="11"/>
  <c r="AJ1428" i="11" s="1"/>
  <c r="AK1428" i="11" s="1"/>
  <c r="V1390" i="11"/>
  <c r="X1390" i="11" s="1"/>
  <c r="Y1390" i="11" s="1"/>
  <c r="Z1453" i="11"/>
  <c r="AB1453" i="11" s="1"/>
  <c r="AC1453" i="11" s="1"/>
  <c r="AL1461" i="11"/>
  <c r="AN1461" i="11" s="1"/>
  <c r="AO1461" i="11" s="1"/>
  <c r="AH1388" i="11"/>
  <c r="AJ1388" i="11" s="1"/>
  <c r="AK1388" i="11" s="1"/>
  <c r="V1388" i="11"/>
  <c r="X1388" i="11" s="1"/>
  <c r="Y1388" i="11" s="1"/>
  <c r="AL1492" i="11"/>
  <c r="AN1492" i="11" s="1"/>
  <c r="AO1492" i="11" s="1"/>
  <c r="AH1453" i="11"/>
  <c r="AJ1453" i="11" s="1"/>
  <c r="AK1453" i="11" s="1"/>
  <c r="AD1409" i="11"/>
  <c r="AF1409" i="11" s="1"/>
  <c r="AG1409" i="11" s="1"/>
  <c r="AH1409" i="11"/>
  <c r="AJ1409" i="11" s="1"/>
  <c r="AK1409" i="11" s="1"/>
  <c r="Z1428" i="11"/>
  <c r="AB1428" i="11" s="1"/>
  <c r="AC1428" i="11" s="1"/>
  <c r="AP1323" i="11"/>
  <c r="AR1323" i="11" s="1"/>
  <c r="AS1323" i="11" s="1"/>
  <c r="AD1323" i="11"/>
  <c r="AF1323" i="11" s="1"/>
  <c r="AG1323" i="11" s="1"/>
  <c r="AP1388" i="11"/>
  <c r="AR1388" i="11" s="1"/>
  <c r="AS1388" i="11" s="1"/>
  <c r="AL1390" i="11"/>
  <c r="AN1390" i="11" s="1"/>
  <c r="AO1390" i="11" s="1"/>
  <c r="AD1356" i="11"/>
  <c r="AF1356" i="11" s="1"/>
  <c r="AG1356" i="11" s="1"/>
  <c r="AH1492" i="11"/>
  <c r="AJ1492" i="11" s="1"/>
  <c r="AK1492" i="11" s="1"/>
  <c r="Z1323" i="11"/>
  <c r="AB1323" i="11" s="1"/>
  <c r="AC1323" i="11" s="1"/>
  <c r="AD1472" i="11"/>
  <c r="AF1472" i="11" s="1"/>
  <c r="AG1472" i="11" s="1"/>
  <c r="AD1453" i="11"/>
  <c r="AF1453" i="11" s="1"/>
  <c r="AG1453" i="11" s="1"/>
  <c r="AP1332" i="11"/>
  <c r="AR1332" i="11" s="1"/>
  <c r="AS1332" i="11" s="1"/>
  <c r="AD1428" i="11"/>
  <c r="AF1428" i="11" s="1"/>
  <c r="AG1428" i="11" s="1"/>
  <c r="AD1390" i="11"/>
  <c r="AF1390" i="11" s="1"/>
  <c r="AG1390" i="11" s="1"/>
  <c r="Z1461" i="11"/>
  <c r="AB1461" i="11" s="1"/>
  <c r="AC1461" i="11" s="1"/>
  <c r="AD1461" i="11"/>
  <c r="AF1461" i="11" s="1"/>
  <c r="AG1461" i="11" s="1"/>
  <c r="AL1428" i="11"/>
  <c r="AN1428" i="11" s="1"/>
  <c r="AO1428" i="11" s="1"/>
  <c r="V1409" i="11"/>
  <c r="X1409" i="11" s="1"/>
  <c r="Y1409" i="11" s="1"/>
  <c r="AD1332" i="11"/>
  <c r="AF1332" i="11" s="1"/>
  <c r="AG1332" i="11" s="1"/>
  <c r="AH1323" i="11"/>
  <c r="AJ1323" i="11" s="1"/>
  <c r="AK1323" i="11" s="1"/>
  <c r="Z1390" i="11"/>
  <c r="AB1390" i="11" s="1"/>
  <c r="AC1390" i="11" s="1"/>
  <c r="V1492" i="11"/>
  <c r="X1492" i="11" s="1"/>
  <c r="Y1492" i="11" s="1"/>
  <c r="AH1472" i="11"/>
  <c r="AJ1472" i="11" s="1"/>
  <c r="AK1472" i="11" s="1"/>
  <c r="Z1492" i="11"/>
  <c r="AB1492" i="11" s="1"/>
  <c r="AC1492" i="11" s="1"/>
  <c r="AL1356" i="11"/>
  <c r="AN1356" i="11" s="1"/>
  <c r="AO1356" i="11" s="1"/>
  <c r="AD1388" i="11"/>
  <c r="AF1388" i="11" s="1"/>
  <c r="AG1388" i="11" s="1"/>
  <c r="V1356" i="11"/>
  <c r="X1356" i="11" s="1"/>
  <c r="Y1356" i="11" s="1"/>
  <c r="V1472" i="11"/>
  <c r="X1472" i="11" s="1"/>
  <c r="Y1472" i="11" s="1"/>
  <c r="AL1453" i="11"/>
  <c r="AN1453" i="11" s="1"/>
  <c r="AO1453" i="11" s="1"/>
  <c r="AH1332" i="11"/>
  <c r="AJ1332" i="11" s="1"/>
  <c r="AK1332" i="11" s="1"/>
  <c r="AH1390" i="11"/>
  <c r="AJ1390" i="11" s="1"/>
  <c r="AK1390" i="11" s="1"/>
  <c r="AL1332" i="11"/>
  <c r="AN1332" i="11" s="1"/>
  <c r="AO1332" i="11" s="1"/>
  <c r="Z1332" i="11"/>
  <c r="AB1332" i="11" s="1"/>
  <c r="AC1332" i="11" s="1"/>
  <c r="AL1323" i="11"/>
  <c r="AN1323" i="11" s="1"/>
  <c r="AO1323" i="11" s="1"/>
  <c r="AP1492" i="11"/>
  <c r="AR1492" i="11" s="1"/>
  <c r="AS1492" i="11" s="1"/>
  <c r="Z1356" i="11"/>
  <c r="AB1356" i="11" s="1"/>
  <c r="AC1356" i="11" s="1"/>
  <c r="AP1390" i="11"/>
  <c r="AR1390" i="11" s="1"/>
  <c r="AS1390" i="11" s="1"/>
  <c r="AD1492" i="11"/>
  <c r="AF1492" i="11" s="1"/>
  <c r="AG1492" i="11" s="1"/>
  <c r="V1332" i="11"/>
  <c r="X1332" i="11" s="1"/>
  <c r="Y1332" i="11" s="1"/>
  <c r="V1461" i="11"/>
  <c r="X1461" i="11" s="1"/>
  <c r="Y1461" i="11" s="1"/>
  <c r="N1078" i="11"/>
  <c r="O1078" i="11" s="1"/>
  <c r="AP1312" i="11"/>
  <c r="AR1312" i="11" s="1"/>
  <c r="AS1312" i="11" s="1"/>
  <c r="V1312" i="11"/>
  <c r="X1312" i="11" s="1"/>
  <c r="Y1312" i="11" s="1"/>
  <c r="AD1312" i="11"/>
  <c r="AF1312" i="11" s="1"/>
  <c r="AG1312" i="11" s="1"/>
  <c r="AL1312" i="11"/>
  <c r="AN1312" i="11" s="1"/>
  <c r="AO1312" i="11" s="1"/>
  <c r="AH1312" i="11"/>
  <c r="AJ1312" i="11" s="1"/>
  <c r="AK1312" i="11" s="1"/>
  <c r="Z1531" i="11"/>
  <c r="AB1531" i="11" s="1"/>
  <c r="AC1531" i="11" s="1"/>
  <c r="AL1408" i="11"/>
  <c r="AN1408" i="11" s="1"/>
  <c r="AO1408" i="11" s="1"/>
  <c r="AD1387" i="11"/>
  <c r="AF1387" i="11" s="1"/>
  <c r="AG1387" i="11" s="1"/>
  <c r="AD1538" i="11"/>
  <c r="AF1538" i="11" s="1"/>
  <c r="AG1538" i="11" s="1"/>
  <c r="AH1459" i="11"/>
  <c r="AJ1459" i="11" s="1"/>
  <c r="AK1459" i="11" s="1"/>
  <c r="AH1538" i="11"/>
  <c r="AJ1538" i="11" s="1"/>
  <c r="AK1538" i="11" s="1"/>
  <c r="AP1484" i="11"/>
  <c r="AR1484" i="11" s="1"/>
  <c r="AS1484" i="11" s="1"/>
  <c r="AP1387" i="11"/>
  <c r="AR1387" i="11" s="1"/>
  <c r="AS1387" i="11" s="1"/>
  <c r="AL1538" i="11"/>
  <c r="AN1538" i="11" s="1"/>
  <c r="AO1538" i="11" s="1"/>
  <c r="AD1426" i="11"/>
  <c r="AF1426" i="11" s="1"/>
  <c r="AG1426" i="11" s="1"/>
  <c r="AL1509" i="11"/>
  <c r="AN1509" i="11" s="1"/>
  <c r="AO1509" i="11" s="1"/>
  <c r="AL1426" i="11"/>
  <c r="AN1426" i="11" s="1"/>
  <c r="AO1426" i="11" s="1"/>
  <c r="AL1484" i="11"/>
  <c r="AN1484" i="11" s="1"/>
  <c r="AO1484" i="11" s="1"/>
  <c r="V1354" i="11"/>
  <c r="X1354" i="11" s="1"/>
  <c r="Y1354" i="11" s="1"/>
  <c r="V1484" i="11"/>
  <c r="X1484" i="11" s="1"/>
  <c r="Y1484" i="11" s="1"/>
  <c r="Z1387" i="11"/>
  <c r="AB1387" i="11" s="1"/>
  <c r="AC1387" i="11" s="1"/>
  <c r="Z1509" i="11"/>
  <c r="AB1509" i="11" s="1"/>
  <c r="AC1509" i="11" s="1"/>
  <c r="AH1484" i="11"/>
  <c r="AJ1484" i="11" s="1"/>
  <c r="AK1484" i="11" s="1"/>
  <c r="AP1509" i="11"/>
  <c r="AR1509" i="11" s="1"/>
  <c r="AS1509" i="11" s="1"/>
  <c r="Z1484" i="11"/>
  <c r="AB1484" i="11" s="1"/>
  <c r="AC1484" i="11" s="1"/>
  <c r="V1538" i="11"/>
  <c r="X1538" i="11" s="1"/>
  <c r="Y1538" i="11" s="1"/>
  <c r="AH1408" i="11"/>
  <c r="AJ1408" i="11" s="1"/>
  <c r="AK1408" i="11" s="1"/>
  <c r="AH1426" i="11"/>
  <c r="AJ1426" i="11" s="1"/>
  <c r="AK1426" i="11" s="1"/>
  <c r="AL1387" i="11"/>
  <c r="AN1387" i="11" s="1"/>
  <c r="AO1387" i="11" s="1"/>
  <c r="AH1387" i="11"/>
  <c r="AJ1387" i="11" s="1"/>
  <c r="AK1387" i="11" s="1"/>
  <c r="AH1354" i="11"/>
  <c r="AJ1354" i="11" s="1"/>
  <c r="AK1354" i="11" s="1"/>
  <c r="V1408" i="11"/>
  <c r="X1408" i="11" s="1"/>
  <c r="Y1408" i="11" s="1"/>
  <c r="AD1509" i="11"/>
  <c r="AF1509" i="11" s="1"/>
  <c r="AG1509" i="11" s="1"/>
  <c r="AL1354" i="11"/>
  <c r="AN1354" i="11" s="1"/>
  <c r="AO1354" i="11" s="1"/>
  <c r="AP1408" i="11"/>
  <c r="AR1408" i="11" s="1"/>
  <c r="AS1408" i="11" s="1"/>
  <c r="AH1509" i="11"/>
  <c r="AJ1509" i="11" s="1"/>
  <c r="AK1509" i="11" s="1"/>
  <c r="Z1354" i="11"/>
  <c r="AB1354" i="11" s="1"/>
  <c r="AC1354" i="11" s="1"/>
  <c r="Z1448" i="11"/>
  <c r="AB1448" i="11" s="1"/>
  <c r="AC1448" i="11" s="1"/>
  <c r="V1459" i="11"/>
  <c r="X1459" i="11" s="1"/>
  <c r="Y1459" i="11" s="1"/>
  <c r="AH1531" i="11"/>
  <c r="AJ1531" i="11" s="1"/>
  <c r="AK1531" i="11" s="1"/>
  <c r="AP1538" i="11"/>
  <c r="AR1538" i="11" s="1"/>
  <c r="AS1538" i="11" s="1"/>
  <c r="V1426" i="11"/>
  <c r="X1426" i="11" s="1"/>
  <c r="Y1426" i="11" s="1"/>
  <c r="AL1459" i="11"/>
  <c r="AN1459" i="11" s="1"/>
  <c r="AO1459" i="11" s="1"/>
  <c r="AD1531" i="11"/>
  <c r="AF1531" i="11" s="1"/>
  <c r="AG1531" i="11" s="1"/>
  <c r="V1448" i="11"/>
  <c r="X1448" i="11" s="1"/>
  <c r="Y1448" i="11" s="1"/>
  <c r="Z1459" i="11"/>
  <c r="AB1459" i="11" s="1"/>
  <c r="AC1459" i="11" s="1"/>
  <c r="V1509" i="11"/>
  <c r="X1509" i="11" s="1"/>
  <c r="Y1509" i="11" s="1"/>
  <c r="V1387" i="11"/>
  <c r="X1387" i="11" s="1"/>
  <c r="Y1387" i="11" s="1"/>
  <c r="AH1448" i="11"/>
  <c r="AJ1448" i="11" s="1"/>
  <c r="AK1448" i="11" s="1"/>
  <c r="AD1354" i="11"/>
  <c r="AF1354" i="11" s="1"/>
  <c r="AG1354" i="11" s="1"/>
  <c r="AP1459" i="11"/>
  <c r="AR1459" i="11" s="1"/>
  <c r="AS1459" i="11" s="1"/>
  <c r="AP1531" i="11"/>
  <c r="AR1531" i="11" s="1"/>
  <c r="AS1531" i="11" s="1"/>
  <c r="AP1426" i="11"/>
  <c r="AR1426" i="11" s="1"/>
  <c r="AS1426" i="11" s="1"/>
  <c r="Z1426" i="11"/>
  <c r="AB1426" i="11" s="1"/>
  <c r="AC1426" i="11" s="1"/>
  <c r="AP1448" i="11"/>
  <c r="AR1448" i="11" s="1"/>
  <c r="AS1448" i="11" s="1"/>
  <c r="AD1484" i="11"/>
  <c r="AF1484" i="11" s="1"/>
  <c r="AG1484" i="11" s="1"/>
  <c r="V1531" i="11"/>
  <c r="X1531" i="11" s="1"/>
  <c r="Y1531" i="11" s="1"/>
  <c r="Z1312" i="11"/>
  <c r="AB1312" i="11" s="1"/>
  <c r="AC1312" i="11" s="1"/>
  <c r="AL1448" i="11"/>
  <c r="AN1448" i="11" s="1"/>
  <c r="AO1448" i="11" s="1"/>
  <c r="AD1408" i="11"/>
  <c r="AF1408" i="11" s="1"/>
  <c r="AG1408" i="11" s="1"/>
  <c r="AD1459" i="11"/>
  <c r="AF1459" i="11" s="1"/>
  <c r="AG1459" i="11" s="1"/>
  <c r="AP1354" i="11"/>
  <c r="AR1354" i="11" s="1"/>
  <c r="AS1354" i="11" s="1"/>
  <c r="Z1408" i="11"/>
  <c r="AB1408" i="11" s="1"/>
  <c r="AC1408" i="11" s="1"/>
  <c r="AD1448" i="11"/>
  <c r="AF1448" i="11" s="1"/>
  <c r="AG1448" i="11" s="1"/>
  <c r="AL1531" i="11"/>
  <c r="AN1531" i="11" s="1"/>
  <c r="AO1531" i="11" s="1"/>
  <c r="Z1538" i="11"/>
  <c r="AB1538" i="11" s="1"/>
  <c r="AC1538" i="11" s="1"/>
  <c r="Z1089" i="11"/>
  <c r="AD1096" i="11"/>
  <c r="AD1252" i="11" a="1"/>
  <c r="AD1252" i="11" s="1"/>
  <c r="AF1252" i="11" s="1"/>
  <c r="AG1252" i="11" s="1"/>
  <c r="V1324" i="11"/>
  <c r="X1324" i="11" s="1"/>
  <c r="Y1324" i="11" s="1"/>
  <c r="AH1324" i="11"/>
  <c r="AJ1324" i="11" s="1"/>
  <c r="AK1324" i="11" s="1"/>
  <c r="V1535" i="11"/>
  <c r="X1535" i="11" s="1"/>
  <c r="Y1535" i="11" s="1"/>
  <c r="Z1535" i="11"/>
  <c r="AB1535" i="11" s="1"/>
  <c r="AC1535" i="11" s="1"/>
  <c r="AD1535" i="11"/>
  <c r="AF1535" i="11" s="1"/>
  <c r="AG1535" i="11" s="1"/>
  <c r="Z1410" i="11"/>
  <c r="AB1410" i="11" s="1"/>
  <c r="AC1410" i="11" s="1"/>
  <c r="AD1410" i="11"/>
  <c r="AF1410" i="11" s="1"/>
  <c r="AG1410" i="11" s="1"/>
  <c r="AH1385" i="11"/>
  <c r="AJ1385" i="11" s="1"/>
  <c r="AK1385" i="11" s="1"/>
  <c r="AP1535" i="11"/>
  <c r="AR1535" i="11" s="1"/>
  <c r="AS1535" i="11" s="1"/>
  <c r="AL1385" i="11"/>
  <c r="AN1385" i="11" s="1"/>
  <c r="AO1385" i="11" s="1"/>
  <c r="AP1410" i="11"/>
  <c r="AR1410" i="11" s="1"/>
  <c r="AS1410" i="11" s="1"/>
  <c r="AD1465" i="11"/>
  <c r="AF1465" i="11" s="1"/>
  <c r="AG1465" i="11" s="1"/>
  <c r="AL1535" i="11"/>
  <c r="AN1535" i="11" s="1"/>
  <c r="AO1535" i="11" s="1"/>
  <c r="AH1535" i="11"/>
  <c r="AJ1535" i="11" s="1"/>
  <c r="AK1535" i="11" s="1"/>
  <c r="Z1385" i="11"/>
  <c r="AB1385" i="11" s="1"/>
  <c r="AC1385" i="11" s="1"/>
  <c r="V1410" i="11"/>
  <c r="X1410" i="11" s="1"/>
  <c r="Y1410" i="11" s="1"/>
  <c r="AL1465" i="11"/>
  <c r="AN1465" i="11" s="1"/>
  <c r="AO1465" i="11" s="1"/>
  <c r="AP1324" i="11"/>
  <c r="AR1324" i="11" s="1"/>
  <c r="AS1324" i="11" s="1"/>
  <c r="Z1465" i="11"/>
  <c r="AB1465" i="11" s="1"/>
  <c r="AC1465" i="11" s="1"/>
  <c r="AL1324" i="11"/>
  <c r="AN1324" i="11" s="1"/>
  <c r="AO1324" i="11" s="1"/>
  <c r="AP1385" i="11"/>
  <c r="AR1385" i="11" s="1"/>
  <c r="AS1385" i="11" s="1"/>
  <c r="AH1410" i="11"/>
  <c r="AJ1410" i="11" s="1"/>
  <c r="AK1410" i="11" s="1"/>
  <c r="Z1324" i="11"/>
  <c r="AB1324" i="11" s="1"/>
  <c r="AC1324" i="11" s="1"/>
  <c r="AD1324" i="11"/>
  <c r="AF1324" i="11" s="1"/>
  <c r="AG1324" i="11" s="1"/>
  <c r="AH1465" i="11"/>
  <c r="AJ1465" i="11" s="1"/>
  <c r="AK1465" i="11" s="1"/>
  <c r="AD1385" i="11"/>
  <c r="AF1385" i="11" s="1"/>
  <c r="AG1385" i="11" s="1"/>
  <c r="V1465" i="11"/>
  <c r="X1465" i="11" s="1"/>
  <c r="Y1465" i="11" s="1"/>
  <c r="AL1410" i="11"/>
  <c r="AN1410" i="11" s="1"/>
  <c r="AO1410" i="11" s="1"/>
  <c r="AP1465" i="11"/>
  <c r="AR1465" i="11" s="1"/>
  <c r="AS1465" i="11" s="1"/>
  <c r="V1385" i="11"/>
  <c r="X1385" i="11" s="1"/>
  <c r="Y1385" i="11" s="1"/>
  <c r="Z1085" i="11"/>
  <c r="R1140" i="11"/>
  <c r="R1150" i="11"/>
  <c r="R1158" i="11"/>
  <c r="R1167" i="11"/>
  <c r="R1185" i="11"/>
  <c r="R1201" i="11"/>
  <c r="R1206" i="11"/>
  <c r="AH1311" i="11"/>
  <c r="AJ1311" i="11" s="1"/>
  <c r="AK1311" i="11" s="1"/>
  <c r="V1306" i="11"/>
  <c r="X1306" i="11" s="1"/>
  <c r="Y1306" i="11" s="1"/>
  <c r="Z1307" i="11"/>
  <c r="AB1307" i="11" s="1"/>
  <c r="AC1307" i="11" s="1"/>
  <c r="AH1309" i="11"/>
  <c r="AJ1309" i="11" s="1"/>
  <c r="AK1309" i="11" s="1"/>
  <c r="AP1300" i="11"/>
  <c r="AR1300" i="11" s="1"/>
  <c r="AS1300" i="11" s="1"/>
  <c r="AL1310" i="11"/>
  <c r="AN1310" i="11" s="1"/>
  <c r="AO1310" i="11" s="1"/>
  <c r="AL1302" i="11"/>
  <c r="AN1302" i="11" s="1"/>
  <c r="AO1302" i="11" s="1"/>
  <c r="AL1294" i="11"/>
  <c r="AN1294" i="11" s="1"/>
  <c r="AO1294" i="11" s="1"/>
  <c r="AH1304" i="11"/>
  <c r="AJ1304" i="11" s="1"/>
  <c r="AK1304" i="11" s="1"/>
  <c r="Z1308" i="11"/>
  <c r="AB1308" i="11" s="1"/>
  <c r="AC1308" i="11" s="1"/>
  <c r="AH1299" i="11"/>
  <c r="AJ1299" i="11" s="1"/>
  <c r="AK1299" i="11" s="1"/>
  <c r="AD1309" i="11"/>
  <c r="AF1309" i="11" s="1"/>
  <c r="AG1309" i="11" s="1"/>
  <c r="V1302" i="11"/>
  <c r="X1302" i="11" s="1"/>
  <c r="Y1302" i="11" s="1"/>
  <c r="AP1309" i="11"/>
  <c r="AR1309" i="11" s="1"/>
  <c r="AS1309" i="11" s="1"/>
  <c r="Z1295" i="11"/>
  <c r="AB1295" i="11" s="1"/>
  <c r="AC1295" i="11" s="1"/>
  <c r="AD1304" i="11"/>
  <c r="AF1304" i="11" s="1"/>
  <c r="AG1304" i="11" s="1"/>
  <c r="AP1304" i="11"/>
  <c r="AR1304" i="11" s="1"/>
  <c r="AS1304" i="11" s="1"/>
  <c r="AL1306" i="11"/>
  <c r="AN1306" i="11" s="1"/>
  <c r="AO1306" i="11" s="1"/>
  <c r="Z1309" i="11"/>
  <c r="AB1309" i="11" s="1"/>
  <c r="AC1309" i="11" s="1"/>
  <c r="AD1298" i="11"/>
  <c r="AF1298" i="11" s="1"/>
  <c r="AG1298" i="11" s="1"/>
  <c r="AP1305" i="11"/>
  <c r="AR1305" i="11" s="1"/>
  <c r="AS1305" i="11" s="1"/>
  <c r="AD1308" i="11"/>
  <c r="AF1308" i="11" s="1"/>
  <c r="AG1308" i="11" s="1"/>
  <c r="Z1301" i="11"/>
  <c r="AB1301" i="11" s="1"/>
  <c r="AC1301" i="11" s="1"/>
  <c r="N1062" i="11"/>
  <c r="O1062" i="11" s="1"/>
  <c r="V1339" i="11"/>
  <c r="X1339" i="11" s="1"/>
  <c r="Y1339" i="11" s="1"/>
  <c r="Z1339" i="11"/>
  <c r="AB1339" i="11" s="1"/>
  <c r="AC1339" i="11" s="1"/>
  <c r="Z1314" i="11"/>
  <c r="AB1314" i="11" s="1"/>
  <c r="AC1314" i="11" s="1"/>
  <c r="AH1314" i="11"/>
  <c r="AJ1314" i="11" s="1"/>
  <c r="AK1314" i="11" s="1"/>
  <c r="AP1339" i="11"/>
  <c r="AR1339" i="11" s="1"/>
  <c r="AS1339" i="11" s="1"/>
  <c r="AH1339" i="11"/>
  <c r="AJ1339" i="11" s="1"/>
  <c r="AK1339" i="11" s="1"/>
  <c r="AP1351" i="11"/>
  <c r="AR1351" i="11" s="1"/>
  <c r="AS1351" i="11" s="1"/>
  <c r="Z1399" i="11"/>
  <c r="AB1399" i="11" s="1"/>
  <c r="AC1399" i="11" s="1"/>
  <c r="V1389" i="11"/>
  <c r="X1389" i="11" s="1"/>
  <c r="Y1389" i="11" s="1"/>
  <c r="AP1314" i="11"/>
  <c r="AR1314" i="11" s="1"/>
  <c r="AS1314" i="11" s="1"/>
  <c r="AL1314" i="11"/>
  <c r="AN1314" i="11" s="1"/>
  <c r="AO1314" i="11" s="1"/>
  <c r="Z1351" i="11"/>
  <c r="AB1351" i="11" s="1"/>
  <c r="AC1351" i="11" s="1"/>
  <c r="AL1389" i="11"/>
  <c r="AN1389" i="11" s="1"/>
  <c r="AO1389" i="11" s="1"/>
  <c r="AD1351" i="11"/>
  <c r="AF1351" i="11" s="1"/>
  <c r="AG1351" i="11" s="1"/>
  <c r="V1368" i="11"/>
  <c r="X1368" i="11" s="1"/>
  <c r="Y1368" i="11" s="1"/>
  <c r="V1351" i="11"/>
  <c r="X1351" i="11" s="1"/>
  <c r="Y1351" i="11" s="1"/>
  <c r="AD1314" i="11"/>
  <c r="AF1314" i="11" s="1"/>
  <c r="AG1314" i="11" s="1"/>
  <c r="AH1351" i="11"/>
  <c r="AJ1351" i="11" s="1"/>
  <c r="AK1351" i="11" s="1"/>
  <c r="Z1368" i="11"/>
  <c r="AB1368" i="11" s="1"/>
  <c r="AC1368" i="11" s="1"/>
  <c r="V1314" i="11"/>
  <c r="X1314" i="11" s="1"/>
  <c r="Y1314" i="11" s="1"/>
  <c r="AD1339" i="11"/>
  <c r="AF1339" i="11" s="1"/>
  <c r="AG1339" i="11" s="1"/>
  <c r="AL1368" i="11"/>
  <c r="AN1368" i="11" s="1"/>
  <c r="AO1368" i="11" s="1"/>
  <c r="Z1458" i="11"/>
  <c r="AB1458" i="11" s="1"/>
  <c r="AC1458" i="11" s="1"/>
  <c r="AD1440" i="11"/>
  <c r="AF1440" i="11" s="1"/>
  <c r="AG1440" i="11" s="1"/>
  <c r="AD1533" i="11"/>
  <c r="AF1533" i="11" s="1"/>
  <c r="AG1533" i="11" s="1"/>
  <c r="AH1368" i="11"/>
  <c r="AJ1368" i="11" s="1"/>
  <c r="AK1368" i="11" s="1"/>
  <c r="AP1389" i="11"/>
  <c r="AR1389" i="11" s="1"/>
  <c r="AS1389" i="11" s="1"/>
  <c r="Z1436" i="11"/>
  <c r="AB1436" i="11" s="1"/>
  <c r="AC1436" i="11" s="1"/>
  <c r="V1533" i="11"/>
  <c r="X1533" i="11" s="1"/>
  <c r="Y1533" i="11" s="1"/>
  <c r="Z1487" i="11"/>
  <c r="AB1487" i="11" s="1"/>
  <c r="AC1487" i="11" s="1"/>
  <c r="V1421" i="11"/>
  <c r="X1421" i="11" s="1"/>
  <c r="Y1421" i="11" s="1"/>
  <c r="AH1436" i="11"/>
  <c r="AJ1436" i="11" s="1"/>
  <c r="AK1436" i="11" s="1"/>
  <c r="AD1487" i="11"/>
  <c r="AF1487" i="11" s="1"/>
  <c r="AG1487" i="11" s="1"/>
  <c r="AL1533" i="11"/>
  <c r="AN1533" i="11" s="1"/>
  <c r="AO1533" i="11" s="1"/>
  <c r="AP1533" i="11"/>
  <c r="AR1533" i="11" s="1"/>
  <c r="AS1533" i="11" s="1"/>
  <c r="AL1425" i="11"/>
  <c r="AN1425" i="11" s="1"/>
  <c r="AO1425" i="11" s="1"/>
  <c r="AL1399" i="11"/>
  <c r="AN1399" i="11" s="1"/>
  <c r="AO1399" i="11" s="1"/>
  <c r="AL1487" i="11"/>
  <c r="AN1487" i="11" s="1"/>
  <c r="AO1487" i="11" s="1"/>
  <c r="AL1458" i="11"/>
  <c r="AN1458" i="11" s="1"/>
  <c r="AO1458" i="11" s="1"/>
  <c r="AD1436" i="11"/>
  <c r="AF1436" i="11" s="1"/>
  <c r="AG1436" i="11" s="1"/>
  <c r="AD1421" i="11"/>
  <c r="AF1421" i="11" s="1"/>
  <c r="AG1421" i="11" s="1"/>
  <c r="AP1421" i="11"/>
  <c r="AR1421" i="11" s="1"/>
  <c r="AS1421" i="11" s="1"/>
  <c r="AD1458" i="11"/>
  <c r="AF1458" i="11" s="1"/>
  <c r="AG1458" i="11" s="1"/>
  <c r="AH1425" i="11"/>
  <c r="AJ1425" i="11" s="1"/>
  <c r="AK1425" i="11" s="1"/>
  <c r="AD1389" i="11"/>
  <c r="AF1389" i="11" s="1"/>
  <c r="AG1389" i="11" s="1"/>
  <c r="AP1436" i="11"/>
  <c r="AR1436" i="11" s="1"/>
  <c r="AS1436" i="11" s="1"/>
  <c r="AL1339" i="11"/>
  <c r="AN1339" i="11" s="1"/>
  <c r="AO1339" i="11" s="1"/>
  <c r="V1458" i="11"/>
  <c r="X1458" i="11" s="1"/>
  <c r="Y1458" i="11" s="1"/>
  <c r="AL1436" i="11"/>
  <c r="AN1436" i="11" s="1"/>
  <c r="AO1436" i="11" s="1"/>
  <c r="AP1425" i="11"/>
  <c r="AR1425" i="11" s="1"/>
  <c r="AS1425" i="11" s="1"/>
  <c r="AH1533" i="11"/>
  <c r="AJ1533" i="11" s="1"/>
  <c r="AK1533" i="11" s="1"/>
  <c r="AP1399" i="11"/>
  <c r="AR1399" i="11" s="1"/>
  <c r="AS1399" i="11" s="1"/>
  <c r="AP1440" i="11"/>
  <c r="AR1440" i="11" s="1"/>
  <c r="AS1440" i="11" s="1"/>
  <c r="Z1440" i="11"/>
  <c r="AB1440" i="11" s="1"/>
  <c r="AC1440" i="11" s="1"/>
  <c r="AD1368" i="11"/>
  <c r="AF1368" i="11" s="1"/>
  <c r="AG1368" i="11" s="1"/>
  <c r="Z1533" i="11"/>
  <c r="AB1533" i="11" s="1"/>
  <c r="AC1533" i="11" s="1"/>
  <c r="Z1389" i="11"/>
  <c r="AB1389" i="11" s="1"/>
  <c r="AC1389" i="11" s="1"/>
  <c r="V1440" i="11"/>
  <c r="X1440" i="11" s="1"/>
  <c r="Y1440" i="11" s="1"/>
  <c r="AL1351" i="11"/>
  <c r="AN1351" i="11" s="1"/>
  <c r="AO1351" i="11" s="1"/>
  <c r="AP1458" i="11"/>
  <c r="AR1458" i="11" s="1"/>
  <c r="AS1458" i="11" s="1"/>
  <c r="V1436" i="11"/>
  <c r="X1436" i="11" s="1"/>
  <c r="Y1436" i="11" s="1"/>
  <c r="Z1425" i="11"/>
  <c r="AB1425" i="11" s="1"/>
  <c r="AC1425" i="11" s="1"/>
  <c r="AD1399" i="11"/>
  <c r="AF1399" i="11" s="1"/>
  <c r="AG1399" i="11" s="1"/>
  <c r="AH1421" i="11"/>
  <c r="AJ1421" i="11" s="1"/>
  <c r="AK1421" i="11" s="1"/>
  <c r="AH1458" i="11"/>
  <c r="AJ1458" i="11" s="1"/>
  <c r="AK1458" i="11" s="1"/>
  <c r="AP1487" i="11"/>
  <c r="AR1487" i="11" s="1"/>
  <c r="AS1487" i="11" s="1"/>
  <c r="Z1421" i="11"/>
  <c r="AB1421" i="11" s="1"/>
  <c r="AC1421" i="11" s="1"/>
  <c r="V1425" i="11"/>
  <c r="X1425" i="11" s="1"/>
  <c r="Y1425" i="11" s="1"/>
  <c r="AL1440" i="11"/>
  <c r="AN1440" i="11" s="1"/>
  <c r="AO1440" i="11" s="1"/>
  <c r="AD1425" i="11"/>
  <c r="AF1425" i="11" s="1"/>
  <c r="AG1425" i="11" s="1"/>
  <c r="AH1440" i="11"/>
  <c r="AJ1440" i="11" s="1"/>
  <c r="AK1440" i="11" s="1"/>
  <c r="AH1399" i="11"/>
  <c r="AJ1399" i="11" s="1"/>
  <c r="AK1399" i="11" s="1"/>
  <c r="V1399" i="11"/>
  <c r="X1399" i="11" s="1"/>
  <c r="Y1399" i="11" s="1"/>
  <c r="V1487" i="11"/>
  <c r="X1487" i="11" s="1"/>
  <c r="Y1487" i="11" s="1"/>
  <c r="AH1487" i="11"/>
  <c r="AJ1487" i="11" s="1"/>
  <c r="AK1487" i="11" s="1"/>
  <c r="AT1487" i="11" s="1"/>
  <c r="AH1389" i="11"/>
  <c r="AJ1389" i="11" s="1"/>
  <c r="AK1389" i="11" s="1"/>
  <c r="AL1421" i="11"/>
  <c r="AN1421" i="11" s="1"/>
  <c r="AO1421" i="11" s="1"/>
  <c r="AP1368" i="11"/>
  <c r="AR1368" i="11" s="1"/>
  <c r="AS1368" i="11" s="1"/>
  <c r="N1064" i="11"/>
  <c r="O1064" i="11" s="1"/>
  <c r="AL1344" i="11"/>
  <c r="AN1344" i="11" s="1"/>
  <c r="AO1344" i="11" s="1"/>
  <c r="AP1327" i="11"/>
  <c r="AR1327" i="11" s="1"/>
  <c r="AS1327" i="11" s="1"/>
  <c r="AL1327" i="11"/>
  <c r="AN1327" i="11" s="1"/>
  <c r="AO1327" i="11" s="1"/>
  <c r="V1344" i="11"/>
  <c r="X1344" i="11" s="1"/>
  <c r="Y1344" i="11" s="1"/>
  <c r="Z1327" i="11"/>
  <c r="AB1327" i="11" s="1"/>
  <c r="AC1327" i="11" s="1"/>
  <c r="V1327" i="11"/>
  <c r="X1327" i="11" s="1"/>
  <c r="Y1327" i="11" s="1"/>
  <c r="AH1400" i="11"/>
  <c r="AJ1400" i="11" s="1"/>
  <c r="AK1400" i="11" s="1"/>
  <c r="AP1395" i="11"/>
  <c r="AR1395" i="11" s="1"/>
  <c r="AS1395" i="11" s="1"/>
  <c r="AH1486" i="11"/>
  <c r="AJ1486" i="11" s="1"/>
  <c r="AK1486" i="11" s="1"/>
  <c r="AL1486" i="11"/>
  <c r="AN1486" i="11" s="1"/>
  <c r="AO1486" i="11" s="1"/>
  <c r="AD1455" i="11"/>
  <c r="AF1455" i="11" s="1"/>
  <c r="AG1455" i="11" s="1"/>
  <c r="AL1431" i="11"/>
  <c r="AN1431" i="11" s="1"/>
  <c r="AO1431" i="11" s="1"/>
  <c r="AP1502" i="11"/>
  <c r="AR1502" i="11" s="1"/>
  <c r="AS1502" i="11" s="1"/>
  <c r="AD1418" i="11"/>
  <c r="AF1418" i="11" s="1"/>
  <c r="AG1418" i="11" s="1"/>
  <c r="Z1438" i="11"/>
  <c r="AB1438" i="11" s="1"/>
  <c r="AC1438" i="11" s="1"/>
  <c r="Z1366" i="11"/>
  <c r="AB1366" i="11" s="1"/>
  <c r="AC1366" i="11" s="1"/>
  <c r="V1486" i="11"/>
  <c r="X1486" i="11" s="1"/>
  <c r="Y1486" i="11" s="1"/>
  <c r="V1449" i="11"/>
  <c r="X1449" i="11" s="1"/>
  <c r="Y1449" i="11" s="1"/>
  <c r="AL1449" i="11"/>
  <c r="AN1449" i="11" s="1"/>
  <c r="AO1449" i="11" s="1"/>
  <c r="AP1418" i="11"/>
  <c r="AR1418" i="11" s="1"/>
  <c r="AS1418" i="11" s="1"/>
  <c r="AP1366" i="11"/>
  <c r="AR1366" i="11" s="1"/>
  <c r="AS1366" i="11" s="1"/>
  <c r="AD1502" i="11"/>
  <c r="AF1502" i="11" s="1"/>
  <c r="AG1502" i="11" s="1"/>
  <c r="AD1449" i="11"/>
  <c r="AF1449" i="11" s="1"/>
  <c r="AG1449" i="11" s="1"/>
  <c r="AH1438" i="11"/>
  <c r="AJ1438" i="11" s="1"/>
  <c r="AK1438" i="11" s="1"/>
  <c r="AL1502" i="11"/>
  <c r="AN1502" i="11" s="1"/>
  <c r="AO1502" i="11" s="1"/>
  <c r="AP1486" i="11"/>
  <c r="AR1486" i="11" s="1"/>
  <c r="AS1486" i="11" s="1"/>
  <c r="V1455" i="11"/>
  <c r="X1455" i="11" s="1"/>
  <c r="Y1455" i="11" s="1"/>
  <c r="V1438" i="11"/>
  <c r="X1438" i="11" s="1"/>
  <c r="Y1438" i="11" s="1"/>
  <c r="V1502" i="11"/>
  <c r="X1502" i="11" s="1"/>
  <c r="Y1502" i="11" s="1"/>
  <c r="Z1376" i="11"/>
  <c r="AB1376" i="11" s="1"/>
  <c r="AC1376" i="11" s="1"/>
  <c r="Z1486" i="11"/>
  <c r="AB1486" i="11" s="1"/>
  <c r="AC1486" i="11" s="1"/>
  <c r="AL1438" i="11"/>
  <c r="AN1438" i="11" s="1"/>
  <c r="AO1438" i="11" s="1"/>
  <c r="V1366" i="11"/>
  <c r="X1366" i="11" s="1"/>
  <c r="Y1366" i="11" s="1"/>
  <c r="V1431" i="11"/>
  <c r="X1431" i="11" s="1"/>
  <c r="Y1431" i="11" s="1"/>
  <c r="Z1395" i="11"/>
  <c r="AB1395" i="11" s="1"/>
  <c r="AC1395" i="11" s="1"/>
  <c r="Z1507" i="11"/>
  <c r="AB1507" i="11" s="1"/>
  <c r="AC1507" i="11" s="1"/>
  <c r="AH1502" i="11"/>
  <c r="AJ1502" i="11" s="1"/>
  <c r="AK1502" i="11" s="1"/>
  <c r="AL1395" i="11"/>
  <c r="AN1395" i="11" s="1"/>
  <c r="AO1395" i="11" s="1"/>
  <c r="Z1502" i="11"/>
  <c r="AB1502" i="11" s="1"/>
  <c r="AC1502" i="11" s="1"/>
  <c r="AH1376" i="11"/>
  <c r="AJ1376" i="11" s="1"/>
  <c r="AK1376" i="11" s="1"/>
  <c r="V1395" i="11"/>
  <c r="X1395" i="11" s="1"/>
  <c r="Y1395" i="11" s="1"/>
  <c r="AL1366" i="11"/>
  <c r="AN1366" i="11" s="1"/>
  <c r="AO1366" i="11" s="1"/>
  <c r="AD1438" i="11"/>
  <c r="AF1438" i="11" s="1"/>
  <c r="AG1438" i="11" s="1"/>
  <c r="AD1395" i="11"/>
  <c r="AF1395" i="11" s="1"/>
  <c r="AG1395" i="11" s="1"/>
  <c r="AP1400" i="11"/>
  <c r="AR1400" i="11" s="1"/>
  <c r="AS1400" i="11" s="1"/>
  <c r="AL1376" i="11"/>
  <c r="AN1376" i="11" s="1"/>
  <c r="AO1376" i="11" s="1"/>
  <c r="AH1366" i="11"/>
  <c r="AJ1366" i="11" s="1"/>
  <c r="AK1366" i="11" s="1"/>
  <c r="AP1364" i="11"/>
  <c r="AR1364" i="11" s="1"/>
  <c r="AS1364" i="11" s="1"/>
  <c r="AD1431" i="11"/>
  <c r="AF1431" i="11" s="1"/>
  <c r="AG1431" i="11" s="1"/>
  <c r="AD1327" i="11"/>
  <c r="AF1327" i="11" s="1"/>
  <c r="AG1327" i="11" s="1"/>
  <c r="AH1431" i="11"/>
  <c r="AJ1431" i="11" s="1"/>
  <c r="AK1431" i="11" s="1"/>
  <c r="AL1400" i="11"/>
  <c r="AN1400" i="11" s="1"/>
  <c r="AO1400" i="11" s="1"/>
  <c r="AP1507" i="11"/>
  <c r="AR1507" i="11" s="1"/>
  <c r="AS1507" i="11" s="1"/>
  <c r="AD1400" i="11"/>
  <c r="AF1400" i="11" s="1"/>
  <c r="AG1400" i="11" s="1"/>
  <c r="AP1455" i="11"/>
  <c r="AR1455" i="11" s="1"/>
  <c r="AS1455" i="11" s="1"/>
  <c r="AD1376" i="11"/>
  <c r="AF1376" i="11" s="1"/>
  <c r="AG1376" i="11" s="1"/>
  <c r="AH1364" i="11"/>
  <c r="AJ1364" i="11" s="1"/>
  <c r="AK1364" i="11" s="1"/>
  <c r="AD1366" i="11"/>
  <c r="AF1366" i="11" s="1"/>
  <c r="AG1366" i="11" s="1"/>
  <c r="V1376" i="11"/>
  <c r="X1376" i="11" s="1"/>
  <c r="Y1376" i="11" s="1"/>
  <c r="Z1455" i="11"/>
  <c r="AB1455" i="11" s="1"/>
  <c r="AC1455" i="11" s="1"/>
  <c r="AP1344" i="11"/>
  <c r="AR1344" i="11" s="1"/>
  <c r="AS1344" i="11" s="1"/>
  <c r="AD1364" i="11"/>
  <c r="AF1364" i="11" s="1"/>
  <c r="AG1364" i="11" s="1"/>
  <c r="AP1376" i="11"/>
  <c r="AR1376" i="11" s="1"/>
  <c r="AS1376" i="11" s="1"/>
  <c r="AH1455" i="11"/>
  <c r="AJ1455" i="11" s="1"/>
  <c r="AK1455" i="11" s="1"/>
  <c r="AH1344" i="11"/>
  <c r="AJ1344" i="11" s="1"/>
  <c r="AK1344" i="11" s="1"/>
  <c r="AP1449" i="11"/>
  <c r="AR1449" i="11" s="1"/>
  <c r="AS1449" i="11" s="1"/>
  <c r="V1364" i="11"/>
  <c r="X1364" i="11" s="1"/>
  <c r="Y1364" i="11" s="1"/>
  <c r="AL1418" i="11"/>
  <c r="AN1418" i="11" s="1"/>
  <c r="AO1418" i="11" s="1"/>
  <c r="V1507" i="11"/>
  <c r="X1507" i="11" s="1"/>
  <c r="Y1507" i="11" s="1"/>
  <c r="AH1418" i="11"/>
  <c r="AJ1418" i="11" s="1"/>
  <c r="AK1418" i="11" s="1"/>
  <c r="AH1395" i="11"/>
  <c r="AJ1395" i="11" s="1"/>
  <c r="AK1395" i="11" s="1"/>
  <c r="V1418" i="11"/>
  <c r="X1418" i="11" s="1"/>
  <c r="Y1418" i="11" s="1"/>
  <c r="AD1486" i="11"/>
  <c r="AF1486" i="11" s="1"/>
  <c r="AG1486" i="11" s="1"/>
  <c r="Z1364" i="11"/>
  <c r="AB1364" i="11" s="1"/>
  <c r="AC1364" i="11" s="1"/>
  <c r="V1400" i="11"/>
  <c r="X1400" i="11" s="1"/>
  <c r="Y1400" i="11" s="1"/>
  <c r="AL1507" i="11"/>
  <c r="AN1507" i="11" s="1"/>
  <c r="AO1507" i="11" s="1"/>
  <c r="AH1327" i="11"/>
  <c r="AJ1327" i="11" s="1"/>
  <c r="AK1327" i="11" s="1"/>
  <c r="Z1449" i="11"/>
  <c r="AB1449" i="11" s="1"/>
  <c r="AC1449" i="11" s="1"/>
  <c r="AP1431" i="11"/>
  <c r="AR1431" i="11" s="1"/>
  <c r="AS1431" i="11" s="1"/>
  <c r="AD1344" i="11"/>
  <c r="AF1344" i="11" s="1"/>
  <c r="AG1344" i="11" s="1"/>
  <c r="Z1344" i="11"/>
  <c r="AB1344" i="11" s="1"/>
  <c r="AC1344" i="11" s="1"/>
  <c r="AP1438" i="11"/>
  <c r="AR1438" i="11" s="1"/>
  <c r="AS1438" i="11" s="1"/>
  <c r="Z1418" i="11"/>
  <c r="AB1418" i="11" s="1"/>
  <c r="AC1418" i="11" s="1"/>
  <c r="AD1507" i="11"/>
  <c r="AF1507" i="11" s="1"/>
  <c r="AG1507" i="11" s="1"/>
  <c r="AL1364" i="11"/>
  <c r="AN1364" i="11" s="1"/>
  <c r="AO1364" i="11" s="1"/>
  <c r="Z1431" i="11"/>
  <c r="AB1431" i="11" s="1"/>
  <c r="AC1431" i="11" s="1"/>
  <c r="AH1507" i="11"/>
  <c r="AJ1507" i="11" s="1"/>
  <c r="AK1507" i="11" s="1"/>
  <c r="Z1400" i="11"/>
  <c r="AB1400" i="11" s="1"/>
  <c r="AC1400" i="11" s="1"/>
  <c r="AL1455" i="11"/>
  <c r="AN1455" i="11" s="1"/>
  <c r="AO1455" i="11" s="1"/>
  <c r="AH1449" i="11"/>
  <c r="AJ1449" i="11" s="1"/>
  <c r="AK1449" i="11" s="1"/>
  <c r="AH1295" i="11"/>
  <c r="AJ1295" i="11" s="1"/>
  <c r="AK1295" i="11" s="1"/>
  <c r="AP1295" i="11"/>
  <c r="AR1295" i="11" s="1"/>
  <c r="AS1295" i="11" s="1"/>
  <c r="V1286" i="11" a="1"/>
  <c r="V1286" i="11" s="1"/>
  <c r="X1286" i="11" s="1"/>
  <c r="Y1286" i="11" s="1"/>
  <c r="AL1326" i="11"/>
  <c r="AN1326" i="11" s="1"/>
  <c r="AO1326" i="11" s="1"/>
  <c r="AD1329" i="11"/>
  <c r="AF1329" i="11" s="1"/>
  <c r="AG1329" i="11" s="1"/>
  <c r="Z1326" i="11"/>
  <c r="AB1326" i="11" s="1"/>
  <c r="AC1326" i="11" s="1"/>
  <c r="AD1326" i="11"/>
  <c r="AF1326" i="11" s="1"/>
  <c r="AG1326" i="11" s="1"/>
  <c r="V1329" i="11"/>
  <c r="X1329" i="11" s="1"/>
  <c r="Y1329" i="11" s="1"/>
  <c r="Z1329" i="11"/>
  <c r="AB1329" i="11" s="1"/>
  <c r="AC1329" i="11" s="1"/>
  <c r="V1370" i="11"/>
  <c r="X1370" i="11" s="1"/>
  <c r="Y1370" i="11" s="1"/>
  <c r="AD1481" i="11"/>
  <c r="AF1481" i="11" s="1"/>
  <c r="AG1481" i="11" s="1"/>
  <c r="Z1541" i="11"/>
  <c r="AB1541" i="11" s="1"/>
  <c r="AC1541" i="11" s="1"/>
  <c r="AL1527" i="11"/>
  <c r="AN1527" i="11" s="1"/>
  <c r="AO1527" i="11" s="1"/>
  <c r="Z1513" i="11"/>
  <c r="AB1513" i="11" s="1"/>
  <c r="AC1513" i="11" s="1"/>
  <c r="AP1541" i="11"/>
  <c r="AR1541" i="11" s="1"/>
  <c r="AS1541" i="11" s="1"/>
  <c r="AP1496" i="11"/>
  <c r="AR1496" i="11" s="1"/>
  <c r="AS1496" i="11" s="1"/>
  <c r="Z1496" i="11"/>
  <c r="AB1496" i="11" s="1"/>
  <c r="AC1496" i="11" s="1"/>
  <c r="AL1392" i="11"/>
  <c r="AN1392" i="11" s="1"/>
  <c r="AO1392" i="11" s="1"/>
  <c r="AH1423" i="11"/>
  <c r="AJ1423" i="11" s="1"/>
  <c r="AK1423" i="11" s="1"/>
  <c r="AL1469" i="11"/>
  <c r="AN1469" i="11" s="1"/>
  <c r="AO1469" i="11" s="1"/>
  <c r="AP1513" i="11"/>
  <c r="AR1513" i="11" s="1"/>
  <c r="AS1513" i="11" s="1"/>
  <c r="V1481" i="11"/>
  <c r="X1481" i="11" s="1"/>
  <c r="Y1481" i="11" s="1"/>
  <c r="Z1445" i="11"/>
  <c r="AB1445" i="11" s="1"/>
  <c r="AC1445" i="11" s="1"/>
  <c r="AP1414" i="11"/>
  <c r="AR1414" i="11" s="1"/>
  <c r="AS1414" i="11" s="1"/>
  <c r="V1401" i="11"/>
  <c r="X1401" i="11" s="1"/>
  <c r="Y1401" i="11" s="1"/>
  <c r="AD1401" i="11"/>
  <c r="AF1401" i="11" s="1"/>
  <c r="AG1401" i="11" s="1"/>
  <c r="AP1469" i="11"/>
  <c r="AR1469" i="11" s="1"/>
  <c r="AS1469" i="11" s="1"/>
  <c r="V1546" i="11"/>
  <c r="X1546" i="11" s="1"/>
  <c r="Y1546" i="11" s="1"/>
  <c r="AP1546" i="11"/>
  <c r="AR1546" i="11" s="1"/>
  <c r="AS1546" i="11" s="1"/>
  <c r="Z1469" i="11"/>
  <c r="AB1469" i="11" s="1"/>
  <c r="AC1469" i="11" s="1"/>
  <c r="V1496" i="11"/>
  <c r="X1496" i="11" s="1"/>
  <c r="Y1496" i="11" s="1"/>
  <c r="AP1481" i="11"/>
  <c r="AR1481" i="11" s="1"/>
  <c r="AS1481" i="11" s="1"/>
  <c r="AP1370" i="11"/>
  <c r="AR1370" i="11" s="1"/>
  <c r="AS1370" i="11" s="1"/>
  <c r="V1423" i="11"/>
  <c r="X1423" i="11" s="1"/>
  <c r="Y1423" i="11" s="1"/>
  <c r="AD1469" i="11"/>
  <c r="AF1469" i="11" s="1"/>
  <c r="AG1469" i="11" s="1"/>
  <c r="V1439" i="11"/>
  <c r="X1439" i="11" s="1"/>
  <c r="Y1439" i="11" s="1"/>
  <c r="AL1365" i="11"/>
  <c r="AN1365" i="11" s="1"/>
  <c r="AO1365" i="11" s="1"/>
  <c r="AD1513" i="11"/>
  <c r="AF1513" i="11" s="1"/>
  <c r="AG1513" i="11" s="1"/>
  <c r="AL1496" i="11"/>
  <c r="AN1496" i="11" s="1"/>
  <c r="AO1496" i="11" s="1"/>
  <c r="Z1481" i="11"/>
  <c r="AB1481" i="11" s="1"/>
  <c r="AC1481" i="11" s="1"/>
  <c r="AL1414" i="11"/>
  <c r="AN1414" i="11" s="1"/>
  <c r="AO1414" i="11" s="1"/>
  <c r="AL1546" i="11"/>
  <c r="AN1546" i="11" s="1"/>
  <c r="AO1546" i="11" s="1"/>
  <c r="AL1513" i="11"/>
  <c r="AN1513" i="11" s="1"/>
  <c r="AO1513" i="11" s="1"/>
  <c r="AH1527" i="11"/>
  <c r="AJ1527" i="11" s="1"/>
  <c r="AK1527" i="11" s="1"/>
  <c r="AH1546" i="11"/>
  <c r="AJ1546" i="11" s="1"/>
  <c r="AK1546" i="11" s="1"/>
  <c r="Z1546" i="11"/>
  <c r="AB1546" i="11" s="1"/>
  <c r="AC1546" i="11" s="1"/>
  <c r="V1392" i="11"/>
  <c r="X1392" i="11" s="1"/>
  <c r="Y1392" i="11" s="1"/>
  <c r="AL1481" i="11"/>
  <c r="AN1481" i="11" s="1"/>
  <c r="AO1481" i="11" s="1"/>
  <c r="Z1414" i="11"/>
  <c r="AB1414" i="11" s="1"/>
  <c r="AC1414" i="11" s="1"/>
  <c r="Z1375" i="11"/>
  <c r="AB1375" i="11" s="1"/>
  <c r="AC1375" i="11" s="1"/>
  <c r="V1445" i="11"/>
  <c r="X1445" i="11" s="1"/>
  <c r="Y1445" i="11" s="1"/>
  <c r="AP1527" i="11"/>
  <c r="AR1527" i="11" s="1"/>
  <c r="AS1527" i="11" s="1"/>
  <c r="AH1496" i="11"/>
  <c r="AJ1496" i="11" s="1"/>
  <c r="AK1496" i="11" s="1"/>
  <c r="AD1423" i="11"/>
  <c r="AF1423" i="11" s="1"/>
  <c r="AG1423" i="11" s="1"/>
  <c r="AL1401" i="11"/>
  <c r="AN1401" i="11" s="1"/>
  <c r="AO1401" i="11" s="1"/>
  <c r="V1513" i="11"/>
  <c r="X1513" i="11" s="1"/>
  <c r="Y1513" i="11" s="1"/>
  <c r="AD1439" i="11"/>
  <c r="AF1439" i="11" s="1"/>
  <c r="AG1439" i="11" s="1"/>
  <c r="AL1541" i="11"/>
  <c r="AN1541" i="11" s="1"/>
  <c r="AO1541" i="11" s="1"/>
  <c r="AD1546" i="11"/>
  <c r="AF1546" i="11" s="1"/>
  <c r="AG1546" i="11" s="1"/>
  <c r="V1527" i="11"/>
  <c r="X1527" i="11" s="1"/>
  <c r="Y1527" i="11" s="1"/>
  <c r="Z1527" i="11"/>
  <c r="AB1527" i="11" s="1"/>
  <c r="AC1527" i="11" s="1"/>
  <c r="AD1392" i="11"/>
  <c r="AF1392" i="11" s="1"/>
  <c r="AG1392" i="11" s="1"/>
  <c r="AH1401" i="11"/>
  <c r="AJ1401" i="11" s="1"/>
  <c r="AK1401" i="11" s="1"/>
  <c r="AD1365" i="11"/>
  <c r="AF1365" i="11" s="1"/>
  <c r="AG1365" i="11" s="1"/>
  <c r="Z1392" i="11"/>
  <c r="AB1392" i="11" s="1"/>
  <c r="AC1392" i="11" s="1"/>
  <c r="V1326" i="11"/>
  <c r="X1326" i="11" s="1"/>
  <c r="Y1326" i="11" s="1"/>
  <c r="Z1439" i="11"/>
  <c r="AB1439" i="11" s="1"/>
  <c r="AC1439" i="11" s="1"/>
  <c r="AD1541" i="11"/>
  <c r="AF1541" i="11" s="1"/>
  <c r="AG1541" i="11" s="1"/>
  <c r="AH1513" i="11"/>
  <c r="AJ1513" i="11" s="1"/>
  <c r="AK1513" i="11" s="1"/>
  <c r="AP1477" i="11"/>
  <c r="AR1477" i="11" s="1"/>
  <c r="AS1477" i="11" s="1"/>
  <c r="AP1392" i="11"/>
  <c r="AR1392" i="11" s="1"/>
  <c r="AS1392" i="11" s="1"/>
  <c r="AH1481" i="11"/>
  <c r="AJ1481" i="11" s="1"/>
  <c r="AK1481" i="11" s="1"/>
  <c r="Z1365" i="11"/>
  <c r="AB1365" i="11" s="1"/>
  <c r="AC1365" i="11" s="1"/>
  <c r="V1375" i="11"/>
  <c r="X1375" i="11" s="1"/>
  <c r="Y1375" i="11" s="1"/>
  <c r="AP1375" i="11"/>
  <c r="AR1375" i="11" s="1"/>
  <c r="AS1375" i="11" s="1"/>
  <c r="AP1401" i="11"/>
  <c r="AR1401" i="11" s="1"/>
  <c r="AS1401" i="11" s="1"/>
  <c r="AP1439" i="11"/>
  <c r="AR1439" i="11" s="1"/>
  <c r="AS1439" i="11" s="1"/>
  <c r="V1541" i="11"/>
  <c r="X1541" i="11" s="1"/>
  <c r="Y1541" i="11" s="1"/>
  <c r="AH1365" i="11"/>
  <c r="AJ1365" i="11" s="1"/>
  <c r="AK1365" i="11" s="1"/>
  <c r="AD1370" i="11"/>
  <c r="AF1370" i="11" s="1"/>
  <c r="AG1370" i="11" s="1"/>
  <c r="AH1439" i="11"/>
  <c r="AJ1439" i="11" s="1"/>
  <c r="AK1439" i="11" s="1"/>
  <c r="Z1477" i="11"/>
  <c r="AB1477" i="11" s="1"/>
  <c r="AC1477" i="11" s="1"/>
  <c r="AP1365" i="11"/>
  <c r="AR1365" i="11" s="1"/>
  <c r="AS1365" i="11" s="1"/>
  <c r="AL1439" i="11"/>
  <c r="AN1439" i="11" s="1"/>
  <c r="AO1439" i="11" s="1"/>
  <c r="AD1527" i="11"/>
  <c r="AF1527" i="11" s="1"/>
  <c r="AG1527" i="11" s="1"/>
  <c r="AH1375" i="11"/>
  <c r="AJ1375" i="11" s="1"/>
  <c r="AK1375" i="11" s="1"/>
  <c r="AH1392" i="11"/>
  <c r="AJ1392" i="11" s="1"/>
  <c r="AK1392" i="11" s="1"/>
  <c r="AL1445" i="11"/>
  <c r="AN1445" i="11" s="1"/>
  <c r="AO1445" i="11" s="1"/>
  <c r="AD1375" i="11"/>
  <c r="AF1375" i="11" s="1"/>
  <c r="AG1375" i="11" s="1"/>
  <c r="AD1445" i="11"/>
  <c r="AF1445" i="11" s="1"/>
  <c r="AG1445" i="11" s="1"/>
  <c r="AH1541" i="11"/>
  <c r="AJ1541" i="11" s="1"/>
  <c r="AK1541" i="11" s="1"/>
  <c r="AP1329" i="11"/>
  <c r="AR1329" i="11" s="1"/>
  <c r="AS1329" i="11" s="1"/>
  <c r="AH1326" i="11"/>
  <c r="AJ1326" i="11" s="1"/>
  <c r="AK1326" i="11" s="1"/>
  <c r="AL1370" i="11"/>
  <c r="AN1370" i="11" s="1"/>
  <c r="AO1370" i="11" s="1"/>
  <c r="AH1445" i="11"/>
  <c r="AJ1445" i="11" s="1"/>
  <c r="AK1445" i="11" s="1"/>
  <c r="AH1329" i="11"/>
  <c r="AJ1329" i="11" s="1"/>
  <c r="AK1329" i="11" s="1"/>
  <c r="AH1370" i="11"/>
  <c r="AJ1370" i="11" s="1"/>
  <c r="AK1370" i="11" s="1"/>
  <c r="AP1445" i="11"/>
  <c r="AR1445" i="11" s="1"/>
  <c r="AS1445" i="11" s="1"/>
  <c r="AD1477" i="11"/>
  <c r="AF1477" i="11" s="1"/>
  <c r="AG1477" i="11" s="1"/>
  <c r="AL1375" i="11"/>
  <c r="AN1375" i="11" s="1"/>
  <c r="AO1375" i="11" s="1"/>
  <c r="AH1414" i="11"/>
  <c r="AJ1414" i="11" s="1"/>
  <c r="AK1414" i="11" s="1"/>
  <c r="AH1469" i="11"/>
  <c r="AJ1469" i="11" s="1"/>
  <c r="AK1469" i="11" s="1"/>
  <c r="AL1423" i="11"/>
  <c r="AN1423" i="11" s="1"/>
  <c r="AO1423" i="11" s="1"/>
  <c r="V1469" i="11"/>
  <c r="X1469" i="11" s="1"/>
  <c r="Y1469" i="11" s="1"/>
  <c r="Z1348" i="11"/>
  <c r="AB1348" i="11" s="1"/>
  <c r="AC1348" i="11" s="1"/>
  <c r="V1348" i="11"/>
  <c r="X1348" i="11" s="1"/>
  <c r="Y1348" i="11" s="1"/>
  <c r="AD1348" i="11"/>
  <c r="AF1348" i="11" s="1"/>
  <c r="AG1348" i="11" s="1"/>
  <c r="AL1348" i="11"/>
  <c r="AN1348" i="11" s="1"/>
  <c r="AO1348" i="11" s="1"/>
  <c r="AD1496" i="11"/>
  <c r="AF1496" i="11" s="1"/>
  <c r="AG1496" i="11" s="1"/>
  <c r="Z1401" i="11"/>
  <c r="AB1401" i="11" s="1"/>
  <c r="AC1401" i="11" s="1"/>
  <c r="AD1414" i="11"/>
  <c r="AF1414" i="11" s="1"/>
  <c r="AG1414" i="11" s="1"/>
  <c r="V1365" i="11"/>
  <c r="X1365" i="11" s="1"/>
  <c r="Y1365" i="11" s="1"/>
  <c r="AP1326" i="11"/>
  <c r="AR1326" i="11" s="1"/>
  <c r="AS1326" i="11" s="1"/>
  <c r="AP1423" i="11"/>
  <c r="AR1423" i="11" s="1"/>
  <c r="AS1423" i="11" s="1"/>
  <c r="AL1477" i="11"/>
  <c r="AN1477" i="11" s="1"/>
  <c r="AO1477" i="11" s="1"/>
  <c r="AP1348" i="11"/>
  <c r="AR1348" i="11" s="1"/>
  <c r="AS1348" i="11" s="1"/>
  <c r="V1414" i="11"/>
  <c r="X1414" i="11" s="1"/>
  <c r="Y1414" i="11" s="1"/>
  <c r="AH1477" i="11"/>
  <c r="AJ1477" i="11" s="1"/>
  <c r="AK1477" i="11" s="1"/>
  <c r="Z1370" i="11"/>
  <c r="AB1370" i="11" s="1"/>
  <c r="AC1370" i="11" s="1"/>
  <c r="Z1423" i="11"/>
  <c r="AB1423" i="11" s="1"/>
  <c r="AC1423" i="11" s="1"/>
  <c r="V1477" i="11"/>
  <c r="X1477" i="11" s="1"/>
  <c r="Y1477" i="11" s="1"/>
  <c r="AL1329" i="11"/>
  <c r="AN1329" i="11" s="1"/>
  <c r="AO1329" i="11" s="1"/>
  <c r="AH1348" i="11"/>
  <c r="AJ1348" i="11" s="1"/>
  <c r="AK1348" i="11" s="1"/>
  <c r="AD1266" i="11" a="1"/>
  <c r="AD1266" i="11" s="1"/>
  <c r="AF1266" i="11" s="1"/>
  <c r="AG1266" i="11" s="1"/>
  <c r="AH1325" i="11"/>
  <c r="AJ1325" i="11" s="1"/>
  <c r="AK1325" i="11" s="1"/>
  <c r="AD1331" i="11"/>
  <c r="AF1331" i="11" s="1"/>
  <c r="AG1331" i="11" s="1"/>
  <c r="AH1331" i="11"/>
  <c r="AJ1331" i="11" s="1"/>
  <c r="AK1331" i="11" s="1"/>
  <c r="V1345" i="11"/>
  <c r="X1345" i="11" s="1"/>
  <c r="Y1345" i="11" s="1"/>
  <c r="AL1331" i="11"/>
  <c r="AN1331" i="11" s="1"/>
  <c r="AO1331" i="11" s="1"/>
  <c r="Z1325" i="11"/>
  <c r="AB1325" i="11" s="1"/>
  <c r="AC1325" i="11" s="1"/>
  <c r="AP1345" i="11"/>
  <c r="AR1345" i="11" s="1"/>
  <c r="AS1345" i="11" s="1"/>
  <c r="Z1460" i="11"/>
  <c r="AB1460" i="11" s="1"/>
  <c r="AC1460" i="11" s="1"/>
  <c r="AL1501" i="11"/>
  <c r="AN1501" i="11" s="1"/>
  <c r="AO1501" i="11" s="1"/>
  <c r="AD1325" i="11"/>
  <c r="AF1325" i="11" s="1"/>
  <c r="AG1325" i="11" s="1"/>
  <c r="V1488" i="11"/>
  <c r="X1488" i="11" s="1"/>
  <c r="Y1488" i="11" s="1"/>
  <c r="AP1379" i="11"/>
  <c r="AR1379" i="11" s="1"/>
  <c r="AS1379" i="11" s="1"/>
  <c r="V1510" i="11"/>
  <c r="X1510" i="11" s="1"/>
  <c r="Y1510" i="11" s="1"/>
  <c r="AP1510" i="11"/>
  <c r="AR1510" i="11" s="1"/>
  <c r="AS1510" i="11" s="1"/>
  <c r="AL1528" i="11"/>
  <c r="AN1528" i="11" s="1"/>
  <c r="AO1528" i="11" s="1"/>
  <c r="AD1545" i="11"/>
  <c r="AF1545" i="11" s="1"/>
  <c r="AG1545" i="11" s="1"/>
  <c r="AP1528" i="11"/>
  <c r="AR1528" i="11" s="1"/>
  <c r="AS1528" i="11" s="1"/>
  <c r="Z1345" i="11"/>
  <c r="AB1345" i="11" s="1"/>
  <c r="AC1345" i="11" s="1"/>
  <c r="AL1398" i="11"/>
  <c r="AN1398" i="11" s="1"/>
  <c r="AO1398" i="11" s="1"/>
  <c r="V1419" i="11"/>
  <c r="X1419" i="11" s="1"/>
  <c r="Y1419" i="11" s="1"/>
  <c r="Z1379" i="11"/>
  <c r="AB1379" i="11" s="1"/>
  <c r="AC1379" i="11" s="1"/>
  <c r="AH1510" i="11"/>
  <c r="AJ1510" i="11" s="1"/>
  <c r="AK1510" i="11" s="1"/>
  <c r="AL1510" i="11"/>
  <c r="AN1510" i="11" s="1"/>
  <c r="AO1510" i="11" s="1"/>
  <c r="Z1510" i="11"/>
  <c r="AB1510" i="11" s="1"/>
  <c r="AC1510" i="11" s="1"/>
  <c r="Z1539" i="11"/>
  <c r="AB1539" i="11" s="1"/>
  <c r="AC1539" i="11" s="1"/>
  <c r="Z1444" i="11"/>
  <c r="AB1444" i="11" s="1"/>
  <c r="AC1444" i="11" s="1"/>
  <c r="AH1419" i="11"/>
  <c r="AJ1419" i="11" s="1"/>
  <c r="AK1419" i="11" s="1"/>
  <c r="Z1528" i="11"/>
  <c r="AB1528" i="11" s="1"/>
  <c r="AC1528" i="11" s="1"/>
  <c r="AP1488" i="11"/>
  <c r="AR1488" i="11" s="1"/>
  <c r="AS1488" i="11" s="1"/>
  <c r="AP1444" i="11"/>
  <c r="AR1444" i="11" s="1"/>
  <c r="AS1444" i="11" s="1"/>
  <c r="Z1419" i="11"/>
  <c r="AB1419" i="11" s="1"/>
  <c r="AC1419" i="11" s="1"/>
  <c r="AD1528" i="11"/>
  <c r="AF1528" i="11" s="1"/>
  <c r="AG1528" i="11" s="1"/>
  <c r="V1398" i="11"/>
  <c r="X1398" i="11" s="1"/>
  <c r="Y1398" i="11" s="1"/>
  <c r="V1379" i="11"/>
  <c r="X1379" i="11" s="1"/>
  <c r="Y1379" i="11" s="1"/>
  <c r="Z1406" i="11"/>
  <c r="AB1406" i="11" s="1"/>
  <c r="AC1406" i="11" s="1"/>
  <c r="Z1488" i="11"/>
  <c r="AB1488" i="11" s="1"/>
  <c r="AC1488" i="11" s="1"/>
  <c r="AD1510" i="11"/>
  <c r="AF1510" i="11" s="1"/>
  <c r="AG1510" i="11" s="1"/>
  <c r="AL1406" i="11"/>
  <c r="AN1406" i="11" s="1"/>
  <c r="AO1406" i="11" s="1"/>
  <c r="AP1545" i="11"/>
  <c r="AR1545" i="11" s="1"/>
  <c r="AS1545" i="11" s="1"/>
  <c r="AP1406" i="11"/>
  <c r="AR1406" i="11" s="1"/>
  <c r="AS1406" i="11" s="1"/>
  <c r="V1460" i="11"/>
  <c r="X1460" i="11" s="1"/>
  <c r="Y1460" i="11" s="1"/>
  <c r="AD1419" i="11"/>
  <c r="AF1419" i="11" s="1"/>
  <c r="AG1419" i="11" s="1"/>
  <c r="AH1488" i="11"/>
  <c r="AJ1488" i="11" s="1"/>
  <c r="AK1488" i="11" s="1"/>
  <c r="AD1444" i="11"/>
  <c r="AF1444" i="11" s="1"/>
  <c r="AG1444" i="11" s="1"/>
  <c r="AL1419" i="11"/>
  <c r="AN1419" i="11" s="1"/>
  <c r="AO1419" i="11" s="1"/>
  <c r="AL1444" i="11"/>
  <c r="AN1444" i="11" s="1"/>
  <c r="AO1444" i="11" s="1"/>
  <c r="V1539" i="11"/>
  <c r="X1539" i="11" s="1"/>
  <c r="Y1539" i="11" s="1"/>
  <c r="V1444" i="11"/>
  <c r="X1444" i="11" s="1"/>
  <c r="Y1444" i="11" s="1"/>
  <c r="AD1539" i="11"/>
  <c r="AF1539" i="11" s="1"/>
  <c r="AG1539" i="11" s="1"/>
  <c r="AD1460" i="11"/>
  <c r="AF1460" i="11" s="1"/>
  <c r="AG1460" i="11" s="1"/>
  <c r="AP1360" i="11"/>
  <c r="AR1360" i="11" s="1"/>
  <c r="AS1360" i="11" s="1"/>
  <c r="AL1360" i="11"/>
  <c r="AN1360" i="11" s="1"/>
  <c r="AO1360" i="11" s="1"/>
  <c r="AH1444" i="11"/>
  <c r="AJ1444" i="11" s="1"/>
  <c r="AK1444" i="11" s="1"/>
  <c r="AH1545" i="11"/>
  <c r="AJ1545" i="11" s="1"/>
  <c r="AK1545" i="11" s="1"/>
  <c r="AH1360" i="11"/>
  <c r="AJ1360" i="11" s="1"/>
  <c r="AK1360" i="11" s="1"/>
  <c r="AP1501" i="11"/>
  <c r="AR1501" i="11" s="1"/>
  <c r="AS1501" i="11" s="1"/>
  <c r="AD1488" i="11"/>
  <c r="AF1488" i="11" s="1"/>
  <c r="AG1488" i="11" s="1"/>
  <c r="AP1419" i="11"/>
  <c r="AR1419" i="11" s="1"/>
  <c r="AS1419" i="11" s="1"/>
  <c r="AL1379" i="11"/>
  <c r="AN1379" i="11" s="1"/>
  <c r="AO1379" i="11" s="1"/>
  <c r="Z1360" i="11"/>
  <c r="AB1360" i="11" s="1"/>
  <c r="AC1360" i="11" s="1"/>
  <c r="AD1398" i="11"/>
  <c r="AF1398" i="11" s="1"/>
  <c r="AG1398" i="11" s="1"/>
  <c r="AL1460" i="11"/>
  <c r="AN1460" i="11" s="1"/>
  <c r="AO1460" i="11" s="1"/>
  <c r="AP1539" i="11"/>
  <c r="AR1539" i="11" s="1"/>
  <c r="AS1539" i="11" s="1"/>
  <c r="AH1379" i="11"/>
  <c r="AJ1379" i="11" s="1"/>
  <c r="AK1379" i="11" s="1"/>
  <c r="Z1331" i="11"/>
  <c r="AB1331" i="11" s="1"/>
  <c r="AC1331" i="11" s="1"/>
  <c r="AP1460" i="11"/>
  <c r="AR1460" i="11" s="1"/>
  <c r="AS1460" i="11" s="1"/>
  <c r="AL1539" i="11"/>
  <c r="AN1539" i="11" s="1"/>
  <c r="AO1539" i="11" s="1"/>
  <c r="Z1501" i="11"/>
  <c r="AB1501" i="11" s="1"/>
  <c r="AC1501" i="11" s="1"/>
  <c r="AD1345" i="11"/>
  <c r="AF1345" i="11" s="1"/>
  <c r="AG1345" i="11" s="1"/>
  <c r="AH1460" i="11"/>
  <c r="AJ1460" i="11" s="1"/>
  <c r="AK1460" i="11" s="1"/>
  <c r="AT1460" i="11" s="1"/>
  <c r="AL1545" i="11"/>
  <c r="AN1545" i="11" s="1"/>
  <c r="AO1545" i="11" s="1"/>
  <c r="AH1345" i="11"/>
  <c r="AJ1345" i="11" s="1"/>
  <c r="AK1345" i="11" s="1"/>
  <c r="V1528" i="11"/>
  <c r="X1528" i="11" s="1"/>
  <c r="Y1528" i="11" s="1"/>
  <c r="AD1406" i="11"/>
  <c r="AF1406" i="11" s="1"/>
  <c r="AG1406" i="11" s="1"/>
  <c r="V1360" i="11"/>
  <c r="X1360" i="11" s="1"/>
  <c r="Y1360" i="11" s="1"/>
  <c r="AH1528" i="11"/>
  <c r="AJ1528" i="11" s="1"/>
  <c r="AK1528" i="11" s="1"/>
  <c r="V1325" i="11"/>
  <c r="X1325" i="11" s="1"/>
  <c r="Y1325" i="11" s="1"/>
  <c r="AL1488" i="11"/>
  <c r="AN1488" i="11" s="1"/>
  <c r="AO1488" i="11" s="1"/>
  <c r="AH1539" i="11"/>
  <c r="AJ1539" i="11" s="1"/>
  <c r="AK1539" i="11" s="1"/>
  <c r="AP1331" i="11"/>
  <c r="AR1331" i="11" s="1"/>
  <c r="AS1331" i="11" s="1"/>
  <c r="AD1379" i="11"/>
  <c r="AF1379" i="11" s="1"/>
  <c r="AG1379" i="11" s="1"/>
  <c r="AL1345" i="11"/>
  <c r="AN1345" i="11" s="1"/>
  <c r="AO1345" i="11" s="1"/>
  <c r="AH1501" i="11"/>
  <c r="AJ1501" i="11" s="1"/>
  <c r="AK1501" i="11" s="1"/>
  <c r="AH1406" i="11"/>
  <c r="AJ1406" i="11" s="1"/>
  <c r="AK1406" i="11" s="1"/>
  <c r="AL1325" i="11"/>
  <c r="AN1325" i="11" s="1"/>
  <c r="AO1325" i="11" s="1"/>
  <c r="V1406" i="11"/>
  <c r="X1406" i="11" s="1"/>
  <c r="Y1406" i="11" s="1"/>
  <c r="AD1360" i="11"/>
  <c r="AF1360" i="11" s="1"/>
  <c r="AG1360" i="11" s="1"/>
  <c r="AP1398" i="11"/>
  <c r="AR1398" i="11" s="1"/>
  <c r="AS1398" i="11" s="1"/>
  <c r="Z1545" i="11"/>
  <c r="AB1545" i="11" s="1"/>
  <c r="AC1545" i="11" s="1"/>
  <c r="AP1325" i="11"/>
  <c r="AR1325" i="11" s="1"/>
  <c r="AS1325" i="11" s="1"/>
  <c r="AH1398" i="11"/>
  <c r="AJ1398" i="11" s="1"/>
  <c r="AK1398" i="11" s="1"/>
  <c r="V1501" i="11"/>
  <c r="X1501" i="11" s="1"/>
  <c r="Y1501" i="11" s="1"/>
  <c r="V1545" i="11"/>
  <c r="X1545" i="11" s="1"/>
  <c r="Y1545" i="11" s="1"/>
  <c r="Z1398" i="11"/>
  <c r="AB1398" i="11" s="1"/>
  <c r="AC1398" i="11" s="1"/>
  <c r="AD1501" i="11"/>
  <c r="AF1501" i="11" s="1"/>
  <c r="AG1501" i="11" s="1"/>
  <c r="V1331" i="11"/>
  <c r="X1331" i="11" s="1"/>
  <c r="Y1331" i="11" s="1"/>
  <c r="AL1334" i="11"/>
  <c r="AN1334" i="11" s="1"/>
  <c r="AO1334" i="11" s="1"/>
  <c r="AH1316" i="11"/>
  <c r="AJ1316" i="11" s="1"/>
  <c r="AK1316" i="11" s="1"/>
  <c r="AH1334" i="11"/>
  <c r="AJ1334" i="11" s="1"/>
  <c r="AK1334" i="11" s="1"/>
  <c r="AD1334" i="11"/>
  <c r="AF1334" i="11" s="1"/>
  <c r="AG1334" i="11" s="1"/>
  <c r="AH1352" i="11"/>
  <c r="AJ1352" i="11" s="1"/>
  <c r="AK1352" i="11" s="1"/>
  <c r="V1316" i="11"/>
  <c r="X1316" i="11" s="1"/>
  <c r="Y1316" i="11" s="1"/>
  <c r="AP1316" i="11"/>
  <c r="AR1316" i="11" s="1"/>
  <c r="AS1316" i="11" s="1"/>
  <c r="Z1316" i="11"/>
  <c r="AB1316" i="11" s="1"/>
  <c r="AC1316" i="11" s="1"/>
  <c r="V1352" i="11"/>
  <c r="X1352" i="11" s="1"/>
  <c r="Y1352" i="11" s="1"/>
  <c r="AP1369" i="11"/>
  <c r="AR1369" i="11" s="1"/>
  <c r="AS1369" i="11" s="1"/>
  <c r="Z1334" i="11"/>
  <c r="AB1334" i="11" s="1"/>
  <c r="AC1334" i="11" s="1"/>
  <c r="Z1352" i="11"/>
  <c r="AB1352" i="11" s="1"/>
  <c r="AC1352" i="11" s="1"/>
  <c r="AD1352" i="11"/>
  <c r="AF1352" i="11" s="1"/>
  <c r="AG1352" i="11" s="1"/>
  <c r="AL1520" i="11"/>
  <c r="AN1520" i="11" s="1"/>
  <c r="AO1520" i="11" s="1"/>
  <c r="AH1483" i="11"/>
  <c r="AJ1483" i="11" s="1"/>
  <c r="AK1483" i="11" s="1"/>
  <c r="Z1543" i="11"/>
  <c r="AB1543" i="11" s="1"/>
  <c r="AC1543" i="11" s="1"/>
  <c r="AD1526" i="11"/>
  <c r="AF1526" i="11" s="1"/>
  <c r="AG1526" i="11" s="1"/>
  <c r="AD1517" i="11"/>
  <c r="AF1517" i="11" s="1"/>
  <c r="AG1517" i="11" s="1"/>
  <c r="AL1517" i="11"/>
  <c r="AN1517" i="11" s="1"/>
  <c r="AO1517" i="11" s="1"/>
  <c r="AD1404" i="11"/>
  <c r="AF1404" i="11" s="1"/>
  <c r="AG1404" i="11" s="1"/>
  <c r="AP1517" i="11"/>
  <c r="AR1517" i="11" s="1"/>
  <c r="AS1517" i="11" s="1"/>
  <c r="V1506" i="11"/>
  <c r="X1506" i="11" s="1"/>
  <c r="Y1506" i="11" s="1"/>
  <c r="AH1372" i="11"/>
  <c r="AJ1372" i="11" s="1"/>
  <c r="AK1372" i="11" s="1"/>
  <c r="Z1520" i="11"/>
  <c r="AB1520" i="11" s="1"/>
  <c r="AC1520" i="11" s="1"/>
  <c r="AD1435" i="11"/>
  <c r="AF1435" i="11" s="1"/>
  <c r="AG1435" i="11" s="1"/>
  <c r="AP1424" i="11"/>
  <c r="AR1424" i="11" s="1"/>
  <c r="AS1424" i="11" s="1"/>
  <c r="AP1372" i="11"/>
  <c r="AR1372" i="11" s="1"/>
  <c r="AS1372" i="11" s="1"/>
  <c r="AD1372" i="11"/>
  <c r="AF1372" i="11" s="1"/>
  <c r="AG1372" i="11" s="1"/>
  <c r="AP1420" i="11"/>
  <c r="AR1420" i="11" s="1"/>
  <c r="AS1420" i="11" s="1"/>
  <c r="AH1526" i="11"/>
  <c r="AJ1526" i="11" s="1"/>
  <c r="AK1526" i="11" s="1"/>
  <c r="AL1474" i="11"/>
  <c r="AN1474" i="11" s="1"/>
  <c r="AO1474" i="11" s="1"/>
  <c r="AP1474" i="11"/>
  <c r="AR1474" i="11" s="1"/>
  <c r="AS1474" i="11" s="1"/>
  <c r="AD1506" i="11"/>
  <c r="AF1506" i="11" s="1"/>
  <c r="AG1506" i="11" s="1"/>
  <c r="AL1369" i="11"/>
  <c r="AN1369" i="11" s="1"/>
  <c r="AO1369" i="11" s="1"/>
  <c r="V1424" i="11"/>
  <c r="X1424" i="11" s="1"/>
  <c r="Y1424" i="11" s="1"/>
  <c r="AL1393" i="11"/>
  <c r="AN1393" i="11" s="1"/>
  <c r="AO1393" i="11" s="1"/>
  <c r="Z1372" i="11"/>
  <c r="AB1372" i="11" s="1"/>
  <c r="AC1372" i="11" s="1"/>
  <c r="AH1548" i="11"/>
  <c r="AJ1548" i="11" s="1"/>
  <c r="AK1548" i="11" s="1"/>
  <c r="AD1457" i="11"/>
  <c r="AF1457" i="11" s="1"/>
  <c r="AG1457" i="11" s="1"/>
  <c r="V1543" i="11"/>
  <c r="X1543" i="11" s="1"/>
  <c r="Y1543" i="11" s="1"/>
  <c r="AH1420" i="11"/>
  <c r="AJ1420" i="11" s="1"/>
  <c r="AK1420" i="11" s="1"/>
  <c r="AL1372" i="11"/>
  <c r="AN1372" i="11" s="1"/>
  <c r="AO1372" i="11" s="1"/>
  <c r="V1474" i="11"/>
  <c r="X1474" i="11" s="1"/>
  <c r="Y1474" i="11" s="1"/>
  <c r="AH1369" i="11"/>
  <c r="AJ1369" i="11" s="1"/>
  <c r="AK1369" i="11" s="1"/>
  <c r="AP1520" i="11"/>
  <c r="AR1520" i="11" s="1"/>
  <c r="AS1520" i="11" s="1"/>
  <c r="AL1506" i="11"/>
  <c r="AN1506" i="11" s="1"/>
  <c r="AO1506" i="11" s="1"/>
  <c r="AH1543" i="11"/>
  <c r="AJ1543" i="11" s="1"/>
  <c r="AK1543" i="11" s="1"/>
  <c r="AL1424" i="11"/>
  <c r="AN1424" i="11" s="1"/>
  <c r="AO1424" i="11" s="1"/>
  <c r="AD1543" i="11"/>
  <c r="AF1543" i="11" s="1"/>
  <c r="AG1543" i="11" s="1"/>
  <c r="V1520" i="11"/>
  <c r="X1520" i="11" s="1"/>
  <c r="Y1520" i="11" s="1"/>
  <c r="AP1506" i="11"/>
  <c r="AR1506" i="11" s="1"/>
  <c r="AS1506" i="11" s="1"/>
  <c r="AP1483" i="11"/>
  <c r="AR1483" i="11" s="1"/>
  <c r="AS1483" i="11" s="1"/>
  <c r="AP1442" i="11"/>
  <c r="AR1442" i="11" s="1"/>
  <c r="AS1442" i="11" s="1"/>
  <c r="Z1424" i="11"/>
  <c r="AB1424" i="11" s="1"/>
  <c r="AC1424" i="11" s="1"/>
  <c r="AH1506" i="11"/>
  <c r="AJ1506" i="11" s="1"/>
  <c r="AK1506" i="11" s="1"/>
  <c r="Z1404" i="11"/>
  <c r="AB1404" i="11" s="1"/>
  <c r="AC1404" i="11" s="1"/>
  <c r="Z1506" i="11"/>
  <c r="AB1506" i="11" s="1"/>
  <c r="AC1506" i="11" s="1"/>
  <c r="AD1393" i="11"/>
  <c r="AF1393" i="11" s="1"/>
  <c r="AG1393" i="11" s="1"/>
  <c r="V1358" i="11"/>
  <c r="X1358" i="11" s="1"/>
  <c r="Y1358" i="11" s="1"/>
  <c r="V1369" i="11"/>
  <c r="X1369" i="11" s="1"/>
  <c r="Y1369" i="11" s="1"/>
  <c r="AH1393" i="11"/>
  <c r="AJ1393" i="11" s="1"/>
  <c r="AK1393" i="11" s="1"/>
  <c r="AL1420" i="11"/>
  <c r="AN1420" i="11" s="1"/>
  <c r="AO1420" i="11" s="1"/>
  <c r="V1483" i="11"/>
  <c r="X1483" i="11" s="1"/>
  <c r="Y1483" i="11" s="1"/>
  <c r="Z1526" i="11"/>
  <c r="AB1526" i="11" s="1"/>
  <c r="AC1526" i="11" s="1"/>
  <c r="V1383" i="11"/>
  <c r="X1383" i="11" s="1"/>
  <c r="Y1383" i="11" s="1"/>
  <c r="AH1424" i="11"/>
  <c r="AJ1424" i="11" s="1"/>
  <c r="AK1424" i="11" s="1"/>
  <c r="AD1483" i="11"/>
  <c r="AF1483" i="11" s="1"/>
  <c r="AG1483" i="11" s="1"/>
  <c r="Z1548" i="11"/>
  <c r="AB1548" i="11" s="1"/>
  <c r="AC1548" i="11" s="1"/>
  <c r="AP1352" i="11"/>
  <c r="AR1352" i="11" s="1"/>
  <c r="AS1352" i="11" s="1"/>
  <c r="AP1383" i="11"/>
  <c r="AR1383" i="11" s="1"/>
  <c r="AS1383" i="11" s="1"/>
  <c r="AH1435" i="11"/>
  <c r="AJ1435" i="11" s="1"/>
  <c r="AK1435" i="11" s="1"/>
  <c r="Z1498" i="11"/>
  <c r="AB1498" i="11" s="1"/>
  <c r="AC1498" i="11" s="1"/>
  <c r="AD1548" i="11"/>
  <c r="AF1548" i="11" s="1"/>
  <c r="AG1548" i="11" s="1"/>
  <c r="V1404" i="11"/>
  <c r="X1404" i="11" s="1"/>
  <c r="Y1404" i="11" s="1"/>
  <c r="Z1474" i="11"/>
  <c r="AB1474" i="11" s="1"/>
  <c r="AC1474" i="11" s="1"/>
  <c r="AH1517" i="11"/>
  <c r="AJ1517" i="11" s="1"/>
  <c r="AK1517" i="11" s="1"/>
  <c r="V1334" i="11"/>
  <c r="X1334" i="11" s="1"/>
  <c r="Y1334" i="11" s="1"/>
  <c r="AL1442" i="11"/>
  <c r="AN1442" i="11" s="1"/>
  <c r="AO1442" i="11" s="1"/>
  <c r="AD1424" i="11"/>
  <c r="AF1424" i="11" s="1"/>
  <c r="AG1424" i="11" s="1"/>
  <c r="V1420" i="11"/>
  <c r="X1420" i="11" s="1"/>
  <c r="Y1420" i="11" s="1"/>
  <c r="AD1358" i="11"/>
  <c r="AF1358" i="11" s="1"/>
  <c r="AG1358" i="11" s="1"/>
  <c r="V1457" i="11"/>
  <c r="X1457" i="11" s="1"/>
  <c r="Y1457" i="11" s="1"/>
  <c r="AP1498" i="11"/>
  <c r="AR1498" i="11" s="1"/>
  <c r="AS1498" i="11" s="1"/>
  <c r="AP1526" i="11"/>
  <c r="AR1526" i="11" s="1"/>
  <c r="AS1526" i="11" s="1"/>
  <c r="AH1383" i="11"/>
  <c r="AJ1383" i="11" s="1"/>
  <c r="AK1383" i="11" s="1"/>
  <c r="V1435" i="11"/>
  <c r="X1435" i="11" s="1"/>
  <c r="Y1435" i="11" s="1"/>
  <c r="AL1483" i="11"/>
  <c r="AN1483" i="11" s="1"/>
  <c r="AO1483" i="11" s="1"/>
  <c r="AP1543" i="11"/>
  <c r="AR1543" i="11" s="1"/>
  <c r="AS1543" i="11" s="1"/>
  <c r="AP1334" i="11"/>
  <c r="AR1334" i="11" s="1"/>
  <c r="AS1334" i="11" s="1"/>
  <c r="AP1358" i="11"/>
  <c r="AR1358" i="11" s="1"/>
  <c r="AS1358" i="11" s="1"/>
  <c r="AL1435" i="11"/>
  <c r="AN1435" i="11" s="1"/>
  <c r="AO1435" i="11" s="1"/>
  <c r="V1498" i="11"/>
  <c r="X1498" i="11" s="1"/>
  <c r="Y1498" i="11" s="1"/>
  <c r="V1548" i="11"/>
  <c r="X1548" i="11" s="1"/>
  <c r="Y1548" i="11" s="1"/>
  <c r="AP1404" i="11"/>
  <c r="AR1404" i="11" s="1"/>
  <c r="AS1404" i="11" s="1"/>
  <c r="AL1383" i="11"/>
  <c r="AN1383" i="11" s="1"/>
  <c r="AO1383" i="11" s="1"/>
  <c r="AH1442" i="11"/>
  <c r="AJ1442" i="11" s="1"/>
  <c r="AK1442" i="11" s="1"/>
  <c r="AD1474" i="11"/>
  <c r="AF1474" i="11" s="1"/>
  <c r="AG1474" i="11" s="1"/>
  <c r="V1526" i="11"/>
  <c r="X1526" i="11" s="1"/>
  <c r="Y1526" i="11" s="1"/>
  <c r="AL1358" i="11"/>
  <c r="AN1358" i="11" s="1"/>
  <c r="AO1358" i="11" s="1"/>
  <c r="Z1483" i="11"/>
  <c r="AB1483" i="11" s="1"/>
  <c r="AC1483" i="11" s="1"/>
  <c r="Z1420" i="11"/>
  <c r="AB1420" i="11" s="1"/>
  <c r="AC1420" i="11" s="1"/>
  <c r="V1393" i="11"/>
  <c r="X1393" i="11" s="1"/>
  <c r="Y1393" i="11" s="1"/>
  <c r="AL1316" i="11"/>
  <c r="AN1316" i="11" s="1"/>
  <c r="AO1316" i="11" s="1"/>
  <c r="V1442" i="11"/>
  <c r="X1442" i="11" s="1"/>
  <c r="Y1442" i="11" s="1"/>
  <c r="AH1498" i="11"/>
  <c r="AJ1498" i="11" s="1"/>
  <c r="AK1498" i="11" s="1"/>
  <c r="AL1548" i="11"/>
  <c r="AN1548" i="11" s="1"/>
  <c r="AO1548" i="11" s="1"/>
  <c r="AH1358" i="11"/>
  <c r="AJ1358" i="11" s="1"/>
  <c r="AK1358" i="11" s="1"/>
  <c r="AH1404" i="11"/>
  <c r="AJ1404" i="11" s="1"/>
  <c r="AK1404" i="11" s="1"/>
  <c r="AD1442" i="11"/>
  <c r="AF1442" i="11" s="1"/>
  <c r="AG1442" i="11" s="1"/>
  <c r="AL1498" i="11"/>
  <c r="AN1498" i="11" s="1"/>
  <c r="AO1498" i="11" s="1"/>
  <c r="AL1404" i="11"/>
  <c r="AN1404" i="11" s="1"/>
  <c r="AO1404" i="11" s="1"/>
  <c r="AH1457" i="11"/>
  <c r="AJ1457" i="11" s="1"/>
  <c r="AK1457" i="11" s="1"/>
  <c r="AH1520" i="11"/>
  <c r="AJ1520" i="11" s="1"/>
  <c r="AK1520" i="11" s="1"/>
  <c r="AD1383" i="11"/>
  <c r="AF1383" i="11" s="1"/>
  <c r="AG1383" i="11" s="1"/>
  <c r="Z1457" i="11"/>
  <c r="AB1457" i="11" s="1"/>
  <c r="AC1457" i="11" s="1"/>
  <c r="AD1498" i="11"/>
  <c r="AF1498" i="11" s="1"/>
  <c r="AG1498" i="11" s="1"/>
  <c r="AL1526" i="11"/>
  <c r="AN1526" i="11" s="1"/>
  <c r="AO1526" i="11" s="1"/>
  <c r="AD1369" i="11"/>
  <c r="AF1369" i="11" s="1"/>
  <c r="AG1369" i="11" s="1"/>
  <c r="AD1420" i="11"/>
  <c r="AF1420" i="11" s="1"/>
  <c r="AG1420" i="11" s="1"/>
  <c r="Z1383" i="11"/>
  <c r="AB1383" i="11" s="1"/>
  <c r="AC1383" i="11" s="1"/>
  <c r="V1372" i="11"/>
  <c r="X1372" i="11" s="1"/>
  <c r="Y1372" i="11" s="1"/>
  <c r="AP1393" i="11"/>
  <c r="AR1393" i="11" s="1"/>
  <c r="AS1393" i="11" s="1"/>
  <c r="Z1435" i="11"/>
  <c r="AB1435" i="11" s="1"/>
  <c r="AC1435" i="11" s="1"/>
  <c r="Z1517" i="11"/>
  <c r="AB1517" i="11" s="1"/>
  <c r="AC1517" i="11" s="1"/>
  <c r="Z1369" i="11"/>
  <c r="AB1369" i="11" s="1"/>
  <c r="AC1369" i="11" s="1"/>
  <c r="AP1435" i="11"/>
  <c r="AR1435" i="11" s="1"/>
  <c r="AS1435" i="11" s="1"/>
  <c r="AH1474" i="11"/>
  <c r="AJ1474" i="11" s="1"/>
  <c r="AK1474" i="11" s="1"/>
  <c r="AL1543" i="11"/>
  <c r="AN1543" i="11" s="1"/>
  <c r="AO1543" i="11" s="1"/>
  <c r="AD1316" i="11"/>
  <c r="AF1316" i="11" s="1"/>
  <c r="AG1316" i="11" s="1"/>
  <c r="Z1442" i="11"/>
  <c r="AB1442" i="11" s="1"/>
  <c r="AC1442" i="11" s="1"/>
  <c r="AP1457" i="11"/>
  <c r="AR1457" i="11" s="1"/>
  <c r="AS1457" i="11" s="1"/>
  <c r="V1517" i="11"/>
  <c r="X1517" i="11" s="1"/>
  <c r="Y1517" i="11" s="1"/>
  <c r="Z1358" i="11"/>
  <c r="AB1358" i="11" s="1"/>
  <c r="AC1358" i="11" s="1"/>
  <c r="AL1352" i="11"/>
  <c r="AN1352" i="11" s="1"/>
  <c r="AO1352" i="11" s="1"/>
  <c r="Z1393" i="11"/>
  <c r="AB1393" i="11" s="1"/>
  <c r="AC1393" i="11" s="1"/>
  <c r="AL1457" i="11"/>
  <c r="AN1457" i="11" s="1"/>
  <c r="AO1457" i="11" s="1"/>
  <c r="AD1520" i="11"/>
  <c r="AF1520" i="11" s="1"/>
  <c r="AG1520" i="11" s="1"/>
  <c r="AP1548" i="11"/>
  <c r="AR1548" i="11" s="1"/>
  <c r="AS1548" i="11" s="1"/>
  <c r="AD1082" i="11" a="1"/>
  <c r="AD1082" i="11" s="1"/>
  <c r="AL1346" i="11"/>
  <c r="AN1346" i="11" s="1"/>
  <c r="AO1346" i="11" s="1"/>
  <c r="Z1346" i="11"/>
  <c r="AB1346" i="11" s="1"/>
  <c r="AC1346" i="11" s="1"/>
  <c r="AD1315" i="11"/>
  <c r="AF1315" i="11" s="1"/>
  <c r="AG1315" i="11" s="1"/>
  <c r="AD1330" i="11"/>
  <c r="AF1330" i="11" s="1"/>
  <c r="AG1330" i="11" s="1"/>
  <c r="V1315" i="11"/>
  <c r="X1315" i="11" s="1"/>
  <c r="Y1315" i="11" s="1"/>
  <c r="AL1330" i="11"/>
  <c r="AN1330" i="11" s="1"/>
  <c r="AO1330" i="11" s="1"/>
  <c r="Z1330" i="11"/>
  <c r="AB1330" i="11" s="1"/>
  <c r="AC1330" i="11" s="1"/>
  <c r="AP1346" i="11"/>
  <c r="AR1346" i="11" s="1"/>
  <c r="AS1346" i="11" s="1"/>
  <c r="AH1315" i="11"/>
  <c r="AJ1315" i="11" s="1"/>
  <c r="AK1315" i="11" s="1"/>
  <c r="Z1315" i="11"/>
  <c r="AB1315" i="11" s="1"/>
  <c r="AC1315" i="11" s="1"/>
  <c r="V1330" i="11"/>
  <c r="X1330" i="11" s="1"/>
  <c r="Y1330" i="11" s="1"/>
  <c r="AH1330" i="11"/>
  <c r="AJ1330" i="11" s="1"/>
  <c r="AK1330" i="11" s="1"/>
  <c r="AP1315" i="11"/>
  <c r="AR1315" i="11" s="1"/>
  <c r="AS1315" i="11" s="1"/>
  <c r="AP1330" i="11"/>
  <c r="AR1330" i="11" s="1"/>
  <c r="AS1330" i="11" s="1"/>
  <c r="AH1346" i="11"/>
  <c r="AJ1346" i="11" s="1"/>
  <c r="AK1346" i="11" s="1"/>
  <c r="AL1447" i="11"/>
  <c r="AN1447" i="11" s="1"/>
  <c r="AO1447" i="11" s="1"/>
  <c r="AP1480" i="11"/>
  <c r="AR1480" i="11" s="1"/>
  <c r="AS1480" i="11" s="1"/>
  <c r="AL1534" i="11"/>
  <c r="AN1534" i="11" s="1"/>
  <c r="AO1534" i="11" s="1"/>
  <c r="AP1447" i="11"/>
  <c r="AR1447" i="11" s="1"/>
  <c r="AS1447" i="11" s="1"/>
  <c r="AD1512" i="11"/>
  <c r="AF1512" i="11" s="1"/>
  <c r="AG1512" i="11" s="1"/>
  <c r="AH1534" i="11"/>
  <c r="AJ1534" i="11" s="1"/>
  <c r="AK1534" i="11" s="1"/>
  <c r="Z1447" i="11"/>
  <c r="AB1447" i="11" s="1"/>
  <c r="AC1447" i="11" s="1"/>
  <c r="Z1480" i="11"/>
  <c r="AB1480" i="11" s="1"/>
  <c r="AC1480" i="11" s="1"/>
  <c r="Z1427" i="11"/>
  <c r="AB1427" i="11" s="1"/>
  <c r="AC1427" i="11" s="1"/>
  <c r="V1447" i="11"/>
  <c r="X1447" i="11" s="1"/>
  <c r="Y1447" i="11" s="1"/>
  <c r="AD1480" i="11"/>
  <c r="AF1480" i="11" s="1"/>
  <c r="AG1480" i="11" s="1"/>
  <c r="AH1480" i="11"/>
  <c r="AJ1480" i="11" s="1"/>
  <c r="AK1480" i="11" s="1"/>
  <c r="AD1427" i="11"/>
  <c r="AF1427" i="11" s="1"/>
  <c r="AG1427" i="11" s="1"/>
  <c r="AD1534" i="11"/>
  <c r="AF1534" i="11" s="1"/>
  <c r="AG1534" i="11" s="1"/>
  <c r="AL1480" i="11"/>
  <c r="AN1480" i="11" s="1"/>
  <c r="AO1480" i="11" s="1"/>
  <c r="AH1447" i="11"/>
  <c r="AJ1447" i="11" s="1"/>
  <c r="AK1447" i="11" s="1"/>
  <c r="AH1427" i="11"/>
  <c r="AJ1427" i="11" s="1"/>
  <c r="AK1427" i="11" s="1"/>
  <c r="AP1427" i="11"/>
  <c r="AR1427" i="11" s="1"/>
  <c r="AS1427" i="11" s="1"/>
  <c r="AD1470" i="11"/>
  <c r="AF1470" i="11" s="1"/>
  <c r="AG1470" i="11" s="1"/>
  <c r="AL1315" i="11"/>
  <c r="AN1315" i="11" s="1"/>
  <c r="AO1315" i="11" s="1"/>
  <c r="V1480" i="11"/>
  <c r="X1480" i="11" s="1"/>
  <c r="Y1480" i="11" s="1"/>
  <c r="AD1413" i="11"/>
  <c r="AF1413" i="11" s="1"/>
  <c r="AG1413" i="11" s="1"/>
  <c r="V1534" i="11"/>
  <c r="X1534" i="11" s="1"/>
  <c r="Y1534" i="11" s="1"/>
  <c r="AL1427" i="11"/>
  <c r="AN1427" i="11" s="1"/>
  <c r="AO1427" i="11" s="1"/>
  <c r="Z1512" i="11"/>
  <c r="AB1512" i="11" s="1"/>
  <c r="AC1512" i="11" s="1"/>
  <c r="V1413" i="11"/>
  <c r="X1413" i="11" s="1"/>
  <c r="Y1413" i="11" s="1"/>
  <c r="AH1512" i="11"/>
  <c r="AJ1512" i="11" s="1"/>
  <c r="AK1512" i="11" s="1"/>
  <c r="V1427" i="11"/>
  <c r="X1427" i="11" s="1"/>
  <c r="Y1427" i="11" s="1"/>
  <c r="AL1512" i="11"/>
  <c r="AN1512" i="11" s="1"/>
  <c r="AO1512" i="11" s="1"/>
  <c r="AL1470" i="11"/>
  <c r="AN1470" i="11" s="1"/>
  <c r="AO1470" i="11" s="1"/>
  <c r="AL1413" i="11"/>
  <c r="AN1413" i="11" s="1"/>
  <c r="AO1413" i="11" s="1"/>
  <c r="Z1534" i="11"/>
  <c r="AB1534" i="11" s="1"/>
  <c r="AC1534" i="11" s="1"/>
  <c r="AH1413" i="11"/>
  <c r="AJ1413" i="11" s="1"/>
  <c r="AK1413" i="11" s="1"/>
  <c r="V1512" i="11"/>
  <c r="X1512" i="11" s="1"/>
  <c r="Y1512" i="11" s="1"/>
  <c r="AP1413" i="11"/>
  <c r="AR1413" i="11" s="1"/>
  <c r="AS1413" i="11" s="1"/>
  <c r="AP1534" i="11"/>
  <c r="AR1534" i="11" s="1"/>
  <c r="AS1534" i="11" s="1"/>
  <c r="V1346" i="11"/>
  <c r="X1346" i="11" s="1"/>
  <c r="Y1346" i="11" s="1"/>
  <c r="V1470" i="11"/>
  <c r="X1470" i="11" s="1"/>
  <c r="Y1470" i="11" s="1"/>
  <c r="AP1470" i="11"/>
  <c r="AR1470" i="11" s="1"/>
  <c r="AS1470" i="11" s="1"/>
  <c r="AD1447" i="11"/>
  <c r="AF1447" i="11" s="1"/>
  <c r="AG1447" i="11" s="1"/>
  <c r="AH1470" i="11"/>
  <c r="AJ1470" i="11" s="1"/>
  <c r="AK1470" i="11" s="1"/>
  <c r="Z1413" i="11"/>
  <c r="AB1413" i="11" s="1"/>
  <c r="AC1413" i="11" s="1"/>
  <c r="AP1512" i="11"/>
  <c r="AR1512" i="11" s="1"/>
  <c r="AS1512" i="11" s="1"/>
  <c r="AD1346" i="11"/>
  <c r="AF1346" i="11" s="1"/>
  <c r="AG1346" i="11" s="1"/>
  <c r="Z1470" i="11"/>
  <c r="AB1470" i="11" s="1"/>
  <c r="AC1470" i="11" s="1"/>
  <c r="AH1083" i="11"/>
  <c r="N1088" i="11"/>
  <c r="O1088" i="11" s="1"/>
  <c r="R1112" i="11"/>
  <c r="R1113" i="11"/>
  <c r="Z1065" i="11"/>
  <c r="R1134" i="11"/>
  <c r="R1199" i="11"/>
  <c r="AH1303" i="11"/>
  <c r="AJ1303" i="11" s="1"/>
  <c r="AK1303" i="11" s="1"/>
  <c r="AD1305" i="11"/>
  <c r="AF1305" i="11" s="1"/>
  <c r="AG1305" i="11" s="1"/>
  <c r="Z1299" i="11"/>
  <c r="AB1299" i="11" s="1"/>
  <c r="AC1299" i="11" s="1"/>
  <c r="AL1299" i="11"/>
  <c r="AN1299" i="11" s="1"/>
  <c r="AO1299" i="11" s="1"/>
  <c r="AP1308" i="11"/>
  <c r="AR1308" i="11" s="1"/>
  <c r="AS1308" i="11" s="1"/>
  <c r="Z1294" i="11"/>
  <c r="AB1294" i="11" s="1"/>
  <c r="AC1294" i="11" s="1"/>
  <c r="V1304" i="11"/>
  <c r="X1304" i="11" s="1"/>
  <c r="Y1304" i="11" s="1"/>
  <c r="V1296" i="11"/>
  <c r="X1296" i="11" s="1"/>
  <c r="Y1296" i="11" s="1"/>
  <c r="AD1306" i="11"/>
  <c r="AF1306" i="11" s="1"/>
  <c r="AG1306" i="11" s="1"/>
  <c r="AP1303" i="11"/>
  <c r="AR1303" i="11" s="1"/>
  <c r="AS1303" i="11" s="1"/>
  <c r="AH1307" i="11"/>
  <c r="AJ1307" i="11" s="1"/>
  <c r="AK1307" i="11" s="1"/>
  <c r="AP1298" i="11"/>
  <c r="AR1298" i="11" s="1"/>
  <c r="AS1298" i="11" s="1"/>
  <c r="AD1301" i="11"/>
  <c r="AF1301" i="11" s="1"/>
  <c r="AG1301" i="11" s="1"/>
  <c r="V1294" i="11"/>
  <c r="X1294" i="11" s="1"/>
  <c r="Y1294" i="11" s="1"/>
  <c r="Z1303" i="11"/>
  <c r="AB1303" i="11" s="1"/>
  <c r="AC1303" i="11" s="1"/>
  <c r="AH1294" i="11"/>
  <c r="AJ1294" i="11" s="1"/>
  <c r="AK1294" i="11" s="1"/>
  <c r="AL1295" i="11"/>
  <c r="AN1295" i="11" s="1"/>
  <c r="AO1295" i="11" s="1"/>
  <c r="V1308" i="11"/>
  <c r="X1308" i="11" s="1"/>
  <c r="Y1308" i="11" s="1"/>
  <c r="V1300" i="11"/>
  <c r="X1300" i="11" s="1"/>
  <c r="Y1300" i="11" s="1"/>
  <c r="AH1308" i="11"/>
  <c r="AJ1308" i="11" s="1"/>
  <c r="AK1308" i="11" s="1"/>
  <c r="AP1297" i="11"/>
  <c r="AR1297" i="11" s="1"/>
  <c r="AS1297" i="11" s="1"/>
  <c r="Z1304" i="11"/>
  <c r="AB1304" i="11" s="1"/>
  <c r="AC1304" i="11" s="1"/>
  <c r="V1298" i="11"/>
  <c r="X1298" i="11" s="1"/>
  <c r="Y1298" i="11" s="1"/>
  <c r="AL1298" i="11"/>
  <c r="AN1298" i="11" s="1"/>
  <c r="AO1298" i="11" s="1"/>
  <c r="V1303" i="11"/>
  <c r="X1303" i="11" s="1"/>
  <c r="Y1303" i="11" s="1"/>
  <c r="AD1297" i="11"/>
  <c r="AF1297" i="11" s="1"/>
  <c r="AG1297" i="11" s="1"/>
  <c r="AD1262" i="11" a="1"/>
  <c r="AD1262" i="11" s="1"/>
  <c r="AF1262" i="11" s="1"/>
  <c r="AG1262" i="11" s="1"/>
  <c r="AH1322" i="11"/>
  <c r="AJ1322" i="11" s="1"/>
  <c r="AK1322" i="11" s="1"/>
  <c r="AL1386" i="11"/>
  <c r="AN1386" i="11" s="1"/>
  <c r="AO1386" i="11" s="1"/>
  <c r="Z1322" i="11"/>
  <c r="AB1322" i="11" s="1"/>
  <c r="AC1322" i="11" s="1"/>
  <c r="AD1322" i="11"/>
  <c r="AF1322" i="11" s="1"/>
  <c r="AG1322" i="11" s="1"/>
  <c r="Z1350" i="11"/>
  <c r="AB1350" i="11" s="1"/>
  <c r="AC1350" i="11" s="1"/>
  <c r="V1350" i="11"/>
  <c r="X1350" i="11" s="1"/>
  <c r="Y1350" i="11" s="1"/>
  <c r="AH1338" i="11"/>
  <c r="AJ1338" i="11" s="1"/>
  <c r="AK1338" i="11" s="1"/>
  <c r="AH1350" i="11"/>
  <c r="AJ1350" i="11" s="1"/>
  <c r="AK1350" i="11" s="1"/>
  <c r="Z1338" i="11"/>
  <c r="AB1338" i="11" s="1"/>
  <c r="AC1338" i="11" s="1"/>
  <c r="V1338" i="11"/>
  <c r="X1338" i="11" s="1"/>
  <c r="Y1338" i="11" s="1"/>
  <c r="AP1350" i="11"/>
  <c r="AR1350" i="11" s="1"/>
  <c r="AS1350" i="11" s="1"/>
  <c r="AD1338" i="11"/>
  <c r="AF1338" i="11" s="1"/>
  <c r="AG1338" i="11" s="1"/>
  <c r="AP1322" i="11"/>
  <c r="AR1322" i="11" s="1"/>
  <c r="AS1322" i="11" s="1"/>
  <c r="AL1338" i="11"/>
  <c r="AN1338" i="11" s="1"/>
  <c r="AO1338" i="11" s="1"/>
  <c r="AP1338" i="11"/>
  <c r="AR1338" i="11" s="1"/>
  <c r="AS1338" i="11" s="1"/>
  <c r="AL1350" i="11"/>
  <c r="AN1350" i="11" s="1"/>
  <c r="AO1350" i="11" s="1"/>
  <c r="V1322" i="11"/>
  <c r="X1322" i="11" s="1"/>
  <c r="Y1322" i="11" s="1"/>
  <c r="AL1322" i="11"/>
  <c r="AN1322" i="11" s="1"/>
  <c r="AO1322" i="11" s="1"/>
  <c r="AL1514" i="11"/>
  <c r="AN1514" i="11" s="1"/>
  <c r="AO1514" i="11" s="1"/>
  <c r="AL1412" i="11"/>
  <c r="AN1412" i="11" s="1"/>
  <c r="AO1412" i="11" s="1"/>
  <c r="V1386" i="11"/>
  <c r="X1386" i="11" s="1"/>
  <c r="Y1386" i="11" s="1"/>
  <c r="Z1478" i="11"/>
  <c r="AB1478" i="11" s="1"/>
  <c r="AC1478" i="11" s="1"/>
  <c r="Z1514" i="11"/>
  <c r="AB1514" i="11" s="1"/>
  <c r="AC1514" i="11" s="1"/>
  <c r="AP1412" i="11"/>
  <c r="AR1412" i="11" s="1"/>
  <c r="AS1412" i="11" s="1"/>
  <c r="Z1525" i="11"/>
  <c r="AB1525" i="11" s="1"/>
  <c r="AC1525" i="11" s="1"/>
  <c r="AL1491" i="11"/>
  <c r="AN1491" i="11" s="1"/>
  <c r="AO1491" i="11" s="1"/>
  <c r="AL1443" i="11"/>
  <c r="AN1443" i="11" s="1"/>
  <c r="AO1443" i="11" s="1"/>
  <c r="V1412" i="11"/>
  <c r="X1412" i="11" s="1"/>
  <c r="Y1412" i="11" s="1"/>
  <c r="AP1478" i="11"/>
  <c r="AR1478" i="11" s="1"/>
  <c r="AS1478" i="11" s="1"/>
  <c r="AD1350" i="11"/>
  <c r="AF1350" i="11" s="1"/>
  <c r="AG1350" i="11" s="1"/>
  <c r="AH1412" i="11"/>
  <c r="AJ1412" i="11" s="1"/>
  <c r="AK1412" i="11" s="1"/>
  <c r="V1491" i="11"/>
  <c r="X1491" i="11" s="1"/>
  <c r="Y1491" i="11" s="1"/>
  <c r="AH1396" i="11"/>
  <c r="AJ1396" i="11" s="1"/>
  <c r="AK1396" i="11" s="1"/>
  <c r="V1467" i="11"/>
  <c r="X1467" i="11" s="1"/>
  <c r="Y1467" i="11" s="1"/>
  <c r="AD1412" i="11"/>
  <c r="AF1412" i="11" s="1"/>
  <c r="AG1412" i="11" s="1"/>
  <c r="V1478" i="11"/>
  <c r="X1478" i="11" s="1"/>
  <c r="Y1478" i="11" s="1"/>
  <c r="AL1467" i="11"/>
  <c r="AN1467" i="11" s="1"/>
  <c r="AO1467" i="11" s="1"/>
  <c r="Z1412" i="11"/>
  <c r="AB1412" i="11" s="1"/>
  <c r="AC1412" i="11" s="1"/>
  <c r="AD1386" i="11"/>
  <c r="AF1386" i="11" s="1"/>
  <c r="AG1386" i="11" s="1"/>
  <c r="AH1491" i="11"/>
  <c r="AJ1491" i="11" s="1"/>
  <c r="AK1491" i="11" s="1"/>
  <c r="AD1396" i="11"/>
  <c r="AF1396" i="11" s="1"/>
  <c r="AG1396" i="11" s="1"/>
  <c r="V1443" i="11"/>
  <c r="X1443" i="11" s="1"/>
  <c r="Y1443" i="11" s="1"/>
  <c r="Z1491" i="11"/>
  <c r="AB1491" i="11" s="1"/>
  <c r="AC1491" i="11" s="1"/>
  <c r="Z1443" i="11"/>
  <c r="AB1443" i="11" s="1"/>
  <c r="AC1443" i="11" s="1"/>
  <c r="Z1386" i="11"/>
  <c r="AB1386" i="11" s="1"/>
  <c r="AC1386" i="11" s="1"/>
  <c r="AH1478" i="11"/>
  <c r="AJ1478" i="11" s="1"/>
  <c r="AK1478" i="11" s="1"/>
  <c r="AL1396" i="11"/>
  <c r="AN1396" i="11" s="1"/>
  <c r="AO1396" i="11" s="1"/>
  <c r="AP1525" i="11"/>
  <c r="AR1525" i="11" s="1"/>
  <c r="AS1525" i="11" s="1"/>
  <c r="AD1525" i="11"/>
  <c r="AF1525" i="11" s="1"/>
  <c r="AG1525" i="11" s="1"/>
  <c r="AH1386" i="11"/>
  <c r="AJ1386" i="11" s="1"/>
  <c r="AK1386" i="11" s="1"/>
  <c r="AP1443" i="11"/>
  <c r="AR1443" i="11" s="1"/>
  <c r="AS1443" i="11" s="1"/>
  <c r="AD1514" i="11"/>
  <c r="AF1514" i="11" s="1"/>
  <c r="AG1514" i="11" s="1"/>
  <c r="Z1396" i="11"/>
  <c r="AB1396" i="11" s="1"/>
  <c r="AC1396" i="11" s="1"/>
  <c r="AH1443" i="11"/>
  <c r="AJ1443" i="11" s="1"/>
  <c r="AK1443" i="11" s="1"/>
  <c r="Z1467" i="11"/>
  <c r="AB1467" i="11" s="1"/>
  <c r="AC1467" i="11" s="1"/>
  <c r="V1525" i="11"/>
  <c r="X1525" i="11" s="1"/>
  <c r="Y1525" i="11" s="1"/>
  <c r="AH1514" i="11"/>
  <c r="AJ1514" i="11" s="1"/>
  <c r="AK1514" i="11" s="1"/>
  <c r="AH1525" i="11"/>
  <c r="AJ1525" i="11" s="1"/>
  <c r="AK1525" i="11" s="1"/>
  <c r="AP1386" i="11"/>
  <c r="AR1386" i="11" s="1"/>
  <c r="AS1386" i="11" s="1"/>
  <c r="AD1478" i="11"/>
  <c r="AF1478" i="11" s="1"/>
  <c r="AG1478" i="11" s="1"/>
  <c r="AL1525" i="11"/>
  <c r="AN1525" i="11" s="1"/>
  <c r="AO1525" i="11" s="1"/>
  <c r="AH1467" i="11"/>
  <c r="AJ1467" i="11" s="1"/>
  <c r="AK1467" i="11" s="1"/>
  <c r="V1514" i="11"/>
  <c r="X1514" i="11" s="1"/>
  <c r="Y1514" i="11" s="1"/>
  <c r="AD1443" i="11"/>
  <c r="AF1443" i="11" s="1"/>
  <c r="AG1443" i="11" s="1"/>
  <c r="AP1491" i="11"/>
  <c r="AR1491" i="11" s="1"/>
  <c r="AS1491" i="11" s="1"/>
  <c r="V1396" i="11"/>
  <c r="X1396" i="11" s="1"/>
  <c r="Y1396" i="11" s="1"/>
  <c r="AL1478" i="11"/>
  <c r="AN1478" i="11" s="1"/>
  <c r="AO1478" i="11" s="1"/>
  <c r="AD1467" i="11"/>
  <c r="AF1467" i="11" s="1"/>
  <c r="AG1467" i="11" s="1"/>
  <c r="AP1514" i="11"/>
  <c r="AR1514" i="11" s="1"/>
  <c r="AS1514" i="11" s="1"/>
  <c r="AP1467" i="11"/>
  <c r="AR1467" i="11" s="1"/>
  <c r="AS1467" i="11" s="1"/>
  <c r="AD1491" i="11"/>
  <c r="AF1491" i="11" s="1"/>
  <c r="AG1491" i="11" s="1"/>
  <c r="AP1396" i="11"/>
  <c r="AR1396" i="11" s="1"/>
  <c r="AS1396" i="11" s="1"/>
  <c r="AL1296" i="11"/>
  <c r="AN1296" i="11" s="1"/>
  <c r="AO1296" i="11" s="1"/>
  <c r="Z1305" i="11"/>
  <c r="AB1305" i="11" s="1"/>
  <c r="AC1305" i="11" s="1"/>
  <c r="V1270" i="11" a="1"/>
  <c r="V1270" i="11" s="1"/>
  <c r="X1270" i="11" s="1"/>
  <c r="Y1270" i="11" s="1"/>
  <c r="AL1355" i="11"/>
  <c r="AN1355" i="11" s="1"/>
  <c r="AO1355" i="11" s="1"/>
  <c r="AH1318" i="11"/>
  <c r="AJ1318" i="11" s="1"/>
  <c r="AK1318" i="11" s="1"/>
  <c r="AD1318" i="11"/>
  <c r="AF1318" i="11" s="1"/>
  <c r="AG1318" i="11" s="1"/>
  <c r="AD1336" i="11"/>
  <c r="AF1336" i="11" s="1"/>
  <c r="AG1336" i="11" s="1"/>
  <c r="AH1336" i="11"/>
  <c r="AJ1336" i="11" s="1"/>
  <c r="AK1336" i="11" s="1"/>
  <c r="AL1536" i="11"/>
  <c r="AN1536" i="11" s="1"/>
  <c r="AO1536" i="11" s="1"/>
  <c r="AH1540" i="11"/>
  <c r="AJ1540" i="11" s="1"/>
  <c r="AK1540" i="11" s="1"/>
  <c r="Z1464" i="11"/>
  <c r="AB1464" i="11" s="1"/>
  <c r="AC1464" i="11" s="1"/>
  <c r="Z1384" i="11"/>
  <c r="AB1384" i="11" s="1"/>
  <c r="AC1384" i="11" s="1"/>
  <c r="AP1505" i="11"/>
  <c r="AR1505" i="11" s="1"/>
  <c r="AS1505" i="11" s="1"/>
  <c r="AL1384" i="11"/>
  <c r="AN1384" i="11" s="1"/>
  <c r="AO1384" i="11" s="1"/>
  <c r="AD1355" i="11"/>
  <c r="AF1355" i="11" s="1"/>
  <c r="AG1355" i="11" s="1"/>
  <c r="Z1355" i="11"/>
  <c r="AB1355" i="11" s="1"/>
  <c r="AC1355" i="11" s="1"/>
  <c r="AL1494" i="11"/>
  <c r="AN1494" i="11" s="1"/>
  <c r="AO1494" i="11" s="1"/>
  <c r="AH1479" i="11"/>
  <c r="AJ1479" i="11" s="1"/>
  <c r="AK1479" i="11" s="1"/>
  <c r="V1536" i="11"/>
  <c r="X1536" i="11" s="1"/>
  <c r="Y1536" i="11" s="1"/>
  <c r="AH1494" i="11"/>
  <c r="AJ1494" i="11" s="1"/>
  <c r="AK1494" i="11" s="1"/>
  <c r="AP1411" i="11"/>
  <c r="AR1411" i="11" s="1"/>
  <c r="AS1411" i="11" s="1"/>
  <c r="AL1479" i="11"/>
  <c r="AN1479" i="11" s="1"/>
  <c r="AO1479" i="11" s="1"/>
  <c r="AH1411" i="11"/>
  <c r="AJ1411" i="11" s="1"/>
  <c r="AK1411" i="11" s="1"/>
  <c r="AP1384" i="11"/>
  <c r="AR1384" i="11" s="1"/>
  <c r="AS1384" i="11" s="1"/>
  <c r="AL1464" i="11"/>
  <c r="AN1464" i="11" s="1"/>
  <c r="AO1464" i="11" s="1"/>
  <c r="AL1411" i="11"/>
  <c r="AN1411" i="11" s="1"/>
  <c r="AO1411" i="11" s="1"/>
  <c r="AD1505" i="11"/>
  <c r="AF1505" i="11" s="1"/>
  <c r="AG1505" i="11" s="1"/>
  <c r="AP1479" i="11"/>
  <c r="AR1479" i="11" s="1"/>
  <c r="AS1479" i="11" s="1"/>
  <c r="V1464" i="11"/>
  <c r="X1464" i="11" s="1"/>
  <c r="Y1464" i="11" s="1"/>
  <c r="V1494" i="11"/>
  <c r="X1494" i="11" s="1"/>
  <c r="Y1494" i="11" s="1"/>
  <c r="AP1318" i="11"/>
  <c r="AR1318" i="11" s="1"/>
  <c r="AS1318" i="11" s="1"/>
  <c r="AD1494" i="11"/>
  <c r="AF1494" i="11" s="1"/>
  <c r="AG1494" i="11" s="1"/>
  <c r="AH1536" i="11"/>
  <c r="AJ1536" i="11" s="1"/>
  <c r="AK1536" i="11" s="1"/>
  <c r="AP1355" i="11"/>
  <c r="AR1355" i="11" s="1"/>
  <c r="AS1355" i="11" s="1"/>
  <c r="AH1464" i="11"/>
  <c r="AJ1464" i="11" s="1"/>
  <c r="AK1464" i="11" s="1"/>
  <c r="AL1505" i="11"/>
  <c r="AN1505" i="11" s="1"/>
  <c r="AO1505" i="11" s="1"/>
  <c r="AD1430" i="11"/>
  <c r="AF1430" i="11" s="1"/>
  <c r="AG1430" i="11" s="1"/>
  <c r="AH1505" i="11"/>
  <c r="AJ1505" i="11" s="1"/>
  <c r="AK1505" i="11" s="1"/>
  <c r="V1384" i="11"/>
  <c r="X1384" i="11" s="1"/>
  <c r="Y1384" i="11" s="1"/>
  <c r="AD1479" i="11"/>
  <c r="AF1479" i="11" s="1"/>
  <c r="AG1479" i="11" s="1"/>
  <c r="Z1540" i="11"/>
  <c r="AB1540" i="11" s="1"/>
  <c r="AC1540" i="11" s="1"/>
  <c r="Z1318" i="11"/>
  <c r="AB1318" i="11" s="1"/>
  <c r="AC1318" i="11" s="1"/>
  <c r="V1336" i="11"/>
  <c r="X1336" i="11" s="1"/>
  <c r="Y1336" i="11" s="1"/>
  <c r="AH1384" i="11"/>
  <c r="AJ1384" i="11" s="1"/>
  <c r="AK1384" i="11" s="1"/>
  <c r="Z1494" i="11"/>
  <c r="AB1494" i="11" s="1"/>
  <c r="AC1494" i="11" s="1"/>
  <c r="Z1536" i="11"/>
  <c r="AB1536" i="11" s="1"/>
  <c r="AC1536" i="11" s="1"/>
  <c r="AH1355" i="11"/>
  <c r="AJ1355" i="11" s="1"/>
  <c r="AK1355" i="11" s="1"/>
  <c r="V1479" i="11"/>
  <c r="X1479" i="11" s="1"/>
  <c r="Y1479" i="11" s="1"/>
  <c r="V1500" i="11"/>
  <c r="X1500" i="11" s="1"/>
  <c r="Y1500" i="11" s="1"/>
  <c r="Z1336" i="11"/>
  <c r="AB1336" i="11" s="1"/>
  <c r="AC1336" i="11" s="1"/>
  <c r="AP1464" i="11"/>
  <c r="AR1464" i="11" s="1"/>
  <c r="AS1464" i="11" s="1"/>
  <c r="V1505" i="11"/>
  <c r="X1505" i="11" s="1"/>
  <c r="Y1505" i="11" s="1"/>
  <c r="V1318" i="11"/>
  <c r="X1318" i="11" s="1"/>
  <c r="Y1318" i="11" s="1"/>
  <c r="AP1494" i="11"/>
  <c r="AR1494" i="11" s="1"/>
  <c r="AS1494" i="11" s="1"/>
  <c r="AP1536" i="11"/>
  <c r="AR1536" i="11" s="1"/>
  <c r="AS1536" i="11" s="1"/>
  <c r="AP1336" i="11"/>
  <c r="AR1336" i="11" s="1"/>
  <c r="AS1336" i="11" s="1"/>
  <c r="AD1411" i="11"/>
  <c r="AF1411" i="11" s="1"/>
  <c r="AG1411" i="11" s="1"/>
  <c r="AL1430" i="11"/>
  <c r="AN1430" i="11" s="1"/>
  <c r="AO1430" i="11" s="1"/>
  <c r="AP1500" i="11"/>
  <c r="AR1500" i="11" s="1"/>
  <c r="AS1500" i="11" s="1"/>
  <c r="Z1411" i="11"/>
  <c r="AB1411" i="11" s="1"/>
  <c r="AC1411" i="11" s="1"/>
  <c r="AL1500" i="11"/>
  <c r="AN1500" i="11" s="1"/>
  <c r="AO1500" i="11" s="1"/>
  <c r="AD1540" i="11"/>
  <c r="AF1540" i="11" s="1"/>
  <c r="AG1540" i="11" s="1"/>
  <c r="AD1384" i="11"/>
  <c r="AF1384" i="11" s="1"/>
  <c r="AG1384" i="11" s="1"/>
  <c r="Z1479" i="11"/>
  <c r="AB1479" i="11" s="1"/>
  <c r="AC1479" i="11" s="1"/>
  <c r="AP1540" i="11"/>
  <c r="AR1540" i="11" s="1"/>
  <c r="AS1540" i="11" s="1"/>
  <c r="V1411" i="11"/>
  <c r="X1411" i="11" s="1"/>
  <c r="Y1411" i="11" s="1"/>
  <c r="Z1500" i="11"/>
  <c r="AB1500" i="11" s="1"/>
  <c r="AC1500" i="11" s="1"/>
  <c r="AL1540" i="11"/>
  <c r="AN1540" i="11" s="1"/>
  <c r="AO1540" i="11" s="1"/>
  <c r="AP1430" i="11"/>
  <c r="AR1430" i="11" s="1"/>
  <c r="AS1430" i="11" s="1"/>
  <c r="V1355" i="11"/>
  <c r="X1355" i="11" s="1"/>
  <c r="Y1355" i="11" s="1"/>
  <c r="AD1464" i="11"/>
  <c r="AF1464" i="11" s="1"/>
  <c r="AG1464" i="11" s="1"/>
  <c r="AH1500" i="11"/>
  <c r="AJ1500" i="11" s="1"/>
  <c r="AK1500" i="11" s="1"/>
  <c r="Z1430" i="11"/>
  <c r="AB1430" i="11" s="1"/>
  <c r="AC1430" i="11" s="1"/>
  <c r="AD1500" i="11"/>
  <c r="AF1500" i="11" s="1"/>
  <c r="AG1500" i="11" s="1"/>
  <c r="AL1318" i="11"/>
  <c r="AN1318" i="11" s="1"/>
  <c r="AO1318" i="11" s="1"/>
  <c r="V1430" i="11"/>
  <c r="X1430" i="11" s="1"/>
  <c r="Y1430" i="11" s="1"/>
  <c r="Z1505" i="11"/>
  <c r="AB1505" i="11" s="1"/>
  <c r="AC1505" i="11" s="1"/>
  <c r="AD1536" i="11"/>
  <c r="AF1536" i="11" s="1"/>
  <c r="AG1536" i="11" s="1"/>
  <c r="AH1430" i="11"/>
  <c r="AJ1430" i="11" s="1"/>
  <c r="AK1430" i="11" s="1"/>
  <c r="V1540" i="11"/>
  <c r="X1540" i="11" s="1"/>
  <c r="Y1540" i="11" s="1"/>
  <c r="AL1336" i="11"/>
  <c r="AN1336" i="11" s="1"/>
  <c r="AO1336" i="11" s="1"/>
  <c r="AD1240" i="11" a="1"/>
  <c r="AD1240" i="11" s="1"/>
  <c r="AF1240" i="11" s="1"/>
  <c r="AG1240" i="11" s="1"/>
  <c r="AL1320" i="11"/>
  <c r="AN1320" i="11" s="1"/>
  <c r="AO1320" i="11" s="1"/>
  <c r="AD1320" i="11"/>
  <c r="AF1320" i="11" s="1"/>
  <c r="AG1320" i="11" s="1"/>
  <c r="Z1342" i="11"/>
  <c r="AB1342" i="11" s="1"/>
  <c r="AC1342" i="11" s="1"/>
  <c r="V1320" i="11"/>
  <c r="X1320" i="11" s="1"/>
  <c r="Y1320" i="11" s="1"/>
  <c r="AP1320" i="11"/>
  <c r="AR1320" i="11" s="1"/>
  <c r="AS1320" i="11" s="1"/>
  <c r="AP1415" i="11"/>
  <c r="AR1415" i="11" s="1"/>
  <c r="AS1415" i="11" s="1"/>
  <c r="Z1437" i="11"/>
  <c r="AB1437" i="11" s="1"/>
  <c r="AC1437" i="11" s="1"/>
  <c r="AD1504" i="11"/>
  <c r="AF1504" i="11" s="1"/>
  <c r="AG1504" i="11" s="1"/>
  <c r="AP1361" i="11"/>
  <c r="AR1361" i="11" s="1"/>
  <c r="AS1361" i="11" s="1"/>
  <c r="Z1524" i="11"/>
  <c r="AB1524" i="11" s="1"/>
  <c r="AC1524" i="11" s="1"/>
  <c r="AL1407" i="11"/>
  <c r="AN1407" i="11" s="1"/>
  <c r="AO1407" i="11" s="1"/>
  <c r="Z1361" i="11"/>
  <c r="AB1361" i="11" s="1"/>
  <c r="AC1361" i="11" s="1"/>
  <c r="AH1537" i="11"/>
  <c r="AJ1537" i="11" s="1"/>
  <c r="AK1537" i="11" s="1"/>
  <c r="V1544" i="11"/>
  <c r="X1544" i="11" s="1"/>
  <c r="Y1544" i="11" s="1"/>
  <c r="Z1537" i="11"/>
  <c r="AB1537" i="11" s="1"/>
  <c r="AC1537" i="11" s="1"/>
  <c r="Z1473" i="11"/>
  <c r="AB1473" i="11" s="1"/>
  <c r="AC1473" i="11" s="1"/>
  <c r="AH1524" i="11"/>
  <c r="AJ1524" i="11" s="1"/>
  <c r="AK1524" i="11" s="1"/>
  <c r="V1504" i="11"/>
  <c r="X1504" i="11" s="1"/>
  <c r="Y1504" i="11" s="1"/>
  <c r="AH1544" i="11"/>
  <c r="AJ1544" i="11" s="1"/>
  <c r="AK1544" i="11" s="1"/>
  <c r="AL1537" i="11"/>
  <c r="AN1537" i="11" s="1"/>
  <c r="AO1537" i="11" s="1"/>
  <c r="Z1454" i="11"/>
  <c r="AB1454" i="11" s="1"/>
  <c r="AC1454" i="11" s="1"/>
  <c r="AH1407" i="11"/>
  <c r="AJ1407" i="11" s="1"/>
  <c r="AK1407" i="11" s="1"/>
  <c r="AD1524" i="11"/>
  <c r="AF1524" i="11" s="1"/>
  <c r="AG1524" i="11" s="1"/>
  <c r="AH1454" i="11"/>
  <c r="AJ1454" i="11" s="1"/>
  <c r="AK1454" i="11" s="1"/>
  <c r="V1437" i="11"/>
  <c r="X1437" i="11" s="1"/>
  <c r="Y1437" i="11" s="1"/>
  <c r="AP1342" i="11"/>
  <c r="AR1342" i="11" s="1"/>
  <c r="AS1342" i="11" s="1"/>
  <c r="Z1523" i="11"/>
  <c r="AB1523" i="11" s="1"/>
  <c r="AC1523" i="11" s="1"/>
  <c r="AP1473" i="11"/>
  <c r="AR1473" i="11" s="1"/>
  <c r="AS1473" i="11" s="1"/>
  <c r="AL1454" i="11"/>
  <c r="AN1454" i="11" s="1"/>
  <c r="AO1454" i="11" s="1"/>
  <c r="AD1537" i="11"/>
  <c r="AF1537" i="11" s="1"/>
  <c r="AG1537" i="11" s="1"/>
  <c r="AH1446" i="11"/>
  <c r="AJ1446" i="11" s="1"/>
  <c r="AK1446" i="11" s="1"/>
  <c r="V1524" i="11"/>
  <c r="X1524" i="11" s="1"/>
  <c r="Y1524" i="11" s="1"/>
  <c r="AP1524" i="11"/>
  <c r="AR1524" i="11" s="1"/>
  <c r="AS1524" i="11" s="1"/>
  <c r="AD1544" i="11"/>
  <c r="AF1544" i="11" s="1"/>
  <c r="AG1544" i="11" s="1"/>
  <c r="Z1544" i="11"/>
  <c r="AB1544" i="11" s="1"/>
  <c r="AC1544" i="11" s="1"/>
  <c r="AP1537" i="11"/>
  <c r="AR1537" i="11" s="1"/>
  <c r="AS1537" i="11" s="1"/>
  <c r="AD1342" i="11"/>
  <c r="AF1342" i="11" s="1"/>
  <c r="AG1342" i="11" s="1"/>
  <c r="AD1454" i="11"/>
  <c r="AF1454" i="11" s="1"/>
  <c r="AG1454" i="11" s="1"/>
  <c r="V1446" i="11"/>
  <c r="X1446" i="11" s="1"/>
  <c r="Y1446" i="11" s="1"/>
  <c r="AD1446" i="11"/>
  <c r="AF1446" i="11" s="1"/>
  <c r="AG1446" i="11" s="1"/>
  <c r="Z1446" i="11"/>
  <c r="AB1446" i="11" s="1"/>
  <c r="AC1446" i="11" s="1"/>
  <c r="AL1437" i="11"/>
  <c r="AN1437" i="11" s="1"/>
  <c r="AO1437" i="11" s="1"/>
  <c r="V1342" i="11"/>
  <c r="X1342" i="11" s="1"/>
  <c r="Y1342" i="11" s="1"/>
  <c r="AD1473" i="11"/>
  <c r="AF1473" i="11" s="1"/>
  <c r="AG1473" i="11" s="1"/>
  <c r="V1537" i="11"/>
  <c r="X1537" i="11" s="1"/>
  <c r="Y1537" i="11" s="1"/>
  <c r="AH1437" i="11"/>
  <c r="AJ1437" i="11" s="1"/>
  <c r="AK1437" i="11" s="1"/>
  <c r="AL1524" i="11"/>
  <c r="AN1524" i="11" s="1"/>
  <c r="AO1524" i="11" s="1"/>
  <c r="AH1473" i="11"/>
  <c r="AJ1473" i="11" s="1"/>
  <c r="AK1473" i="11" s="1"/>
  <c r="AL1544" i="11"/>
  <c r="AN1544" i="11" s="1"/>
  <c r="AO1544" i="11" s="1"/>
  <c r="V1361" i="11"/>
  <c r="X1361" i="11" s="1"/>
  <c r="Y1361" i="11" s="1"/>
  <c r="AD1415" i="11"/>
  <c r="AF1415" i="11" s="1"/>
  <c r="AG1415" i="11" s="1"/>
  <c r="AP1437" i="11"/>
  <c r="AR1437" i="11" s="1"/>
  <c r="AS1437" i="11" s="1"/>
  <c r="V1482" i="11"/>
  <c r="X1482" i="11" s="1"/>
  <c r="Y1482" i="11" s="1"/>
  <c r="AL1415" i="11"/>
  <c r="AN1415" i="11" s="1"/>
  <c r="AO1415" i="11" s="1"/>
  <c r="AP1407" i="11"/>
  <c r="AR1407" i="11" s="1"/>
  <c r="AS1407" i="11" s="1"/>
  <c r="V1415" i="11"/>
  <c r="X1415" i="11" s="1"/>
  <c r="Y1415" i="11" s="1"/>
  <c r="Z1407" i="11"/>
  <c r="AB1407" i="11" s="1"/>
  <c r="AC1407" i="11" s="1"/>
  <c r="V1473" i="11"/>
  <c r="X1473" i="11" s="1"/>
  <c r="Y1473" i="11" s="1"/>
  <c r="AP1378" i="11"/>
  <c r="AR1378" i="11" s="1"/>
  <c r="AS1378" i="11" s="1"/>
  <c r="AP1454" i="11"/>
  <c r="AR1454" i="11" s="1"/>
  <c r="AS1454" i="11" s="1"/>
  <c r="AP1544" i="11"/>
  <c r="AR1544" i="11" s="1"/>
  <c r="AS1544" i="11" s="1"/>
  <c r="AL1340" i="11"/>
  <c r="AN1340" i="11" s="1"/>
  <c r="AO1340" i="11" s="1"/>
  <c r="V1378" i="11"/>
  <c r="X1378" i="11" s="1"/>
  <c r="Y1378" i="11" s="1"/>
  <c r="AP1482" i="11"/>
  <c r="AR1482" i="11" s="1"/>
  <c r="AS1482" i="11" s="1"/>
  <c r="AP1340" i="11"/>
  <c r="AR1340" i="11" s="1"/>
  <c r="AS1340" i="11" s="1"/>
  <c r="AP1432" i="11"/>
  <c r="AR1432" i="11" s="1"/>
  <c r="AS1432" i="11" s="1"/>
  <c r="AH1504" i="11"/>
  <c r="AJ1504" i="11" s="1"/>
  <c r="AK1504" i="11" s="1"/>
  <c r="AD1407" i="11"/>
  <c r="AF1407" i="11" s="1"/>
  <c r="AG1407" i="11" s="1"/>
  <c r="AD1437" i="11"/>
  <c r="AF1437" i="11" s="1"/>
  <c r="AG1437" i="11" s="1"/>
  <c r="AP1446" i="11"/>
  <c r="AR1446" i="11" s="1"/>
  <c r="AS1446" i="11" s="1"/>
  <c r="Z1504" i="11"/>
  <c r="AB1504" i="11" s="1"/>
  <c r="AC1504" i="11" s="1"/>
  <c r="AD1378" i="11"/>
  <c r="AF1378" i="11" s="1"/>
  <c r="AG1378" i="11" s="1"/>
  <c r="Z1482" i="11"/>
  <c r="AB1482" i="11" s="1"/>
  <c r="AC1482" i="11" s="1"/>
  <c r="AH1415" i="11"/>
  <c r="AJ1415" i="11" s="1"/>
  <c r="AK1415" i="11" s="1"/>
  <c r="AH1482" i="11"/>
  <c r="AJ1482" i="11" s="1"/>
  <c r="AK1482" i="11" s="1"/>
  <c r="AH1378" i="11"/>
  <c r="AJ1378" i="11" s="1"/>
  <c r="AK1378" i="11" s="1"/>
  <c r="AL1446" i="11"/>
  <c r="AN1446" i="11" s="1"/>
  <c r="AO1446" i="11" s="1"/>
  <c r="AP1523" i="11"/>
  <c r="AR1523" i="11" s="1"/>
  <c r="AS1523" i="11" s="1"/>
  <c r="AL1504" i="11"/>
  <c r="AN1504" i="11" s="1"/>
  <c r="AO1504" i="11" s="1"/>
  <c r="Z1340" i="11"/>
  <c r="AB1340" i="11" s="1"/>
  <c r="AC1340" i="11" s="1"/>
  <c r="V1340" i="11"/>
  <c r="X1340" i="11" s="1"/>
  <c r="Y1340" i="11" s="1"/>
  <c r="Z1432" i="11"/>
  <c r="AB1432" i="11" s="1"/>
  <c r="AC1432" i="11" s="1"/>
  <c r="AH1523" i="11"/>
  <c r="AJ1523" i="11" s="1"/>
  <c r="AK1523" i="11" s="1"/>
  <c r="AL1432" i="11"/>
  <c r="AN1432" i="11" s="1"/>
  <c r="AO1432" i="11" s="1"/>
  <c r="AD1482" i="11"/>
  <c r="AF1482" i="11" s="1"/>
  <c r="AG1482" i="11" s="1"/>
  <c r="AH1361" i="11"/>
  <c r="AJ1361" i="11" s="1"/>
  <c r="AK1361" i="11" s="1"/>
  <c r="V1432" i="11"/>
  <c r="X1432" i="11" s="1"/>
  <c r="Y1432" i="11" s="1"/>
  <c r="AD1523" i="11"/>
  <c r="AF1523" i="11" s="1"/>
  <c r="AG1523" i="11" s="1"/>
  <c r="Z1378" i="11"/>
  <c r="AB1378" i="11" s="1"/>
  <c r="AC1378" i="11" s="1"/>
  <c r="AL1473" i="11"/>
  <c r="AN1473" i="11" s="1"/>
  <c r="AO1473" i="11" s="1"/>
  <c r="V1407" i="11"/>
  <c r="X1407" i="11" s="1"/>
  <c r="Y1407" i="11" s="1"/>
  <c r="AL1361" i="11"/>
  <c r="AN1361" i="11" s="1"/>
  <c r="AO1361" i="11" s="1"/>
  <c r="Z1415" i="11"/>
  <c r="AB1415" i="11" s="1"/>
  <c r="AC1415" i="11" s="1"/>
  <c r="AD1361" i="11"/>
  <c r="AF1361" i="11" s="1"/>
  <c r="AG1361" i="11" s="1"/>
  <c r="Z1320" i="11"/>
  <c r="AB1320" i="11" s="1"/>
  <c r="AC1320" i="11" s="1"/>
  <c r="V1454" i="11"/>
  <c r="X1454" i="11" s="1"/>
  <c r="Y1454" i="11" s="1"/>
  <c r="V1523" i="11"/>
  <c r="X1523" i="11" s="1"/>
  <c r="Y1523" i="11" s="1"/>
  <c r="AD1432" i="11"/>
  <c r="AF1432" i="11" s="1"/>
  <c r="AG1432" i="11" s="1"/>
  <c r="AP1504" i="11"/>
  <c r="AR1504" i="11" s="1"/>
  <c r="AS1504" i="11" s="1"/>
  <c r="AH1342" i="11"/>
  <c r="AJ1342" i="11" s="1"/>
  <c r="AK1342" i="11" s="1"/>
  <c r="AH1432" i="11"/>
  <c r="AJ1432" i="11" s="1"/>
  <c r="AK1432" i="11" s="1"/>
  <c r="AL1523" i="11"/>
  <c r="AN1523" i="11" s="1"/>
  <c r="AO1523" i="11" s="1"/>
  <c r="AH1320" i="11"/>
  <c r="AJ1320" i="11" s="1"/>
  <c r="AK1320" i="11" s="1"/>
  <c r="AL1378" i="11"/>
  <c r="AN1378" i="11" s="1"/>
  <c r="AO1378" i="11" s="1"/>
  <c r="AL1482" i="11"/>
  <c r="AN1482" i="11" s="1"/>
  <c r="AO1482" i="11" s="1"/>
  <c r="AL1342" i="11"/>
  <c r="AN1342" i="11" s="1"/>
  <c r="AO1342" i="11" s="1"/>
  <c r="AD1340" i="11"/>
  <c r="AF1340" i="11" s="1"/>
  <c r="AG1340" i="11" s="1"/>
  <c r="AH1340" i="11"/>
  <c r="AJ1340" i="11" s="1"/>
  <c r="AK1340" i="11" s="1"/>
  <c r="V1287" i="11" a="1"/>
  <c r="V1287" i="11" s="1"/>
  <c r="X1287" i="11" s="1"/>
  <c r="Y1287" i="11" s="1"/>
  <c r="Z1313" i="11"/>
  <c r="AB1313" i="11" s="1"/>
  <c r="AC1313" i="11" s="1"/>
  <c r="V1371" i="11"/>
  <c r="X1371" i="11" s="1"/>
  <c r="Y1371" i="11" s="1"/>
  <c r="AH1313" i="11"/>
  <c r="AJ1313" i="11" s="1"/>
  <c r="AK1313" i="11" s="1"/>
  <c r="V1313" i="11"/>
  <c r="X1313" i="11" s="1"/>
  <c r="Y1313" i="11" s="1"/>
  <c r="Z1359" i="11"/>
  <c r="AB1359" i="11" s="1"/>
  <c r="AC1359" i="11" s="1"/>
  <c r="AD1343" i="11"/>
  <c r="AF1343" i="11" s="1"/>
  <c r="AG1343" i="11" s="1"/>
  <c r="AD1313" i="11"/>
  <c r="AF1313" i="11" s="1"/>
  <c r="AG1313" i="11" s="1"/>
  <c r="AP1313" i="11"/>
  <c r="AR1313" i="11" s="1"/>
  <c r="AS1313" i="11" s="1"/>
  <c r="Z1333" i="11"/>
  <c r="AB1333" i="11" s="1"/>
  <c r="AC1333" i="11" s="1"/>
  <c r="AL1549" i="11"/>
  <c r="AN1549" i="11" s="1"/>
  <c r="AO1549" i="11" s="1"/>
  <c r="Z1463" i="11"/>
  <c r="AB1463" i="11" s="1"/>
  <c r="AC1463" i="11" s="1"/>
  <c r="AD1542" i="11"/>
  <c r="AF1542" i="11" s="1"/>
  <c r="AG1542" i="11" s="1"/>
  <c r="AP1511" i="11"/>
  <c r="AR1511" i="11" s="1"/>
  <c r="AS1511" i="11" s="1"/>
  <c r="AP1518" i="11"/>
  <c r="AR1518" i="11" s="1"/>
  <c r="AS1518" i="11" s="1"/>
  <c r="Z1518" i="11"/>
  <c r="AB1518" i="11" s="1"/>
  <c r="AC1518" i="11" s="1"/>
  <c r="AL1417" i="11"/>
  <c r="AN1417" i="11" s="1"/>
  <c r="AO1417" i="11" s="1"/>
  <c r="AP1549" i="11"/>
  <c r="AR1549" i="11" s="1"/>
  <c r="AS1549" i="11" s="1"/>
  <c r="AH1542" i="11"/>
  <c r="AJ1542" i="11" s="1"/>
  <c r="AK1542" i="11" s="1"/>
  <c r="V1391" i="11"/>
  <c r="X1391" i="11" s="1"/>
  <c r="Y1391" i="11" s="1"/>
  <c r="AH1511" i="11"/>
  <c r="AJ1511" i="11" s="1"/>
  <c r="AK1511" i="11" s="1"/>
  <c r="AD1489" i="11"/>
  <c r="AF1489" i="11" s="1"/>
  <c r="AG1489" i="11" s="1"/>
  <c r="AL1489" i="11"/>
  <c r="AN1489" i="11" s="1"/>
  <c r="AO1489" i="11" s="1"/>
  <c r="Z1471" i="11"/>
  <c r="AB1471" i="11" s="1"/>
  <c r="AC1471" i="11" s="1"/>
  <c r="V1518" i="11"/>
  <c r="X1518" i="11" s="1"/>
  <c r="Y1518" i="11" s="1"/>
  <c r="AL1463" i="11"/>
  <c r="AN1463" i="11" s="1"/>
  <c r="AO1463" i="11" s="1"/>
  <c r="V1359" i="11"/>
  <c r="X1359" i="11" s="1"/>
  <c r="Y1359" i="11" s="1"/>
  <c r="AH1471" i="11"/>
  <c r="AJ1471" i="11" s="1"/>
  <c r="AK1471" i="11" s="1"/>
  <c r="AD1511" i="11"/>
  <c r="AF1511" i="11" s="1"/>
  <c r="AG1511" i="11" s="1"/>
  <c r="Z1489" i="11"/>
  <c r="AB1489" i="11" s="1"/>
  <c r="AC1489" i="11" s="1"/>
  <c r="AH1549" i="11"/>
  <c r="AJ1549" i="11" s="1"/>
  <c r="AK1549" i="11" s="1"/>
  <c r="AP1489" i="11"/>
  <c r="AR1489" i="11" s="1"/>
  <c r="AS1489" i="11" s="1"/>
  <c r="V1511" i="11"/>
  <c r="X1511" i="11" s="1"/>
  <c r="Y1511" i="11" s="1"/>
  <c r="AH1532" i="11"/>
  <c r="AJ1532" i="11" s="1"/>
  <c r="AK1532" i="11" s="1"/>
  <c r="AP1371" i="11"/>
  <c r="AR1371" i="11" s="1"/>
  <c r="AS1371" i="11" s="1"/>
  <c r="AL1532" i="11"/>
  <c r="AN1532" i="11" s="1"/>
  <c r="AO1532" i="11" s="1"/>
  <c r="V1471" i="11"/>
  <c r="X1471" i="11" s="1"/>
  <c r="Y1471" i="11" s="1"/>
  <c r="V1542" i="11"/>
  <c r="X1542" i="11" s="1"/>
  <c r="Y1542" i="11" s="1"/>
  <c r="AH1463" i="11"/>
  <c r="AJ1463" i="11" s="1"/>
  <c r="AK1463" i="11" s="1"/>
  <c r="AD1429" i="11"/>
  <c r="AF1429" i="11" s="1"/>
  <c r="AG1429" i="11" s="1"/>
  <c r="AD1391" i="11"/>
  <c r="AF1391" i="11" s="1"/>
  <c r="AG1391" i="11" s="1"/>
  <c r="AP1391" i="11"/>
  <c r="AR1391" i="11" s="1"/>
  <c r="AS1391" i="11" s="1"/>
  <c r="AH1499" i="11"/>
  <c r="AJ1499" i="11" s="1"/>
  <c r="AK1499" i="11" s="1"/>
  <c r="AD1518" i="11"/>
  <c r="AF1518" i="11" s="1"/>
  <c r="AG1518" i="11" s="1"/>
  <c r="AH1489" i="11"/>
  <c r="AJ1489" i="11" s="1"/>
  <c r="AK1489" i="11" s="1"/>
  <c r="Z1429" i="11"/>
  <c r="AB1429" i="11" s="1"/>
  <c r="AC1429" i="11" s="1"/>
  <c r="AH1429" i="11"/>
  <c r="AJ1429" i="11" s="1"/>
  <c r="AK1429" i="11" s="1"/>
  <c r="AL1429" i="11"/>
  <c r="AN1429" i="11" s="1"/>
  <c r="AO1429" i="11" s="1"/>
  <c r="AP1417" i="11"/>
  <c r="AR1417" i="11" s="1"/>
  <c r="AS1417" i="11" s="1"/>
  <c r="AH1391" i="11"/>
  <c r="AJ1391" i="11" s="1"/>
  <c r="AK1391" i="11" s="1"/>
  <c r="AH1382" i="11"/>
  <c r="AJ1382" i="11" s="1"/>
  <c r="AK1382" i="11" s="1"/>
  <c r="AP1429" i="11"/>
  <c r="AR1429" i="11" s="1"/>
  <c r="AS1429" i="11" s="1"/>
  <c r="Z1521" i="11"/>
  <c r="AB1521" i="11" s="1"/>
  <c r="AC1521" i="11" s="1"/>
  <c r="AL1518" i="11"/>
  <c r="AN1518" i="11" s="1"/>
  <c r="AO1518" i="11" s="1"/>
  <c r="V1489" i="11"/>
  <c r="X1489" i="11" s="1"/>
  <c r="Y1489" i="11" s="1"/>
  <c r="AP1463" i="11"/>
  <c r="AR1463" i="11" s="1"/>
  <c r="AS1463" i="11" s="1"/>
  <c r="AL1542" i="11"/>
  <c r="AN1542" i="11" s="1"/>
  <c r="AO1542" i="11" s="1"/>
  <c r="Z1532" i="11"/>
  <c r="AB1532" i="11" s="1"/>
  <c r="AC1532" i="11" s="1"/>
  <c r="AP1532" i="11"/>
  <c r="AR1532" i="11" s="1"/>
  <c r="AS1532" i="11" s="1"/>
  <c r="AL1521" i="11"/>
  <c r="AN1521" i="11" s="1"/>
  <c r="AO1521" i="11" s="1"/>
  <c r="Z1549" i="11"/>
  <c r="AB1549" i="11" s="1"/>
  <c r="AC1549" i="11" s="1"/>
  <c r="AD1521" i="11"/>
  <c r="AF1521" i="11" s="1"/>
  <c r="AG1521" i="11" s="1"/>
  <c r="AL1471" i="11"/>
  <c r="AN1471" i="11" s="1"/>
  <c r="AO1471" i="11" s="1"/>
  <c r="Z1417" i="11"/>
  <c r="AB1417" i="11" s="1"/>
  <c r="AC1417" i="11" s="1"/>
  <c r="Z1371" i="11"/>
  <c r="AB1371" i="11" s="1"/>
  <c r="AC1371" i="11" s="1"/>
  <c r="AH1343" i="11"/>
  <c r="AJ1343" i="11" s="1"/>
  <c r="AK1343" i="11" s="1"/>
  <c r="V1382" i="11"/>
  <c r="X1382" i="11" s="1"/>
  <c r="Y1382" i="11" s="1"/>
  <c r="AD1451" i="11"/>
  <c r="AF1451" i="11" s="1"/>
  <c r="AG1451" i="11" s="1"/>
  <c r="AL1499" i="11"/>
  <c r="AN1499" i="11" s="1"/>
  <c r="AO1499" i="11" s="1"/>
  <c r="Z1511" i="11"/>
  <c r="AB1511" i="11" s="1"/>
  <c r="AC1511" i="11" s="1"/>
  <c r="AH1521" i="11"/>
  <c r="AJ1521" i="11" s="1"/>
  <c r="AK1521" i="11" s="1"/>
  <c r="AP1499" i="11"/>
  <c r="AR1499" i="11" s="1"/>
  <c r="AS1499" i="11" s="1"/>
  <c r="AH1451" i="11"/>
  <c r="AJ1451" i="11" s="1"/>
  <c r="AK1451" i="11" s="1"/>
  <c r="V1451" i="11"/>
  <c r="X1451" i="11" s="1"/>
  <c r="Y1451" i="11" s="1"/>
  <c r="Z1542" i="11"/>
  <c r="AB1542" i="11" s="1"/>
  <c r="AC1542" i="11" s="1"/>
  <c r="V1333" i="11"/>
  <c r="X1333" i="11" s="1"/>
  <c r="Y1333" i="11" s="1"/>
  <c r="AH1518" i="11"/>
  <c r="AJ1518" i="11" s="1"/>
  <c r="AK1518" i="11" s="1"/>
  <c r="AD1463" i="11"/>
  <c r="AF1463" i="11" s="1"/>
  <c r="AG1463" i="11" s="1"/>
  <c r="AL1511" i="11"/>
  <c r="AN1511" i="11" s="1"/>
  <c r="AO1511" i="11" s="1"/>
  <c r="AD1532" i="11"/>
  <c r="AF1532" i="11" s="1"/>
  <c r="AG1532" i="11" s="1"/>
  <c r="V1463" i="11"/>
  <c r="X1463" i="11" s="1"/>
  <c r="Y1463" i="11" s="1"/>
  <c r="V1532" i="11"/>
  <c r="X1532" i="11" s="1"/>
  <c r="Y1532" i="11" s="1"/>
  <c r="AL1371" i="11"/>
  <c r="AN1371" i="11" s="1"/>
  <c r="AO1371" i="11" s="1"/>
  <c r="AD1499" i="11"/>
  <c r="AF1499" i="11" s="1"/>
  <c r="AG1499" i="11" s="1"/>
  <c r="AH1359" i="11"/>
  <c r="AJ1359" i="11" s="1"/>
  <c r="AK1359" i="11" s="1"/>
  <c r="AD1382" i="11"/>
  <c r="AF1382" i="11" s="1"/>
  <c r="AG1382" i="11" s="1"/>
  <c r="AP1451" i="11"/>
  <c r="AR1451" i="11" s="1"/>
  <c r="AS1451" i="11" s="1"/>
  <c r="AP1542" i="11"/>
  <c r="AR1542" i="11" s="1"/>
  <c r="AS1542" i="11" s="1"/>
  <c r="AP1521" i="11"/>
  <c r="AR1521" i="11" s="1"/>
  <c r="AS1521" i="11" s="1"/>
  <c r="AP1471" i="11"/>
  <c r="AR1471" i="11" s="1"/>
  <c r="AS1471" i="11" s="1"/>
  <c r="AD1333" i="11"/>
  <c r="AF1333" i="11" s="1"/>
  <c r="AG1333" i="11" s="1"/>
  <c r="AP1382" i="11"/>
  <c r="AR1382" i="11" s="1"/>
  <c r="AS1382" i="11" s="1"/>
  <c r="Z1391" i="11"/>
  <c r="AB1391" i="11" s="1"/>
  <c r="AC1391" i="11" s="1"/>
  <c r="Z1499" i="11"/>
  <c r="AB1499" i="11" s="1"/>
  <c r="AC1499" i="11" s="1"/>
  <c r="AP1359" i="11"/>
  <c r="AR1359" i="11" s="1"/>
  <c r="AS1359" i="11" s="1"/>
  <c r="V1429" i="11"/>
  <c r="X1429" i="11" s="1"/>
  <c r="Y1429" i="11" s="1"/>
  <c r="Z1382" i="11"/>
  <c r="AB1382" i="11" s="1"/>
  <c r="AC1382" i="11" s="1"/>
  <c r="AL1359" i="11"/>
  <c r="AN1359" i="11" s="1"/>
  <c r="AO1359" i="11" s="1"/>
  <c r="AH1371" i="11"/>
  <c r="AJ1371" i="11" s="1"/>
  <c r="AK1371" i="11" s="1"/>
  <c r="V1499" i="11"/>
  <c r="X1499" i="11" s="1"/>
  <c r="Y1499" i="11" s="1"/>
  <c r="AP1333" i="11"/>
  <c r="AR1333" i="11" s="1"/>
  <c r="AS1333" i="11" s="1"/>
  <c r="AP1343" i="11"/>
  <c r="AR1343" i="11" s="1"/>
  <c r="AS1343" i="11" s="1"/>
  <c r="Z1343" i="11"/>
  <c r="AB1343" i="11" s="1"/>
  <c r="AC1343" i="11" s="1"/>
  <c r="AD1359" i="11"/>
  <c r="AF1359" i="11" s="1"/>
  <c r="AG1359" i="11" s="1"/>
  <c r="AD1371" i="11"/>
  <c r="AF1371" i="11" s="1"/>
  <c r="AG1371" i="11" s="1"/>
  <c r="Z1451" i="11"/>
  <c r="AB1451" i="11" s="1"/>
  <c r="AC1451" i="11" s="1"/>
  <c r="AH1417" i="11"/>
  <c r="AJ1417" i="11" s="1"/>
  <c r="AK1417" i="11" s="1"/>
  <c r="AD1417" i="11"/>
  <c r="AF1417" i="11" s="1"/>
  <c r="AG1417" i="11" s="1"/>
  <c r="V1417" i="11"/>
  <c r="X1417" i="11" s="1"/>
  <c r="Y1417" i="11" s="1"/>
  <c r="AL1382" i="11"/>
  <c r="AN1382" i="11" s="1"/>
  <c r="AO1382" i="11" s="1"/>
  <c r="AL1451" i="11"/>
  <c r="AN1451" i="11" s="1"/>
  <c r="AO1451" i="11" s="1"/>
  <c r="AD1549" i="11"/>
  <c r="AF1549" i="11" s="1"/>
  <c r="AG1549" i="11" s="1"/>
  <c r="V1343" i="11"/>
  <c r="X1343" i="11" s="1"/>
  <c r="Y1343" i="11" s="1"/>
  <c r="AL1333" i="11"/>
  <c r="AN1333" i="11" s="1"/>
  <c r="AO1333" i="11" s="1"/>
  <c r="AL1313" i="11"/>
  <c r="AN1313" i="11" s="1"/>
  <c r="AO1313" i="11" s="1"/>
  <c r="V1549" i="11"/>
  <c r="X1549" i="11" s="1"/>
  <c r="Y1549" i="11" s="1"/>
  <c r="V1521" i="11"/>
  <c r="X1521" i="11" s="1"/>
  <c r="Y1521" i="11" s="1"/>
  <c r="AL1391" i="11"/>
  <c r="AN1391" i="11" s="1"/>
  <c r="AO1391" i="11" s="1"/>
  <c r="AD1471" i="11"/>
  <c r="AF1471" i="11" s="1"/>
  <c r="AG1471" i="11" s="1"/>
  <c r="AL1343" i="11"/>
  <c r="AN1343" i="11" s="1"/>
  <c r="AO1343" i="11" s="1"/>
  <c r="AH1333" i="11"/>
  <c r="AJ1333" i="11" s="1"/>
  <c r="AK1333" i="11" s="1"/>
  <c r="AH1268" i="11" a="1"/>
  <c r="AH1268" i="11" s="1"/>
  <c r="AJ1268" i="11" s="1"/>
  <c r="AK1268" i="11" s="1"/>
  <c r="V1433" i="11"/>
  <c r="X1433" i="11" s="1"/>
  <c r="Y1433" i="11" s="1"/>
  <c r="AH1433" i="11"/>
  <c r="AJ1433" i="11" s="1"/>
  <c r="AK1433" i="11" s="1"/>
  <c r="Z1405" i="11"/>
  <c r="AB1405" i="11" s="1"/>
  <c r="AC1405" i="11" s="1"/>
  <c r="AP1363" i="11"/>
  <c r="AR1363" i="11" s="1"/>
  <c r="AS1363" i="11" s="1"/>
  <c r="Z1347" i="11"/>
  <c r="AB1347" i="11" s="1"/>
  <c r="AC1347" i="11" s="1"/>
  <c r="AL1433" i="11"/>
  <c r="AN1433" i="11" s="1"/>
  <c r="AO1433" i="11" s="1"/>
  <c r="AP1380" i="11"/>
  <c r="AR1380" i="11" s="1"/>
  <c r="AS1380" i="11" s="1"/>
  <c r="AP1433" i="11"/>
  <c r="AR1433" i="11" s="1"/>
  <c r="AS1433" i="11" s="1"/>
  <c r="AL1347" i="11"/>
  <c r="AN1347" i="11" s="1"/>
  <c r="AO1347" i="11" s="1"/>
  <c r="Z1380" i="11"/>
  <c r="AB1380" i="11" s="1"/>
  <c r="AC1380" i="11" s="1"/>
  <c r="AP1530" i="11"/>
  <c r="AR1530" i="11" s="1"/>
  <c r="AS1530" i="11" s="1"/>
  <c r="AH1405" i="11"/>
  <c r="AJ1405" i="11" s="1"/>
  <c r="AK1405" i="11" s="1"/>
  <c r="AD1530" i="11"/>
  <c r="AF1530" i="11" s="1"/>
  <c r="AG1530" i="11" s="1"/>
  <c r="AD1495" i="11"/>
  <c r="AF1495" i="11" s="1"/>
  <c r="AG1495" i="11" s="1"/>
  <c r="AL1405" i="11"/>
  <c r="AN1405" i="11" s="1"/>
  <c r="AO1405" i="11" s="1"/>
  <c r="AH1380" i="11"/>
  <c r="AJ1380" i="11" s="1"/>
  <c r="AK1380" i="11" s="1"/>
  <c r="Z1515" i="11"/>
  <c r="AB1515" i="11" s="1"/>
  <c r="AC1515" i="11" s="1"/>
  <c r="AH1335" i="11"/>
  <c r="AJ1335" i="11" s="1"/>
  <c r="AK1335" i="11" s="1"/>
  <c r="AH1530" i="11"/>
  <c r="AJ1530" i="11" s="1"/>
  <c r="AK1530" i="11" s="1"/>
  <c r="V1405" i="11"/>
  <c r="X1405" i="11" s="1"/>
  <c r="Y1405" i="11" s="1"/>
  <c r="V1530" i="11"/>
  <c r="X1530" i="11" s="1"/>
  <c r="Y1530" i="11" s="1"/>
  <c r="Z1530" i="11"/>
  <c r="AB1530" i="11" s="1"/>
  <c r="AC1530" i="11" s="1"/>
  <c r="AD1433" i="11"/>
  <c r="AF1433" i="11" s="1"/>
  <c r="AG1433" i="11" s="1"/>
  <c r="AL1380" i="11"/>
  <c r="AN1380" i="11" s="1"/>
  <c r="AO1380" i="11" s="1"/>
  <c r="V1380" i="11"/>
  <c r="X1380" i="11" s="1"/>
  <c r="Y1380" i="11" s="1"/>
  <c r="AH1495" i="11"/>
  <c r="AJ1495" i="11" s="1"/>
  <c r="AK1495" i="11" s="1"/>
  <c r="AL1317" i="11"/>
  <c r="AN1317" i="11" s="1"/>
  <c r="AO1317" i="11" s="1"/>
  <c r="AP1347" i="11"/>
  <c r="AR1347" i="11" s="1"/>
  <c r="AS1347" i="11" s="1"/>
  <c r="AD1468" i="11"/>
  <c r="AF1468" i="11" s="1"/>
  <c r="AG1468" i="11" s="1"/>
  <c r="V1515" i="11"/>
  <c r="X1515" i="11" s="1"/>
  <c r="Y1515" i="11" s="1"/>
  <c r="AH1468" i="11"/>
  <c r="AJ1468" i="11" s="1"/>
  <c r="AK1468" i="11" s="1"/>
  <c r="Z1317" i="11"/>
  <c r="AB1317" i="11" s="1"/>
  <c r="AC1317" i="11" s="1"/>
  <c r="AL1335" i="11"/>
  <c r="AN1335" i="11" s="1"/>
  <c r="AO1335" i="11" s="1"/>
  <c r="Z1468" i="11"/>
  <c r="AB1468" i="11" s="1"/>
  <c r="AC1468" i="11" s="1"/>
  <c r="AD1405" i="11"/>
  <c r="AF1405" i="11" s="1"/>
  <c r="AG1405" i="11" s="1"/>
  <c r="Z1433" i="11"/>
  <c r="AB1433" i="11" s="1"/>
  <c r="AC1433" i="11" s="1"/>
  <c r="AL1363" i="11"/>
  <c r="AN1363" i="11" s="1"/>
  <c r="AO1363" i="11" s="1"/>
  <c r="V1495" i="11"/>
  <c r="X1495" i="11" s="1"/>
  <c r="Y1495" i="11" s="1"/>
  <c r="AP1468" i="11"/>
  <c r="AR1468" i="11" s="1"/>
  <c r="AS1468" i="11" s="1"/>
  <c r="AH1347" i="11"/>
  <c r="AJ1347" i="11" s="1"/>
  <c r="AK1347" i="11" s="1"/>
  <c r="AP1495" i="11"/>
  <c r="AR1495" i="11" s="1"/>
  <c r="AS1495" i="11" s="1"/>
  <c r="V1363" i="11"/>
  <c r="X1363" i="11" s="1"/>
  <c r="Y1363" i="11" s="1"/>
  <c r="AP1515" i="11"/>
  <c r="AR1515" i="11" s="1"/>
  <c r="AS1515" i="11" s="1"/>
  <c r="Z1363" i="11"/>
  <c r="AB1363" i="11" s="1"/>
  <c r="AC1363" i="11" s="1"/>
  <c r="AH1363" i="11"/>
  <c r="AJ1363" i="11" s="1"/>
  <c r="AK1363" i="11" s="1"/>
  <c r="AD1515" i="11"/>
  <c r="AF1515" i="11" s="1"/>
  <c r="AG1515" i="11" s="1"/>
  <c r="AD1335" i="11"/>
  <c r="AF1335" i="11" s="1"/>
  <c r="AG1335" i="11" s="1"/>
  <c r="AH1317" i="11"/>
  <c r="AJ1317" i="11" s="1"/>
  <c r="AK1317" i="11" s="1"/>
  <c r="V1317" i="11"/>
  <c r="X1317" i="11" s="1"/>
  <c r="Y1317" i="11" s="1"/>
  <c r="Z1495" i="11"/>
  <c r="AB1495" i="11" s="1"/>
  <c r="AC1495" i="11" s="1"/>
  <c r="AL1515" i="11"/>
  <c r="AN1515" i="11" s="1"/>
  <c r="AO1515" i="11" s="1"/>
  <c r="AP1317" i="11"/>
  <c r="AR1317" i="11" s="1"/>
  <c r="AS1317" i="11" s="1"/>
  <c r="AD1317" i="11"/>
  <c r="AF1317" i="11" s="1"/>
  <c r="AG1317" i="11" s="1"/>
  <c r="AH1515" i="11"/>
  <c r="AJ1515" i="11" s="1"/>
  <c r="AK1515" i="11" s="1"/>
  <c r="V1468" i="11"/>
  <c r="X1468" i="11" s="1"/>
  <c r="Y1468" i="11" s="1"/>
  <c r="AD1363" i="11"/>
  <c r="AF1363" i="11" s="1"/>
  <c r="AG1363" i="11" s="1"/>
  <c r="V1347" i="11"/>
  <c r="X1347" i="11" s="1"/>
  <c r="Y1347" i="11" s="1"/>
  <c r="V1335" i="11"/>
  <c r="X1335" i="11" s="1"/>
  <c r="Y1335" i="11" s="1"/>
  <c r="AD1380" i="11"/>
  <c r="AF1380" i="11" s="1"/>
  <c r="AG1380" i="11" s="1"/>
  <c r="AL1530" i="11"/>
  <c r="AN1530" i="11" s="1"/>
  <c r="AO1530" i="11" s="1"/>
  <c r="AD1347" i="11"/>
  <c r="AF1347" i="11" s="1"/>
  <c r="AG1347" i="11" s="1"/>
  <c r="AP1405" i="11"/>
  <c r="AR1405" i="11" s="1"/>
  <c r="AS1405" i="11" s="1"/>
  <c r="AL1495" i="11"/>
  <c r="AN1495" i="11" s="1"/>
  <c r="AO1495" i="11" s="1"/>
  <c r="AL1468" i="11"/>
  <c r="AN1468" i="11" s="1"/>
  <c r="AO1468" i="11" s="1"/>
  <c r="AP1335" i="11"/>
  <c r="AR1335" i="11" s="1"/>
  <c r="AS1335" i="11" s="1"/>
  <c r="Z1335" i="11"/>
  <c r="AB1335" i="11" s="1"/>
  <c r="AC1335" i="11" s="1"/>
  <c r="R1069" i="11"/>
  <c r="V1070" i="11"/>
  <c r="AH1070" i="11"/>
  <c r="AL1071" i="11" a="1"/>
  <c r="AL1071" i="11" s="1"/>
  <c r="V1337" i="11"/>
  <c r="X1337" i="11" s="1"/>
  <c r="Y1337" i="11" s="1"/>
  <c r="Z1337" i="11"/>
  <c r="AB1337" i="11" s="1"/>
  <c r="AC1337" i="11" s="1"/>
  <c r="Z1321" i="11"/>
  <c r="AB1321" i="11" s="1"/>
  <c r="AC1321" i="11" s="1"/>
  <c r="AH1337" i="11"/>
  <c r="AJ1337" i="11" s="1"/>
  <c r="AK1337" i="11" s="1"/>
  <c r="AP1321" i="11"/>
  <c r="AR1321" i="11" s="1"/>
  <c r="AS1321" i="11" s="1"/>
  <c r="AD1337" i="11"/>
  <c r="AF1337" i="11" s="1"/>
  <c r="AG1337" i="11" s="1"/>
  <c r="AD1321" i="11"/>
  <c r="AF1321" i="11" s="1"/>
  <c r="AG1321" i="11" s="1"/>
  <c r="AL1337" i="11"/>
  <c r="AN1337" i="11" s="1"/>
  <c r="AO1337" i="11" s="1"/>
  <c r="AH1321" i="11"/>
  <c r="AJ1321" i="11" s="1"/>
  <c r="AK1321" i="11" s="1"/>
  <c r="AP1337" i="11"/>
  <c r="AR1337" i="11" s="1"/>
  <c r="AS1337" i="11" s="1"/>
  <c r="AL1321" i="11"/>
  <c r="AN1321" i="11" s="1"/>
  <c r="AO1321" i="11" s="1"/>
  <c r="V1321" i="11"/>
  <c r="X1321" i="11" s="1"/>
  <c r="Y1321" i="11" s="1"/>
  <c r="AH1450" i="11"/>
  <c r="AJ1450" i="11" s="1"/>
  <c r="AK1450" i="11" s="1"/>
  <c r="AL1516" i="11"/>
  <c r="AN1516" i="11" s="1"/>
  <c r="AO1516" i="11" s="1"/>
  <c r="AD1456" i="11"/>
  <c r="AF1456" i="11" s="1"/>
  <c r="AG1456" i="11" s="1"/>
  <c r="AD1450" i="11"/>
  <c r="AF1450" i="11" s="1"/>
  <c r="AG1450" i="11" s="1"/>
  <c r="AL1490" i="11"/>
  <c r="AN1490" i="11" s="1"/>
  <c r="AO1490" i="11" s="1"/>
  <c r="V1516" i="11"/>
  <c r="X1516" i="11" s="1"/>
  <c r="Y1516" i="11" s="1"/>
  <c r="AH1456" i="11"/>
  <c r="AJ1456" i="11" s="1"/>
  <c r="AK1456" i="11" s="1"/>
  <c r="Z1450" i="11"/>
  <c r="AB1450" i="11" s="1"/>
  <c r="AC1450" i="11" s="1"/>
  <c r="AH1516" i="11"/>
  <c r="AJ1516" i="11" s="1"/>
  <c r="AK1516" i="11" s="1"/>
  <c r="AD1516" i="11"/>
  <c r="AF1516" i="11" s="1"/>
  <c r="AG1516" i="11" s="1"/>
  <c r="Z1490" i="11"/>
  <c r="AB1490" i="11" s="1"/>
  <c r="AC1490" i="11" s="1"/>
  <c r="Z1516" i="11"/>
  <c r="AB1516" i="11" s="1"/>
  <c r="AC1516" i="11" s="1"/>
  <c r="V1456" i="11"/>
  <c r="X1456" i="11" s="1"/>
  <c r="Y1456" i="11" s="1"/>
  <c r="AP1516" i="11"/>
  <c r="AR1516" i="11" s="1"/>
  <c r="AS1516" i="11" s="1"/>
  <c r="AL1456" i="11"/>
  <c r="AN1456" i="11" s="1"/>
  <c r="AO1456" i="11" s="1"/>
  <c r="V1450" i="11"/>
  <c r="X1450" i="11" s="1"/>
  <c r="Y1450" i="11" s="1"/>
  <c r="AP1456" i="11"/>
  <c r="AR1456" i="11" s="1"/>
  <c r="AS1456" i="11" s="1"/>
  <c r="AL1450" i="11"/>
  <c r="AN1450" i="11" s="1"/>
  <c r="AO1450" i="11" s="1"/>
  <c r="AH1490" i="11"/>
  <c r="AJ1490" i="11" s="1"/>
  <c r="AK1490" i="11" s="1"/>
  <c r="AP1450" i="11"/>
  <c r="AR1450" i="11" s="1"/>
  <c r="AS1450" i="11" s="1"/>
  <c r="V1490" i="11"/>
  <c r="X1490" i="11" s="1"/>
  <c r="Y1490" i="11" s="1"/>
  <c r="Z1456" i="11"/>
  <c r="AB1456" i="11" s="1"/>
  <c r="AC1456" i="11" s="1"/>
  <c r="AP1490" i="11"/>
  <c r="AR1490" i="11" s="1"/>
  <c r="AS1490" i="11" s="1"/>
  <c r="AD1490" i="11"/>
  <c r="AF1490" i="11" s="1"/>
  <c r="AG1490" i="11" s="1"/>
  <c r="Z1070" i="11"/>
  <c r="AP1289" i="11" a="1"/>
  <c r="AP1289" i="11" s="1"/>
  <c r="AR1289" i="11" s="1"/>
  <c r="AS1289" i="11" s="1"/>
  <c r="Z1341" i="11"/>
  <c r="AB1341" i="11" s="1"/>
  <c r="AC1341" i="11" s="1"/>
  <c r="AP1341" i="11"/>
  <c r="AR1341" i="11" s="1"/>
  <c r="AS1341" i="11" s="1"/>
  <c r="Z1374" i="11"/>
  <c r="AB1374" i="11" s="1"/>
  <c r="AC1374" i="11" s="1"/>
  <c r="AP1503" i="11"/>
  <c r="AR1503" i="11" s="1"/>
  <c r="AS1503" i="11" s="1"/>
  <c r="Z1452" i="11"/>
  <c r="AB1452" i="11" s="1"/>
  <c r="AC1452" i="11" s="1"/>
  <c r="V1349" i="11"/>
  <c r="X1349" i="11" s="1"/>
  <c r="Y1349" i="11" s="1"/>
  <c r="V1476" i="11"/>
  <c r="X1476" i="11" s="1"/>
  <c r="Y1476" i="11" s="1"/>
  <c r="AD1452" i="11"/>
  <c r="AF1452" i="11" s="1"/>
  <c r="AG1452" i="11" s="1"/>
  <c r="AP1452" i="11"/>
  <c r="AR1452" i="11" s="1"/>
  <c r="AS1452" i="11" s="1"/>
  <c r="V1452" i="11"/>
  <c r="X1452" i="11" s="1"/>
  <c r="Y1452" i="11" s="1"/>
  <c r="AD1503" i="11"/>
  <c r="AF1503" i="11" s="1"/>
  <c r="AG1503" i="11" s="1"/>
  <c r="AL1452" i="11"/>
  <c r="AN1452" i="11" s="1"/>
  <c r="AO1452" i="11" s="1"/>
  <c r="V1374" i="11"/>
  <c r="X1374" i="11" s="1"/>
  <c r="Y1374" i="11" s="1"/>
  <c r="AH1377" i="11"/>
  <c r="AJ1377" i="11" s="1"/>
  <c r="AK1377" i="11" s="1"/>
  <c r="AP1374" i="11"/>
  <c r="AR1374" i="11" s="1"/>
  <c r="AS1374" i="11" s="1"/>
  <c r="AL1349" i="11"/>
  <c r="AN1349" i="11" s="1"/>
  <c r="AO1349" i="11" s="1"/>
  <c r="AD1402" i="11"/>
  <c r="AF1402" i="11" s="1"/>
  <c r="AG1402" i="11" s="1"/>
  <c r="AL1377" i="11"/>
  <c r="AN1377" i="11" s="1"/>
  <c r="AO1377" i="11" s="1"/>
  <c r="Z1466" i="11"/>
  <c r="AB1466" i="11" s="1"/>
  <c r="AC1466" i="11" s="1"/>
  <c r="AD1466" i="11"/>
  <c r="AF1466" i="11" s="1"/>
  <c r="AG1466" i="11" s="1"/>
  <c r="V1377" i="11"/>
  <c r="X1377" i="11" s="1"/>
  <c r="Y1377" i="11" s="1"/>
  <c r="V1466" i="11"/>
  <c r="X1466" i="11" s="1"/>
  <c r="Y1466" i="11" s="1"/>
  <c r="AD1485" i="11"/>
  <c r="AF1485" i="11" s="1"/>
  <c r="AG1485" i="11" s="1"/>
  <c r="AH1522" i="11"/>
  <c r="AJ1522" i="11" s="1"/>
  <c r="AK1522" i="11" s="1"/>
  <c r="AH1466" i="11"/>
  <c r="AJ1466" i="11" s="1"/>
  <c r="AK1466" i="11" s="1"/>
  <c r="AD1374" i="11"/>
  <c r="AF1374" i="11" s="1"/>
  <c r="AG1374" i="11" s="1"/>
  <c r="AP1466" i="11"/>
  <c r="AR1466" i="11" s="1"/>
  <c r="AS1466" i="11" s="1"/>
  <c r="AH1374" i="11"/>
  <c r="AJ1374" i="11" s="1"/>
  <c r="AK1374" i="11" s="1"/>
  <c r="AL1362" i="11"/>
  <c r="AN1362" i="11" s="1"/>
  <c r="AO1362" i="11" s="1"/>
  <c r="Z1377" i="11"/>
  <c r="AB1377" i="11" s="1"/>
  <c r="AC1377" i="11" s="1"/>
  <c r="AL1341" i="11"/>
  <c r="AN1341" i="11" s="1"/>
  <c r="AO1341" i="11" s="1"/>
  <c r="AH1485" i="11"/>
  <c r="AJ1485" i="11" s="1"/>
  <c r="AK1485" i="11" s="1"/>
  <c r="Z1362" i="11"/>
  <c r="AB1362" i="11" s="1"/>
  <c r="AC1362" i="11" s="1"/>
  <c r="AL1476" i="11"/>
  <c r="AN1476" i="11" s="1"/>
  <c r="AO1476" i="11" s="1"/>
  <c r="AL1466" i="11"/>
  <c r="AN1466" i="11" s="1"/>
  <c r="AO1466" i="11" s="1"/>
  <c r="AH1452" i="11"/>
  <c r="AJ1452" i="11" s="1"/>
  <c r="AK1452" i="11" s="1"/>
  <c r="Z1402" i="11"/>
  <c r="AB1402" i="11" s="1"/>
  <c r="AC1402" i="11" s="1"/>
  <c r="AD1349" i="11"/>
  <c r="AF1349" i="11" s="1"/>
  <c r="AG1349" i="11" s="1"/>
  <c r="AP1362" i="11"/>
  <c r="AR1362" i="11" s="1"/>
  <c r="AS1362" i="11" s="1"/>
  <c r="AH1341" i="11"/>
  <c r="AJ1341" i="11" s="1"/>
  <c r="AK1341" i="11" s="1"/>
  <c r="AD1341" i="11"/>
  <c r="AF1341" i="11" s="1"/>
  <c r="AG1341" i="11" s="1"/>
  <c r="AP1476" i="11"/>
  <c r="AR1476" i="11" s="1"/>
  <c r="AS1476" i="11" s="1"/>
  <c r="AH1349" i="11"/>
  <c r="AJ1349" i="11" s="1"/>
  <c r="AK1349" i="11" s="1"/>
  <c r="AP1402" i="11"/>
  <c r="AR1402" i="11" s="1"/>
  <c r="AS1402" i="11" s="1"/>
  <c r="V1485" i="11"/>
  <c r="X1485" i="11" s="1"/>
  <c r="Y1485" i="11" s="1"/>
  <c r="V1394" i="11"/>
  <c r="X1394" i="11" s="1"/>
  <c r="Y1394" i="11" s="1"/>
  <c r="V1503" i="11"/>
  <c r="X1503" i="11" s="1"/>
  <c r="Y1503" i="11" s="1"/>
  <c r="AL1503" i="11"/>
  <c r="AN1503" i="11" s="1"/>
  <c r="AO1503" i="11" s="1"/>
  <c r="AH1476" i="11"/>
  <c r="AJ1476" i="11" s="1"/>
  <c r="AK1476" i="11" s="1"/>
  <c r="AP1522" i="11"/>
  <c r="AR1522" i="11" s="1"/>
  <c r="AS1522" i="11" s="1"/>
  <c r="AL1402" i="11"/>
  <c r="AN1402" i="11" s="1"/>
  <c r="AO1402" i="11" s="1"/>
  <c r="AL1374" i="11"/>
  <c r="AN1374" i="11" s="1"/>
  <c r="AO1374" i="11" s="1"/>
  <c r="AD1362" i="11"/>
  <c r="AF1362" i="11" s="1"/>
  <c r="AG1362" i="11" s="1"/>
  <c r="AH1394" i="11"/>
  <c r="AJ1394" i="11" s="1"/>
  <c r="AK1394" i="11" s="1"/>
  <c r="AP1349" i="11"/>
  <c r="AR1349" i="11" s="1"/>
  <c r="AS1349" i="11" s="1"/>
  <c r="AH1362" i="11"/>
  <c r="AJ1362" i="11" s="1"/>
  <c r="AK1362" i="11" s="1"/>
  <c r="AH1503" i="11"/>
  <c r="AJ1503" i="11" s="1"/>
  <c r="AK1503" i="11" s="1"/>
  <c r="AD1394" i="11"/>
  <c r="AF1394" i="11" s="1"/>
  <c r="AG1394" i="11" s="1"/>
  <c r="AL1522" i="11"/>
  <c r="AN1522" i="11" s="1"/>
  <c r="AO1522" i="11" s="1"/>
  <c r="V1402" i="11"/>
  <c r="X1402" i="11" s="1"/>
  <c r="Y1402" i="11" s="1"/>
  <c r="Z1485" i="11"/>
  <c r="AB1485" i="11" s="1"/>
  <c r="AC1485" i="11" s="1"/>
  <c r="V1522" i="11"/>
  <c r="X1522" i="11" s="1"/>
  <c r="Y1522" i="11" s="1"/>
  <c r="AD1377" i="11"/>
  <c r="AF1377" i="11" s="1"/>
  <c r="AG1377" i="11" s="1"/>
  <c r="Z1349" i="11"/>
  <c r="AB1349" i="11" s="1"/>
  <c r="AC1349" i="11" s="1"/>
  <c r="AL1394" i="11"/>
  <c r="AN1394" i="11" s="1"/>
  <c r="AO1394" i="11" s="1"/>
  <c r="Z1394" i="11"/>
  <c r="AB1394" i="11" s="1"/>
  <c r="AC1394" i="11" s="1"/>
  <c r="V1341" i="11"/>
  <c r="X1341" i="11" s="1"/>
  <c r="Y1341" i="11" s="1"/>
  <c r="AP1377" i="11"/>
  <c r="AR1377" i="11" s="1"/>
  <c r="AS1377" i="11" s="1"/>
  <c r="AP1394" i="11"/>
  <c r="AR1394" i="11" s="1"/>
  <c r="AS1394" i="11" s="1"/>
  <c r="V1362" i="11"/>
  <c r="X1362" i="11" s="1"/>
  <c r="Y1362" i="11" s="1"/>
  <c r="AP1485" i="11"/>
  <c r="AR1485" i="11" s="1"/>
  <c r="AS1485" i="11" s="1"/>
  <c r="Z1476" i="11"/>
  <c r="AB1476" i="11" s="1"/>
  <c r="AC1476" i="11" s="1"/>
  <c r="Z1503" i="11"/>
  <c r="AB1503" i="11" s="1"/>
  <c r="AC1503" i="11" s="1"/>
  <c r="AD1476" i="11"/>
  <c r="AF1476" i="11" s="1"/>
  <c r="AG1476" i="11" s="1"/>
  <c r="AL1485" i="11"/>
  <c r="AN1485" i="11" s="1"/>
  <c r="AO1485" i="11" s="1"/>
  <c r="AD1522" i="11"/>
  <c r="AF1522" i="11" s="1"/>
  <c r="AG1522" i="11" s="1"/>
  <c r="Z1522" i="11"/>
  <c r="AB1522" i="11" s="1"/>
  <c r="AC1522" i="11" s="1"/>
  <c r="AH1402" i="11"/>
  <c r="AJ1402" i="11" s="1"/>
  <c r="AK1402" i="11" s="1"/>
  <c r="Z1092" i="11"/>
  <c r="AB1092" i="11" s="1"/>
  <c r="AC1092" i="11" s="1"/>
  <c r="R1094" i="11"/>
  <c r="R1174" i="11"/>
  <c r="AD1302" i="11"/>
  <c r="AF1302" i="11" s="1"/>
  <c r="AG1302" i="11" s="1"/>
  <c r="Z1296" i="11"/>
  <c r="AB1296" i="11" s="1"/>
  <c r="AC1296" i="11" s="1"/>
  <c r="AL1304" i="11"/>
  <c r="AN1304" i="11" s="1"/>
  <c r="AO1304" i="11" s="1"/>
  <c r="AT1304" i="11" s="1"/>
  <c r="AL1307" i="11"/>
  <c r="AN1307" i="11" s="1"/>
  <c r="AO1307" i="11" s="1"/>
  <c r="Z1302" i="11"/>
  <c r="AB1302" i="11" s="1"/>
  <c r="AC1302" i="11" s="1"/>
  <c r="AD1311" i="11"/>
  <c r="AF1311" i="11" s="1"/>
  <c r="AG1311" i="11" s="1"/>
  <c r="AD1303" i="11"/>
  <c r="AF1303" i="11" s="1"/>
  <c r="AG1303" i="11" s="1"/>
  <c r="AT1303" i="11" s="1"/>
  <c r="AD1295" i="11"/>
  <c r="AF1295" i="11" s="1"/>
  <c r="AG1295" i="11" s="1"/>
  <c r="AT1295" i="11" s="1"/>
  <c r="AP1311" i="11"/>
  <c r="AR1311" i="11" s="1"/>
  <c r="AS1311" i="11" s="1"/>
  <c r="AH1296" i="11"/>
  <c r="AJ1296" i="11" s="1"/>
  <c r="AK1296" i="11" s="1"/>
  <c r="AP1306" i="11"/>
  <c r="AR1306" i="11" s="1"/>
  <c r="AS1306" i="11" s="1"/>
  <c r="AL1308" i="11"/>
  <c r="AN1308" i="11" s="1"/>
  <c r="AO1308" i="11" s="1"/>
  <c r="AT1308" i="11" s="1"/>
  <c r="Z1311" i="11"/>
  <c r="AB1311" i="11" s="1"/>
  <c r="AC1311" i="11" s="1"/>
  <c r="AH1302" i="11"/>
  <c r="AJ1302" i="11" s="1"/>
  <c r="AK1302" i="11" s="1"/>
  <c r="AL1311" i="11"/>
  <c r="AN1311" i="11" s="1"/>
  <c r="AO1311" i="11" s="1"/>
  <c r="AL1303" i="11"/>
  <c r="AN1303" i="11" s="1"/>
  <c r="AO1303" i="11" s="1"/>
  <c r="Z1306" i="11"/>
  <c r="AB1306" i="11" s="1"/>
  <c r="AC1306" i="11" s="1"/>
  <c r="AD1307" i="11"/>
  <c r="AF1307" i="11" s="1"/>
  <c r="AG1307" i="11" s="1"/>
  <c r="AD1299" i="11"/>
  <c r="AF1299" i="11" s="1"/>
  <c r="AG1299" i="11" s="1"/>
  <c r="AP1307" i="11"/>
  <c r="AR1307" i="11" s="1"/>
  <c r="AS1307" i="11" s="1"/>
  <c r="V1307" i="11"/>
  <c r="X1307" i="11" s="1"/>
  <c r="Y1307" i="11" s="1"/>
  <c r="AP1296" i="11"/>
  <c r="AR1296" i="11" s="1"/>
  <c r="AS1296" i="11" s="1"/>
  <c r="V1301" i="11"/>
  <c r="X1301" i="11" s="1"/>
  <c r="Y1301" i="11" s="1"/>
  <c r="AH1297" i="11"/>
  <c r="AJ1297" i="11" s="1"/>
  <c r="AK1297" i="11" s="1"/>
  <c r="AT1297" i="11" s="1"/>
  <c r="V1309" i="11"/>
  <c r="X1309" i="11" s="1"/>
  <c r="Y1309" i="11" s="1"/>
  <c r="AT1309" i="11" s="1"/>
  <c r="AH1298" i="11"/>
  <c r="AJ1298" i="11" s="1"/>
  <c r="AK1298" i="11" s="1"/>
  <c r="AP1302" i="11"/>
  <c r="AR1302" i="11" s="1"/>
  <c r="AS1302" i="11" s="1"/>
  <c r="AP1299" i="11"/>
  <c r="AR1299" i="11" s="1"/>
  <c r="AS1299" i="11" s="1"/>
  <c r="V1297" i="11"/>
  <c r="X1297" i="11" s="1"/>
  <c r="Y1297" i="11" s="1"/>
  <c r="AT1298" i="11"/>
  <c r="AT1301" i="11"/>
  <c r="AT1305" i="11"/>
  <c r="AT1294" i="11"/>
  <c r="AT1296" i="11"/>
  <c r="AT1300" i="11"/>
  <c r="AT1310" i="11"/>
  <c r="AP1072" i="11" a="1"/>
  <c r="AP1072" i="11" s="1"/>
  <c r="AR1072" i="11" s="1"/>
  <c r="AS1072" i="11" s="1"/>
  <c r="V1247" i="11" a="1"/>
  <c r="V1247" i="11" s="1"/>
  <c r="X1247" i="11" s="1"/>
  <c r="Y1247" i="11" s="1"/>
  <c r="AH1247" i="11" a="1"/>
  <c r="AH1247" i="11" s="1"/>
  <c r="AJ1247" i="11" s="1"/>
  <c r="AK1247" i="11" s="1"/>
  <c r="V1261" i="11" a="1"/>
  <c r="V1261" i="11" s="1"/>
  <c r="X1261" i="11" s="1"/>
  <c r="Y1261" i="11" s="1"/>
  <c r="AP1100" i="11" a="1"/>
  <c r="AP1100" i="11" s="1"/>
  <c r="R1100" i="11"/>
  <c r="R1190" i="11"/>
  <c r="Z1266" i="11" a="1"/>
  <c r="Z1266" i="11" s="1"/>
  <c r="AB1266" i="11" s="1"/>
  <c r="AC1266" i="11" s="1"/>
  <c r="AH1282" i="11" a="1"/>
  <c r="AH1282" i="11" s="1"/>
  <c r="AJ1282" i="11" s="1"/>
  <c r="AK1282" i="11" s="1"/>
  <c r="Z1242" i="11" a="1"/>
  <c r="Z1242" i="11" s="1"/>
  <c r="AB1242" i="11" s="1"/>
  <c r="AC1242" i="11" s="1"/>
  <c r="V1280" i="11" a="1"/>
  <c r="V1280" i="11" s="1"/>
  <c r="X1280" i="11" s="1"/>
  <c r="Y1280" i="11" s="1"/>
  <c r="V1242" i="11" a="1"/>
  <c r="V1242" i="11" s="1"/>
  <c r="X1242" i="11" s="1"/>
  <c r="Y1242" i="11" s="1"/>
  <c r="AH1288" i="11" a="1"/>
  <c r="AH1288" i="11" s="1"/>
  <c r="AJ1288" i="11" s="1"/>
  <c r="AK1288" i="11" s="1"/>
  <c r="AD1255" i="11" a="1"/>
  <c r="AD1255" i="11" s="1"/>
  <c r="AF1255" i="11" s="1"/>
  <c r="AG1255" i="11" s="1"/>
  <c r="AD1269" i="11" a="1"/>
  <c r="AD1269" i="11" s="1"/>
  <c r="AF1269" i="11" s="1"/>
  <c r="AG1269" i="11" s="1"/>
  <c r="AH1254" i="11" a="1"/>
  <c r="AH1254" i="11" s="1"/>
  <c r="AJ1254" i="11" s="1"/>
  <c r="AK1254" i="11" s="1"/>
  <c r="AH1240" i="11" a="1"/>
  <c r="AH1240" i="11" s="1"/>
  <c r="AJ1240" i="11" s="1"/>
  <c r="AK1240" i="11" s="1"/>
  <c r="V1265" i="11" a="1"/>
  <c r="V1265" i="11" s="1"/>
  <c r="X1265" i="11" s="1"/>
  <c r="Y1265" i="11" s="1"/>
  <c r="AH1272" i="11" a="1"/>
  <c r="AH1272" i="11" s="1"/>
  <c r="AJ1272" i="11" s="1"/>
  <c r="AK1272" i="11" s="1"/>
  <c r="AP1262" i="11" a="1"/>
  <c r="AP1262" i="11" s="1"/>
  <c r="AR1262" i="11" s="1"/>
  <c r="AS1262" i="11" s="1"/>
  <c r="AD1243" i="11" a="1"/>
  <c r="AD1243" i="11" s="1"/>
  <c r="AF1243" i="11" s="1"/>
  <c r="AG1243" i="11" s="1"/>
  <c r="AD1264" i="11" a="1"/>
  <c r="AD1264" i="11" s="1"/>
  <c r="AF1264" i="11" s="1"/>
  <c r="AG1264" i="11" s="1"/>
  <c r="V1291" i="11" a="1"/>
  <c r="V1291" i="11" s="1"/>
  <c r="X1291" i="11" s="1"/>
  <c r="Y1291" i="11" s="1"/>
  <c r="AL1089" i="11" a="1"/>
  <c r="AL1089" i="11" s="1"/>
  <c r="Z1292" i="11" a="1"/>
  <c r="Z1292" i="11" s="1"/>
  <c r="AB1292" i="11" s="1"/>
  <c r="AC1292" i="11" s="1"/>
  <c r="Z1258" i="11" a="1"/>
  <c r="Z1258" i="11" s="1"/>
  <c r="AB1258" i="11" s="1"/>
  <c r="AC1258" i="11" s="1"/>
  <c r="Z1275" i="11" a="1"/>
  <c r="Z1275" i="11" s="1"/>
  <c r="AB1275" i="11" s="1"/>
  <c r="AC1275" i="11" s="1"/>
  <c r="AH1241" i="11" a="1"/>
  <c r="AH1241" i="11" s="1"/>
  <c r="AJ1241" i="11" s="1"/>
  <c r="AK1241" i="11" s="1"/>
  <c r="AP1276" i="11" a="1"/>
  <c r="AP1276" i="11" s="1"/>
  <c r="AR1276" i="11" s="1"/>
  <c r="AS1276" i="11" s="1"/>
  <c r="AP1256" i="11" a="1"/>
  <c r="AP1256" i="11" s="1"/>
  <c r="AR1256" i="11" s="1"/>
  <c r="AS1256" i="11" s="1"/>
  <c r="AD1270" i="11" a="1"/>
  <c r="AD1270" i="11" s="1"/>
  <c r="AF1270" i="11" s="1"/>
  <c r="AG1270" i="11" s="1"/>
  <c r="AD1241" i="11" a="1"/>
  <c r="AD1241" i="11" s="1"/>
  <c r="AF1241" i="11" s="1"/>
  <c r="AG1241" i="11" s="1"/>
  <c r="V1288" i="11" a="1"/>
  <c r="V1288" i="11" s="1"/>
  <c r="X1288" i="11" s="1"/>
  <c r="Y1288" i="11" s="1"/>
  <c r="AH1250" i="11" a="1"/>
  <c r="AH1250" i="11" s="1"/>
  <c r="AJ1250" i="11" s="1"/>
  <c r="AK1250" i="11" s="1"/>
  <c r="AH1269" i="11" a="1"/>
  <c r="AH1269" i="11" s="1"/>
  <c r="AJ1269" i="11" s="1"/>
  <c r="AK1269" i="11" s="1"/>
  <c r="AD1278" i="11" a="1"/>
  <c r="AD1278" i="11" s="1"/>
  <c r="AF1278" i="11" s="1"/>
  <c r="AG1278" i="11" s="1"/>
  <c r="V1254" i="11" a="1"/>
  <c r="V1254" i="11" s="1"/>
  <c r="X1254" i="11" s="1"/>
  <c r="Y1254" i="11" s="1"/>
  <c r="AD1293" i="11" a="1"/>
  <c r="AD1293" i="11" s="1"/>
  <c r="AF1293" i="11" s="1"/>
  <c r="AG1293" i="11" s="1"/>
  <c r="AP1239" i="11" a="1"/>
  <c r="AP1239" i="11" s="1"/>
  <c r="AR1239" i="11" s="1"/>
  <c r="AS1239" i="11" s="1"/>
  <c r="AH1263" i="11" a="1"/>
  <c r="AH1263" i="11" s="1"/>
  <c r="AJ1263" i="11" s="1"/>
  <c r="AK1263" i="11" s="1"/>
  <c r="V1235" i="11" a="1"/>
  <c r="V1235" i="11" s="1"/>
  <c r="X1235" i="11" s="1"/>
  <c r="Y1235" i="11" s="1"/>
  <c r="V1272" i="11" a="1"/>
  <c r="V1272" i="11" s="1"/>
  <c r="X1272" i="11" s="1"/>
  <c r="Y1272" i="11" s="1"/>
  <c r="AD1286" i="11" a="1"/>
  <c r="AD1286" i="11" s="1"/>
  <c r="AF1286" i="11" s="1"/>
  <c r="AG1286" i="11" s="1"/>
  <c r="Z1240" i="11" a="1"/>
  <c r="Z1240" i="11" s="1"/>
  <c r="AB1240" i="11" s="1"/>
  <c r="AC1240" i="11" s="1"/>
  <c r="AD1256" i="11" a="1"/>
  <c r="AD1256" i="11" s="1"/>
  <c r="AF1256" i="11" s="1"/>
  <c r="AG1256" i="11" s="1"/>
  <c r="R1179" i="11"/>
  <c r="AL1070" i="11" a="1"/>
  <c r="AL1070" i="11" s="1"/>
  <c r="Z1072" i="11" a="1"/>
  <c r="Z1072" i="11" s="1"/>
  <c r="V1100" i="11" a="1"/>
  <c r="V1100" i="11" s="1"/>
  <c r="X1100" i="11" s="1"/>
  <c r="Y1100" i="11" s="1"/>
  <c r="R1118" i="11"/>
  <c r="R1203" i="11"/>
  <c r="R1210" i="11"/>
  <c r="Z1284" i="11" a="1"/>
  <c r="Z1284" i="11" s="1"/>
  <c r="AB1284" i="11" s="1"/>
  <c r="AC1284" i="11" s="1"/>
  <c r="AH1292" i="11" a="1"/>
  <c r="AH1292" i="11" s="1"/>
  <c r="AJ1292" i="11" s="1"/>
  <c r="AK1292" i="11" s="1"/>
  <c r="AH1274" i="11" a="1"/>
  <c r="AH1274" i="11" s="1"/>
  <c r="AJ1274" i="11" s="1"/>
  <c r="AK1274" i="11" s="1"/>
  <c r="V1284" i="11" a="1"/>
  <c r="V1284" i="11" s="1"/>
  <c r="X1284" i="11" s="1"/>
  <c r="Y1284" i="11" s="1"/>
  <c r="AP1240" i="11" a="1"/>
  <c r="AP1240" i="11" s="1"/>
  <c r="AR1240" i="11" s="1"/>
  <c r="AS1240" i="11" s="1"/>
  <c r="V1275" i="11" a="1"/>
  <c r="V1275" i="11" s="1"/>
  <c r="X1275" i="11" s="1"/>
  <c r="Y1275" i="11" s="1"/>
  <c r="AH1256" i="11" a="1"/>
  <c r="AH1256" i="11" s="1"/>
  <c r="AJ1256" i="11" s="1"/>
  <c r="AK1256" i="11" s="1"/>
  <c r="AH1270" i="11" a="1"/>
  <c r="AH1270" i="11" s="1"/>
  <c r="AJ1270" i="11" s="1"/>
  <c r="AK1270" i="11" s="1"/>
  <c r="V1281" i="11" a="1"/>
  <c r="V1281" i="11" s="1"/>
  <c r="X1281" i="11" s="1"/>
  <c r="Y1281" i="11" s="1"/>
  <c r="AP1284" i="11" a="1"/>
  <c r="AP1284" i="11" s="1"/>
  <c r="AR1284" i="11" s="1"/>
  <c r="AS1284" i="11" s="1"/>
  <c r="Z1243" i="11" a="1"/>
  <c r="Z1243" i="11" s="1"/>
  <c r="AB1243" i="11" s="1"/>
  <c r="AC1243" i="11" s="1"/>
  <c r="AD1267" i="11" a="1"/>
  <c r="AD1267" i="11" s="1"/>
  <c r="AF1267" i="11" s="1"/>
  <c r="AG1267" i="11" s="1"/>
  <c r="AH1278" i="11" a="1"/>
  <c r="AH1278" i="11" s="1"/>
  <c r="AJ1278" i="11" s="1"/>
  <c r="AK1278" i="11" s="1"/>
  <c r="AL1254" i="11" a="1"/>
  <c r="AL1254" i="11" s="1"/>
  <c r="AN1254" i="11" s="1"/>
  <c r="AO1254" i="11" s="1"/>
  <c r="AH1293" i="11" a="1"/>
  <c r="AH1293" i="11" s="1"/>
  <c r="AJ1293" i="11" s="1"/>
  <c r="AK1293" i="11" s="1"/>
  <c r="V1263" i="11" a="1"/>
  <c r="V1263" i="11" s="1"/>
  <c r="X1263" i="11" s="1"/>
  <c r="Y1263" i="11" s="1"/>
  <c r="V1267" i="11" a="1"/>
  <c r="V1267" i="11" s="1"/>
  <c r="X1267" i="11" s="1"/>
  <c r="Y1267" i="11" s="1"/>
  <c r="AH1286" i="11" a="1"/>
  <c r="AH1286" i="11" s="1"/>
  <c r="AJ1286" i="11" s="1"/>
  <c r="AK1286" i="11" s="1"/>
  <c r="AD1236" i="11" a="1"/>
  <c r="AD1236" i="11" s="1"/>
  <c r="AF1236" i="11" s="1"/>
  <c r="AG1236" i="11" s="1"/>
  <c r="AD1237" i="11" a="1"/>
  <c r="AD1237" i="11" s="1"/>
  <c r="AF1237" i="11" s="1"/>
  <c r="AG1237" i="11" s="1"/>
  <c r="Z1236" i="11" a="1"/>
  <c r="Z1236" i="11" s="1"/>
  <c r="AB1236" i="11" s="1"/>
  <c r="AC1236" i="11" s="1"/>
  <c r="AL1258" i="11" a="1"/>
  <c r="AL1258" i="11" s="1"/>
  <c r="AN1258" i="11" s="1"/>
  <c r="AO1258" i="11" s="1"/>
  <c r="V1258" i="11" a="1"/>
  <c r="V1258" i="11" s="1"/>
  <c r="X1258" i="11" s="1"/>
  <c r="Y1258" i="11" s="1"/>
  <c r="AH1236" i="11" a="1"/>
  <c r="AH1236" i="11" s="1"/>
  <c r="AJ1236" i="11" s="1"/>
  <c r="AK1236" i="11" s="1"/>
  <c r="N1065" i="11"/>
  <c r="O1065" i="11" s="1"/>
  <c r="AP1109" i="11" a="1"/>
  <c r="AP1109" i="11" s="1"/>
  <c r="AR1109" i="11" s="1"/>
  <c r="AS1109" i="11" s="1"/>
  <c r="AP1088" i="11" a="1"/>
  <c r="AP1088" i="11" s="1"/>
  <c r="AP1089" i="11" a="1"/>
  <c r="AP1089" i="11" s="1"/>
  <c r="R1121" i="11"/>
  <c r="R1138" i="11"/>
  <c r="R1148" i="11"/>
  <c r="Z1276" i="11" a="1"/>
  <c r="Z1276" i="11" s="1"/>
  <c r="AB1276" i="11" s="1"/>
  <c r="AC1276" i="11" s="1"/>
  <c r="AP1291" i="11" a="1"/>
  <c r="AP1291" i="11" s="1"/>
  <c r="AR1291" i="11" s="1"/>
  <c r="AS1291" i="11" s="1"/>
  <c r="Z1267" i="11" a="1"/>
  <c r="Z1267" i="11" s="1"/>
  <c r="AB1267" i="11" s="1"/>
  <c r="AC1267" i="11" s="1"/>
  <c r="AD1281" i="11" a="1"/>
  <c r="AD1281" i="11" s="1"/>
  <c r="AF1281" i="11" s="1"/>
  <c r="AG1281" i="11" s="1"/>
  <c r="AL1265" i="11" a="1"/>
  <c r="AL1265" i="11" s="1"/>
  <c r="AN1265" i="11" s="1"/>
  <c r="AO1265" i="11" s="1"/>
  <c r="AD1292" i="11" a="1"/>
  <c r="AD1292" i="11" s="1"/>
  <c r="AF1292" i="11" s="1"/>
  <c r="AG1292" i="11" s="1"/>
  <c r="V1256" i="11" a="1"/>
  <c r="V1256" i="11" s="1"/>
  <c r="X1256" i="11" s="1"/>
  <c r="Y1256" i="11" s="1"/>
  <c r="AH1279" i="11" a="1"/>
  <c r="AH1279" i="11" s="1"/>
  <c r="AJ1279" i="11" s="1"/>
  <c r="AK1279" i="11" s="1"/>
  <c r="AL1240" i="11" a="1"/>
  <c r="AL1240" i="11" s="1"/>
  <c r="AN1240" i="11" s="1"/>
  <c r="AO1240" i="11" s="1"/>
  <c r="V1283" i="11" a="1"/>
  <c r="V1283" i="11" s="1"/>
  <c r="X1283" i="11" s="1"/>
  <c r="Y1283" i="11" s="1"/>
  <c r="AH1242" i="11" a="1"/>
  <c r="AH1242" i="11" s="1"/>
  <c r="AJ1242" i="11" s="1"/>
  <c r="AK1242" i="11" s="1"/>
  <c r="Z1264" i="11" a="1"/>
  <c r="Z1264" i="11" s="1"/>
  <c r="AB1264" i="11" s="1"/>
  <c r="AC1264" i="11" s="1"/>
  <c r="V1278" i="11" a="1"/>
  <c r="V1278" i="11" s="1"/>
  <c r="X1278" i="11" s="1"/>
  <c r="Y1278" i="11" s="1"/>
  <c r="Z1254" i="11" a="1"/>
  <c r="Z1254" i="11" s="1"/>
  <c r="AB1254" i="11" s="1"/>
  <c r="AC1254" i="11" s="1"/>
  <c r="AH1287" i="11" a="1"/>
  <c r="AH1287" i="11" s="1"/>
  <c r="AJ1287" i="11" s="1"/>
  <c r="AK1287" i="11" s="1"/>
  <c r="Z1263" i="11" a="1"/>
  <c r="Z1263" i="11" s="1"/>
  <c r="AB1263" i="11" s="1"/>
  <c r="AC1263" i="11" s="1"/>
  <c r="AL1257" i="11" a="1"/>
  <c r="AL1257" i="11" s="1"/>
  <c r="AN1257" i="11" s="1"/>
  <c r="AO1257" i="11" s="1"/>
  <c r="AH1262" i="11" a="1"/>
  <c r="AH1262" i="11" s="1"/>
  <c r="AJ1262" i="11" s="1"/>
  <c r="AK1262" i="11" s="1"/>
  <c r="AP1258" i="11" a="1"/>
  <c r="AP1258" i="11" s="1"/>
  <c r="AR1258" i="11" s="1"/>
  <c r="AS1258" i="11" s="1"/>
  <c r="AL1289" i="11" a="1"/>
  <c r="AL1289" i="11" s="1"/>
  <c r="AN1289" i="11" s="1"/>
  <c r="AO1289" i="11" s="1"/>
  <c r="R1072" i="11"/>
  <c r="R1163" i="11"/>
  <c r="AL1098" i="11" a="1"/>
  <c r="AL1098" i="11" s="1"/>
  <c r="AN1098" i="11" s="1"/>
  <c r="AO1098" i="11" s="1"/>
  <c r="AH1069" i="11" a="1"/>
  <c r="AH1069" i="11" s="1"/>
  <c r="AJ1069" i="11" s="1"/>
  <c r="AK1069" i="11" s="1"/>
  <c r="Z1248" i="11" a="1"/>
  <c r="Z1248" i="11" s="1"/>
  <c r="AB1248" i="11" s="1"/>
  <c r="AC1248" i="11" s="1"/>
  <c r="V1257" i="11" a="1"/>
  <c r="V1257" i="11" s="1"/>
  <c r="X1257" i="11" s="1"/>
  <c r="Y1257" i="11" s="1"/>
  <c r="V1086" i="11" a="1"/>
  <c r="V1086" i="11" s="1"/>
  <c r="X1086" i="11" s="1"/>
  <c r="Y1086" i="11" s="1"/>
  <c r="Z1100" i="11" a="1"/>
  <c r="Z1100" i="11" s="1"/>
  <c r="Z1268" i="11" a="1"/>
  <c r="Z1268" i="11" s="1"/>
  <c r="AB1268" i="11" s="1"/>
  <c r="AC1268" i="11" s="1"/>
  <c r="AH1284" i="11" a="1"/>
  <c r="AH1284" i="11" s="1"/>
  <c r="AJ1284" i="11" s="1"/>
  <c r="AK1284" i="11" s="1"/>
  <c r="AH1266" i="11" a="1"/>
  <c r="AH1266" i="11" s="1"/>
  <c r="AJ1266" i="11" s="1"/>
  <c r="AK1266" i="11" s="1"/>
  <c r="V1273" i="11" a="1"/>
  <c r="V1273" i="11" s="1"/>
  <c r="X1273" i="11" s="1"/>
  <c r="Y1273" i="11" s="1"/>
  <c r="AP1265" i="11" a="1"/>
  <c r="AP1265" i="11" s="1"/>
  <c r="AR1265" i="11" s="1"/>
  <c r="AS1265" i="11" s="1"/>
  <c r="AL1280" i="11" a="1"/>
  <c r="AL1280" i="11" s="1"/>
  <c r="AN1280" i="11" s="1"/>
  <c r="AO1280" i="11" s="1"/>
  <c r="AH1244" i="11" a="1"/>
  <c r="AH1244" i="11" s="1"/>
  <c r="AJ1244" i="11" s="1"/>
  <c r="AK1244" i="11" s="1"/>
  <c r="AL1270" i="11" a="1"/>
  <c r="AL1270" i="11" s="1"/>
  <c r="AN1270" i="11" s="1"/>
  <c r="AO1270" i="11" s="1"/>
  <c r="V1279" i="11" a="1"/>
  <c r="V1279" i="11" s="1"/>
  <c r="X1279" i="11" s="1"/>
  <c r="Y1279" i="11" s="1"/>
  <c r="AL1273" i="11" a="1"/>
  <c r="AL1273" i="11" s="1"/>
  <c r="AN1273" i="11" s="1"/>
  <c r="AO1273" i="11" s="1"/>
  <c r="AP1241" i="11" a="1"/>
  <c r="AP1241" i="11" s="1"/>
  <c r="AR1241" i="11" s="1"/>
  <c r="AS1241" i="11" s="1"/>
  <c r="AL1278" i="11" a="1"/>
  <c r="AL1278" i="11" s="1"/>
  <c r="AN1278" i="11" s="1"/>
  <c r="AO1278" i="11" s="1"/>
  <c r="AP1257" i="11" a="1"/>
  <c r="AP1257" i="11" s="1"/>
  <c r="AR1257" i="11" s="1"/>
  <c r="AS1257" i="11" s="1"/>
  <c r="AL1286" i="11" a="1"/>
  <c r="AL1286" i="11" s="1"/>
  <c r="AN1286" i="11" s="1"/>
  <c r="AO1286" i="11" s="1"/>
  <c r="V1262" i="11" a="1"/>
  <c r="V1262" i="11" s="1"/>
  <c r="X1262" i="11" s="1"/>
  <c r="Y1262" i="11" s="1"/>
  <c r="AP1252" i="11" a="1"/>
  <c r="AP1252" i="11" s="1"/>
  <c r="AR1252" i="11" s="1"/>
  <c r="AS1252" i="11" s="1"/>
  <c r="AL1259" i="11" a="1"/>
  <c r="AL1259" i="11" s="1"/>
  <c r="AN1259" i="11" s="1"/>
  <c r="AO1259" i="11" s="1"/>
  <c r="Z1239" i="11" a="1"/>
  <c r="Z1239" i="11" s="1"/>
  <c r="AB1239" i="11" s="1"/>
  <c r="AC1239" i="11" s="1"/>
  <c r="AL1238" i="11" a="1"/>
  <c r="AL1238" i="11" s="1"/>
  <c r="AN1238" i="11" s="1"/>
  <c r="AO1238" i="11" s="1"/>
  <c r="V1274" i="11" a="1"/>
  <c r="V1274" i="11" s="1"/>
  <c r="X1274" i="11" s="1"/>
  <c r="Y1274" i="11" s="1"/>
  <c r="AD1238" i="11" a="1"/>
  <c r="AD1238" i="11" s="1"/>
  <c r="AF1238" i="11" s="1"/>
  <c r="AG1238" i="11" s="1"/>
  <c r="Z1238" i="11" a="1"/>
  <c r="Z1238" i="11" s="1"/>
  <c r="AB1238" i="11" s="1"/>
  <c r="AC1238" i="11" s="1"/>
  <c r="V1238" i="11" a="1"/>
  <c r="V1238" i="11" s="1"/>
  <c r="X1238" i="11" s="1"/>
  <c r="Y1238" i="11" s="1"/>
  <c r="AL1274" i="11" a="1"/>
  <c r="AL1274" i="11" s="1"/>
  <c r="AN1274" i="11" s="1"/>
  <c r="AO1274" i="11" s="1"/>
  <c r="AP1238" i="11" a="1"/>
  <c r="AP1238" i="11" s="1"/>
  <c r="AR1238" i="11" s="1"/>
  <c r="AS1238" i="11" s="1"/>
  <c r="N1067" i="11"/>
  <c r="O1067" i="11" s="1"/>
  <c r="AL1235" i="11" a="1"/>
  <c r="AL1235" i="11" s="1"/>
  <c r="AN1235" i="11" s="1"/>
  <c r="AO1235" i="11" s="1"/>
  <c r="Z1260" i="11" a="1"/>
  <c r="Z1260" i="11" s="1"/>
  <c r="AB1260" i="11" s="1"/>
  <c r="AC1260" i="11" s="1"/>
  <c r="AP1283" i="11" a="1"/>
  <c r="AP1283" i="11" s="1"/>
  <c r="AR1283" i="11" s="1"/>
  <c r="AS1283" i="11" s="1"/>
  <c r="Z1259" i="11" a="1"/>
  <c r="Z1259" i="11" s="1"/>
  <c r="AB1259" i="11" s="1"/>
  <c r="AC1259" i="11" s="1"/>
  <c r="AH1271" i="11" a="1"/>
  <c r="AH1271" i="11" s="1"/>
  <c r="AJ1271" i="11" s="1"/>
  <c r="AK1271" i="11" s="1"/>
  <c r="AL1285" i="11" a="1"/>
  <c r="AL1285" i="11" s="1"/>
  <c r="AN1285" i="11" s="1"/>
  <c r="AO1285" i="11" s="1"/>
  <c r="AH1265" i="11" a="1"/>
  <c r="AH1265" i="11" s="1"/>
  <c r="AJ1265" i="11" s="1"/>
  <c r="AK1265" i="11" s="1"/>
  <c r="AD1272" i="11" a="1"/>
  <c r="AD1272" i="11" s="1"/>
  <c r="AF1272" i="11" s="1"/>
  <c r="AG1272" i="11" s="1"/>
  <c r="AP1243" i="11" a="1"/>
  <c r="AP1243" i="11" s="1"/>
  <c r="AR1243" i="11" s="1"/>
  <c r="AS1243" i="11" s="1"/>
  <c r="Z1270" i="11" a="1"/>
  <c r="Z1270" i="11" s="1"/>
  <c r="AB1270" i="11" s="1"/>
  <c r="AC1270" i="11" s="1"/>
  <c r="Z1279" i="11" a="1"/>
  <c r="Z1279" i="11" s="1"/>
  <c r="AB1279" i="11" s="1"/>
  <c r="AC1279" i="11" s="1"/>
  <c r="AP1273" i="11" a="1"/>
  <c r="AP1273" i="11" s="1"/>
  <c r="AR1273" i="11" s="1"/>
  <c r="AS1273" i="11" s="1"/>
  <c r="Z1235" i="11" a="1"/>
  <c r="Z1235" i="11" s="1"/>
  <c r="AB1235" i="11" s="1"/>
  <c r="AC1235" i="11" s="1"/>
  <c r="AP1264" i="11" a="1"/>
  <c r="AP1264" i="11" s="1"/>
  <c r="AR1264" i="11" s="1"/>
  <c r="AS1264" i="11" s="1"/>
  <c r="Z1278" i="11" a="1"/>
  <c r="Z1278" i="11" s="1"/>
  <c r="AB1278" i="11" s="1"/>
  <c r="AC1278" i="11" s="1"/>
  <c r="Z1287" i="11" a="1"/>
  <c r="Z1287" i="11" s="1"/>
  <c r="AB1287" i="11" s="1"/>
  <c r="AC1287" i="11" s="1"/>
  <c r="AP1263" i="11" a="1"/>
  <c r="AP1263" i="11" s="1"/>
  <c r="AR1263" i="11" s="1"/>
  <c r="AS1263" i="11" s="1"/>
  <c r="AH1283" i="11" a="1"/>
  <c r="AH1283" i="11" s="1"/>
  <c r="AJ1283" i="11" s="1"/>
  <c r="AK1283" i="11" s="1"/>
  <c r="AH1257" i="11" a="1"/>
  <c r="AH1257" i="11" s="1"/>
  <c r="AJ1257" i="11" s="1"/>
  <c r="AK1257" i="11" s="1"/>
  <c r="Z1286" i="11" a="1"/>
  <c r="Z1286" i="11" s="1"/>
  <c r="AB1286" i="11" s="1"/>
  <c r="AC1286" i="11" s="1"/>
  <c r="AL1262" i="11" a="1"/>
  <c r="AL1262" i="11" s="1"/>
  <c r="AN1262" i="11" s="1"/>
  <c r="AO1262" i="11" s="1"/>
  <c r="AP1260" i="11" a="1"/>
  <c r="AP1260" i="11" s="1"/>
  <c r="AR1260" i="11" s="1"/>
  <c r="AS1260" i="11" s="1"/>
  <c r="AD1248" i="11" a="1"/>
  <c r="AD1248" i="11" s="1"/>
  <c r="AF1248" i="11" s="1"/>
  <c r="AG1248" i="11" s="1"/>
  <c r="AH1239" i="11" a="1"/>
  <c r="AH1239" i="11" s="1"/>
  <c r="AJ1239" i="11" s="1"/>
  <c r="AK1239" i="11" s="1"/>
  <c r="R1170" i="11"/>
  <c r="R1096" i="11"/>
  <c r="Z1078" i="11" a="1"/>
  <c r="Z1078" i="11" s="1"/>
  <c r="R1089" i="11"/>
  <c r="AD1100" i="11" a="1"/>
  <c r="AD1100" i="11" s="1"/>
  <c r="R1144" i="11"/>
  <c r="R1219" i="11"/>
  <c r="Z1252" i="11" a="1"/>
  <c r="Z1252" i="11" s="1"/>
  <c r="AB1252" i="11" s="1"/>
  <c r="AC1252" i="11" s="1"/>
  <c r="AH1276" i="11" a="1"/>
  <c r="AH1276" i="11" s="1"/>
  <c r="AJ1276" i="11" s="1"/>
  <c r="AK1276" i="11" s="1"/>
  <c r="AH1258" i="11" a="1"/>
  <c r="AH1258" i="11" s="1"/>
  <c r="AJ1258" i="11" s="1"/>
  <c r="AK1258" i="11" s="1"/>
  <c r="V1271" i="11" a="1"/>
  <c r="V1271" i="11" s="1"/>
  <c r="X1271" i="11" s="1"/>
  <c r="Y1271" i="11" s="1"/>
  <c r="Z1285" i="11" a="1"/>
  <c r="Z1285" i="11" s="1"/>
  <c r="AB1285" i="11" s="1"/>
  <c r="AC1285" i="11" s="1"/>
  <c r="Z1265" i="11" a="1"/>
  <c r="Z1265" i="11" s="1"/>
  <c r="AB1265" i="11" s="1"/>
  <c r="AC1265" i="11" s="1"/>
  <c r="V1269" i="11" a="1"/>
  <c r="V1269" i="11" s="1"/>
  <c r="X1269" i="11" s="1"/>
  <c r="Y1269" i="11" s="1"/>
  <c r="AP1235" i="11" a="1"/>
  <c r="AP1235" i="11" s="1"/>
  <c r="AR1235" i="11" s="1"/>
  <c r="AS1235" i="11" s="1"/>
  <c r="AL1267" i="11" a="1"/>
  <c r="AL1267" i="11" s="1"/>
  <c r="AN1267" i="11" s="1"/>
  <c r="AO1267" i="11" s="1"/>
  <c r="AH1273" i="11" a="1"/>
  <c r="AH1273" i="11" s="1"/>
  <c r="AJ1273" i="11" s="1"/>
  <c r="AK1273" i="11" s="1"/>
  <c r="AH1264" i="11" a="1"/>
  <c r="AH1264" i="11" s="1"/>
  <c r="AJ1264" i="11" s="1"/>
  <c r="AK1264" i="11" s="1"/>
  <c r="AL1275" i="11" a="1"/>
  <c r="AL1275" i="11" s="1"/>
  <c r="AN1275" i="11" s="1"/>
  <c r="AO1275" i="11" s="1"/>
  <c r="V1248" i="11" a="1"/>
  <c r="V1248" i="11" s="1"/>
  <c r="X1248" i="11" s="1"/>
  <c r="Y1248" i="11" s="1"/>
  <c r="AL1277" i="11" a="1"/>
  <c r="AL1277" i="11" s="1"/>
  <c r="AN1277" i="11" s="1"/>
  <c r="AO1277" i="11" s="1"/>
  <c r="Z1257" i="11" a="1"/>
  <c r="Z1257" i="11" s="1"/>
  <c r="AB1257" i="11" s="1"/>
  <c r="AC1257" i="11" s="1"/>
  <c r="AL1283" i="11" a="1"/>
  <c r="AL1283" i="11" s="1"/>
  <c r="AN1283" i="11" s="1"/>
  <c r="AO1283" i="11" s="1"/>
  <c r="Z1262" i="11" a="1"/>
  <c r="Z1262" i="11" s="1"/>
  <c r="AB1262" i="11" s="1"/>
  <c r="AC1262" i="11" s="1"/>
  <c r="AD1246" i="11" a="1"/>
  <c r="AD1246" i="11" s="1"/>
  <c r="AF1246" i="11" s="1"/>
  <c r="AG1246" i="11" s="1"/>
  <c r="V1246" i="11" a="1"/>
  <c r="V1246" i="11" s="1"/>
  <c r="X1246" i="11" s="1"/>
  <c r="Y1246" i="11" s="1"/>
  <c r="AL1264" i="11" a="1"/>
  <c r="AL1264" i="11" s="1"/>
  <c r="AN1264" i="11" s="1"/>
  <c r="AO1264" i="11" s="1"/>
  <c r="AL1292" i="11" a="1"/>
  <c r="AL1292" i="11" s="1"/>
  <c r="AN1292" i="11" s="1"/>
  <c r="AO1292" i="11" s="1"/>
  <c r="AP1275" i="11" a="1"/>
  <c r="AP1275" i="11" s="1"/>
  <c r="AR1275" i="11" s="1"/>
  <c r="AS1275" i="11" s="1"/>
  <c r="AH1291" i="11" a="1"/>
  <c r="AH1291" i="11" s="1"/>
  <c r="AJ1291" i="11" s="1"/>
  <c r="AK1291" i="11" s="1"/>
  <c r="Z1271" i="11" a="1"/>
  <c r="Z1271" i="11" s="1"/>
  <c r="AB1271" i="11" s="1"/>
  <c r="AC1271" i="11" s="1"/>
  <c r="AP1285" i="11" a="1"/>
  <c r="AP1285" i="11" s="1"/>
  <c r="AR1285" i="11" s="1"/>
  <c r="AS1285" i="11" s="1"/>
  <c r="AH1267" i="11" a="1"/>
  <c r="AH1267" i="11" s="1"/>
  <c r="AJ1267" i="11" s="1"/>
  <c r="AK1267" i="11" s="1"/>
  <c r="V1266" i="11" a="1"/>
  <c r="V1266" i="11" s="1"/>
  <c r="X1266" i="11" s="1"/>
  <c r="Y1266" i="11" s="1"/>
  <c r="AP1279" i="11" a="1"/>
  <c r="AP1279" i="11" s="1"/>
  <c r="AR1279" i="11" s="1"/>
  <c r="AS1279" i="11" s="1"/>
  <c r="Z1273" i="11" a="1"/>
  <c r="Z1273" i="11" s="1"/>
  <c r="AB1273" i="11" s="1"/>
  <c r="AC1273" i="11" s="1"/>
  <c r="AL1290" i="11" a="1"/>
  <c r="AL1290" i="11" s="1"/>
  <c r="AN1290" i="11" s="1"/>
  <c r="AO1290" i="11" s="1"/>
  <c r="V1264" i="11" a="1"/>
  <c r="V1264" i="11" s="1"/>
  <c r="X1264" i="11" s="1"/>
  <c r="Y1264" i="11" s="1"/>
  <c r="V1253" i="11" a="1"/>
  <c r="V1253" i="11" s="1"/>
  <c r="X1253" i="11" s="1"/>
  <c r="Y1253" i="11" s="1"/>
  <c r="AD1247" i="11" a="1"/>
  <c r="AD1247" i="11" s="1"/>
  <c r="AF1247" i="11" s="1"/>
  <c r="AG1247" i="11" s="1"/>
  <c r="AP1287" i="11" a="1"/>
  <c r="AP1287" i="11" s="1"/>
  <c r="AR1287" i="11" s="1"/>
  <c r="AS1287" i="11" s="1"/>
  <c r="AP1292" i="11" a="1"/>
  <c r="AP1292" i="11" s="1"/>
  <c r="AR1292" i="11" s="1"/>
  <c r="AS1292" i="11" s="1"/>
  <c r="AD1263" i="11" a="1"/>
  <c r="AD1263" i="11" s="1"/>
  <c r="AF1263" i="11" s="1"/>
  <c r="AG1263" i="11" s="1"/>
  <c r="Z1277" i="11" a="1"/>
  <c r="Z1277" i="11" s="1"/>
  <c r="AB1277" i="11" s="1"/>
  <c r="AC1277" i="11" s="1"/>
  <c r="V1282" i="11" a="1"/>
  <c r="V1282" i="11" s="1"/>
  <c r="X1282" i="11" s="1"/>
  <c r="Y1282" i="11" s="1"/>
  <c r="AD1239" i="11" a="1"/>
  <c r="AD1239" i="11" s="1"/>
  <c r="AF1239" i="11" s="1"/>
  <c r="AG1239" i="11" s="1"/>
  <c r="V1244" i="11" a="1"/>
  <c r="V1244" i="11" s="1"/>
  <c r="X1244" i="11" s="1"/>
  <c r="Y1244" i="11" s="1"/>
  <c r="AP1274" i="11" a="1"/>
  <c r="AP1274" i="11" s="1"/>
  <c r="AR1274" i="11" s="1"/>
  <c r="AS1274" i="11" s="1"/>
  <c r="AP1246" i="11" a="1"/>
  <c r="AP1246" i="11" s="1"/>
  <c r="AR1246" i="11" s="1"/>
  <c r="AS1246" i="11" s="1"/>
  <c r="R1214" i="11"/>
  <c r="R1171" i="11"/>
  <c r="AL1284" i="11" a="1"/>
  <c r="AL1284" i="11" s="1"/>
  <c r="AN1284" i="11" s="1"/>
  <c r="AO1284" i="11" s="1"/>
  <c r="V1260" i="11" a="1"/>
  <c r="V1260" i="11" s="1"/>
  <c r="X1260" i="11" s="1"/>
  <c r="Y1260" i="11" s="1"/>
  <c r="AL1261" i="11" a="1"/>
  <c r="AL1261" i="11" s="1"/>
  <c r="AN1261" i="11" s="1"/>
  <c r="AO1261" i="11" s="1"/>
  <c r="AD1251" i="11" a="1"/>
  <c r="AD1251" i="11" s="1"/>
  <c r="AF1251" i="11" s="1"/>
  <c r="AG1251" i="11" s="1"/>
  <c r="AD1280" i="11" a="1"/>
  <c r="AD1280" i="11" s="1"/>
  <c r="AF1280" i="11" s="1"/>
  <c r="AG1280" i="11" s="1"/>
  <c r="V1259" i="11" a="1"/>
  <c r="V1259" i="11" s="1"/>
  <c r="X1259" i="11" s="1"/>
  <c r="Y1259" i="11" s="1"/>
  <c r="AP1244" i="11" a="1"/>
  <c r="AP1244" i="11" s="1"/>
  <c r="AR1244" i="11" s="1"/>
  <c r="AS1244" i="11" s="1"/>
  <c r="AD1290" i="11" a="1"/>
  <c r="AD1290" i="11" s="1"/>
  <c r="AF1290" i="11" s="1"/>
  <c r="AG1290" i="11" s="1"/>
  <c r="V1251" i="11" a="1"/>
  <c r="V1251" i="11" s="1"/>
  <c r="X1251" i="11" s="1"/>
  <c r="Y1251" i="11" s="1"/>
  <c r="AP1277" i="11" a="1"/>
  <c r="AP1277" i="11" s="1"/>
  <c r="AR1277" i="11" s="1"/>
  <c r="AS1277" i="11" s="1"/>
  <c r="AL1251" i="11" a="1"/>
  <c r="AL1251" i="11" s="1"/>
  <c r="AN1251" i="11" s="1"/>
  <c r="AO1251" i="11" s="1"/>
  <c r="AH1259" i="11" a="1"/>
  <c r="AH1259" i="11" s="1"/>
  <c r="AJ1259" i="11" s="1"/>
  <c r="AK1259" i="11" s="1"/>
  <c r="N1089" i="11"/>
  <c r="O1089" i="11" s="1"/>
  <c r="AP1245" i="11" a="1"/>
  <c r="AP1245" i="11" s="1"/>
  <c r="AR1245" i="11" s="1"/>
  <c r="AS1245" i="11" s="1"/>
  <c r="AL1245" i="11" a="1"/>
  <c r="AL1245" i="11" s="1"/>
  <c r="AN1245" i="11" s="1"/>
  <c r="AO1245" i="11" s="1"/>
  <c r="AP1237" i="11" a="1"/>
  <c r="AP1237" i="11" s="1"/>
  <c r="AR1237" i="11" s="1"/>
  <c r="AS1237" i="11" s="1"/>
  <c r="AL1237" i="11" a="1"/>
  <c r="AL1237" i="11" s="1"/>
  <c r="AN1237" i="11" s="1"/>
  <c r="AO1237" i="11" s="1"/>
  <c r="AH1245" i="11" a="1"/>
  <c r="AH1245" i="11" s="1"/>
  <c r="AJ1245" i="11" s="1"/>
  <c r="AK1245" i="11" s="1"/>
  <c r="AD1245" i="11" a="1"/>
  <c r="AD1245" i="11" s="1"/>
  <c r="AF1245" i="11" s="1"/>
  <c r="AG1245" i="11" s="1"/>
  <c r="AH1237" i="11" a="1"/>
  <c r="AH1237" i="11" s="1"/>
  <c r="AJ1237" i="11" s="1"/>
  <c r="AK1237" i="11" s="1"/>
  <c r="Z1245" i="11" a="1"/>
  <c r="Z1245" i="11" s="1"/>
  <c r="AB1245" i="11" s="1"/>
  <c r="AC1245" i="11" s="1"/>
  <c r="V1245" i="11" a="1"/>
  <c r="V1245" i="11" s="1"/>
  <c r="X1245" i="11" s="1"/>
  <c r="Y1245" i="11" s="1"/>
  <c r="Z1237" i="11" a="1"/>
  <c r="Z1237" i="11" s="1"/>
  <c r="AB1237" i="11" s="1"/>
  <c r="AC1237" i="11" s="1"/>
  <c r="AD1268" i="11" a="1"/>
  <c r="AD1268" i="11" s="1"/>
  <c r="AF1268" i="11" s="1"/>
  <c r="AG1268" i="11" s="1"/>
  <c r="R1123" i="11"/>
  <c r="R1215" i="11"/>
  <c r="AL1276" i="11" a="1"/>
  <c r="AL1276" i="11" s="1"/>
  <c r="AN1276" i="11" s="1"/>
  <c r="AO1276" i="11" s="1"/>
  <c r="AP1267" i="11" a="1"/>
  <c r="AP1267" i="11" s="1"/>
  <c r="AR1267" i="11" s="1"/>
  <c r="AS1267" i="11" s="1"/>
  <c r="AH1289" i="11" a="1"/>
  <c r="AH1289" i="11" s="1"/>
  <c r="AJ1289" i="11" s="1"/>
  <c r="AK1289" i="11" s="1"/>
  <c r="AP1271" i="11" a="1"/>
  <c r="AP1271" i="11" s="1"/>
  <c r="AR1271" i="11" s="1"/>
  <c r="AS1271" i="11" s="1"/>
  <c r="AD1285" i="11" a="1"/>
  <c r="AD1285" i="11" s="1"/>
  <c r="AF1285" i="11" s="1"/>
  <c r="AG1285" i="11" s="1"/>
  <c r="AD1257" i="11" a="1"/>
  <c r="AD1257" i="11" s="1"/>
  <c r="AF1257" i="11" s="1"/>
  <c r="AG1257" i="11" s="1"/>
  <c r="Z1261" i="11" a="1"/>
  <c r="Z1261" i="11" s="1"/>
  <c r="AB1261" i="11" s="1"/>
  <c r="AC1261" i="11" s="1"/>
  <c r="AL1291" i="11" a="1"/>
  <c r="AL1291" i="11" s="1"/>
  <c r="AN1291" i="11" s="1"/>
  <c r="AO1291" i="11" s="1"/>
  <c r="Z1251" i="11" a="1"/>
  <c r="Z1251" i="11" s="1"/>
  <c r="AB1251" i="11" s="1"/>
  <c r="AC1251" i="11" s="1"/>
  <c r="AD1279" i="11" a="1"/>
  <c r="AD1279" i="11" s="1"/>
  <c r="AF1279" i="11" s="1"/>
  <c r="AG1279" i="11" s="1"/>
  <c r="AD1265" i="11" a="1"/>
  <c r="AD1265" i="11" s="1"/>
  <c r="AF1265" i="11" s="1"/>
  <c r="AG1265" i="11" s="1"/>
  <c r="V1277" i="11" a="1"/>
  <c r="V1277" i="11" s="1"/>
  <c r="X1277" i="11" s="1"/>
  <c r="Y1277" i="11" s="1"/>
  <c r="AD1244" i="11" a="1"/>
  <c r="AD1244" i="11" s="1"/>
  <c r="AF1244" i="11" s="1"/>
  <c r="AG1244" i="11" s="1"/>
  <c r="AL1246" i="11" a="1"/>
  <c r="AL1246" i="11" s="1"/>
  <c r="AN1246" i="11" s="1"/>
  <c r="AO1246" i="11" s="1"/>
  <c r="AD1287" i="11" a="1"/>
  <c r="AD1287" i="11" s="1"/>
  <c r="AF1287" i="11" s="1"/>
  <c r="AG1287" i="11" s="1"/>
  <c r="AD1288" i="11" a="1"/>
  <c r="AD1288" i="11" s="1"/>
  <c r="AF1288" i="11" s="1"/>
  <c r="AG1288" i="11" s="1"/>
  <c r="AD1250" i="11" a="1"/>
  <c r="AD1250" i="11" s="1"/>
  <c r="AF1250" i="11" s="1"/>
  <c r="AG1250" i="11" s="1"/>
  <c r="AP1250" i="11" a="1"/>
  <c r="AP1250" i="11" s="1"/>
  <c r="AR1250" i="11" s="1"/>
  <c r="AS1250" i="11" s="1"/>
  <c r="AL1253" i="11" a="1"/>
  <c r="AL1253" i="11" s="1"/>
  <c r="AN1253" i="11" s="1"/>
  <c r="AO1253" i="11" s="1"/>
  <c r="AL1255" i="11" a="1"/>
  <c r="AL1255" i="11" s="1"/>
  <c r="AN1255" i="11" s="1"/>
  <c r="AO1255" i="11" s="1"/>
  <c r="AL1236" i="11" a="1"/>
  <c r="AL1236" i="11" s="1"/>
  <c r="AN1236" i="11" s="1"/>
  <c r="AO1236" i="11" s="1"/>
  <c r="R1084" i="11"/>
  <c r="V1089" i="11" a="1"/>
  <c r="V1089" i="11" s="1"/>
  <c r="N1100" i="11"/>
  <c r="O1100" i="11" s="1"/>
  <c r="AL1100" i="11" a="1"/>
  <c r="AL1100" i="11" s="1"/>
  <c r="Z1102" i="11" a="1"/>
  <c r="Z1102" i="11" s="1"/>
  <c r="AL1268" i="11" a="1"/>
  <c r="AL1268" i="11" s="1"/>
  <c r="AN1268" i="11" s="1"/>
  <c r="AO1268" i="11" s="1"/>
  <c r="AH1260" i="11" a="1"/>
  <c r="AH1260" i="11" s="1"/>
  <c r="AJ1260" i="11" s="1"/>
  <c r="AK1260" i="11" s="1"/>
  <c r="Z1289" i="11" a="1"/>
  <c r="Z1289" i="11" s="1"/>
  <c r="AB1289" i="11" s="1"/>
  <c r="AC1289" i="11" s="1"/>
  <c r="AH1285" i="11" a="1"/>
  <c r="AH1285" i="11" s="1"/>
  <c r="AJ1285" i="11" s="1"/>
  <c r="AK1285" i="11" s="1"/>
  <c r="AP1261" i="11" a="1"/>
  <c r="AP1261" i="11" s="1"/>
  <c r="AR1261" i="11" s="1"/>
  <c r="AS1261" i="11" s="1"/>
  <c r="AD1289" i="11" a="1"/>
  <c r="AD1289" i="11" s="1"/>
  <c r="AF1289" i="11" s="1"/>
  <c r="AG1289" i="11" s="1"/>
  <c r="AP1251" i="11" a="1"/>
  <c r="AP1251" i="11" s="1"/>
  <c r="AR1251" i="11" s="1"/>
  <c r="AS1251" i="11" s="1"/>
  <c r="AD1291" i="11" a="1"/>
  <c r="AD1291" i="11" s="1"/>
  <c r="AF1291" i="11" s="1"/>
  <c r="AG1291" i="11" s="1"/>
  <c r="AH1255" i="11" a="1"/>
  <c r="AH1255" i="11" s="1"/>
  <c r="AJ1255" i="11" s="1"/>
  <c r="AK1255" i="11" s="1"/>
  <c r="AD1276" i="11" a="1"/>
  <c r="AD1276" i="11" s="1"/>
  <c r="AF1276" i="11" s="1"/>
  <c r="AG1276" i="11" s="1"/>
  <c r="AL1243" i="11" a="1"/>
  <c r="AL1243" i="11" s="1"/>
  <c r="AN1243" i="11" s="1"/>
  <c r="AO1243" i="11" s="1"/>
  <c r="AL1266" i="11" a="1"/>
  <c r="AL1266" i="11" s="1"/>
  <c r="AN1266" i="11" s="1"/>
  <c r="AO1266" i="11" s="1"/>
  <c r="AL1281" i="11" a="1"/>
  <c r="AL1281" i="11" s="1"/>
  <c r="AN1281" i="11" s="1"/>
  <c r="AO1281" i="11" s="1"/>
  <c r="AD1277" i="11" a="1"/>
  <c r="AD1277" i="11" s="1"/>
  <c r="AF1277" i="11" s="1"/>
  <c r="AG1277" i="11" s="1"/>
  <c r="Z1244" i="11" a="1"/>
  <c r="Z1244" i="11" s="1"/>
  <c r="AB1244" i="11" s="1"/>
  <c r="AC1244" i="11" s="1"/>
  <c r="Z1253" i="11" a="1"/>
  <c r="Z1253" i="11" s="1"/>
  <c r="AB1253" i="11" s="1"/>
  <c r="AC1253" i="11" s="1"/>
  <c r="V1268" i="11" a="1"/>
  <c r="V1268" i="11" s="1"/>
  <c r="X1268" i="11" s="1"/>
  <c r="Y1268" i="11" s="1"/>
  <c r="V1239" i="11" a="1"/>
  <c r="V1239" i="11" s="1"/>
  <c r="X1239" i="11" s="1"/>
  <c r="Y1239" i="11" s="1"/>
  <c r="AL1247" i="11" a="1"/>
  <c r="AL1247" i="11" s="1"/>
  <c r="AN1247" i="11" s="1"/>
  <c r="AO1247" i="11" s="1"/>
  <c r="V1237" i="11" a="1"/>
  <c r="V1237" i="11" s="1"/>
  <c r="X1237" i="11" s="1"/>
  <c r="Y1237" i="11" s="1"/>
  <c r="AL1069" i="11" a="1"/>
  <c r="AL1069" i="11" s="1"/>
  <c r="AN1069" i="11" s="1"/>
  <c r="AO1069" i="11" s="1"/>
  <c r="AH1100" i="11" a="1"/>
  <c r="AH1100" i="11" s="1"/>
  <c r="AJ1100" i="11" s="1"/>
  <c r="AK1100" i="11" s="1"/>
  <c r="N1072" i="11"/>
  <c r="O1072" i="11" s="1"/>
  <c r="AL1260" i="11" a="1"/>
  <c r="AL1260" i="11" s="1"/>
  <c r="AN1260" i="11" s="1"/>
  <c r="AO1260" i="11" s="1"/>
  <c r="AP1259" i="11" a="1"/>
  <c r="AP1259" i="11" s="1"/>
  <c r="AR1259" i="11" s="1"/>
  <c r="AS1259" i="11" s="1"/>
  <c r="AD1271" i="11" a="1"/>
  <c r="AD1271" i="11" s="1"/>
  <c r="AF1271" i="11" s="1"/>
  <c r="AG1271" i="11" s="1"/>
  <c r="AD1283" i="11" a="1"/>
  <c r="AD1283" i="11" s="1"/>
  <c r="AF1283" i="11" s="1"/>
  <c r="AG1283" i="11" s="1"/>
  <c r="AL1250" i="11" a="1"/>
  <c r="AL1250" i="11" s="1"/>
  <c r="AN1250" i="11" s="1"/>
  <c r="AO1250" i="11" s="1"/>
  <c r="AL1282" i="11" a="1"/>
  <c r="AL1282" i="11" s="1"/>
  <c r="AN1282" i="11" s="1"/>
  <c r="AO1282" i="11" s="1"/>
  <c r="AH1251" i="11" a="1"/>
  <c r="AH1251" i="11" s="1"/>
  <c r="AJ1251" i="11" s="1"/>
  <c r="AK1251" i="11" s="1"/>
  <c r="V1250" i="11" a="1"/>
  <c r="V1250" i="11" s="1"/>
  <c r="X1250" i="11" s="1"/>
  <c r="Y1250" i="11" s="1"/>
  <c r="AP1290" i="11" a="1"/>
  <c r="AP1290" i="11" s="1"/>
  <c r="AR1290" i="11" s="1"/>
  <c r="AS1290" i="11" s="1"/>
  <c r="V1255" i="11" a="1"/>
  <c r="V1255" i="11" s="1"/>
  <c r="X1255" i="11" s="1"/>
  <c r="Y1255" i="11" s="1"/>
  <c r="AH1275" i="11" a="1"/>
  <c r="AH1275" i="11" s="1"/>
  <c r="AJ1275" i="11" s="1"/>
  <c r="AK1275" i="11" s="1"/>
  <c r="AP1266" i="11" a="1"/>
  <c r="AP1266" i="11" s="1"/>
  <c r="AR1266" i="11" s="1"/>
  <c r="AS1266" i="11" s="1"/>
  <c r="V1240" i="11" a="1"/>
  <c r="V1240" i="11" s="1"/>
  <c r="X1240" i="11" s="1"/>
  <c r="Y1240" i="11" s="1"/>
  <c r="AP1281" i="11" a="1"/>
  <c r="AP1281" i="11" s="1"/>
  <c r="AR1281" i="11" s="1"/>
  <c r="AS1281" i="11" s="1"/>
  <c r="AL1249" i="11" a="1"/>
  <c r="AL1249" i="11" s="1"/>
  <c r="AN1249" i="11" s="1"/>
  <c r="AO1249" i="11" s="1"/>
  <c r="AH1277" i="11" a="1"/>
  <c r="AH1277" i="11" s="1"/>
  <c r="AJ1277" i="11" s="1"/>
  <c r="AK1277" i="11" s="1"/>
  <c r="AH1243" i="11" a="1"/>
  <c r="AH1243" i="11" s="1"/>
  <c r="AJ1243" i="11" s="1"/>
  <c r="AK1243" i="11" s="1"/>
  <c r="AP1253" i="11" a="1"/>
  <c r="AP1253" i="11" s="1"/>
  <c r="AR1253" i="11" s="1"/>
  <c r="AS1253" i="11" s="1"/>
  <c r="V1285" i="11" a="1"/>
  <c r="V1285" i="11" s="1"/>
  <c r="X1285" i="11" s="1"/>
  <c r="Y1285" i="11" s="1"/>
  <c r="V1241" i="11" a="1"/>
  <c r="V1241" i="11" s="1"/>
  <c r="X1241" i="11" s="1"/>
  <c r="Y1241" i="11" s="1"/>
  <c r="AL1256" i="11" a="1"/>
  <c r="AL1256" i="11" s="1"/>
  <c r="AN1256" i="11" s="1"/>
  <c r="AO1256" i="11" s="1"/>
  <c r="AL1252" i="11" a="1"/>
  <c r="AL1252" i="11" s="1"/>
  <c r="AN1252" i="11" s="1"/>
  <c r="AO1252" i="11" s="1"/>
  <c r="AH1252" i="11" a="1"/>
  <c r="AH1252" i="11" s="1"/>
  <c r="AJ1252" i="11" s="1"/>
  <c r="AK1252" i="11" s="1"/>
  <c r="Z1280" i="11" a="1"/>
  <c r="Z1280" i="11" s="1"/>
  <c r="AB1280" i="11" s="1"/>
  <c r="AC1280" i="11" s="1"/>
  <c r="AD1261" i="11" a="1"/>
  <c r="AD1261" i="11" s="1"/>
  <c r="AF1261" i="11" s="1"/>
  <c r="AG1261" i="11" s="1"/>
  <c r="AP1282" i="11" a="1"/>
  <c r="AP1282" i="11" s="1"/>
  <c r="AR1282" i="11" s="1"/>
  <c r="AS1282" i="11" s="1"/>
  <c r="V1290" i="11" a="1"/>
  <c r="V1290" i="11" s="1"/>
  <c r="X1290" i="11" s="1"/>
  <c r="Y1290" i="11" s="1"/>
  <c r="AD1249" i="11" a="1"/>
  <c r="AD1249" i="11" s="1"/>
  <c r="AF1249" i="11" s="1"/>
  <c r="AG1249" i="11" s="1"/>
  <c r="AL1288" i="11" a="1"/>
  <c r="AL1288" i="11" s="1"/>
  <c r="AN1288" i="11" s="1"/>
  <c r="AO1288" i="11" s="1"/>
  <c r="Z1255" i="11" a="1"/>
  <c r="Z1255" i="11" s="1"/>
  <c r="AB1255" i="11" s="1"/>
  <c r="AC1255" i="11" s="1"/>
  <c r="AL1269" i="11" a="1"/>
  <c r="AL1269" i="11" s="1"/>
  <c r="AN1269" i="11" s="1"/>
  <c r="AO1269" i="11" s="1"/>
  <c r="V1289" i="11" a="1"/>
  <c r="V1289" i="11" s="1"/>
  <c r="X1289" i="11" s="1"/>
  <c r="Y1289" i="11" s="1"/>
  <c r="AD1258" i="11" a="1"/>
  <c r="AD1258" i="11" s="1"/>
  <c r="AF1258" i="11" s="1"/>
  <c r="AG1258" i="11" s="1"/>
  <c r="AL1293" i="11" a="1"/>
  <c r="AL1293" i="11" s="1"/>
  <c r="AN1293" i="11" s="1"/>
  <c r="AO1293" i="11" s="1"/>
  <c r="Z1249" i="11" a="1"/>
  <c r="Z1249" i="11" s="1"/>
  <c r="AB1249" i="11" s="1"/>
  <c r="AC1249" i="11" s="1"/>
  <c r="AH1281" i="11" a="1"/>
  <c r="AH1281" i="11" s="1"/>
  <c r="AJ1281" i="11" s="1"/>
  <c r="AK1281" i="11" s="1"/>
  <c r="V1243" i="11" a="1"/>
  <c r="V1243" i="11" s="1"/>
  <c r="X1243" i="11" s="1"/>
  <c r="Y1243" i="11" s="1"/>
  <c r="AD1275" i="11" a="1"/>
  <c r="AD1275" i="11" s="1"/>
  <c r="AF1275" i="11" s="1"/>
  <c r="AG1275" i="11" s="1"/>
  <c r="AP1242" i="11" a="1"/>
  <c r="AP1242" i="11" s="1"/>
  <c r="AR1242" i="11" s="1"/>
  <c r="AS1242" i="11" s="1"/>
  <c r="AP1249" i="11" a="1"/>
  <c r="AP1249" i="11" s="1"/>
  <c r="AR1249" i="11" s="1"/>
  <c r="AS1249" i="11" s="1"/>
  <c r="AD1273" i="11" a="1"/>
  <c r="AD1273" i="11" s="1"/>
  <c r="AF1273" i="11" s="1"/>
  <c r="AG1273" i="11" s="1"/>
  <c r="AD1260" i="11" a="1"/>
  <c r="AD1260" i="11" s="1"/>
  <c r="AF1260" i="11" s="1"/>
  <c r="AG1260" i="11" s="1"/>
  <c r="V1252" i="11" a="1"/>
  <c r="V1252" i="11" s="1"/>
  <c r="X1252" i="11" s="1"/>
  <c r="Y1252" i="11" s="1"/>
  <c r="Z1290" i="11" a="1"/>
  <c r="Z1290" i="11" s="1"/>
  <c r="AB1290" i="11" s="1"/>
  <c r="AC1290" i="11" s="1"/>
  <c r="Z1291" i="11" a="1"/>
  <c r="Z1291" i="11" s="1"/>
  <c r="AB1291" i="11" s="1"/>
  <c r="AC1291" i="11" s="1"/>
  <c r="Z1250" i="11" a="1"/>
  <c r="Z1250" i="11" s="1"/>
  <c r="AB1250" i="11" s="1"/>
  <c r="AC1250" i="11" s="1"/>
  <c r="AL1242" i="11" a="1"/>
  <c r="AL1242" i="11" s="1"/>
  <c r="AN1242" i="11" s="1"/>
  <c r="AO1242" i="11" s="1"/>
  <c r="AH1261" i="11" a="1"/>
  <c r="AH1261" i="11" s="1"/>
  <c r="AJ1261" i="11" s="1"/>
  <c r="AK1261" i="11" s="1"/>
  <c r="AD1274" i="11" a="1"/>
  <c r="AD1274" i="11" s="1"/>
  <c r="AF1274" i="11" s="1"/>
  <c r="AG1274" i="11" s="1"/>
  <c r="V1292" i="11" a="1"/>
  <c r="V1292" i="11" s="1"/>
  <c r="X1292" i="11" s="1"/>
  <c r="Y1292" i="11" s="1"/>
  <c r="Z1288" i="11" a="1"/>
  <c r="Z1288" i="11" s="1"/>
  <c r="AB1288" i="11" s="1"/>
  <c r="AC1288" i="11" s="1"/>
  <c r="Z1269" i="11" a="1"/>
  <c r="Z1269" i="11" s="1"/>
  <c r="AB1269" i="11" s="1"/>
  <c r="AC1269" i="11" s="1"/>
  <c r="AD1282" i="11" a="1"/>
  <c r="AD1282" i="11" s="1"/>
  <c r="AF1282" i="11" s="1"/>
  <c r="AG1282" i="11" s="1"/>
  <c r="AP1254" i="11" a="1"/>
  <c r="AP1254" i="11" s="1"/>
  <c r="AR1254" i="11" s="1"/>
  <c r="AS1254" i="11" s="1"/>
  <c r="Z1293" i="11" a="1"/>
  <c r="Z1293" i="11" s="1"/>
  <c r="AB1293" i="11" s="1"/>
  <c r="AC1293" i="11" s="1"/>
  <c r="AH1248" i="11" a="1"/>
  <c r="AH1248" i="11" s="1"/>
  <c r="AJ1248" i="11" s="1"/>
  <c r="AK1248" i="11" s="1"/>
  <c r="Z1281" i="11" a="1"/>
  <c r="Z1281" i="11" s="1"/>
  <c r="AB1281" i="11" s="1"/>
  <c r="AC1281" i="11" s="1"/>
  <c r="AD1242" i="11" a="1"/>
  <c r="AD1242" i="11" s="1"/>
  <c r="AF1242" i="11" s="1"/>
  <c r="AG1242" i="11" s="1"/>
  <c r="Z1272" i="11" a="1"/>
  <c r="Z1272" i="11" s="1"/>
  <c r="AB1272" i="11" s="1"/>
  <c r="AC1272" i="11" s="1"/>
  <c r="AH1235" i="11" a="1"/>
  <c r="AH1235" i="11" s="1"/>
  <c r="AJ1235" i="11" s="1"/>
  <c r="AK1235" i="11" s="1"/>
  <c r="AD1253" i="11" a="1"/>
  <c r="AD1253" i="11" s="1"/>
  <c r="AF1253" i="11" s="1"/>
  <c r="AG1253" i="11" s="1"/>
  <c r="Z1247" i="11" a="1"/>
  <c r="Z1247" i="11" s="1"/>
  <c r="AB1247" i="11" s="1"/>
  <c r="AC1247" i="11" s="1"/>
  <c r="V1249" i="11" a="1"/>
  <c r="V1249" i="11" s="1"/>
  <c r="X1249" i="11" s="1"/>
  <c r="Y1249" i="11" s="1"/>
  <c r="AH1238" i="11" a="1"/>
  <c r="AH1238" i="11" s="1"/>
  <c r="AJ1238" i="11" s="1"/>
  <c r="AK1238" i="11" s="1"/>
  <c r="Z1282" i="11" a="1"/>
  <c r="Z1282" i="11" s="1"/>
  <c r="AB1282" i="11" s="1"/>
  <c r="AC1282" i="11" s="1"/>
  <c r="AH1290" i="11" a="1"/>
  <c r="AH1290" i="11" s="1"/>
  <c r="AJ1290" i="11" s="1"/>
  <c r="AK1290" i="11" s="1"/>
  <c r="AH1249" i="11" a="1"/>
  <c r="AH1249" i="11" s="1"/>
  <c r="AJ1249" i="11" s="1"/>
  <c r="AK1249" i="11" s="1"/>
  <c r="AP1280" i="11" a="1"/>
  <c r="AP1280" i="11" s="1"/>
  <c r="AR1280" i="11" s="1"/>
  <c r="AS1280" i="11" s="1"/>
  <c r="V1236" i="11" a="1"/>
  <c r="V1236" i="11" s="1"/>
  <c r="X1236" i="11" s="1"/>
  <c r="Y1236" i="11" s="1"/>
  <c r="AD1259" i="11" a="1"/>
  <c r="AD1259" i="11" s="1"/>
  <c r="AF1259" i="11" s="1"/>
  <c r="AG1259" i="11" s="1"/>
  <c r="AL1271" i="11" a="1"/>
  <c r="AL1271" i="11" s="1"/>
  <c r="AN1271" i="11" s="1"/>
  <c r="AO1271" i="11" s="1"/>
  <c r="AL1248" i="11" a="1"/>
  <c r="AL1248" i="11" s="1"/>
  <c r="AN1248" i="11" s="1"/>
  <c r="AO1248" i="11" s="1"/>
  <c r="AP1255" i="11" a="1"/>
  <c r="AP1255" i="11" s="1"/>
  <c r="AR1255" i="11" s="1"/>
  <c r="AS1255" i="11" s="1"/>
  <c r="AP1269" i="11" a="1"/>
  <c r="AP1269" i="11" s="1"/>
  <c r="AR1269" i="11" s="1"/>
  <c r="AS1269" i="11" s="1"/>
  <c r="AL1279" i="11" a="1"/>
  <c r="AL1279" i="11" s="1"/>
  <c r="AN1279" i="11" s="1"/>
  <c r="AO1279" i="11" s="1"/>
  <c r="AP1247" i="11" a="1"/>
  <c r="AP1247" i="11" s="1"/>
  <c r="AR1247" i="11" s="1"/>
  <c r="AS1247" i="11" s="1"/>
  <c r="AL1287" i="11" a="1"/>
  <c r="AL1287" i="11" s="1"/>
  <c r="AN1287" i="11" s="1"/>
  <c r="AO1287" i="11" s="1"/>
  <c r="AH1253" i="11" a="1"/>
  <c r="AH1253" i="11" s="1"/>
  <c r="AJ1253" i="11" s="1"/>
  <c r="AK1253" i="11" s="1"/>
  <c r="AH1246" i="11" a="1"/>
  <c r="AH1246" i="11" s="1"/>
  <c r="AJ1246" i="11" s="1"/>
  <c r="AK1246" i="11" s="1"/>
  <c r="Z1246" i="11" a="1"/>
  <c r="Z1246" i="11" s="1"/>
  <c r="AB1246" i="11" s="1"/>
  <c r="AC1246" i="11" s="1"/>
  <c r="AL1239" i="11" a="1"/>
  <c r="AL1239" i="11" s="1"/>
  <c r="AN1239" i="11" s="1"/>
  <c r="AO1239" i="11" s="1"/>
  <c r="AL1272" i="11" a="1"/>
  <c r="AL1272" i="11" s="1"/>
  <c r="AN1272" i="11" s="1"/>
  <c r="AO1272" i="11" s="1"/>
  <c r="R1087" i="11"/>
  <c r="AP1069" i="11" a="1"/>
  <c r="AP1069" i="11" s="1"/>
  <c r="AR1069" i="11" s="1"/>
  <c r="AS1069" i="11" s="1"/>
  <c r="R1108" i="11"/>
  <c r="R1115" i="11"/>
  <c r="R1149" i="11"/>
  <c r="R1166" i="11"/>
  <c r="R1217" i="11"/>
  <c r="Z1274" i="11" a="1"/>
  <c r="Z1274" i="11" s="1"/>
  <c r="AB1274" i="11" s="1"/>
  <c r="AC1274" i="11" s="1"/>
  <c r="Z1283" i="11" a="1"/>
  <c r="Z1283" i="11" s="1"/>
  <c r="AB1283" i="11" s="1"/>
  <c r="AC1283" i="11" s="1"/>
  <c r="AP1248" i="11" a="1"/>
  <c r="AP1248" i="11" s="1"/>
  <c r="AR1248" i="11" s="1"/>
  <c r="AS1248" i="11" s="1"/>
  <c r="AH1280" i="11" a="1"/>
  <c r="AH1280" i="11" s="1"/>
  <c r="AJ1280" i="11" s="1"/>
  <c r="AK1280" i="11" s="1"/>
  <c r="AD1235" i="11" a="1"/>
  <c r="AD1235" i="11" s="1"/>
  <c r="AF1235" i="11" s="1"/>
  <c r="AG1235" i="11" s="1"/>
  <c r="Z1256" i="11" a="1"/>
  <c r="Z1256" i="11" s="1"/>
  <c r="AB1256" i="11" s="1"/>
  <c r="AC1256" i="11" s="1"/>
  <c r="AP1270" i="11" a="1"/>
  <c r="AP1270" i="11" s="1"/>
  <c r="AR1270" i="11" s="1"/>
  <c r="AS1270" i="11" s="1"/>
  <c r="V1293" i="11" a="1"/>
  <c r="V1293" i="11" s="1"/>
  <c r="X1293" i="11" s="1"/>
  <c r="Y1293" i="11" s="1"/>
  <c r="AP1288" i="11" a="1"/>
  <c r="AP1288" i="11" s="1"/>
  <c r="AR1288" i="11" s="1"/>
  <c r="AS1288" i="11" s="1"/>
  <c r="AD1254" i="11" a="1"/>
  <c r="AD1254" i="11" s="1"/>
  <c r="AF1254" i="11" s="1"/>
  <c r="AG1254" i="11" s="1"/>
  <c r="AP1293" i="11" a="1"/>
  <c r="AP1293" i="11" s="1"/>
  <c r="AR1293" i="11" s="1"/>
  <c r="AS1293" i="11" s="1"/>
  <c r="Z1241" i="11" a="1"/>
  <c r="Z1241" i="11" s="1"/>
  <c r="AB1241" i="11" s="1"/>
  <c r="AC1241" i="11" s="1"/>
  <c r="V1276" i="11" a="1"/>
  <c r="V1276" i="11" s="1"/>
  <c r="X1276" i="11" s="1"/>
  <c r="Y1276" i="11" s="1"/>
  <c r="AL1241" i="11" a="1"/>
  <c r="AL1241" i="11" s="1"/>
  <c r="AN1241" i="11" s="1"/>
  <c r="AO1241" i="11" s="1"/>
  <c r="AP1272" i="11" a="1"/>
  <c r="AP1272" i="11" s="1"/>
  <c r="AR1272" i="11" s="1"/>
  <c r="AS1272" i="11" s="1"/>
  <c r="AP1286" i="11" a="1"/>
  <c r="AP1286" i="11" s="1"/>
  <c r="AR1286" i="11" s="1"/>
  <c r="AS1286" i="11" s="1"/>
  <c r="AL1244" i="11" a="1"/>
  <c r="AL1244" i="11" s="1"/>
  <c r="AN1244" i="11" s="1"/>
  <c r="AO1244" i="11" s="1"/>
  <c r="AP1268" i="11" a="1"/>
  <c r="AP1268" i="11" s="1"/>
  <c r="AR1268" i="11" s="1"/>
  <c r="AS1268" i="11" s="1"/>
  <c r="AP1236" i="11" a="1"/>
  <c r="AP1236" i="11" s="1"/>
  <c r="AR1236" i="11" s="1"/>
  <c r="AS1236" i="11" s="1"/>
  <c r="AL1263" i="11" a="1"/>
  <c r="AL1263" i="11" s="1"/>
  <c r="AN1263" i="11" s="1"/>
  <c r="AO1263" i="11" s="1"/>
  <c r="V1064" i="11" a="1"/>
  <c r="V1064" i="11" s="1"/>
  <c r="X1064" i="11" s="1"/>
  <c r="Y1064" i="11" s="1"/>
  <c r="AR1081" i="11"/>
  <c r="AS1081" i="11" s="1"/>
  <c r="R1172" i="11"/>
  <c r="R1202" i="11"/>
  <c r="R1221" i="11"/>
  <c r="Z1118" i="11" a="1"/>
  <c r="Z1118" i="11" s="1"/>
  <c r="AB1118" i="11" s="1"/>
  <c r="AC1118" i="11" s="1"/>
  <c r="Z1124" i="11" a="1"/>
  <c r="Z1124" i="11" s="1"/>
  <c r="AB1124" i="11" s="1"/>
  <c r="AC1124" i="11" s="1"/>
  <c r="R1186" i="11"/>
  <c r="R1225" i="11"/>
  <c r="AD1078" i="11" a="1"/>
  <c r="AD1078" i="11" s="1"/>
  <c r="AF1078" i="11" s="1"/>
  <c r="AG1078" i="11" s="1"/>
  <c r="R1092" i="11"/>
  <c r="AH1095" i="11" a="1"/>
  <c r="AH1095" i="11" s="1"/>
  <c r="AJ1095" i="11" s="1"/>
  <c r="AK1095" i="11" s="1"/>
  <c r="R1102" i="11"/>
  <c r="R1176" i="11"/>
  <c r="R1195" i="11"/>
  <c r="Z1071" i="11" a="1"/>
  <c r="Z1071" i="11" s="1"/>
  <c r="AB1071" i="11" s="1"/>
  <c r="AC1071" i="11" s="1"/>
  <c r="AJ1070" i="11"/>
  <c r="AK1070" i="11" s="1"/>
  <c r="AD1072" i="11" a="1"/>
  <c r="AD1072" i="11" s="1"/>
  <c r="AF1072" i="11" s="1"/>
  <c r="AG1072" i="11" s="1"/>
  <c r="AH1078" i="11" a="1"/>
  <c r="AH1078" i="11" s="1"/>
  <c r="AJ1078" i="11" s="1"/>
  <c r="AK1078" i="11" s="1"/>
  <c r="AP1124" i="11" a="1"/>
  <c r="AP1124" i="11" s="1"/>
  <c r="AR1124" i="11" s="1"/>
  <c r="AS1124" i="11" s="1"/>
  <c r="R1224" i="11"/>
  <c r="AD1085" i="11" a="1"/>
  <c r="AD1085" i="11" s="1"/>
  <c r="AF1085" i="11" s="1"/>
  <c r="AG1085" i="11" s="1"/>
  <c r="AD1065" i="11" a="1"/>
  <c r="AD1065" i="11" s="1"/>
  <c r="AF1065" i="11" s="1"/>
  <c r="AG1065" i="11" s="1"/>
  <c r="AH1067" i="11" a="1"/>
  <c r="AH1067" i="11" s="1"/>
  <c r="AJ1067" i="11" s="1"/>
  <c r="AK1067" i="11" s="1"/>
  <c r="AH1071" i="11" a="1"/>
  <c r="AH1071" i="11" s="1"/>
  <c r="R1091" i="11"/>
  <c r="R1136" i="11"/>
  <c r="AD1064" i="11" a="1"/>
  <c r="AD1064" i="11" s="1"/>
  <c r="AF1064" i="11" s="1"/>
  <c r="AG1064" i="11" s="1"/>
  <c r="R1098" i="11"/>
  <c r="AH1081" i="11" a="1"/>
  <c r="AH1081" i="11" s="1"/>
  <c r="AJ1081" i="11" s="1"/>
  <c r="AK1081" i="11" s="1"/>
  <c r="AL1078" i="11" a="1"/>
  <c r="AL1078" i="11" s="1"/>
  <c r="AN1078" i="11" s="1"/>
  <c r="AO1078" i="11" s="1"/>
  <c r="AL1086" i="11" a="1"/>
  <c r="AL1086" i="11" s="1"/>
  <c r="AN1086" i="11" s="1"/>
  <c r="AO1086" i="11" s="1"/>
  <c r="R1180" i="11"/>
  <c r="AD1074" i="11" a="1"/>
  <c r="AD1074" i="11" s="1"/>
  <c r="AF1074" i="11" s="1"/>
  <c r="AG1074" i="11" s="1"/>
  <c r="R1209" i="11"/>
  <c r="AD1067" i="11" a="1"/>
  <c r="AD1067" i="11" s="1"/>
  <c r="AL1065" i="11" a="1"/>
  <c r="AL1065" i="11" s="1"/>
  <c r="AN1065" i="11" s="1"/>
  <c r="AO1065" i="11" s="1"/>
  <c r="AN1071" i="11"/>
  <c r="AO1071" i="11" s="1"/>
  <c r="AD1118" i="11" a="1"/>
  <c r="AD1118" i="11" s="1"/>
  <c r="AF1118" i="11" s="1"/>
  <c r="AG1118" i="11" s="1"/>
  <c r="Z1064" i="11" a="1"/>
  <c r="Z1064" i="11" s="1"/>
  <c r="AB1064" i="11" s="1"/>
  <c r="AC1064" i="11" s="1"/>
  <c r="N1071" i="11"/>
  <c r="O1071" i="11" s="1"/>
  <c r="R1080" i="11"/>
  <c r="AP1086" i="11" a="1"/>
  <c r="AP1086" i="11" s="1"/>
  <c r="AR1086" i="11" s="1"/>
  <c r="AS1086" i="11" s="1"/>
  <c r="R1232" i="11"/>
  <c r="R1071" i="11"/>
  <c r="R1078" i="11"/>
  <c r="R1085" i="11"/>
  <c r="R1086" i="11"/>
  <c r="R1095" i="11"/>
  <c r="R1114" i="11"/>
  <c r="R1065" i="11"/>
  <c r="AH1101" i="11" a="1"/>
  <c r="AH1101" i="11" s="1"/>
  <c r="AJ1101" i="11" s="1"/>
  <c r="AK1101" i="11" s="1"/>
  <c r="R1178" i="11"/>
  <c r="R1192" i="11"/>
  <c r="R1197" i="11"/>
  <c r="R1207" i="11"/>
  <c r="R1064" i="11"/>
  <c r="R1152" i="11"/>
  <c r="AN1100" i="11"/>
  <c r="AO1100" i="11" s="1"/>
  <c r="AN1105" i="11"/>
  <c r="AO1105" i="11" s="1"/>
  <c r="AB1078" i="11"/>
  <c r="AC1078" i="11" s="1"/>
  <c r="E6" i="3"/>
  <c r="E3" i="13"/>
  <c r="AR1088" i="11"/>
  <c r="AS1088" i="11" s="1"/>
  <c r="L2" i="9"/>
  <c r="AB1102" i="11"/>
  <c r="AC1102" i="11" s="1"/>
  <c r="AF1082" i="11"/>
  <c r="AG1082" i="11" s="1"/>
  <c r="R1099" i="11"/>
  <c r="E8" i="9"/>
  <c r="AB1065" i="11"/>
  <c r="AC1065" i="11" s="1"/>
  <c r="AR1089" i="11"/>
  <c r="AS1089" i="11" s="1"/>
  <c r="X1070" i="11"/>
  <c r="Y1070" i="11" s="1"/>
  <c r="E12" i="9"/>
  <c r="AN1070" i="11"/>
  <c r="AO1070" i="11" s="1"/>
  <c r="E9" i="9"/>
  <c r="AR1100" i="11"/>
  <c r="AS1100" i="11" s="1"/>
  <c r="E5" i="3"/>
  <c r="E3" i="8"/>
  <c r="AB1070" i="11"/>
  <c r="AC1070" i="11" s="1"/>
  <c r="E11" i="8"/>
  <c r="E2" i="8"/>
  <c r="E3" i="9"/>
  <c r="AB1072" i="11"/>
  <c r="AC1072" i="11" s="1"/>
  <c r="AB1085" i="11"/>
  <c r="AC1085" i="11" s="1"/>
  <c r="L3" i="8"/>
  <c r="E6" i="9"/>
  <c r="X1089" i="11"/>
  <c r="Y1089" i="11" s="1"/>
  <c r="E11" i="9"/>
  <c r="AJ1083" i="11"/>
  <c r="AK1083" i="11" s="1"/>
  <c r="AB1089" i="11"/>
  <c r="AC1089" i="11" s="1"/>
  <c r="AF1096" i="11"/>
  <c r="AG1096" i="11" s="1"/>
  <c r="AN1089" i="11"/>
  <c r="AO1089" i="11" s="1"/>
  <c r="L2" i="13"/>
  <c r="E5" i="13"/>
  <c r="AJ14" i="7"/>
  <c r="AI11" i="7"/>
  <c r="AJ12" i="7"/>
  <c r="AJ5" i="7"/>
  <c r="AI3" i="7"/>
  <c r="AJ7" i="7"/>
  <c r="AJ6" i="7"/>
  <c r="AJ4" i="7"/>
  <c r="H6" i="8"/>
  <c r="L5" i="8"/>
  <c r="AI3" i="3"/>
  <c r="AJ4" i="3"/>
  <c r="L4" i="8"/>
  <c r="L4" i="9"/>
  <c r="H5" i="9"/>
  <c r="E2" i="9"/>
  <c r="L3" i="9"/>
  <c r="E6" i="8"/>
  <c r="E5" i="9"/>
  <c r="E9" i="8"/>
  <c r="E12" i="8"/>
  <c r="E8" i="8"/>
  <c r="E5" i="8"/>
  <c r="L2" i="8"/>
  <c r="AH1197" i="11" a="1"/>
  <c r="AH1197" i="11" s="1"/>
  <c r="AJ1197" i="11" s="1"/>
  <c r="AK1197" i="11" s="1"/>
  <c r="AD1197" i="11" a="1"/>
  <c r="AD1197" i="11" s="1"/>
  <c r="AF1197" i="11" s="1"/>
  <c r="AG1197" i="11" s="1"/>
  <c r="Z1197" i="11" a="1"/>
  <c r="Z1197" i="11" s="1"/>
  <c r="AB1197" i="11" s="1"/>
  <c r="AC1197" i="11" s="1"/>
  <c r="AH1150" i="11" a="1"/>
  <c r="AH1150" i="11" s="1"/>
  <c r="AJ1150" i="11" s="1"/>
  <c r="AK1150" i="11" s="1"/>
  <c r="AL1197" i="11" a="1"/>
  <c r="AL1197" i="11" s="1"/>
  <c r="AN1197" i="11" s="1"/>
  <c r="AO1197" i="11" s="1"/>
  <c r="AH1184" i="11" a="1"/>
  <c r="AH1184" i="11" s="1"/>
  <c r="AJ1184" i="11" s="1"/>
  <c r="AK1184" i="11" s="1"/>
  <c r="Z1184" i="11" a="1"/>
  <c r="Z1184" i="11" s="1"/>
  <c r="AB1184" i="11" s="1"/>
  <c r="AC1184" i="11" s="1"/>
  <c r="V1222" i="11" a="1"/>
  <c r="V1222" i="11" s="1"/>
  <c r="X1222" i="11" s="1"/>
  <c r="Y1222" i="11" s="1"/>
  <c r="AL1184" i="11" a="1"/>
  <c r="AL1184" i="11" s="1"/>
  <c r="AN1184" i="11" s="1"/>
  <c r="AO1184" i="11" s="1"/>
  <c r="AP1150" i="11" a="1"/>
  <c r="AP1150" i="11" s="1"/>
  <c r="AR1150" i="11" s="1"/>
  <c r="AS1150" i="11" s="1"/>
  <c r="Z1170" i="11" a="1"/>
  <c r="Z1170" i="11" s="1"/>
  <c r="AB1170" i="11" s="1"/>
  <c r="AC1170" i="11" s="1"/>
  <c r="V1165" i="11" a="1"/>
  <c r="V1165" i="11" s="1"/>
  <c r="X1165" i="11" s="1"/>
  <c r="Y1165" i="11" s="1"/>
  <c r="Z1167" i="11" a="1"/>
  <c r="Z1167" i="11" s="1"/>
  <c r="AB1167" i="11" s="1"/>
  <c r="AC1167" i="11" s="1"/>
  <c r="AL1150" i="11" a="1"/>
  <c r="AL1150" i="11" s="1"/>
  <c r="AN1150" i="11" s="1"/>
  <c r="AO1150" i="11" s="1"/>
  <c r="AP1170" i="11" a="1"/>
  <c r="AP1170" i="11" s="1"/>
  <c r="AR1170" i="11" s="1"/>
  <c r="AS1170" i="11" s="1"/>
  <c r="V1170" i="11" a="1"/>
  <c r="V1170" i="11" s="1"/>
  <c r="X1170" i="11" s="1"/>
  <c r="Y1170" i="11" s="1"/>
  <c r="V1167" i="11" a="1"/>
  <c r="V1167" i="11" s="1"/>
  <c r="X1167" i="11" s="1"/>
  <c r="Y1167" i="11" s="1"/>
  <c r="AH1165" i="11" a="1"/>
  <c r="AH1165" i="11" s="1"/>
  <c r="AJ1165" i="11" s="1"/>
  <c r="AK1165" i="11" s="1"/>
  <c r="V1197" i="11" a="1"/>
  <c r="V1197" i="11" s="1"/>
  <c r="X1197" i="11" s="1"/>
  <c r="Y1197" i="11" s="1"/>
  <c r="AL1170" i="11" a="1"/>
  <c r="AL1170" i="11" s="1"/>
  <c r="AN1170" i="11" s="1"/>
  <c r="AO1170" i="11" s="1"/>
  <c r="AD1150" i="11" a="1"/>
  <c r="AD1150" i="11" s="1"/>
  <c r="AF1150" i="11" s="1"/>
  <c r="AG1150" i="11" s="1"/>
  <c r="Z1150" i="11" a="1"/>
  <c r="Z1150" i="11" s="1"/>
  <c r="AB1150" i="11" s="1"/>
  <c r="AC1150" i="11" s="1"/>
  <c r="V1150" i="11" a="1"/>
  <c r="V1150" i="11" s="1"/>
  <c r="X1150" i="11" s="1"/>
  <c r="Y1150" i="11" s="1"/>
  <c r="AP1129" i="11" a="1"/>
  <c r="AP1129" i="11" s="1"/>
  <c r="AR1129" i="11" s="1"/>
  <c r="AS1129" i="11" s="1"/>
  <c r="AL1091" i="11" a="1"/>
  <c r="AL1091" i="11" s="1"/>
  <c r="AN1091" i="11" s="1"/>
  <c r="AO1091" i="11" s="1"/>
  <c r="AH1099" i="11" a="1"/>
  <c r="AH1099" i="11" s="1"/>
  <c r="AJ1099" i="11" s="1"/>
  <c r="AK1099" i="11" s="1"/>
  <c r="AH1087" i="11" a="1"/>
  <c r="AH1087" i="11" s="1"/>
  <c r="AJ1087" i="11" s="1"/>
  <c r="AK1087" i="11" s="1"/>
  <c r="AD1093" i="11" a="1"/>
  <c r="AD1093" i="11" s="1"/>
  <c r="AF1093" i="11" s="1"/>
  <c r="AG1093" i="11" s="1"/>
  <c r="AH1091" i="11" a="1"/>
  <c r="AH1091" i="11" s="1"/>
  <c r="AJ1091" i="11" s="1"/>
  <c r="AK1091" i="11" s="1"/>
  <c r="AD1087" i="11" a="1"/>
  <c r="AD1087" i="11" s="1"/>
  <c r="AF1087" i="11" s="1"/>
  <c r="AG1087" i="11" s="1"/>
  <c r="V1129" i="11" a="1"/>
  <c r="V1129" i="11" s="1"/>
  <c r="X1129" i="11" s="1"/>
  <c r="Y1129" i="11" s="1"/>
  <c r="AP1093" i="11" a="1"/>
  <c r="AP1093" i="11" s="1"/>
  <c r="AR1093" i="11" s="1"/>
  <c r="AS1093" i="11" s="1"/>
  <c r="AP1087" i="11" a="1"/>
  <c r="AP1087" i="11" s="1"/>
  <c r="AR1087" i="11" s="1"/>
  <c r="AS1087" i="11" s="1"/>
  <c r="Z1087" i="11" a="1"/>
  <c r="Z1087" i="11" s="1"/>
  <c r="AB1087" i="11" s="1"/>
  <c r="AC1087" i="11" s="1"/>
  <c r="V1093" i="11" a="1"/>
  <c r="V1093" i="11" s="1"/>
  <c r="X1093" i="11" s="1"/>
  <c r="Y1093" i="11" s="1"/>
  <c r="AL1093" i="11" a="1"/>
  <c r="AL1093" i="11" s="1"/>
  <c r="AN1093" i="11" s="1"/>
  <c r="AO1093" i="11" s="1"/>
  <c r="AP1091" i="11" a="1"/>
  <c r="AP1091" i="11" s="1"/>
  <c r="AR1091" i="11" s="1"/>
  <c r="AS1091" i="11" s="1"/>
  <c r="AP1063" i="11" a="1"/>
  <c r="AP1063" i="11" s="1"/>
  <c r="AR1063" i="11" s="1"/>
  <c r="AS1063" i="11" s="1"/>
  <c r="N1063" i="11"/>
  <c r="O1063" i="11" s="1"/>
  <c r="AD1117" i="11" a="1"/>
  <c r="AD1117" i="11" s="1"/>
  <c r="AF1117" i="11" s="1"/>
  <c r="AG1117" i="11" s="1"/>
  <c r="AL1087" i="11" a="1"/>
  <c r="AL1087" i="11" s="1"/>
  <c r="AN1087" i="11" s="1"/>
  <c r="AO1087" i="11" s="1"/>
  <c r="AL1063" i="11" a="1"/>
  <c r="AL1063" i="11" s="1"/>
  <c r="AN1063" i="11" s="1"/>
  <c r="AO1063" i="11" s="1"/>
  <c r="AH1093" i="11" a="1"/>
  <c r="AH1093" i="11" s="1"/>
  <c r="AJ1093" i="11" s="1"/>
  <c r="AK1093" i="11" s="1"/>
  <c r="AL1099" i="11" a="1"/>
  <c r="AL1099" i="11" s="1"/>
  <c r="AN1099" i="11" s="1"/>
  <c r="AO1099" i="11" s="1"/>
  <c r="AH1063" i="11" a="1"/>
  <c r="AH1063" i="11" s="1"/>
  <c r="AJ1063" i="11" s="1"/>
  <c r="AK1063" i="11" s="1"/>
  <c r="AD1063" i="11" a="1"/>
  <c r="AD1063" i="11" s="1"/>
  <c r="AF1063" i="11" s="1"/>
  <c r="AG1063" i="11" s="1"/>
  <c r="Z1063" i="11" a="1"/>
  <c r="Z1063" i="11" s="1"/>
  <c r="AB1063" i="11" s="1"/>
  <c r="AC1063" i="11" s="1"/>
  <c r="V1099" i="11" a="1"/>
  <c r="V1099" i="11" s="1"/>
  <c r="X1099" i="11" s="1"/>
  <c r="Y1099" i="11" s="1"/>
  <c r="V1063" i="11" a="1"/>
  <c r="V1063" i="11" s="1"/>
  <c r="X1063" i="11" s="1"/>
  <c r="Y1063" i="11" s="1"/>
  <c r="V1087" i="11" a="1"/>
  <c r="V1087" i="11" s="1"/>
  <c r="X1087" i="11" s="1"/>
  <c r="Y1087" i="11" s="1"/>
  <c r="R1063" i="11"/>
  <c r="V1062" i="11" a="1"/>
  <c r="V1062" i="11" s="1"/>
  <c r="X1062" i="11" s="1"/>
  <c r="Y1062" i="11" s="1"/>
  <c r="Z1228" i="11" a="1"/>
  <c r="Z1228" i="11" s="1"/>
  <c r="AB1228" i="11" s="1"/>
  <c r="AC1228" i="11" s="1"/>
  <c r="AP1214" i="11" a="1"/>
  <c r="AP1214" i="11" s="1"/>
  <c r="AR1214" i="11" s="1"/>
  <c r="AS1214" i="11" s="1"/>
  <c r="V1214" i="11" a="1"/>
  <c r="V1214" i="11" s="1"/>
  <c r="X1214" i="11" s="1"/>
  <c r="Y1214" i="11" s="1"/>
  <c r="AL1228" i="11" a="1"/>
  <c r="AL1228" i="11" s="1"/>
  <c r="AN1228" i="11" s="1"/>
  <c r="AO1228" i="11" s="1"/>
  <c r="AP1149" i="11" a="1"/>
  <c r="AP1149" i="11" s="1"/>
  <c r="AR1149" i="11" s="1"/>
  <c r="AS1149" i="11" s="1"/>
  <c r="AL1149" i="11" a="1"/>
  <c r="AL1149" i="11" s="1"/>
  <c r="AN1149" i="11" s="1"/>
  <c r="AO1149" i="11" s="1"/>
  <c r="AP1207" i="11" a="1"/>
  <c r="AP1207" i="11" s="1"/>
  <c r="AR1207" i="11" s="1"/>
  <c r="AS1207" i="11" s="1"/>
  <c r="Z1185" i="11" a="1"/>
  <c r="Z1185" i="11" s="1"/>
  <c r="AB1185" i="11" s="1"/>
  <c r="AC1185" i="11" s="1"/>
  <c r="AL1185" i="11" a="1"/>
  <c r="AL1185" i="11" s="1"/>
  <c r="AN1185" i="11" s="1"/>
  <c r="AO1185" i="11" s="1"/>
  <c r="AD1149" i="11" a="1"/>
  <c r="AD1149" i="11" s="1"/>
  <c r="AF1149" i="11" s="1"/>
  <c r="AG1149" i="11" s="1"/>
  <c r="AD1173" i="11" a="1"/>
  <c r="AD1173" i="11" s="1"/>
  <c r="AF1173" i="11" s="1"/>
  <c r="AG1173" i="11" s="1"/>
  <c r="Z1173" i="11" a="1"/>
  <c r="Z1173" i="11" s="1"/>
  <c r="AB1173" i="11" s="1"/>
  <c r="AC1173" i="11" s="1"/>
  <c r="V1149" i="11" a="1"/>
  <c r="V1149" i="11" s="1"/>
  <c r="X1149" i="11" s="1"/>
  <c r="Y1149" i="11" s="1"/>
  <c r="V1173" i="11" a="1"/>
  <c r="V1173" i="11" s="1"/>
  <c r="X1173" i="11" s="1"/>
  <c r="Y1173" i="11" s="1"/>
  <c r="Z1149" i="11" a="1"/>
  <c r="Z1149" i="11" s="1"/>
  <c r="AB1149" i="11" s="1"/>
  <c r="AC1149" i="11" s="1"/>
  <c r="AD1115" i="11" a="1"/>
  <c r="AD1115" i="11" s="1"/>
  <c r="AF1115" i="11" s="1"/>
  <c r="AG1115" i="11" s="1"/>
  <c r="AP1115" i="11" a="1"/>
  <c r="AP1115" i="11" s="1"/>
  <c r="AR1115" i="11" s="1"/>
  <c r="AS1115" i="11" s="1"/>
  <c r="AP1173" i="11" a="1"/>
  <c r="AP1173" i="11" s="1"/>
  <c r="AR1173" i="11" s="1"/>
  <c r="AS1173" i="11" s="1"/>
  <c r="AH1149" i="11" a="1"/>
  <c r="AH1149" i="11" s="1"/>
  <c r="AJ1149" i="11" s="1"/>
  <c r="AK1149" i="11" s="1"/>
  <c r="AH1080" i="11" a="1"/>
  <c r="AH1080" i="11" s="1"/>
  <c r="AJ1080" i="11" s="1"/>
  <c r="AK1080" i="11" s="1"/>
  <c r="V1115" i="11" a="1"/>
  <c r="V1115" i="11" s="1"/>
  <c r="X1115" i="11" s="1"/>
  <c r="Y1115" i="11" s="1"/>
  <c r="AH1115" i="11" a="1"/>
  <c r="AH1115" i="11" s="1"/>
  <c r="AJ1115" i="11" s="1"/>
  <c r="AK1115" i="11" s="1"/>
  <c r="AP1066" i="11" a="1"/>
  <c r="AP1066" i="11" s="1"/>
  <c r="AR1066" i="11" s="1"/>
  <c r="AS1066" i="11" s="1"/>
  <c r="Z1115" i="11" a="1"/>
  <c r="Z1115" i="11" s="1"/>
  <c r="AB1115" i="11" s="1"/>
  <c r="AC1115" i="11" s="1"/>
  <c r="AL1066" i="11" a="1"/>
  <c r="AL1066" i="11" s="1"/>
  <c r="AN1066" i="11" s="1"/>
  <c r="AO1066" i="11" s="1"/>
  <c r="V1066" i="11" a="1"/>
  <c r="V1066" i="11" s="1"/>
  <c r="X1066" i="11" s="1"/>
  <c r="Y1066" i="11" s="1"/>
  <c r="AD1080" i="11" a="1"/>
  <c r="AD1080" i="11" s="1"/>
  <c r="AF1080" i="11" s="1"/>
  <c r="AG1080" i="11" s="1"/>
  <c r="Z1066" i="11" a="1"/>
  <c r="Z1066" i="11" s="1"/>
  <c r="AB1066" i="11" s="1"/>
  <c r="AC1066" i="11" s="1"/>
  <c r="Z1080" i="11" a="1"/>
  <c r="Z1080" i="11" s="1"/>
  <c r="AB1080" i="11" s="1"/>
  <c r="AC1080" i="11" s="1"/>
  <c r="V1080" i="11" a="1"/>
  <c r="V1080" i="11" s="1"/>
  <c r="X1080" i="11" s="1"/>
  <c r="Y1080" i="11" s="1"/>
  <c r="AP1080" i="11" a="1"/>
  <c r="AP1080" i="11" s="1"/>
  <c r="AR1080" i="11" s="1"/>
  <c r="AS1080" i="11" s="1"/>
  <c r="R1066" i="11"/>
  <c r="AL1080" i="11" a="1"/>
  <c r="AL1080" i="11" s="1"/>
  <c r="AN1080" i="11" s="1"/>
  <c r="AO1080" i="11" s="1"/>
  <c r="AD1217" i="11" a="1"/>
  <c r="AD1217" i="11" s="1"/>
  <c r="AF1217" i="11" s="1"/>
  <c r="AG1217" i="11" s="1"/>
  <c r="Z1234" i="11" a="1"/>
  <c r="Z1234" i="11" s="1"/>
  <c r="AB1234" i="11" s="1"/>
  <c r="AC1234" i="11" s="1"/>
  <c r="AH1217" i="11" a="1"/>
  <c r="AH1217" i="11" s="1"/>
  <c r="AJ1217" i="11" s="1"/>
  <c r="AK1217" i="11" s="1"/>
  <c r="AP1234" i="11" a="1"/>
  <c r="AP1234" i="11" s="1"/>
  <c r="AR1234" i="11" s="1"/>
  <c r="AS1234" i="11" s="1"/>
  <c r="AL1234" i="11" a="1"/>
  <c r="AL1234" i="11" s="1"/>
  <c r="AN1234" i="11" s="1"/>
  <c r="AO1234" i="11" s="1"/>
  <c r="Z1217" i="11" a="1"/>
  <c r="Z1217" i="11" s="1"/>
  <c r="AB1217" i="11" s="1"/>
  <c r="AC1217" i="11" s="1"/>
  <c r="AP1217" i="11" a="1"/>
  <c r="AP1217" i="11" s="1"/>
  <c r="AR1217" i="11" s="1"/>
  <c r="AS1217" i="11" s="1"/>
  <c r="V1217" i="11" a="1"/>
  <c r="V1217" i="11" s="1"/>
  <c r="X1217" i="11" s="1"/>
  <c r="Y1217" i="11" s="1"/>
  <c r="AP1190" i="11" a="1"/>
  <c r="AP1190" i="11" s="1"/>
  <c r="AR1190" i="11" s="1"/>
  <c r="AS1190" i="11" s="1"/>
  <c r="AL1144" i="11" a="1"/>
  <c r="AL1144" i="11" s="1"/>
  <c r="AN1144" i="11" s="1"/>
  <c r="AO1144" i="11" s="1"/>
  <c r="AL1190" i="11" a="1"/>
  <c r="AL1190" i="11" s="1"/>
  <c r="AN1190" i="11" s="1"/>
  <c r="AO1190" i="11" s="1"/>
  <c r="AL1176" i="11" a="1"/>
  <c r="AL1176" i="11" s="1"/>
  <c r="AN1176" i="11" s="1"/>
  <c r="AO1176" i="11" s="1"/>
  <c r="V1176" i="11" a="1"/>
  <c r="V1176" i="11" s="1"/>
  <c r="X1176" i="11" s="1"/>
  <c r="Y1176" i="11" s="1"/>
  <c r="AD1204" i="11" a="1"/>
  <c r="AD1204" i="11" s="1"/>
  <c r="AF1204" i="11" s="1"/>
  <c r="AG1204" i="11" s="1"/>
  <c r="AD1190" i="11" a="1"/>
  <c r="AD1190" i="11" s="1"/>
  <c r="AF1190" i="11" s="1"/>
  <c r="AG1190" i="11" s="1"/>
  <c r="AL1217" i="11" a="1"/>
  <c r="AL1217" i="11" s="1"/>
  <c r="AN1217" i="11" s="1"/>
  <c r="AO1217" i="11" s="1"/>
  <c r="V1144" i="11" a="1"/>
  <c r="V1144" i="11" s="1"/>
  <c r="X1144" i="11" s="1"/>
  <c r="Y1144" i="11" s="1"/>
  <c r="AP1176" i="11" a="1"/>
  <c r="AP1176" i="11" s="1"/>
  <c r="AR1176" i="11" s="1"/>
  <c r="AS1176" i="11" s="1"/>
  <c r="AD1144" i="11" a="1"/>
  <c r="AD1144" i="11" s="1"/>
  <c r="AF1144" i="11" s="1"/>
  <c r="AG1144" i="11" s="1"/>
  <c r="AP1144" i="11" a="1"/>
  <c r="AP1144" i="11" s="1"/>
  <c r="AR1144" i="11" s="1"/>
  <c r="AS1144" i="11" s="1"/>
  <c r="AH1144" i="11" a="1"/>
  <c r="AH1144" i="11" s="1"/>
  <c r="AJ1144" i="11" s="1"/>
  <c r="AK1144" i="11" s="1"/>
  <c r="AD1068" i="11" a="1"/>
  <c r="AD1068" i="11" s="1"/>
  <c r="AF1068" i="11" s="1"/>
  <c r="AG1068" i="11" s="1"/>
  <c r="AL1154" i="11" a="1"/>
  <c r="AL1154" i="11" s="1"/>
  <c r="AN1154" i="11" s="1"/>
  <c r="AO1154" i="11" s="1"/>
  <c r="Z1144" i="11" a="1"/>
  <c r="Z1144" i="11" s="1"/>
  <c r="AB1144" i="11" s="1"/>
  <c r="AC1144" i="11" s="1"/>
  <c r="AH1068" i="11" a="1"/>
  <c r="AH1068" i="11" s="1"/>
  <c r="AJ1068" i="11" s="1"/>
  <c r="AK1068" i="11" s="1"/>
  <c r="V1110" i="11" a="1"/>
  <c r="V1110" i="11" s="1"/>
  <c r="X1110" i="11" s="1"/>
  <c r="Y1110" i="11" s="1"/>
  <c r="AP1110" i="11" a="1"/>
  <c r="AP1110" i="11" s="1"/>
  <c r="AR1110" i="11" s="1"/>
  <c r="AS1110" i="11" s="1"/>
  <c r="V1097" i="11" a="1"/>
  <c r="V1097" i="11" s="1"/>
  <c r="X1097" i="11" s="1"/>
  <c r="Y1097" i="11" s="1"/>
  <c r="AH1110" i="11" a="1"/>
  <c r="AH1110" i="11" s="1"/>
  <c r="AJ1110" i="11" s="1"/>
  <c r="AK1110" i="11" s="1"/>
  <c r="AP1068" i="11" a="1"/>
  <c r="AP1068" i="11" s="1"/>
  <c r="AR1068" i="11" s="1"/>
  <c r="AS1068" i="11" s="1"/>
  <c r="N1068" i="11"/>
  <c r="O1068" i="11" s="1"/>
  <c r="Z1068" i="11" a="1"/>
  <c r="Z1068" i="11" s="1"/>
  <c r="AB1068" i="11" s="1"/>
  <c r="AC1068" i="11" s="1"/>
  <c r="AL1110" i="11" a="1"/>
  <c r="AL1110" i="11" s="1"/>
  <c r="AN1110" i="11" s="1"/>
  <c r="AO1110" i="11" s="1"/>
  <c r="V1068" i="11" a="1"/>
  <c r="V1068" i="11" s="1"/>
  <c r="X1068" i="11" s="1"/>
  <c r="Y1068" i="11" s="1"/>
  <c r="AL1068" i="11" a="1"/>
  <c r="AL1068" i="11" s="1"/>
  <c r="AN1068" i="11" s="1"/>
  <c r="AO1068" i="11" s="1"/>
  <c r="Z1062" i="11" a="1"/>
  <c r="Z1062" i="11" s="1"/>
  <c r="AB1062" i="11" s="1"/>
  <c r="AC1062" i="11" s="1"/>
  <c r="R1068" i="11"/>
  <c r="AP1199" i="11" a="1"/>
  <c r="AP1199" i="11" s="1"/>
  <c r="AR1199" i="11" s="1"/>
  <c r="AS1199" i="11" s="1"/>
  <c r="Z1199" i="11" a="1"/>
  <c r="Z1199" i="11" s="1"/>
  <c r="AB1199" i="11" s="1"/>
  <c r="AC1199" i="11" s="1"/>
  <c r="AD1180" i="11" a="1"/>
  <c r="AD1180" i="11" s="1"/>
  <c r="AF1180" i="11" s="1"/>
  <c r="AG1180" i="11" s="1"/>
  <c r="AL1199" i="11" a="1"/>
  <c r="AL1199" i="11" s="1"/>
  <c r="AN1199" i="11" s="1"/>
  <c r="AO1199" i="11" s="1"/>
  <c r="V1199" i="11" a="1"/>
  <c r="V1199" i="11" s="1"/>
  <c r="X1199" i="11" s="1"/>
  <c r="Y1199" i="11" s="1"/>
  <c r="AD1218" i="11" a="1"/>
  <c r="AD1218" i="11" s="1"/>
  <c r="AF1218" i="11" s="1"/>
  <c r="AG1218" i="11" s="1"/>
  <c r="AH1199" i="11" a="1"/>
  <c r="AH1199" i="11" s="1"/>
  <c r="AJ1199" i="11" s="1"/>
  <c r="AK1199" i="11" s="1"/>
  <c r="V1218" i="11" a="1"/>
  <c r="V1218" i="11" s="1"/>
  <c r="X1218" i="11" s="1"/>
  <c r="Y1218" i="11" s="1"/>
  <c r="AP1180" i="11" a="1"/>
  <c r="AP1180" i="11" s="1"/>
  <c r="AR1180" i="11" s="1"/>
  <c r="AS1180" i="11" s="1"/>
  <c r="AD1199" i="11" a="1"/>
  <c r="AD1199" i="11" s="1"/>
  <c r="AF1199" i="11" s="1"/>
  <c r="AG1199" i="11" s="1"/>
  <c r="AL1180" i="11" a="1"/>
  <c r="AL1180" i="11" s="1"/>
  <c r="AN1180" i="11" s="1"/>
  <c r="AO1180" i="11" s="1"/>
  <c r="V1180" i="11" a="1"/>
  <c r="V1180" i="11" s="1"/>
  <c r="X1180" i="11" s="1"/>
  <c r="Y1180" i="11" s="1"/>
  <c r="AH1180" i="11" a="1"/>
  <c r="AH1180" i="11" s="1"/>
  <c r="AJ1180" i="11" s="1"/>
  <c r="AK1180" i="11" s="1"/>
  <c r="Z1218" i="11" a="1"/>
  <c r="Z1218" i="11" s="1"/>
  <c r="AB1218" i="11" s="1"/>
  <c r="AC1218" i="11" s="1"/>
  <c r="Z1187" i="11" a="1"/>
  <c r="Z1187" i="11" s="1"/>
  <c r="AB1187" i="11" s="1"/>
  <c r="AC1187" i="11" s="1"/>
  <c r="V1136" i="11" a="1"/>
  <c r="V1136" i="11" s="1"/>
  <c r="X1136" i="11" s="1"/>
  <c r="Y1136" i="11" s="1"/>
  <c r="Z1180" i="11" a="1"/>
  <c r="Z1180" i="11" s="1"/>
  <c r="AB1180" i="11" s="1"/>
  <c r="AC1180" i="11" s="1"/>
  <c r="AL1143" i="11" a="1"/>
  <c r="AL1143" i="11" s="1"/>
  <c r="AN1143" i="11" s="1"/>
  <c r="AO1143" i="11" s="1"/>
  <c r="Z1136" i="11" a="1"/>
  <c r="Z1136" i="11" s="1"/>
  <c r="AB1136" i="11" s="1"/>
  <c r="AC1136" i="11" s="1"/>
  <c r="AP1136" i="11" a="1"/>
  <c r="AP1136" i="11" s="1"/>
  <c r="AR1136" i="11" s="1"/>
  <c r="AS1136" i="11" s="1"/>
  <c r="AH1143" i="11" a="1"/>
  <c r="AH1143" i="11" s="1"/>
  <c r="AJ1143" i="11" s="1"/>
  <c r="AK1143" i="11" s="1"/>
  <c r="AL1136" i="11" a="1"/>
  <c r="AL1136" i="11" s="1"/>
  <c r="AN1136" i="11" s="1"/>
  <c r="AO1136" i="11" s="1"/>
  <c r="AP1143" i="11" a="1"/>
  <c r="AP1143" i="11" s="1"/>
  <c r="AR1143" i="11" s="1"/>
  <c r="AS1143" i="11" s="1"/>
  <c r="AH1136" i="11" a="1"/>
  <c r="AH1136" i="11" s="1"/>
  <c r="AJ1136" i="11" s="1"/>
  <c r="AK1136" i="11" s="1"/>
  <c r="V1112" i="11" a="1"/>
  <c r="V1112" i="11" s="1"/>
  <c r="X1112" i="11" s="1"/>
  <c r="Y1112" i="11" s="1"/>
  <c r="AD1136" i="11" a="1"/>
  <c r="AD1136" i="11" s="1"/>
  <c r="AF1136" i="11" s="1"/>
  <c r="AG1136" i="11" s="1"/>
  <c r="AP1112" i="11" a="1"/>
  <c r="AP1112" i="11" s="1"/>
  <c r="AR1112" i="11" s="1"/>
  <c r="AS1112" i="11" s="1"/>
  <c r="R1073" i="11"/>
  <c r="AP1073" i="11" a="1"/>
  <c r="AP1073" i="11" s="1"/>
  <c r="AR1073" i="11" s="1"/>
  <c r="AS1073" i="11" s="1"/>
  <c r="N1073" i="11"/>
  <c r="O1073" i="11" s="1"/>
  <c r="Z1073" i="11" a="1"/>
  <c r="Z1073" i="11" s="1"/>
  <c r="AB1073" i="11" s="1"/>
  <c r="AC1073" i="11" s="1"/>
  <c r="AD1073" i="11" a="1"/>
  <c r="AD1073" i="11" s="1"/>
  <c r="AF1073" i="11" s="1"/>
  <c r="AG1073" i="11" s="1"/>
  <c r="V1073" i="11" a="1"/>
  <c r="V1073" i="11" s="1"/>
  <c r="X1073" i="11" s="1"/>
  <c r="Y1073" i="11" s="1"/>
  <c r="AL1073" i="11" a="1"/>
  <c r="AL1073" i="11" s="1"/>
  <c r="AN1073" i="11" s="1"/>
  <c r="AO1073" i="11" s="1"/>
  <c r="AF1067" i="11"/>
  <c r="AG1067" i="11" s="1"/>
  <c r="AD1186" i="11" a="1"/>
  <c r="AD1186" i="11" s="1"/>
  <c r="AF1186" i="11" s="1"/>
  <c r="AG1186" i="11" s="1"/>
  <c r="AP1186" i="11" a="1"/>
  <c r="AP1186" i="11" s="1"/>
  <c r="AR1186" i="11" s="1"/>
  <c r="AS1186" i="11" s="1"/>
  <c r="AL1206" i="11" a="1"/>
  <c r="AL1206" i="11" s="1"/>
  <c r="AN1206" i="11" s="1"/>
  <c r="AO1206" i="11" s="1"/>
  <c r="V1206" i="11" a="1"/>
  <c r="V1206" i="11" s="1"/>
  <c r="X1206" i="11" s="1"/>
  <c r="Y1206" i="11" s="1"/>
  <c r="Z1186" i="11" a="1"/>
  <c r="Z1186" i="11" s="1"/>
  <c r="AB1186" i="11" s="1"/>
  <c r="AC1186" i="11" s="1"/>
  <c r="AL1186" i="11" a="1"/>
  <c r="AL1186" i="11" s="1"/>
  <c r="AN1186" i="11" s="1"/>
  <c r="AO1186" i="11" s="1"/>
  <c r="AH1206" i="11" a="1"/>
  <c r="AH1206" i="11" s="1"/>
  <c r="AJ1206" i="11" s="1"/>
  <c r="AK1206" i="11" s="1"/>
  <c r="Z1206" i="11" a="1"/>
  <c r="Z1206" i="11" s="1"/>
  <c r="AB1206" i="11" s="1"/>
  <c r="AC1206" i="11" s="1"/>
  <c r="AH1186" i="11" a="1"/>
  <c r="AH1186" i="11" s="1"/>
  <c r="AJ1186" i="11" s="1"/>
  <c r="AK1186" i="11" s="1"/>
  <c r="AD1178" i="11" a="1"/>
  <c r="AD1178" i="11" s="1"/>
  <c r="AF1178" i="11" s="1"/>
  <c r="AG1178" i="11" s="1"/>
  <c r="AP1178" i="11" a="1"/>
  <c r="AP1178" i="11" s="1"/>
  <c r="AR1178" i="11" s="1"/>
  <c r="AS1178" i="11" s="1"/>
  <c r="V1186" i="11" a="1"/>
  <c r="V1186" i="11" s="1"/>
  <c r="X1186" i="11" s="1"/>
  <c r="Y1186" i="11" s="1"/>
  <c r="AL1137" i="11" a="1"/>
  <c r="AL1137" i="11" s="1"/>
  <c r="AN1137" i="11" s="1"/>
  <c r="AO1137" i="11" s="1"/>
  <c r="AL1178" i="11" a="1"/>
  <c r="AL1178" i="11" s="1"/>
  <c r="AN1178" i="11" s="1"/>
  <c r="AO1178" i="11" s="1"/>
  <c r="AH1152" i="11" a="1"/>
  <c r="AH1152" i="11" s="1"/>
  <c r="AJ1152" i="11" s="1"/>
  <c r="AK1152" i="11" s="1"/>
  <c r="Z1178" i="11" a="1"/>
  <c r="Z1178" i="11" s="1"/>
  <c r="AB1178" i="11" s="1"/>
  <c r="AC1178" i="11" s="1"/>
  <c r="AP1152" i="11" a="1"/>
  <c r="AP1152" i="11" s="1"/>
  <c r="AR1152" i="11" s="1"/>
  <c r="AS1152" i="11" s="1"/>
  <c r="Z1137" i="11" a="1"/>
  <c r="Z1137" i="11" s="1"/>
  <c r="AB1137" i="11" s="1"/>
  <c r="AC1137" i="11" s="1"/>
  <c r="AD1134" i="11" a="1"/>
  <c r="AD1134" i="11" s="1"/>
  <c r="AF1134" i="11" s="1"/>
  <c r="AG1134" i="11" s="1"/>
  <c r="V1137" i="11" a="1"/>
  <c r="V1137" i="11" s="1"/>
  <c r="X1137" i="11" s="1"/>
  <c r="Y1137" i="11" s="1"/>
  <c r="AD1152" i="11" a="1"/>
  <c r="AD1152" i="11" s="1"/>
  <c r="AF1152" i="11" s="1"/>
  <c r="AG1152" i="11" s="1"/>
  <c r="AP1134" i="11" a="1"/>
  <c r="AP1134" i="11" s="1"/>
  <c r="AR1134" i="11" s="1"/>
  <c r="AS1134" i="11" s="1"/>
  <c r="Z1152" i="11" a="1"/>
  <c r="Z1152" i="11" s="1"/>
  <c r="AB1152" i="11" s="1"/>
  <c r="AC1152" i="11" s="1"/>
  <c r="V1134" i="11" a="1"/>
  <c r="V1134" i="11" s="1"/>
  <c r="X1134" i="11" s="1"/>
  <c r="Y1134" i="11" s="1"/>
  <c r="Z1134" i="11" a="1"/>
  <c r="Z1134" i="11" s="1"/>
  <c r="AB1134" i="11" s="1"/>
  <c r="AC1134" i="11" s="1"/>
  <c r="AP1108" i="11" a="1"/>
  <c r="AP1108" i="11" s="1"/>
  <c r="AR1108" i="11" s="1"/>
  <c r="AS1108" i="11" s="1"/>
  <c r="AL1108" i="11" a="1"/>
  <c r="AL1108" i="11" s="1"/>
  <c r="AN1108" i="11" s="1"/>
  <c r="AO1108" i="11" s="1"/>
  <c r="AL1134" i="11" a="1"/>
  <c r="AL1134" i="11" s="1"/>
  <c r="AN1134" i="11" s="1"/>
  <c r="AO1134" i="11" s="1"/>
  <c r="AH1134" i="11" a="1"/>
  <c r="AH1134" i="11" s="1"/>
  <c r="AJ1134" i="11" s="1"/>
  <c r="AK1134" i="11" s="1"/>
  <c r="AD1108" i="11" a="1"/>
  <c r="AD1108" i="11" s="1"/>
  <c r="AF1108" i="11" s="1"/>
  <c r="AG1108" i="11" s="1"/>
  <c r="AH1137" i="11" a="1"/>
  <c r="AH1137" i="11" s="1"/>
  <c r="AJ1137" i="11" s="1"/>
  <c r="AK1137" i="11" s="1"/>
  <c r="Z1108" i="11" a="1"/>
  <c r="Z1108" i="11" s="1"/>
  <c r="AB1108" i="11" s="1"/>
  <c r="AC1108" i="11" s="1"/>
  <c r="V1108" i="11" a="1"/>
  <c r="V1108" i="11" s="1"/>
  <c r="X1108" i="11" s="1"/>
  <c r="Y1108" i="11" s="1"/>
  <c r="AD1077" i="11" a="1"/>
  <c r="AD1077" i="11" s="1"/>
  <c r="AF1077" i="11" s="1"/>
  <c r="AG1077" i="11" s="1"/>
  <c r="AH1108" i="11" a="1"/>
  <c r="AH1108" i="11" s="1"/>
  <c r="AJ1108" i="11" s="1"/>
  <c r="AK1108" i="11" s="1"/>
  <c r="AH1075" i="11" a="1"/>
  <c r="AH1075" i="11" s="1"/>
  <c r="AJ1075" i="11" s="1"/>
  <c r="AK1075" i="11" s="1"/>
  <c r="AP1077" i="11" a="1"/>
  <c r="AP1077" i="11" s="1"/>
  <c r="AR1077" i="11" s="1"/>
  <c r="AS1077" i="11" s="1"/>
  <c r="AD1062" i="11" a="1"/>
  <c r="AD1062" i="11" s="1"/>
  <c r="AF1062" i="11" s="1"/>
  <c r="AG1062" i="11" s="1"/>
  <c r="AL1076" i="11" a="1"/>
  <c r="AL1076" i="11" s="1"/>
  <c r="AN1076" i="11" s="1"/>
  <c r="AO1076" i="11" s="1"/>
  <c r="R1062" i="11"/>
  <c r="AL1220" i="11" a="1"/>
  <c r="AL1220" i="11" s="1"/>
  <c r="AN1220" i="11" s="1"/>
  <c r="AO1220" i="11" s="1"/>
  <c r="V1220" i="11" a="1"/>
  <c r="V1220" i="11" s="1"/>
  <c r="X1220" i="11" s="1"/>
  <c r="Y1220" i="11" s="1"/>
  <c r="AP1224" i="11" a="1"/>
  <c r="AP1224" i="11" s="1"/>
  <c r="AR1224" i="11" s="1"/>
  <c r="AS1224" i="11" s="1"/>
  <c r="AL1224" i="11" a="1"/>
  <c r="AL1224" i="11" s="1"/>
  <c r="AN1224" i="11" s="1"/>
  <c r="AO1224" i="11" s="1"/>
  <c r="Z1201" i="11" a="1"/>
  <c r="Z1201" i="11" s="1"/>
  <c r="AB1201" i="11" s="1"/>
  <c r="AC1201" i="11" s="1"/>
  <c r="Z1220" i="11" a="1"/>
  <c r="Z1220" i="11" s="1"/>
  <c r="AB1220" i="11" s="1"/>
  <c r="AC1220" i="11" s="1"/>
  <c r="AD1224" i="11" a="1"/>
  <c r="AD1224" i="11" s="1"/>
  <c r="AF1224" i="11" s="1"/>
  <c r="AG1224" i="11" s="1"/>
  <c r="AH1220" i="11" a="1"/>
  <c r="AH1220" i="11" s="1"/>
  <c r="AJ1220" i="11" s="1"/>
  <c r="AK1220" i="11" s="1"/>
  <c r="AP1201" i="11" a="1"/>
  <c r="AP1201" i="11" s="1"/>
  <c r="AR1201" i="11" s="1"/>
  <c r="AS1201" i="11" s="1"/>
  <c r="AL1166" i="11" a="1"/>
  <c r="AL1166" i="11" s="1"/>
  <c r="AN1166" i="11" s="1"/>
  <c r="AO1166" i="11" s="1"/>
  <c r="AL1201" i="11" a="1"/>
  <c r="AL1201" i="11" s="1"/>
  <c r="AN1201" i="11" s="1"/>
  <c r="AO1201" i="11" s="1"/>
  <c r="AP1168" i="11" a="1"/>
  <c r="AP1168" i="11" s="1"/>
  <c r="AR1168" i="11" s="1"/>
  <c r="AS1168" i="11" s="1"/>
  <c r="Z1168" i="11" a="1"/>
  <c r="Z1168" i="11" s="1"/>
  <c r="AB1168" i="11" s="1"/>
  <c r="AC1168" i="11" s="1"/>
  <c r="AH1201" i="11" a="1"/>
  <c r="AH1201" i="11" s="1"/>
  <c r="AJ1201" i="11" s="1"/>
  <c r="AK1201" i="11" s="1"/>
  <c r="AL1168" i="11" a="1"/>
  <c r="AL1168" i="11" s="1"/>
  <c r="AN1168" i="11" s="1"/>
  <c r="AO1168" i="11" s="1"/>
  <c r="AH1193" i="11" a="1"/>
  <c r="AH1193" i="11" s="1"/>
  <c r="AJ1193" i="11" s="1"/>
  <c r="AK1193" i="11" s="1"/>
  <c r="Z1224" i="11" a="1"/>
  <c r="Z1224" i="11" s="1"/>
  <c r="AB1224" i="11" s="1"/>
  <c r="AC1224" i="11" s="1"/>
  <c r="Z1182" i="11" a="1"/>
  <c r="Z1182" i="11" s="1"/>
  <c r="AB1182" i="11" s="1"/>
  <c r="AC1182" i="11" s="1"/>
  <c r="AD1166" i="11" a="1"/>
  <c r="AD1166" i="11" s="1"/>
  <c r="AF1166" i="11" s="1"/>
  <c r="AG1166" i="11" s="1"/>
  <c r="V1182" i="11" a="1"/>
  <c r="V1182" i="11" s="1"/>
  <c r="X1182" i="11" s="1"/>
  <c r="Y1182" i="11" s="1"/>
  <c r="Z1166" i="11" a="1"/>
  <c r="Z1166" i="11" s="1"/>
  <c r="AB1166" i="11" s="1"/>
  <c r="AC1166" i="11" s="1"/>
  <c r="AP1182" i="11" a="1"/>
  <c r="AP1182" i="11" s="1"/>
  <c r="AR1182" i="11" s="1"/>
  <c r="AS1182" i="11" s="1"/>
  <c r="AL1182" i="11" a="1"/>
  <c r="AL1182" i="11" s="1"/>
  <c r="AN1182" i="11" s="1"/>
  <c r="AO1182" i="11" s="1"/>
  <c r="V1168" i="11" a="1"/>
  <c r="V1168" i="11" s="1"/>
  <c r="X1168" i="11" s="1"/>
  <c r="Y1168" i="11" s="1"/>
  <c r="V1166" i="11" a="1"/>
  <c r="V1166" i="11" s="1"/>
  <c r="X1166" i="11" s="1"/>
  <c r="Y1166" i="11" s="1"/>
  <c r="AD1140" i="11" a="1"/>
  <c r="AD1140" i="11" s="1"/>
  <c r="AF1140" i="11" s="1"/>
  <c r="AG1140" i="11" s="1"/>
  <c r="AP1166" i="11" a="1"/>
  <c r="AP1166" i="11" s="1"/>
  <c r="AR1166" i="11" s="1"/>
  <c r="AS1166" i="11" s="1"/>
  <c r="Z1140" i="11" a="1"/>
  <c r="Z1140" i="11" s="1"/>
  <c r="AB1140" i="11" s="1"/>
  <c r="AC1140" i="11" s="1"/>
  <c r="AP1140" i="11" a="1"/>
  <c r="AP1140" i="11" s="1"/>
  <c r="AR1140" i="11" s="1"/>
  <c r="AS1140" i="11" s="1"/>
  <c r="V1140" i="11" a="1"/>
  <c r="V1140" i="11" s="1"/>
  <c r="X1140" i="11" s="1"/>
  <c r="Y1140" i="11" s="1"/>
  <c r="AH1166" i="11" a="1"/>
  <c r="AH1166" i="11" s="1"/>
  <c r="AJ1166" i="11" s="1"/>
  <c r="AK1166" i="11" s="1"/>
  <c r="AH1156" i="11" a="1"/>
  <c r="AH1156" i="11" s="1"/>
  <c r="AJ1156" i="11" s="1"/>
  <c r="AK1156" i="11" s="1"/>
  <c r="AL1067" i="11" a="1"/>
  <c r="AL1067" i="11" s="1"/>
  <c r="AN1067" i="11" s="1"/>
  <c r="AO1067" i="11" s="1"/>
  <c r="AD1113" i="11" a="1"/>
  <c r="AD1113" i="11" s="1"/>
  <c r="AF1113" i="11" s="1"/>
  <c r="AG1113" i="11" s="1"/>
  <c r="Z1156" i="11" a="1"/>
  <c r="Z1156" i="11" s="1"/>
  <c r="AB1156" i="11" s="1"/>
  <c r="AC1156" i="11" s="1"/>
  <c r="AH1092" i="11" a="1"/>
  <c r="AH1092" i="11" s="1"/>
  <c r="AJ1092" i="11" s="1"/>
  <c r="AK1092" i="11" s="1"/>
  <c r="AP1113" i="11" a="1"/>
  <c r="AP1113" i="11" s="1"/>
  <c r="AR1113" i="11" s="1"/>
  <c r="AS1113" i="11" s="1"/>
  <c r="Z1113" i="11" a="1"/>
  <c r="Z1113" i="11" s="1"/>
  <c r="AB1113" i="11" s="1"/>
  <c r="AC1113" i="11" s="1"/>
  <c r="AP1067" i="11" a="1"/>
  <c r="AP1067" i="11" s="1"/>
  <c r="AR1067" i="11" s="1"/>
  <c r="AS1067" i="11" s="1"/>
  <c r="R1067" i="11"/>
  <c r="AH1113" i="11" a="1"/>
  <c r="AH1113" i="11" s="1"/>
  <c r="AJ1113" i="11" s="1"/>
  <c r="AK1113" i="11" s="1"/>
  <c r="AP1084" i="11" a="1"/>
  <c r="AP1084" i="11" s="1"/>
  <c r="AR1084" i="11" s="1"/>
  <c r="AS1084" i="11" s="1"/>
  <c r="Z1084" i="11" a="1"/>
  <c r="Z1084" i="11" s="1"/>
  <c r="AB1084" i="11" s="1"/>
  <c r="AC1084" i="11" s="1"/>
  <c r="Z1067" i="11" a="1"/>
  <c r="Z1067" i="11" s="1"/>
  <c r="AB1067" i="11" s="1"/>
  <c r="AC1067" i="11" s="1"/>
  <c r="AD1092" i="11" a="1"/>
  <c r="AD1092" i="11" s="1"/>
  <c r="AF1092" i="11" s="1"/>
  <c r="AG1092" i="11" s="1"/>
  <c r="V1113" i="11" a="1"/>
  <c r="V1113" i="11" s="1"/>
  <c r="X1113" i="11" s="1"/>
  <c r="Y1113" i="11" s="1"/>
  <c r="AL1084" i="11" a="1"/>
  <c r="AL1084" i="11" s="1"/>
  <c r="AN1084" i="11" s="1"/>
  <c r="AO1084" i="11" s="1"/>
  <c r="V1067" i="11" a="1"/>
  <c r="V1067" i="11" s="1"/>
  <c r="X1067" i="11" s="1"/>
  <c r="Y1067" i="11" s="1"/>
  <c r="AD1126" i="11" a="1"/>
  <c r="AD1126" i="11" s="1"/>
  <c r="AF1126" i="11" s="1"/>
  <c r="AG1126" i="11" s="1"/>
  <c r="AP1092" i="11" a="1"/>
  <c r="AP1092" i="11" s="1"/>
  <c r="AR1092" i="11" s="1"/>
  <c r="AS1092" i="11" s="1"/>
  <c r="V1092" i="11" a="1"/>
  <c r="V1092" i="11" s="1"/>
  <c r="X1092" i="11" s="1"/>
  <c r="Y1092" i="11" s="1"/>
  <c r="AH1084" i="11" a="1"/>
  <c r="AH1084" i="11" s="1"/>
  <c r="AJ1084" i="11" s="1"/>
  <c r="AK1084" i="11" s="1"/>
  <c r="AL1113" i="11" a="1"/>
  <c r="AL1113" i="11" s="1"/>
  <c r="AN1113" i="11" s="1"/>
  <c r="AO1113" i="11" s="1"/>
  <c r="AL1092" i="11" a="1"/>
  <c r="AL1092" i="11" s="1"/>
  <c r="AN1092" i="11" s="1"/>
  <c r="AO1092" i="11" s="1"/>
  <c r="V1084" i="11" a="1"/>
  <c r="V1084" i="11" s="1"/>
  <c r="X1084" i="11" s="1"/>
  <c r="Y1084" i="11" s="1"/>
  <c r="AH1062" i="11" a="1"/>
  <c r="AH1062" i="11" s="1"/>
  <c r="AJ1062" i="11" s="1"/>
  <c r="AK1062" i="11" s="1"/>
  <c r="Z1106" i="11" a="1"/>
  <c r="Z1106" i="11" s="1"/>
  <c r="AB1106" i="11" s="1"/>
  <c r="AC1106" i="11" s="1"/>
  <c r="AD1066" i="11" a="1"/>
  <c r="AD1066" i="11" s="1"/>
  <c r="AF1066" i="11" s="1"/>
  <c r="AG1066" i="11" s="1"/>
  <c r="AD1076" i="11" a="1"/>
  <c r="AD1076" i="11" s="1"/>
  <c r="AF1076" i="11" s="1"/>
  <c r="AG1076" i="11" s="1"/>
  <c r="AH1076" i="11" a="1"/>
  <c r="AH1076" i="11" s="1"/>
  <c r="AJ1076" i="11" s="1"/>
  <c r="AK1076" i="11" s="1"/>
  <c r="R1076" i="11"/>
  <c r="Z1076" i="11" a="1"/>
  <c r="Z1076" i="11" s="1"/>
  <c r="AB1076" i="11" s="1"/>
  <c r="AC1076" i="11" s="1"/>
  <c r="V1076" i="11" a="1"/>
  <c r="V1076" i="11" s="1"/>
  <c r="X1076" i="11" s="1"/>
  <c r="Y1076" i="11" s="1"/>
  <c r="AP1076" i="11" a="1"/>
  <c r="AP1076" i="11" s="1"/>
  <c r="AR1076" i="11" s="1"/>
  <c r="AS1076" i="11" s="1"/>
  <c r="AH1073" i="11" a="1"/>
  <c r="AH1073" i="11" s="1"/>
  <c r="AJ1073" i="11" s="1"/>
  <c r="AK1073" i="11" s="1"/>
  <c r="AH1097" i="11" a="1"/>
  <c r="AH1097" i="11" s="1"/>
  <c r="AJ1097" i="11" s="1"/>
  <c r="AK1097" i="11" s="1"/>
  <c r="AH1066" i="11" a="1"/>
  <c r="AH1066" i="11" s="1"/>
  <c r="AJ1066" i="11" s="1"/>
  <c r="AK1066" i="11" s="1"/>
  <c r="Z1075" i="11" a="1"/>
  <c r="Z1075" i="11" s="1"/>
  <c r="AB1075" i="11" s="1"/>
  <c r="AC1075" i="11" s="1"/>
  <c r="AL1083" i="11" a="1"/>
  <c r="AL1083" i="11" s="1"/>
  <c r="AN1083" i="11" s="1"/>
  <c r="AO1083" i="11" s="1"/>
  <c r="AP1083" i="11" a="1"/>
  <c r="AP1083" i="11" s="1"/>
  <c r="AR1083" i="11" s="1"/>
  <c r="AS1083" i="11" s="1"/>
  <c r="R1083" i="11"/>
  <c r="V1065" i="11" a="1"/>
  <c r="V1065" i="11" s="1"/>
  <c r="X1065" i="11" s="1"/>
  <c r="Y1065" i="11" s="1"/>
  <c r="N1083" i="11"/>
  <c r="O1083" i="11" s="1"/>
  <c r="V1083" i="11" a="1"/>
  <c r="V1083" i="11" s="1"/>
  <c r="X1083" i="11" s="1"/>
  <c r="Y1083" i="11" s="1"/>
  <c r="AP1065" i="11" a="1"/>
  <c r="AP1065" i="11" s="1"/>
  <c r="AR1065" i="11" s="1"/>
  <c r="AS1065" i="11" s="1"/>
  <c r="AD1083" i="11" a="1"/>
  <c r="AD1083" i="11" s="1"/>
  <c r="AF1083" i="11" s="1"/>
  <c r="AG1083" i="11" s="1"/>
  <c r="Z1083" i="11" a="1"/>
  <c r="Z1083" i="11" s="1"/>
  <c r="AB1083" i="11" s="1"/>
  <c r="AC1083" i="11" s="1"/>
  <c r="AH1065" i="11" a="1"/>
  <c r="AH1065" i="11" s="1"/>
  <c r="AJ1065" i="11" s="1"/>
  <c r="AK1065" i="11" s="1"/>
  <c r="AH1098" i="11" a="1"/>
  <c r="AH1098" i="11" s="1"/>
  <c r="AJ1098" i="11" s="1"/>
  <c r="AK1098" i="11" s="1"/>
  <c r="Z1095" i="11" a="1"/>
  <c r="Z1095" i="11" s="1"/>
  <c r="AB1095" i="11" s="1"/>
  <c r="AC1095" i="11" s="1"/>
  <c r="AD1111" i="11" a="1"/>
  <c r="AD1111" i="11" s="1"/>
  <c r="AF1111" i="11" s="1"/>
  <c r="AG1111" i="11" s="1"/>
  <c r="AP1117" i="11" a="1"/>
  <c r="AP1117" i="11" s="1"/>
  <c r="AR1117" i="11" s="1"/>
  <c r="AS1117" i="11" s="1"/>
  <c r="AD1116" i="11" a="1"/>
  <c r="AD1116" i="11" s="1"/>
  <c r="AF1116" i="11" s="1"/>
  <c r="AG1116" i="11" s="1"/>
  <c r="AP1116" i="11" a="1"/>
  <c r="AP1116" i="11" s="1"/>
  <c r="AR1116" i="11" s="1"/>
  <c r="AS1116" i="11" s="1"/>
  <c r="AL1116" i="11" a="1"/>
  <c r="AL1116" i="11" s="1"/>
  <c r="AN1116" i="11" s="1"/>
  <c r="AO1116" i="11" s="1"/>
  <c r="V1116" i="11" a="1"/>
  <c r="V1116" i="11" s="1"/>
  <c r="X1116" i="11" s="1"/>
  <c r="Y1116" i="11" s="1"/>
  <c r="AH1116" i="11" a="1"/>
  <c r="AH1116" i="11" s="1"/>
  <c r="AJ1116" i="11" s="1"/>
  <c r="AK1116" i="11" s="1"/>
  <c r="R1116" i="11"/>
  <c r="AP1101" i="11" a="1"/>
  <c r="AP1101" i="11" s="1"/>
  <c r="AR1101" i="11" s="1"/>
  <c r="AS1101" i="11" s="1"/>
  <c r="AP1064" i="11" a="1"/>
  <c r="AP1064" i="11" s="1"/>
  <c r="AR1064" i="11" s="1"/>
  <c r="AS1064" i="11" s="1"/>
  <c r="Z1116" i="11" a="1"/>
  <c r="Z1116" i="11" s="1"/>
  <c r="AB1116" i="11" s="1"/>
  <c r="AC1116" i="11" s="1"/>
  <c r="AL1064" i="11" a="1"/>
  <c r="AL1064" i="11" s="1"/>
  <c r="AN1064" i="11" s="1"/>
  <c r="AO1064" i="11" s="1"/>
  <c r="AH1064" i="11" a="1"/>
  <c r="AH1064" i="11" s="1"/>
  <c r="AJ1064" i="11" s="1"/>
  <c r="AK1064" i="11" s="1"/>
  <c r="Z1127" i="11" a="1"/>
  <c r="Z1127" i="11" s="1"/>
  <c r="AB1127" i="11" s="1"/>
  <c r="AC1127" i="11" s="1"/>
  <c r="AP1079" i="11" a="1"/>
  <c r="AP1079" i="11" s="1"/>
  <c r="AR1079" i="11" s="1"/>
  <c r="AS1079" i="11" s="1"/>
  <c r="R1079" i="11"/>
  <c r="V1094" i="11" a="1"/>
  <c r="V1094" i="11" s="1"/>
  <c r="X1094" i="11" s="1"/>
  <c r="Y1094" i="11" s="1"/>
  <c r="AL1122" i="11" a="1"/>
  <c r="AL1122" i="11" s="1"/>
  <c r="AN1122" i="11" s="1"/>
  <c r="AO1122" i="11" s="1"/>
  <c r="AD1094" i="11" a="1"/>
  <c r="AD1094" i="11" s="1"/>
  <c r="AF1094" i="11" s="1"/>
  <c r="AG1094" i="11" s="1"/>
  <c r="AD1079" i="11" a="1"/>
  <c r="AD1079" i="11" s="1"/>
  <c r="AF1079" i="11" s="1"/>
  <c r="AG1079" i="11" s="1"/>
  <c r="AL1090" i="11" a="1"/>
  <c r="AL1090" i="11" s="1"/>
  <c r="AN1090" i="11" s="1"/>
  <c r="AO1090" i="11" s="1"/>
  <c r="AH1127" i="11" a="1"/>
  <c r="AH1127" i="11" s="1"/>
  <c r="AJ1127" i="11" s="1"/>
  <c r="AK1127" i="11" s="1"/>
  <c r="Z1094" i="11" a="1"/>
  <c r="Z1094" i="11" s="1"/>
  <c r="AB1094" i="11" s="1"/>
  <c r="AC1094" i="11" s="1"/>
  <c r="AL1072" i="11" a="1"/>
  <c r="AL1072" i="11" s="1"/>
  <c r="AN1072" i="11" s="1"/>
  <c r="AO1072" i="11" s="1"/>
  <c r="N1079" i="11"/>
  <c r="O1079" i="11" s="1"/>
  <c r="V1072" i="11" a="1"/>
  <c r="V1072" i="11" s="1"/>
  <c r="X1072" i="11" s="1"/>
  <c r="Y1072" i="11" s="1"/>
  <c r="Z1079" i="11" a="1"/>
  <c r="Z1079" i="11" s="1"/>
  <c r="AB1079" i="11" s="1"/>
  <c r="AC1079" i="11" s="1"/>
  <c r="V1122" i="11" a="1"/>
  <c r="V1122" i="11" s="1"/>
  <c r="X1122" i="11" s="1"/>
  <c r="Y1122" i="11" s="1"/>
  <c r="AH1090" i="11" a="1"/>
  <c r="AH1090" i="11" s="1"/>
  <c r="AJ1090" i="11" s="1"/>
  <c r="AK1090" i="11" s="1"/>
  <c r="AL1094" i="11" a="1"/>
  <c r="AL1094" i="11" s="1"/>
  <c r="AN1094" i="11" s="1"/>
  <c r="AO1094" i="11" s="1"/>
  <c r="AL1079" i="11" a="1"/>
  <c r="AL1079" i="11" s="1"/>
  <c r="AN1079" i="11" s="1"/>
  <c r="AO1079" i="11" s="1"/>
  <c r="V1079" i="11" a="1"/>
  <c r="V1079" i="11" s="1"/>
  <c r="X1079" i="11" s="1"/>
  <c r="Y1079" i="11" s="1"/>
  <c r="AH1079" i="11" a="1"/>
  <c r="AH1079" i="11" s="1"/>
  <c r="AJ1079" i="11" s="1"/>
  <c r="AK1079" i="11" s="1"/>
  <c r="Z1226" i="11" a="1"/>
  <c r="Z1226" i="11" s="1"/>
  <c r="AB1226" i="11" s="1"/>
  <c r="AC1226" i="11" s="1"/>
  <c r="AD1195" i="11" a="1"/>
  <c r="AD1195" i="11" s="1"/>
  <c r="AF1195" i="11" s="1"/>
  <c r="AG1195" i="11" s="1"/>
  <c r="Z1195" i="11" a="1"/>
  <c r="Z1195" i="11" s="1"/>
  <c r="AB1195" i="11" s="1"/>
  <c r="AC1195" i="11" s="1"/>
  <c r="AL1195" i="11" a="1"/>
  <c r="AL1195" i="11" s="1"/>
  <c r="AN1195" i="11" s="1"/>
  <c r="AO1195" i="11" s="1"/>
  <c r="AD1226" i="11" a="1"/>
  <c r="AD1226" i="11" s="1"/>
  <c r="AF1226" i="11" s="1"/>
  <c r="AG1226" i="11" s="1"/>
  <c r="AD1205" i="11" a="1"/>
  <c r="AD1205" i="11" s="1"/>
  <c r="AF1205" i="11" s="1"/>
  <c r="AG1205" i="11" s="1"/>
  <c r="AP1179" i="11" a="1"/>
  <c r="AP1179" i="11" s="1"/>
  <c r="AR1179" i="11" s="1"/>
  <c r="AS1179" i="11" s="1"/>
  <c r="AH1195" i="11" a="1"/>
  <c r="AH1195" i="11" s="1"/>
  <c r="AJ1195" i="11" s="1"/>
  <c r="AK1195" i="11" s="1"/>
  <c r="AL1179" i="11" a="1"/>
  <c r="AL1179" i="11" s="1"/>
  <c r="AN1179" i="11" s="1"/>
  <c r="AO1179" i="11" s="1"/>
  <c r="V1195" i="11" a="1"/>
  <c r="V1195" i="11" s="1"/>
  <c r="X1195" i="11" s="1"/>
  <c r="Y1195" i="11" s="1"/>
  <c r="AH1179" i="11" a="1"/>
  <c r="AH1179" i="11" s="1"/>
  <c r="AJ1179" i="11" s="1"/>
  <c r="AK1179" i="11" s="1"/>
  <c r="AD1179" i="11" a="1"/>
  <c r="AD1179" i="11" s="1"/>
  <c r="AF1179" i="11" s="1"/>
  <c r="AG1179" i="11" s="1"/>
  <c r="AP1155" i="11" a="1"/>
  <c r="AP1155" i="11" s="1"/>
  <c r="AR1155" i="11" s="1"/>
  <c r="AS1155" i="11" s="1"/>
  <c r="V1179" i="11" a="1"/>
  <c r="V1179" i="11" s="1"/>
  <c r="X1179" i="11" s="1"/>
  <c r="Y1179" i="11" s="1"/>
  <c r="AL1155" i="11" a="1"/>
  <c r="AL1155" i="11" s="1"/>
  <c r="AN1155" i="11" s="1"/>
  <c r="AO1155" i="11" s="1"/>
  <c r="V1155" i="11" a="1"/>
  <c r="V1155" i="11" s="1"/>
  <c r="X1155" i="11" s="1"/>
  <c r="Y1155" i="11" s="1"/>
  <c r="AH1155" i="11" a="1"/>
  <c r="AH1155" i="11" s="1"/>
  <c r="AJ1155" i="11" s="1"/>
  <c r="AK1155" i="11" s="1"/>
  <c r="AH1111" i="11" a="1"/>
  <c r="AH1111" i="11" s="1"/>
  <c r="AJ1111" i="11" s="1"/>
  <c r="AK1111" i="11" s="1"/>
  <c r="R1082" i="11"/>
  <c r="Z1111" i="11" a="1"/>
  <c r="Z1111" i="11" s="1"/>
  <c r="AB1111" i="11" s="1"/>
  <c r="AC1111" i="11" s="1"/>
  <c r="AH1102" i="11" a="1"/>
  <c r="AH1102" i="11" s="1"/>
  <c r="AJ1102" i="11" s="1"/>
  <c r="AK1102" i="11" s="1"/>
  <c r="AP1082" i="11" a="1"/>
  <c r="AP1082" i="11" s="1"/>
  <c r="AR1082" i="11" s="1"/>
  <c r="AS1082" i="11" s="1"/>
  <c r="N1082" i="11"/>
  <c r="O1082" i="11" s="1"/>
  <c r="Z1082" i="11" a="1"/>
  <c r="Z1082" i="11" s="1"/>
  <c r="AB1082" i="11" s="1"/>
  <c r="AC1082" i="11" s="1"/>
  <c r="AH1082" i="11" a="1"/>
  <c r="AH1082" i="11" s="1"/>
  <c r="AJ1082" i="11" s="1"/>
  <c r="AK1082" i="11" s="1"/>
  <c r="AH1085" i="11" a="1"/>
  <c r="AH1085" i="11" s="1"/>
  <c r="AJ1085" i="11" s="1"/>
  <c r="AK1085" i="11" s="1"/>
  <c r="V1109" i="11" a="1"/>
  <c r="V1109" i="11" s="1"/>
  <c r="X1109" i="11" s="1"/>
  <c r="Y1109" i="11" s="1"/>
  <c r="AH1072" i="11" a="1"/>
  <c r="AH1072" i="11" s="1"/>
  <c r="AJ1072" i="11" s="1"/>
  <c r="AK1072" i="11" s="1"/>
  <c r="Z1090" i="11" a="1"/>
  <c r="Z1090" i="11" s="1"/>
  <c r="AB1090" i="11" s="1"/>
  <c r="AC1090" i="11" s="1"/>
  <c r="AL1104" i="11" a="1"/>
  <c r="AL1104" i="11" s="1"/>
  <c r="AN1104" i="11" s="1"/>
  <c r="AO1104" i="11" s="1"/>
  <c r="AH1104" i="11" a="1"/>
  <c r="AH1104" i="11" s="1"/>
  <c r="AJ1104" i="11" s="1"/>
  <c r="AK1104" i="11" s="1"/>
  <c r="AP1104" i="11" a="1"/>
  <c r="AP1104" i="11" s="1"/>
  <c r="AR1104" i="11" s="1"/>
  <c r="AS1104" i="11" s="1"/>
  <c r="N1104" i="11"/>
  <c r="O1104" i="11" s="1"/>
  <c r="R1104" i="11"/>
  <c r="AD1104" i="11" a="1"/>
  <c r="AD1104" i="11" s="1"/>
  <c r="AF1104" i="11" s="1"/>
  <c r="AG1104" i="11" s="1"/>
  <c r="Z1104" i="11" a="1"/>
  <c r="Z1104" i="11" s="1"/>
  <c r="AB1104" i="11" s="1"/>
  <c r="AC1104" i="11" s="1"/>
  <c r="V1104" i="11" a="1"/>
  <c r="V1104" i="11" s="1"/>
  <c r="X1104" i="11" s="1"/>
  <c r="Y1104" i="11" s="1"/>
  <c r="AD1086" i="11" a="1"/>
  <c r="AD1086" i="11" s="1"/>
  <c r="AF1086" i="11" s="1"/>
  <c r="AG1086" i="11" s="1"/>
  <c r="AL1082" i="11" a="1"/>
  <c r="AL1082" i="11" s="1"/>
  <c r="AN1082" i="11" s="1"/>
  <c r="AO1082" i="11" s="1"/>
  <c r="V1106" i="11" a="1"/>
  <c r="V1106" i="11" s="1"/>
  <c r="X1106" i="11" s="1"/>
  <c r="Y1106" i="11" s="1"/>
  <c r="AD1106" i="11" a="1"/>
  <c r="AD1106" i="11" s="1"/>
  <c r="AF1106" i="11" s="1"/>
  <c r="AG1106" i="11" s="1"/>
  <c r="N1106" i="11"/>
  <c r="O1106" i="11" s="1"/>
  <c r="AH1106" i="11" a="1"/>
  <c r="AH1106" i="11" s="1"/>
  <c r="AJ1106" i="11" s="1"/>
  <c r="AK1106" i="11" s="1"/>
  <c r="AP1106" i="11" a="1"/>
  <c r="AP1106" i="11" s="1"/>
  <c r="AR1106" i="11" s="1"/>
  <c r="AS1106" i="11" s="1"/>
  <c r="AL1106" i="11" a="1"/>
  <c r="AL1106" i="11" s="1"/>
  <c r="AN1106" i="11" s="1"/>
  <c r="AO1106" i="11" s="1"/>
  <c r="R1106" i="11"/>
  <c r="AD1225" i="11" a="1"/>
  <c r="AD1225" i="11" s="1"/>
  <c r="AF1225" i="11" s="1"/>
  <c r="AG1225" i="11" s="1"/>
  <c r="AP1225" i="11" a="1"/>
  <c r="AP1225" i="11" s="1"/>
  <c r="AR1225" i="11" s="1"/>
  <c r="AS1225" i="11" s="1"/>
  <c r="V1225" i="11" a="1"/>
  <c r="V1225" i="11" s="1"/>
  <c r="X1225" i="11" s="1"/>
  <c r="Y1225" i="11" s="1"/>
  <c r="AL1225" i="11" a="1"/>
  <c r="AL1225" i="11" s="1"/>
  <c r="AN1225" i="11" s="1"/>
  <c r="AO1225" i="11" s="1"/>
  <c r="AH1225" i="11" a="1"/>
  <c r="AH1225" i="11" s="1"/>
  <c r="AJ1225" i="11" s="1"/>
  <c r="AK1225" i="11" s="1"/>
  <c r="Z1225" i="11" a="1"/>
  <c r="Z1225" i="11" s="1"/>
  <c r="AB1225" i="11" s="1"/>
  <c r="AC1225" i="11" s="1"/>
  <c r="AP1203" i="11" a="1"/>
  <c r="AP1203" i="11" s="1"/>
  <c r="AR1203" i="11" s="1"/>
  <c r="AS1203" i="11" s="1"/>
  <c r="V1203" i="11" a="1"/>
  <c r="V1203" i="11" s="1"/>
  <c r="X1203" i="11" s="1"/>
  <c r="Y1203" i="11" s="1"/>
  <c r="Z1159" i="11" a="1"/>
  <c r="Z1159" i="11" s="1"/>
  <c r="AB1159" i="11" s="1"/>
  <c r="AC1159" i="11" s="1"/>
  <c r="V1159" i="11" a="1"/>
  <c r="V1159" i="11" s="1"/>
  <c r="X1159" i="11" s="1"/>
  <c r="Y1159" i="11" s="1"/>
  <c r="AL1159" i="11" a="1"/>
  <c r="AL1159" i="11" s="1"/>
  <c r="AN1159" i="11" s="1"/>
  <c r="AO1159" i="11" s="1"/>
  <c r="AH1159" i="11" a="1"/>
  <c r="AH1159" i="11" s="1"/>
  <c r="AJ1159" i="11" s="1"/>
  <c r="AK1159" i="11" s="1"/>
  <c r="AD1159" i="11" a="1"/>
  <c r="AD1159" i="11" s="1"/>
  <c r="AF1159" i="11" s="1"/>
  <c r="AG1159" i="11" s="1"/>
  <c r="AL1135" i="11" a="1"/>
  <c r="AL1135" i="11" s="1"/>
  <c r="AN1135" i="11" s="1"/>
  <c r="AO1135" i="11" s="1"/>
  <c r="AH1135" i="11" a="1"/>
  <c r="AH1135" i="11" s="1"/>
  <c r="AJ1135" i="11" s="1"/>
  <c r="AK1135" i="11" s="1"/>
  <c r="V1085" i="11" a="1"/>
  <c r="V1085" i="11" s="1"/>
  <c r="X1085" i="11" s="1"/>
  <c r="Y1085" i="11" s="1"/>
  <c r="AP1074" i="11" a="1"/>
  <c r="AP1074" i="11" s="1"/>
  <c r="AR1074" i="11" s="1"/>
  <c r="AS1074" i="11" s="1"/>
  <c r="N1074" i="11"/>
  <c r="O1074" i="11" s="1"/>
  <c r="AH1120" i="11" a="1"/>
  <c r="AH1120" i="11" s="1"/>
  <c r="AJ1120" i="11" s="1"/>
  <c r="AK1120" i="11" s="1"/>
  <c r="Z1074" i="11" a="1"/>
  <c r="Z1074" i="11" s="1"/>
  <c r="AB1074" i="11" s="1"/>
  <c r="AC1074" i="11" s="1"/>
  <c r="AD1138" i="11" a="1"/>
  <c r="AD1138" i="11" s="1"/>
  <c r="AF1138" i="11" s="1"/>
  <c r="AG1138" i="11" s="1"/>
  <c r="V1074" i="11" a="1"/>
  <c r="V1074" i="11" s="1"/>
  <c r="X1074" i="11" s="1"/>
  <c r="Y1074" i="11" s="1"/>
  <c r="AH1074" i="11" a="1"/>
  <c r="AH1074" i="11" s="1"/>
  <c r="AJ1074" i="11" s="1"/>
  <c r="AK1074" i="11" s="1"/>
  <c r="V1077" i="11" a="1"/>
  <c r="V1077" i="11" s="1"/>
  <c r="X1077" i="11" s="1"/>
  <c r="Y1077" i="11" s="1"/>
  <c r="Z1077" i="11" a="1"/>
  <c r="Z1077" i="11" s="1"/>
  <c r="AB1077" i="11" s="1"/>
  <c r="AC1077" i="11" s="1"/>
  <c r="N1077" i="11"/>
  <c r="O1077" i="11" s="1"/>
  <c r="AL1077" i="11" a="1"/>
  <c r="AL1077" i="11" s="1"/>
  <c r="AN1077" i="11" s="1"/>
  <c r="AO1077" i="11" s="1"/>
  <c r="AH1077" i="11" a="1"/>
  <c r="AH1077" i="11" s="1"/>
  <c r="AJ1077" i="11" s="1"/>
  <c r="AK1077" i="11" s="1"/>
  <c r="Z1215" i="11" a="1"/>
  <c r="Z1215" i="11" s="1"/>
  <c r="AB1215" i="11" s="1"/>
  <c r="AC1215" i="11" s="1"/>
  <c r="AP1215" i="11" a="1"/>
  <c r="AP1215" i="11" s="1"/>
  <c r="AR1215" i="11" s="1"/>
  <c r="AS1215" i="11" s="1"/>
  <c r="V1215" i="11" a="1"/>
  <c r="V1215" i="11" s="1"/>
  <c r="X1215" i="11" s="1"/>
  <c r="Y1215" i="11" s="1"/>
  <c r="AH1215" i="11" a="1"/>
  <c r="AH1215" i="11" s="1"/>
  <c r="AJ1215" i="11" s="1"/>
  <c r="AK1215" i="11" s="1"/>
  <c r="V1158" i="11" a="1"/>
  <c r="V1158" i="11" s="1"/>
  <c r="X1158" i="11" s="1"/>
  <c r="Y1158" i="11" s="1"/>
  <c r="V1198" i="11" a="1"/>
  <c r="V1198" i="11" s="1"/>
  <c r="X1198" i="11" s="1"/>
  <c r="Y1198" i="11" s="1"/>
  <c r="AL1198" i="11" a="1"/>
  <c r="AL1198" i="11" s="1"/>
  <c r="AN1198" i="11" s="1"/>
  <c r="AO1198" i="11" s="1"/>
  <c r="AH1198" i="11" a="1"/>
  <c r="AH1198" i="11" s="1"/>
  <c r="AJ1198" i="11" s="1"/>
  <c r="AK1198" i="11" s="1"/>
  <c r="AL1194" i="11" a="1"/>
  <c r="AL1194" i="11" s="1"/>
  <c r="AN1194" i="11" s="1"/>
  <c r="AO1194" i="11" s="1"/>
  <c r="AL1177" i="11" a="1"/>
  <c r="AL1177" i="11" s="1"/>
  <c r="AN1177" i="11" s="1"/>
  <c r="AO1177" i="11" s="1"/>
  <c r="Z1158" i="11" a="1"/>
  <c r="Z1158" i="11" s="1"/>
  <c r="AB1158" i="11" s="1"/>
  <c r="AC1158" i="11" s="1"/>
  <c r="AL1215" i="11" a="1"/>
  <c r="AL1215" i="11" s="1"/>
  <c r="AN1215" i="11" s="1"/>
  <c r="AO1215" i="11" s="1"/>
  <c r="AD1177" i="11" a="1"/>
  <c r="AD1177" i="11" s="1"/>
  <c r="AF1177" i="11" s="1"/>
  <c r="AG1177" i="11" s="1"/>
  <c r="AH1158" i="11" a="1"/>
  <c r="AH1158" i="11" s="1"/>
  <c r="AJ1158" i="11" s="1"/>
  <c r="AK1158" i="11" s="1"/>
  <c r="AP1158" i="11" a="1"/>
  <c r="AP1158" i="11" s="1"/>
  <c r="AR1158" i="11" s="1"/>
  <c r="AS1158" i="11" s="1"/>
  <c r="AL1158" i="11" a="1"/>
  <c r="AL1158" i="11" s="1"/>
  <c r="AN1158" i="11" s="1"/>
  <c r="AO1158" i="11" s="1"/>
  <c r="AD1158" i="11" a="1"/>
  <c r="AD1158" i="11" s="1"/>
  <c r="AF1158" i="11" s="1"/>
  <c r="AG1158" i="11" s="1"/>
  <c r="AD1146" i="11" a="1"/>
  <c r="AD1146" i="11" s="1"/>
  <c r="AF1146" i="11" s="1"/>
  <c r="AG1146" i="11" s="1"/>
  <c r="V1069" i="11" a="1"/>
  <c r="V1069" i="11" s="1"/>
  <c r="X1069" i="11" s="1"/>
  <c r="Y1069" i="11" s="1"/>
  <c r="Z1130" i="11" a="1"/>
  <c r="Z1130" i="11" s="1"/>
  <c r="AB1130" i="11" s="1"/>
  <c r="AC1130" i="11" s="1"/>
  <c r="Z1146" i="11" a="1"/>
  <c r="Z1146" i="11" s="1"/>
  <c r="AB1146" i="11" s="1"/>
  <c r="AC1146" i="11" s="1"/>
  <c r="AP1130" i="11" a="1"/>
  <c r="AP1130" i="11" s="1"/>
  <c r="AR1130" i="11" s="1"/>
  <c r="AS1130" i="11" s="1"/>
  <c r="Z1069" i="11" a="1"/>
  <c r="Z1069" i="11" s="1"/>
  <c r="AB1069" i="11" s="1"/>
  <c r="AC1069" i="11" s="1"/>
  <c r="N1069" i="11"/>
  <c r="O1069" i="11" s="1"/>
  <c r="Z1096" i="11" a="1"/>
  <c r="Z1096" i="11" s="1"/>
  <c r="AB1096" i="11" s="1"/>
  <c r="AC1096" i="11" s="1"/>
  <c r="AD1069" i="11" a="1"/>
  <c r="AD1069" i="11" s="1"/>
  <c r="AF1069" i="11" s="1"/>
  <c r="AG1069" i="11" s="1"/>
  <c r="AD1130" i="11" a="1"/>
  <c r="AD1130" i="11" s="1"/>
  <c r="AF1130" i="11" s="1"/>
  <c r="AG1130" i="11" s="1"/>
  <c r="AP1096" i="11" a="1"/>
  <c r="AP1096" i="11" s="1"/>
  <c r="AR1096" i="11" s="1"/>
  <c r="AS1096" i="11" s="1"/>
  <c r="V1096" i="11" a="1"/>
  <c r="V1096" i="11" s="1"/>
  <c r="X1096" i="11" s="1"/>
  <c r="Y1096" i="11" s="1"/>
  <c r="AJ1071" i="11"/>
  <c r="AK1071" i="11" s="1"/>
  <c r="R1074" i="11"/>
  <c r="AL1081" i="11" a="1"/>
  <c r="AL1081" i="11" s="1"/>
  <c r="AN1081" i="11" s="1"/>
  <c r="AO1081" i="11" s="1"/>
  <c r="V1082" i="11" a="1"/>
  <c r="V1082" i="11" s="1"/>
  <c r="X1082" i="11" s="1"/>
  <c r="Y1082" i="11" s="1"/>
  <c r="AD1084" i="11" a="1"/>
  <c r="AD1084" i="11" s="1"/>
  <c r="AF1084" i="11" s="1"/>
  <c r="AG1084" i="11" s="1"/>
  <c r="AD1120" i="11" a="1"/>
  <c r="AD1120" i="11" s="1"/>
  <c r="AF1120" i="11" s="1"/>
  <c r="AG1120" i="11" s="1"/>
  <c r="V1128" i="11" a="1"/>
  <c r="V1128" i="11" s="1"/>
  <c r="X1128" i="11" s="1"/>
  <c r="Y1128" i="11" s="1"/>
  <c r="AP1128" i="11" a="1"/>
  <c r="AP1128" i="11" s="1"/>
  <c r="AR1128" i="11" s="1"/>
  <c r="AS1128" i="11" s="1"/>
  <c r="N1128" i="11"/>
  <c r="O1128" i="11" s="1"/>
  <c r="AL1128" i="11" a="1"/>
  <c r="AL1128" i="11" s="1"/>
  <c r="AN1128" i="11" s="1"/>
  <c r="AO1128" i="11" s="1"/>
  <c r="AD1128" i="11" a="1"/>
  <c r="AD1128" i="11" s="1"/>
  <c r="AF1128" i="11" s="1"/>
  <c r="AG1128" i="11" s="1"/>
  <c r="Z1128" i="11" a="1"/>
  <c r="Z1128" i="11" s="1"/>
  <c r="AB1128" i="11" s="1"/>
  <c r="AC1128" i="11" s="1"/>
  <c r="AH1128" i="11" a="1"/>
  <c r="AH1128" i="11" s="1"/>
  <c r="AJ1128" i="11" s="1"/>
  <c r="AK1128" i="11" s="1"/>
  <c r="AL1074" i="11" a="1"/>
  <c r="AL1074" i="11" s="1"/>
  <c r="AN1074" i="11" s="1"/>
  <c r="AO1074" i="11" s="1"/>
  <c r="R1077" i="11"/>
  <c r="AP1127" i="11" a="1"/>
  <c r="AP1127" i="11" s="1"/>
  <c r="AR1127" i="11" s="1"/>
  <c r="AS1127" i="11" s="1"/>
  <c r="R1128" i="11"/>
  <c r="AH1216" i="11" a="1"/>
  <c r="AH1216" i="11" s="1"/>
  <c r="AJ1216" i="11" s="1"/>
  <c r="AK1216" i="11" s="1"/>
  <c r="AL1208" i="11" a="1"/>
  <c r="AL1208" i="11" s="1"/>
  <c r="AN1208" i="11" s="1"/>
  <c r="AO1208" i="11" s="1"/>
  <c r="V1208" i="11" a="1"/>
  <c r="V1208" i="11" s="1"/>
  <c r="X1208" i="11" s="1"/>
  <c r="Y1208" i="11" s="1"/>
  <c r="AD1153" i="11" a="1"/>
  <c r="AD1153" i="11" s="1"/>
  <c r="AF1153" i="11" s="1"/>
  <c r="AG1153" i="11" s="1"/>
  <c r="Z1153" i="11" a="1"/>
  <c r="Z1153" i="11" s="1"/>
  <c r="AB1153" i="11" s="1"/>
  <c r="AC1153" i="11" s="1"/>
  <c r="Z1208" i="11" a="1"/>
  <c r="Z1208" i="11" s="1"/>
  <c r="AB1208" i="11" s="1"/>
  <c r="AC1208" i="11" s="1"/>
  <c r="V1191" i="11" a="1"/>
  <c r="V1191" i="11" s="1"/>
  <c r="X1191" i="11" s="1"/>
  <c r="Y1191" i="11" s="1"/>
  <c r="AD1174" i="11" a="1"/>
  <c r="AD1174" i="11" s="1"/>
  <c r="AF1174" i="11" s="1"/>
  <c r="AG1174" i="11" s="1"/>
  <c r="AL1191" i="11" a="1"/>
  <c r="AL1191" i="11" s="1"/>
  <c r="AN1191" i="11" s="1"/>
  <c r="AO1191" i="11" s="1"/>
  <c r="AP1174" i="11" a="1"/>
  <c r="AP1174" i="11" s="1"/>
  <c r="AR1174" i="11" s="1"/>
  <c r="AS1174" i="11" s="1"/>
  <c r="AL1216" i="11" a="1"/>
  <c r="AL1216" i="11" s="1"/>
  <c r="AN1216" i="11" s="1"/>
  <c r="AO1216" i="11" s="1"/>
  <c r="AD1131" i="11" a="1"/>
  <c r="AD1131" i="11" s="1"/>
  <c r="AF1131" i="11" s="1"/>
  <c r="AG1131" i="11" s="1"/>
  <c r="AP1216" i="11" a="1"/>
  <c r="AP1216" i="11" s="1"/>
  <c r="AR1216" i="11" s="1"/>
  <c r="AS1216" i="11" s="1"/>
  <c r="AL1174" i="11" a="1"/>
  <c r="AL1174" i="11" s="1"/>
  <c r="AN1174" i="11" s="1"/>
  <c r="AO1174" i="11" s="1"/>
  <c r="V1153" i="11" a="1"/>
  <c r="V1153" i="11" s="1"/>
  <c r="X1153" i="11" s="1"/>
  <c r="Y1153" i="11" s="1"/>
  <c r="AH1174" i="11" a="1"/>
  <c r="AH1174" i="11" s="1"/>
  <c r="AJ1174" i="11" s="1"/>
  <c r="AK1174" i="11" s="1"/>
  <c r="AL1153" i="11" a="1"/>
  <c r="AL1153" i="11" s="1"/>
  <c r="AN1153" i="11" s="1"/>
  <c r="AO1153" i="11" s="1"/>
  <c r="AP1208" i="11" a="1"/>
  <c r="AP1208" i="11" s="1"/>
  <c r="AR1208" i="11" s="1"/>
  <c r="AS1208" i="11" s="1"/>
  <c r="AP1148" i="11" a="1"/>
  <c r="AP1148" i="11" s="1"/>
  <c r="AR1148" i="11" s="1"/>
  <c r="AS1148" i="11" s="1"/>
  <c r="Z1174" i="11" a="1"/>
  <c r="Z1174" i="11" s="1"/>
  <c r="AB1174" i="11" s="1"/>
  <c r="AC1174" i="11" s="1"/>
  <c r="AH1153" i="11" a="1"/>
  <c r="AH1153" i="11" s="1"/>
  <c r="AJ1153" i="11" s="1"/>
  <c r="AK1153" i="11" s="1"/>
  <c r="Z1148" i="11" a="1"/>
  <c r="Z1148" i="11" s="1"/>
  <c r="AB1148" i="11" s="1"/>
  <c r="AC1148" i="11" s="1"/>
  <c r="AL1148" i="11" a="1"/>
  <c r="AL1148" i="11" s="1"/>
  <c r="AN1148" i="11" s="1"/>
  <c r="AO1148" i="11" s="1"/>
  <c r="AH1131" i="11" a="1"/>
  <c r="AH1131" i="11" s="1"/>
  <c r="AJ1131" i="11" s="1"/>
  <c r="AK1131" i="11" s="1"/>
  <c r="Z1131" i="11" a="1"/>
  <c r="Z1131" i="11" s="1"/>
  <c r="AB1131" i="11" s="1"/>
  <c r="AC1131" i="11" s="1"/>
  <c r="V1174" i="11" a="1"/>
  <c r="V1174" i="11" s="1"/>
  <c r="X1174" i="11" s="1"/>
  <c r="Y1174" i="11" s="1"/>
  <c r="AD1121" i="11" a="1"/>
  <c r="AD1121" i="11" s="1"/>
  <c r="AF1121" i="11" s="1"/>
  <c r="AG1121" i="11" s="1"/>
  <c r="V1131" i="11" a="1"/>
  <c r="V1131" i="11" s="1"/>
  <c r="X1131" i="11" s="1"/>
  <c r="Y1131" i="11" s="1"/>
  <c r="AP1121" i="11" a="1"/>
  <c r="AP1121" i="11" s="1"/>
  <c r="AR1121" i="11" s="1"/>
  <c r="AS1121" i="11" s="1"/>
  <c r="AP1070" i="11" a="1"/>
  <c r="AP1070" i="11" s="1"/>
  <c r="AR1070" i="11" s="1"/>
  <c r="AS1070" i="11" s="1"/>
  <c r="V1071" i="11" a="1"/>
  <c r="V1071" i="11" s="1"/>
  <c r="X1071" i="11" s="1"/>
  <c r="Y1071" i="11" s="1"/>
  <c r="AL1075" i="11" a="1"/>
  <c r="AL1075" i="11" s="1"/>
  <c r="AN1075" i="11" s="1"/>
  <c r="AO1075" i="11" s="1"/>
  <c r="AP1075" i="11" a="1"/>
  <c r="AP1075" i="11" s="1"/>
  <c r="AR1075" i="11" s="1"/>
  <c r="AS1075" i="11" s="1"/>
  <c r="R1075" i="11"/>
  <c r="AD1075" i="11" a="1"/>
  <c r="AD1075" i="11" s="1"/>
  <c r="AF1075" i="11" s="1"/>
  <c r="AG1075" i="11" s="1"/>
  <c r="Z1081" i="11" a="1"/>
  <c r="Z1081" i="11" s="1"/>
  <c r="AB1081" i="11" s="1"/>
  <c r="AC1081" i="11" s="1"/>
  <c r="N1081" i="11"/>
  <c r="O1081" i="11" s="1"/>
  <c r="AD1081" i="11" a="1"/>
  <c r="AD1081" i="11" s="1"/>
  <c r="AF1081" i="11" s="1"/>
  <c r="AG1081" i="11" s="1"/>
  <c r="AL1085" i="11" a="1"/>
  <c r="AL1085" i="11" s="1"/>
  <c r="AN1085" i="11" s="1"/>
  <c r="AO1085" i="11" s="1"/>
  <c r="Z1086" i="11" a="1"/>
  <c r="Z1086" i="11" s="1"/>
  <c r="AB1086" i="11" s="1"/>
  <c r="AC1086" i="11" s="1"/>
  <c r="V1090" i="11" a="1"/>
  <c r="V1090" i="11" s="1"/>
  <c r="X1090" i="11" s="1"/>
  <c r="Y1090" i="11" s="1"/>
  <c r="AP1090" i="11" a="1"/>
  <c r="AP1090" i="11" s="1"/>
  <c r="AR1090" i="11" s="1"/>
  <c r="AS1090" i="11" s="1"/>
  <c r="N1090" i="11"/>
  <c r="O1090" i="11" s="1"/>
  <c r="AD1090" i="11" a="1"/>
  <c r="AD1090" i="11" s="1"/>
  <c r="AF1090" i="11" s="1"/>
  <c r="AG1090" i="11" s="1"/>
  <c r="AD1114" i="11" a="1"/>
  <c r="AD1114" i="11" s="1"/>
  <c r="AF1114" i="11" s="1"/>
  <c r="AG1114" i="11" s="1"/>
  <c r="AL1102" i="11" a="1"/>
  <c r="AL1102" i="11" s="1"/>
  <c r="AN1102" i="11" s="1"/>
  <c r="AO1102" i="11" s="1"/>
  <c r="AD1102" i="11" a="1"/>
  <c r="AD1102" i="11" s="1"/>
  <c r="AF1102" i="11" s="1"/>
  <c r="AG1102" i="11" s="1"/>
  <c r="AP1102" i="11" a="1"/>
  <c r="AP1102" i="11" s="1"/>
  <c r="AR1102" i="11" s="1"/>
  <c r="AS1102" i="11" s="1"/>
  <c r="N1102" i="11"/>
  <c r="O1102" i="11" s="1"/>
  <c r="AP1103" i="11" a="1"/>
  <c r="AP1103" i="11" s="1"/>
  <c r="AR1103" i="11" s="1"/>
  <c r="AS1103" i="11" s="1"/>
  <c r="R1103" i="11"/>
  <c r="AD1103" i="11" a="1"/>
  <c r="AD1103" i="11" s="1"/>
  <c r="AF1103" i="11" s="1"/>
  <c r="AG1103" i="11" s="1"/>
  <c r="Z1103" i="11" a="1"/>
  <c r="Z1103" i="11" s="1"/>
  <c r="AB1103" i="11" s="1"/>
  <c r="AC1103" i="11" s="1"/>
  <c r="V1103" i="11" a="1"/>
  <c r="V1103" i="11" s="1"/>
  <c r="X1103" i="11" s="1"/>
  <c r="Y1103" i="11" s="1"/>
  <c r="AH1103" i="11" a="1"/>
  <c r="AH1103" i="11" s="1"/>
  <c r="AJ1103" i="11" s="1"/>
  <c r="AK1103" i="11" s="1"/>
  <c r="AH1107" i="11" a="1"/>
  <c r="AH1107" i="11" s="1"/>
  <c r="AJ1107" i="11" s="1"/>
  <c r="AK1107" i="11" s="1"/>
  <c r="N1117" i="11"/>
  <c r="O1117" i="11" s="1"/>
  <c r="Z1119" i="11" a="1"/>
  <c r="Z1119" i="11" s="1"/>
  <c r="AB1119" i="11" s="1"/>
  <c r="AC1119" i="11" s="1"/>
  <c r="AD1123" i="11" a="1"/>
  <c r="AD1123" i="11" s="1"/>
  <c r="AF1123" i="11" s="1"/>
  <c r="AG1123" i="11" s="1"/>
  <c r="AL1210" i="11" a="1"/>
  <c r="AL1210" i="11" s="1"/>
  <c r="AN1210" i="11" s="1"/>
  <c r="AO1210" i="11" s="1"/>
  <c r="AP1229" i="11" a="1"/>
  <c r="AP1229" i="11" s="1"/>
  <c r="AR1229" i="11" s="1"/>
  <c r="AS1229" i="11" s="1"/>
  <c r="AH1210" i="11" a="1"/>
  <c r="AH1210" i="11" s="1"/>
  <c r="AJ1210" i="11" s="1"/>
  <c r="AK1210" i="11" s="1"/>
  <c r="Z1192" i="11" a="1"/>
  <c r="Z1192" i="11" s="1"/>
  <c r="AB1192" i="11" s="1"/>
  <c r="AC1192" i="11" s="1"/>
  <c r="AD1229" i="11" a="1"/>
  <c r="AD1229" i="11" s="1"/>
  <c r="AF1229" i="11" s="1"/>
  <c r="AG1229" i="11" s="1"/>
  <c r="AP1210" i="11" a="1"/>
  <c r="AP1210" i="11" s="1"/>
  <c r="AR1210" i="11" s="1"/>
  <c r="AS1210" i="11" s="1"/>
  <c r="V1229" i="11" a="1"/>
  <c r="V1229" i="11" s="1"/>
  <c r="X1229" i="11" s="1"/>
  <c r="Y1229" i="11" s="1"/>
  <c r="AH1192" i="11" a="1"/>
  <c r="AH1192" i="11" s="1"/>
  <c r="AJ1192" i="11" s="1"/>
  <c r="AK1192" i="11" s="1"/>
  <c r="Z1210" i="11" a="1"/>
  <c r="Z1210" i="11" s="1"/>
  <c r="AB1210" i="11" s="1"/>
  <c r="AC1210" i="11" s="1"/>
  <c r="AD1192" i="11" a="1"/>
  <c r="AD1192" i="11" s="1"/>
  <c r="AF1192" i="11" s="1"/>
  <c r="AG1192" i="11" s="1"/>
  <c r="AL1163" i="11" a="1"/>
  <c r="AL1163" i="11" s="1"/>
  <c r="AN1163" i="11" s="1"/>
  <c r="AO1163" i="11" s="1"/>
  <c r="V1192" i="11" a="1"/>
  <c r="V1192" i="11" s="1"/>
  <c r="X1192" i="11" s="1"/>
  <c r="Y1192" i="11" s="1"/>
  <c r="AP1192" i="11" a="1"/>
  <c r="AP1192" i="11" s="1"/>
  <c r="AR1192" i="11" s="1"/>
  <c r="AS1192" i="11" s="1"/>
  <c r="AH1163" i="11" a="1"/>
  <c r="AH1163" i="11" s="1"/>
  <c r="AJ1163" i="11" s="1"/>
  <c r="AK1163" i="11" s="1"/>
  <c r="AD1163" i="11" a="1"/>
  <c r="AD1163" i="11" s="1"/>
  <c r="AF1163" i="11" s="1"/>
  <c r="AG1163" i="11" s="1"/>
  <c r="AP1163" i="11" a="1"/>
  <c r="AP1163" i="11" s="1"/>
  <c r="AR1163" i="11" s="1"/>
  <c r="AS1163" i="11" s="1"/>
  <c r="V1163" i="11" a="1"/>
  <c r="V1163" i="11" s="1"/>
  <c r="X1163" i="11" s="1"/>
  <c r="Y1163" i="11" s="1"/>
  <c r="V1132" i="11" a="1"/>
  <c r="V1132" i="11" s="1"/>
  <c r="X1132" i="11" s="1"/>
  <c r="Y1132" i="11" s="1"/>
  <c r="AH1123" i="11" a="1"/>
  <c r="AH1123" i="11" s="1"/>
  <c r="AJ1123" i="11" s="1"/>
  <c r="AK1123" i="11" s="1"/>
  <c r="Z1098" i="11" a="1"/>
  <c r="Z1098" i="11" s="1"/>
  <c r="AB1098" i="11" s="1"/>
  <c r="AC1098" i="11" s="1"/>
  <c r="R1070" i="11"/>
  <c r="AD1070" i="11" a="1"/>
  <c r="AD1070" i="11" s="1"/>
  <c r="AF1070" i="11" s="1"/>
  <c r="AG1070" i="11" s="1"/>
  <c r="AP1223" i="11" a="1"/>
  <c r="AP1223" i="11" s="1"/>
  <c r="AR1223" i="11" s="1"/>
  <c r="AS1223" i="11" s="1"/>
  <c r="AL1223" i="11" a="1"/>
  <c r="AL1223" i="11" s="1"/>
  <c r="AN1223" i="11" s="1"/>
  <c r="AO1223" i="11" s="1"/>
  <c r="AH1161" i="11" a="1"/>
  <c r="AH1161" i="11" s="1"/>
  <c r="AJ1161" i="11" s="1"/>
  <c r="AK1161" i="11" s="1"/>
  <c r="V1161" i="11" a="1"/>
  <c r="V1161" i="11" s="1"/>
  <c r="X1161" i="11" s="1"/>
  <c r="Y1161" i="11" s="1"/>
  <c r="AL1133" i="11" a="1"/>
  <c r="AL1133" i="11" s="1"/>
  <c r="AN1133" i="11" s="1"/>
  <c r="AO1133" i="11" s="1"/>
  <c r="AP1118" i="11" a="1"/>
  <c r="AP1118" i="11" s="1"/>
  <c r="AR1118" i="11" s="1"/>
  <c r="AS1118" i="11" s="1"/>
  <c r="V1118" i="11" a="1"/>
  <c r="V1118" i="11" s="1"/>
  <c r="X1118" i="11" s="1"/>
  <c r="Y1118" i="11" s="1"/>
  <c r="AH1133" i="11" a="1"/>
  <c r="AH1133" i="11" s="1"/>
  <c r="AJ1133" i="11" s="1"/>
  <c r="AK1133" i="11" s="1"/>
  <c r="AD1107" i="11" a="1"/>
  <c r="AD1107" i="11" s="1"/>
  <c r="AF1107" i="11" s="1"/>
  <c r="AG1107" i="11" s="1"/>
  <c r="AH1118" i="11" a="1"/>
  <c r="AH1118" i="11" s="1"/>
  <c r="AJ1118" i="11" s="1"/>
  <c r="AK1118" i="11" s="1"/>
  <c r="V1133" i="11" a="1"/>
  <c r="V1133" i="11" s="1"/>
  <c r="X1133" i="11" s="1"/>
  <c r="Y1133" i="11" s="1"/>
  <c r="AP1078" i="11" a="1"/>
  <c r="AP1078" i="11" s="1"/>
  <c r="AR1078" i="11" s="1"/>
  <c r="AS1078" i="11" s="1"/>
  <c r="R1081" i="11"/>
  <c r="V1088" i="11" a="1"/>
  <c r="V1088" i="11" s="1"/>
  <c r="X1088" i="11" s="1"/>
  <c r="Y1088" i="11" s="1"/>
  <c r="R1090" i="11"/>
  <c r="AP1099" i="11" a="1"/>
  <c r="AP1099" i="11" s="1"/>
  <c r="AR1099" i="11" s="1"/>
  <c r="AS1099" i="11" s="1"/>
  <c r="Z1109" i="11" a="1"/>
  <c r="Z1109" i="11" s="1"/>
  <c r="AB1109" i="11" s="1"/>
  <c r="AC1109" i="11" s="1"/>
  <c r="V1111" i="11" a="1"/>
  <c r="V1111" i="11" s="1"/>
  <c r="X1111" i="11" s="1"/>
  <c r="Y1111" i="11" s="1"/>
  <c r="V1091" i="11" a="1"/>
  <c r="V1091" i="11" s="1"/>
  <c r="X1091" i="11" s="1"/>
  <c r="Y1091" i="11" s="1"/>
  <c r="Z1091" i="11" a="1"/>
  <c r="Z1091" i="11" s="1"/>
  <c r="AB1091" i="11" s="1"/>
  <c r="AC1091" i="11" s="1"/>
  <c r="AD1091" i="11" a="1"/>
  <c r="AD1091" i="11" s="1"/>
  <c r="AF1091" i="11" s="1"/>
  <c r="AG1091" i="11" s="1"/>
  <c r="Z1099" i="11" a="1"/>
  <c r="Z1099" i="11" s="1"/>
  <c r="AB1099" i="11" s="1"/>
  <c r="AC1099" i="11" s="1"/>
  <c r="AB1100" i="11"/>
  <c r="AC1100" i="11" s="1"/>
  <c r="AD1101" i="11" a="1"/>
  <c r="AD1101" i="11" s="1"/>
  <c r="AF1101" i="11" s="1"/>
  <c r="AG1101" i="11" s="1"/>
  <c r="AH1114" i="11" a="1"/>
  <c r="AH1114" i="11" s="1"/>
  <c r="AJ1114" i="11" s="1"/>
  <c r="AK1114" i="11" s="1"/>
  <c r="V1117" i="11" a="1"/>
  <c r="V1117" i="11" s="1"/>
  <c r="X1117" i="11" s="1"/>
  <c r="Y1117" i="11" s="1"/>
  <c r="AL1117" i="11" a="1"/>
  <c r="AL1117" i="11" s="1"/>
  <c r="AN1117" i="11" s="1"/>
  <c r="AO1117" i="11" s="1"/>
  <c r="AH1117" i="11" a="1"/>
  <c r="AH1117" i="11" s="1"/>
  <c r="AJ1117" i="11" s="1"/>
  <c r="AK1117" i="11" s="1"/>
  <c r="R1117" i="11"/>
  <c r="V1095" i="11" a="1"/>
  <c r="V1095" i="11" s="1"/>
  <c r="X1095" i="11" s="1"/>
  <c r="Y1095" i="11" s="1"/>
  <c r="AL1095" i="11" a="1"/>
  <c r="AL1095" i="11" s="1"/>
  <c r="AN1095" i="11" s="1"/>
  <c r="AO1095" i="11" s="1"/>
  <c r="AL1103" i="11" a="1"/>
  <c r="AL1103" i="11" s="1"/>
  <c r="AN1103" i="11" s="1"/>
  <c r="AO1103" i="11" s="1"/>
  <c r="AL1107" i="11" a="1"/>
  <c r="AL1107" i="11" s="1"/>
  <c r="AN1107" i="11" s="1"/>
  <c r="AO1107" i="11" s="1"/>
  <c r="AD1110" i="11" a="1"/>
  <c r="AD1110" i="11" s="1"/>
  <c r="AF1110" i="11" s="1"/>
  <c r="AG1110" i="11" s="1"/>
  <c r="Z1088" i="11" a="1"/>
  <c r="Z1088" i="11" s="1"/>
  <c r="AB1088" i="11" s="1"/>
  <c r="AC1088" i="11" s="1"/>
  <c r="Z1101" i="11" a="1"/>
  <c r="Z1101" i="11" s="1"/>
  <c r="AB1101" i="11" s="1"/>
  <c r="AC1101" i="11" s="1"/>
  <c r="V1101" i="11" a="1"/>
  <c r="V1101" i="11" s="1"/>
  <c r="X1101" i="11" s="1"/>
  <c r="Y1101" i="11" s="1"/>
  <c r="AH1121" i="11" a="1"/>
  <c r="AH1121" i="11" s="1"/>
  <c r="AJ1121" i="11" s="1"/>
  <c r="AK1121" i="11" s="1"/>
  <c r="Z1132" i="11" a="1"/>
  <c r="Z1132" i="11" s="1"/>
  <c r="AB1132" i="11" s="1"/>
  <c r="AC1132" i="11" s="1"/>
  <c r="Z1209" i="11" a="1"/>
  <c r="Z1209" i="11" s="1"/>
  <c r="AB1209" i="11" s="1"/>
  <c r="AC1209" i="11" s="1"/>
  <c r="AH1209" i="11" a="1"/>
  <c r="AH1209" i="11" s="1"/>
  <c r="AJ1209" i="11" s="1"/>
  <c r="AK1209" i="11" s="1"/>
  <c r="AD1209" i="11" a="1"/>
  <c r="AD1209" i="11" s="1"/>
  <c r="AF1209" i="11" s="1"/>
  <c r="AG1209" i="11" s="1"/>
  <c r="V1209" i="11" a="1"/>
  <c r="V1209" i="11" s="1"/>
  <c r="X1209" i="11" s="1"/>
  <c r="Y1209" i="11" s="1"/>
  <c r="AP1209" i="11" a="1"/>
  <c r="AP1209" i="11" s="1"/>
  <c r="AR1209" i="11" s="1"/>
  <c r="AS1209" i="11" s="1"/>
  <c r="AL1209" i="11" a="1"/>
  <c r="AL1209" i="11" s="1"/>
  <c r="AN1209" i="11" s="1"/>
  <c r="AO1209" i="11" s="1"/>
  <c r="AP1071" i="11" a="1"/>
  <c r="AP1071" i="11" s="1"/>
  <c r="AR1071" i="11" s="1"/>
  <c r="AS1071" i="11" s="1"/>
  <c r="AD1099" i="11" a="1"/>
  <c r="AD1099" i="11" s="1"/>
  <c r="AF1099" i="11" s="1"/>
  <c r="AG1099" i="11" s="1"/>
  <c r="AF1100" i="11"/>
  <c r="AG1100" i="11" s="1"/>
  <c r="V1107" i="11" a="1"/>
  <c r="V1107" i="11" s="1"/>
  <c r="X1107" i="11" s="1"/>
  <c r="Y1107" i="11" s="1"/>
  <c r="V1075" i="11" a="1"/>
  <c r="V1075" i="11" s="1"/>
  <c r="X1075" i="11" s="1"/>
  <c r="Y1075" i="11" s="1"/>
  <c r="V1081" i="11" a="1"/>
  <c r="V1081" i="11" s="1"/>
  <c r="X1081" i="11" s="1"/>
  <c r="Y1081" i="11" s="1"/>
  <c r="AH1086" i="11" a="1"/>
  <c r="AH1086" i="11" s="1"/>
  <c r="AJ1086" i="11" s="1"/>
  <c r="AK1086" i="11" s="1"/>
  <c r="N1099" i="11"/>
  <c r="O1099" i="11" s="1"/>
  <c r="R1101" i="11"/>
  <c r="AL1101" i="11" a="1"/>
  <c r="AL1101" i="11" s="1"/>
  <c r="AN1101" i="11" s="1"/>
  <c r="AO1101" i="11" s="1"/>
  <c r="V1123" i="11" a="1"/>
  <c r="V1123" i="11" s="1"/>
  <c r="X1123" i="11" s="1"/>
  <c r="Y1123" i="11" s="1"/>
  <c r="AD1098" i="11" a="1"/>
  <c r="AD1098" i="11" s="1"/>
  <c r="AF1098" i="11" s="1"/>
  <c r="AG1098" i="11" s="1"/>
  <c r="AL1109" i="11" a="1"/>
  <c r="AL1109" i="11" s="1"/>
  <c r="AN1109" i="11" s="1"/>
  <c r="AO1109" i="11" s="1"/>
  <c r="AH1109" i="11" a="1"/>
  <c r="AH1109" i="11" s="1"/>
  <c r="AJ1109" i="11" s="1"/>
  <c r="AK1109" i="11" s="1"/>
  <c r="R1109" i="11"/>
  <c r="AD1109" i="11" a="1"/>
  <c r="AD1109" i="11" s="1"/>
  <c r="AF1109" i="11" s="1"/>
  <c r="AG1109" i="11" s="1"/>
  <c r="AD1119" i="11" a="1"/>
  <c r="AD1119" i="11" s="1"/>
  <c r="AF1119" i="11" s="1"/>
  <c r="AG1119" i="11" s="1"/>
  <c r="V1119" i="11" a="1"/>
  <c r="V1119" i="11" s="1"/>
  <c r="X1119" i="11" s="1"/>
  <c r="Y1119" i="11" s="1"/>
  <c r="AH1119" i="11" a="1"/>
  <c r="AH1119" i="11" s="1"/>
  <c r="AJ1119" i="11" s="1"/>
  <c r="AK1119" i="11" s="1"/>
  <c r="AP1119" i="11" a="1"/>
  <c r="AP1119" i="11" s="1"/>
  <c r="AR1119" i="11" s="1"/>
  <c r="AS1119" i="11" s="1"/>
  <c r="AL1119" i="11" a="1"/>
  <c r="AL1119" i="11" s="1"/>
  <c r="AN1119" i="11" s="1"/>
  <c r="AO1119" i="11" s="1"/>
  <c r="R1119" i="11"/>
  <c r="AD1071" i="11" a="1"/>
  <c r="AD1071" i="11" s="1"/>
  <c r="AF1071" i="11" s="1"/>
  <c r="AG1071" i="11" s="1"/>
  <c r="V1078" i="11" a="1"/>
  <c r="V1078" i="11" s="1"/>
  <c r="X1078" i="11" s="1"/>
  <c r="Y1078" i="11" s="1"/>
  <c r="AL1088" i="11" a="1"/>
  <c r="AL1088" i="11" s="1"/>
  <c r="AN1088" i="11" s="1"/>
  <c r="AO1088" i="11" s="1"/>
  <c r="AD1088" i="11" a="1"/>
  <c r="AD1088" i="11" s="1"/>
  <c r="AF1088" i="11" s="1"/>
  <c r="AG1088" i="11" s="1"/>
  <c r="R1088" i="11"/>
  <c r="AH1088" i="11" a="1"/>
  <c r="AH1088" i="11" s="1"/>
  <c r="AJ1088" i="11" s="1"/>
  <c r="AK1088" i="11" s="1"/>
  <c r="Z1093" i="11" a="1"/>
  <c r="Z1093" i="11" s="1"/>
  <c r="AB1093" i="11" s="1"/>
  <c r="AC1093" i="11" s="1"/>
  <c r="V1102" i="11" a="1"/>
  <c r="V1102" i="11" s="1"/>
  <c r="X1102" i="11" s="1"/>
  <c r="Y1102" i="11" s="1"/>
  <c r="Z1117" i="11" a="1"/>
  <c r="Z1117" i="11" s="1"/>
  <c r="AB1117" i="11" s="1"/>
  <c r="AC1117" i="11" s="1"/>
  <c r="Z1123" i="11" a="1"/>
  <c r="Z1123" i="11" s="1"/>
  <c r="AB1123" i="11" s="1"/>
  <c r="AC1123" i="11" s="1"/>
  <c r="AP1133" i="11" a="1"/>
  <c r="AP1133" i="11" s="1"/>
  <c r="AR1133" i="11" s="1"/>
  <c r="AS1133" i="11" s="1"/>
  <c r="AD1221" i="11" a="1"/>
  <c r="AD1221" i="11" s="1"/>
  <c r="AF1221" i="11" s="1"/>
  <c r="AG1221" i="11" s="1"/>
  <c r="Z1221" i="11" a="1"/>
  <c r="Z1221" i="11" s="1"/>
  <c r="AB1221" i="11" s="1"/>
  <c r="AC1221" i="11" s="1"/>
  <c r="AP1221" i="11" a="1"/>
  <c r="AP1221" i="11" s="1"/>
  <c r="AR1221" i="11" s="1"/>
  <c r="AS1221" i="11" s="1"/>
  <c r="V1221" i="11" a="1"/>
  <c r="V1221" i="11" s="1"/>
  <c r="X1221" i="11" s="1"/>
  <c r="Y1221" i="11" s="1"/>
  <c r="V1200" i="11" a="1"/>
  <c r="V1200" i="11" s="1"/>
  <c r="X1200" i="11" s="1"/>
  <c r="Y1200" i="11" s="1"/>
  <c r="V1188" i="11" a="1"/>
  <c r="V1188" i="11" s="1"/>
  <c r="X1188" i="11" s="1"/>
  <c r="Y1188" i="11" s="1"/>
  <c r="AL1188" i="11" a="1"/>
  <c r="AL1188" i="11" s="1"/>
  <c r="AN1188" i="11" s="1"/>
  <c r="AO1188" i="11" s="1"/>
  <c r="Z1200" i="11" a="1"/>
  <c r="Z1200" i="11" s="1"/>
  <c r="AB1200" i="11" s="1"/>
  <c r="AC1200" i="11" s="1"/>
  <c r="AD1089" i="11" a="1"/>
  <c r="AD1089" i="11" s="1"/>
  <c r="AF1089" i="11" s="1"/>
  <c r="AG1089" i="11" s="1"/>
  <c r="AD1142" i="11" a="1"/>
  <c r="AD1142" i="11" s="1"/>
  <c r="AF1142" i="11" s="1"/>
  <c r="AG1142" i="11" s="1"/>
  <c r="AD1169" i="11" a="1"/>
  <c r="AD1169" i="11" s="1"/>
  <c r="AF1169" i="11" s="1"/>
  <c r="AG1169" i="11" s="1"/>
  <c r="Z1142" i="11" a="1"/>
  <c r="Z1142" i="11" s="1"/>
  <c r="AB1142" i="11" s="1"/>
  <c r="AC1142" i="11" s="1"/>
  <c r="AH1089" i="11" a="1"/>
  <c r="AH1089" i="11" s="1"/>
  <c r="AJ1089" i="11" s="1"/>
  <c r="AK1089" i="11" s="1"/>
  <c r="AP1114" i="11" a="1"/>
  <c r="AP1114" i="11" s="1"/>
  <c r="AR1114" i="11" s="1"/>
  <c r="AS1114" i="11" s="1"/>
  <c r="Z1114" i="11" a="1"/>
  <c r="Z1114" i="11" s="1"/>
  <c r="AB1114" i="11" s="1"/>
  <c r="AC1114" i="11" s="1"/>
  <c r="V1142" i="11" a="1"/>
  <c r="V1142" i="11" s="1"/>
  <c r="X1142" i="11" s="1"/>
  <c r="Y1142" i="11" s="1"/>
  <c r="AL1114" i="11" a="1"/>
  <c r="AL1114" i="11" s="1"/>
  <c r="AN1114" i="11" s="1"/>
  <c r="AO1114" i="11" s="1"/>
  <c r="V1114" i="11" a="1"/>
  <c r="V1114" i="11" s="1"/>
  <c r="X1114" i="11" s="1"/>
  <c r="Y1114" i="11" s="1"/>
  <c r="Z1107" i="11" a="1"/>
  <c r="Z1107" i="11" s="1"/>
  <c r="AB1107" i="11" s="1"/>
  <c r="AC1107" i="11" s="1"/>
  <c r="AP1111" i="11" a="1"/>
  <c r="AP1111" i="11" s="1"/>
  <c r="AR1111" i="11" s="1"/>
  <c r="AS1111" i="11" s="1"/>
  <c r="R1111" i="11"/>
  <c r="N1111" i="11"/>
  <c r="O1111" i="11" s="1"/>
  <c r="AL1111" i="11" a="1"/>
  <c r="AL1111" i="11" s="1"/>
  <c r="AN1111" i="11" s="1"/>
  <c r="AO1111" i="11" s="1"/>
  <c r="AL1131" i="11" a="1"/>
  <c r="AL1131" i="11" s="1"/>
  <c r="AN1131" i="11" s="1"/>
  <c r="AO1131" i="11" s="1"/>
  <c r="AH1139" i="11" a="1"/>
  <c r="AH1139" i="11" s="1"/>
  <c r="AJ1139" i="11" s="1"/>
  <c r="AK1139" i="11" s="1"/>
  <c r="AP1094" i="11" a="1"/>
  <c r="AP1094" i="11" s="1"/>
  <c r="AR1094" i="11" s="1"/>
  <c r="AS1094" i="11" s="1"/>
  <c r="AP1095" i="11" a="1"/>
  <c r="AP1095" i="11" s="1"/>
  <c r="AR1095" i="11" s="1"/>
  <c r="AS1095" i="11" s="1"/>
  <c r="AD1095" i="11" a="1"/>
  <c r="AD1095" i="11" s="1"/>
  <c r="AF1095" i="11" s="1"/>
  <c r="AG1095" i="11" s="1"/>
  <c r="V1120" i="11" a="1"/>
  <c r="V1120" i="11" s="1"/>
  <c r="X1120" i="11" s="1"/>
  <c r="Y1120" i="11" s="1"/>
  <c r="R1120" i="11"/>
  <c r="AP1120" i="11" a="1"/>
  <c r="AP1120" i="11" s="1"/>
  <c r="AR1120" i="11" s="1"/>
  <c r="AS1120" i="11" s="1"/>
  <c r="N1120" i="11"/>
  <c r="O1120" i="11" s="1"/>
  <c r="Z1120" i="11" a="1"/>
  <c r="Z1120" i="11" s="1"/>
  <c r="AB1120" i="11" s="1"/>
  <c r="AC1120" i="11" s="1"/>
  <c r="AL1120" i="11" a="1"/>
  <c r="AL1120" i="11" s="1"/>
  <c r="AN1120" i="11" s="1"/>
  <c r="AO1120" i="11" s="1"/>
  <c r="Z1121" i="11" a="1"/>
  <c r="Z1121" i="11" s="1"/>
  <c r="AB1121" i="11" s="1"/>
  <c r="AC1121" i="11" s="1"/>
  <c r="AL1126" i="11" a="1"/>
  <c r="AL1126" i="11" s="1"/>
  <c r="AN1126" i="11" s="1"/>
  <c r="AO1126" i="11" s="1"/>
  <c r="AH1126" i="11" a="1"/>
  <c r="AH1126" i="11" s="1"/>
  <c r="AJ1126" i="11" s="1"/>
  <c r="AK1126" i="11" s="1"/>
  <c r="Z1126" i="11" a="1"/>
  <c r="Z1126" i="11" s="1"/>
  <c r="AB1126" i="11" s="1"/>
  <c r="AC1126" i="11" s="1"/>
  <c r="AP1126" i="11" a="1"/>
  <c r="AP1126" i="11" s="1"/>
  <c r="AR1126" i="11" s="1"/>
  <c r="AS1126" i="11" s="1"/>
  <c r="V1126" i="11" a="1"/>
  <c r="V1126" i="11" s="1"/>
  <c r="X1126" i="11" s="1"/>
  <c r="Y1126" i="11" s="1"/>
  <c r="R1126" i="11"/>
  <c r="AH1112" i="11" a="1"/>
  <c r="AH1112" i="11" s="1"/>
  <c r="AJ1112" i="11" s="1"/>
  <c r="AK1112" i="11" s="1"/>
  <c r="AH1146" i="11" a="1"/>
  <c r="AH1146" i="11" s="1"/>
  <c r="AJ1146" i="11" s="1"/>
  <c r="AK1146" i="11" s="1"/>
  <c r="V1232" i="11" a="1"/>
  <c r="V1232" i="11" s="1"/>
  <c r="X1232" i="11" s="1"/>
  <c r="Y1232" i="11" s="1"/>
  <c r="AL1232" i="11" a="1"/>
  <c r="AL1232" i="11" s="1"/>
  <c r="AN1232" i="11" s="1"/>
  <c r="AO1232" i="11" s="1"/>
  <c r="AH1212" i="11" a="1"/>
  <c r="AH1212" i="11" s="1"/>
  <c r="AJ1212" i="11" s="1"/>
  <c r="AK1212" i="11" s="1"/>
  <c r="AD1196" i="11" a="1"/>
  <c r="AD1196" i="11" s="1"/>
  <c r="AF1196" i="11" s="1"/>
  <c r="AG1196" i="11" s="1"/>
  <c r="AL1183" i="11" a="1"/>
  <c r="AL1183" i="11" s="1"/>
  <c r="AN1183" i="11" s="1"/>
  <c r="AO1183" i="11" s="1"/>
  <c r="AD1212" i="11" a="1"/>
  <c r="AD1212" i="11" s="1"/>
  <c r="AF1212" i="11" s="1"/>
  <c r="AG1212" i="11" s="1"/>
  <c r="AL1151" i="11" a="1"/>
  <c r="AL1151" i="11" s="1"/>
  <c r="AN1151" i="11" s="1"/>
  <c r="AO1151" i="11" s="1"/>
  <c r="AL1172" i="11" a="1"/>
  <c r="AL1172" i="11" s="1"/>
  <c r="AN1172" i="11" s="1"/>
  <c r="AO1172" i="11" s="1"/>
  <c r="V1172" i="11" a="1"/>
  <c r="V1172" i="11" s="1"/>
  <c r="X1172" i="11" s="1"/>
  <c r="Y1172" i="11" s="1"/>
  <c r="AD1151" i="11" a="1"/>
  <c r="AD1151" i="11" s="1"/>
  <c r="AF1151" i="11" s="1"/>
  <c r="AG1151" i="11" s="1"/>
  <c r="Z1172" i="11" a="1"/>
  <c r="Z1172" i="11" s="1"/>
  <c r="AB1172" i="11" s="1"/>
  <c r="AC1172" i="11" s="1"/>
  <c r="AP1183" i="11" a="1"/>
  <c r="AP1183" i="11" s="1"/>
  <c r="AR1183" i="11" s="1"/>
  <c r="AS1183" i="11" s="1"/>
  <c r="Z1151" i="11" a="1"/>
  <c r="Z1151" i="11" s="1"/>
  <c r="AB1151" i="11" s="1"/>
  <c r="AC1151" i="11" s="1"/>
  <c r="AP1172" i="11" a="1"/>
  <c r="AP1172" i="11" s="1"/>
  <c r="AR1172" i="11" s="1"/>
  <c r="AS1172" i="11" s="1"/>
  <c r="V1151" i="11" a="1"/>
  <c r="V1151" i="11" s="1"/>
  <c r="X1151" i="11" s="1"/>
  <c r="Y1151" i="11" s="1"/>
  <c r="AL1196" i="11" a="1"/>
  <c r="AL1196" i="11" s="1"/>
  <c r="AN1196" i="11" s="1"/>
  <c r="AO1196" i="11" s="1"/>
  <c r="AH1196" i="11" a="1"/>
  <c r="AH1196" i="11" s="1"/>
  <c r="AJ1196" i="11" s="1"/>
  <c r="AK1196" i="11" s="1"/>
  <c r="AH1172" i="11" a="1"/>
  <c r="AH1172" i="11" s="1"/>
  <c r="AJ1172" i="11" s="1"/>
  <c r="AK1172" i="11" s="1"/>
  <c r="AH1141" i="11" a="1"/>
  <c r="AH1141" i="11" s="1"/>
  <c r="AJ1141" i="11" s="1"/>
  <c r="AK1141" i="11" s="1"/>
  <c r="AP1141" i="11" a="1"/>
  <c r="AP1141" i="11" s="1"/>
  <c r="AR1141" i="11" s="1"/>
  <c r="AS1141" i="11" s="1"/>
  <c r="AH1151" i="11" a="1"/>
  <c r="AH1151" i="11" s="1"/>
  <c r="AJ1151" i="11" s="1"/>
  <c r="AK1151" i="11" s="1"/>
  <c r="AP1164" i="11" a="1"/>
  <c r="AP1164" i="11" s="1"/>
  <c r="AR1164" i="11" s="1"/>
  <c r="AS1164" i="11" s="1"/>
  <c r="V1141" i="11" a="1"/>
  <c r="V1141" i="11" s="1"/>
  <c r="X1141" i="11" s="1"/>
  <c r="Y1141" i="11" s="1"/>
  <c r="AD1172" i="11" a="1"/>
  <c r="AD1172" i="11" s="1"/>
  <c r="AF1172" i="11" s="1"/>
  <c r="AG1172" i="11" s="1"/>
  <c r="AL1141" i="11" a="1"/>
  <c r="AL1141" i="11" s="1"/>
  <c r="AN1141" i="11" s="1"/>
  <c r="AO1141" i="11" s="1"/>
  <c r="AH1230" i="11" a="1"/>
  <c r="AH1230" i="11" s="1"/>
  <c r="AJ1230" i="11" s="1"/>
  <c r="AK1230" i="11" s="1"/>
  <c r="AH1202" i="11" a="1"/>
  <c r="AH1202" i="11" s="1"/>
  <c r="AJ1202" i="11" s="1"/>
  <c r="AK1202" i="11" s="1"/>
  <c r="AL1230" i="11" a="1"/>
  <c r="AL1230" i="11" s="1"/>
  <c r="AN1230" i="11" s="1"/>
  <c r="AO1230" i="11" s="1"/>
  <c r="AP1219" i="11" a="1"/>
  <c r="AP1219" i="11" s="1"/>
  <c r="AR1219" i="11" s="1"/>
  <c r="AS1219" i="11" s="1"/>
  <c r="Z1219" i="11" a="1"/>
  <c r="Z1219" i="11" s="1"/>
  <c r="AB1219" i="11" s="1"/>
  <c r="AC1219" i="11" s="1"/>
  <c r="AD1202" i="11" a="1"/>
  <c r="AD1202" i="11" s="1"/>
  <c r="AF1202" i="11" s="1"/>
  <c r="AG1202" i="11" s="1"/>
  <c r="V1219" i="11" a="1"/>
  <c r="V1219" i="11" s="1"/>
  <c r="X1219" i="11" s="1"/>
  <c r="Y1219" i="11" s="1"/>
  <c r="Z1202" i="11" a="1"/>
  <c r="Z1202" i="11" s="1"/>
  <c r="AB1202" i="11" s="1"/>
  <c r="AC1202" i="11" s="1"/>
  <c r="AP1202" i="11" a="1"/>
  <c r="AP1202" i="11" s="1"/>
  <c r="AR1202" i="11" s="1"/>
  <c r="AS1202" i="11" s="1"/>
  <c r="Z1189" i="11" a="1"/>
  <c r="Z1189" i="11" s="1"/>
  <c r="AB1189" i="11" s="1"/>
  <c r="AC1189" i="11" s="1"/>
  <c r="V1230" i="11" a="1"/>
  <c r="V1230" i="11" s="1"/>
  <c r="X1230" i="11" s="1"/>
  <c r="Y1230" i="11" s="1"/>
  <c r="V1189" i="11" a="1"/>
  <c r="V1189" i="11" s="1"/>
  <c r="X1189" i="11" s="1"/>
  <c r="Y1189" i="11" s="1"/>
  <c r="AP1171" i="11" a="1"/>
  <c r="AP1171" i="11" s="1"/>
  <c r="AR1171" i="11" s="1"/>
  <c r="AS1171" i="11" s="1"/>
  <c r="AL1219" i="11" a="1"/>
  <c r="AL1219" i="11" s="1"/>
  <c r="AN1219" i="11" s="1"/>
  <c r="AO1219" i="11" s="1"/>
  <c r="AL1171" i="11" a="1"/>
  <c r="AL1171" i="11" s="1"/>
  <c r="AN1171" i="11" s="1"/>
  <c r="AO1171" i="11" s="1"/>
  <c r="AH1171" i="11" a="1"/>
  <c r="AH1171" i="11" s="1"/>
  <c r="AJ1171" i="11" s="1"/>
  <c r="AK1171" i="11" s="1"/>
  <c r="AD1162" i="11" a="1"/>
  <c r="AD1162" i="11" s="1"/>
  <c r="AF1162" i="11" s="1"/>
  <c r="AG1162" i="11" s="1"/>
  <c r="AL1202" i="11" a="1"/>
  <c r="AL1202" i="11" s="1"/>
  <c r="AN1202" i="11" s="1"/>
  <c r="AO1202" i="11" s="1"/>
  <c r="AD1171" i="11" a="1"/>
  <c r="AD1171" i="11" s="1"/>
  <c r="AF1171" i="11" s="1"/>
  <c r="AG1171" i="11" s="1"/>
  <c r="AL1189" i="11" a="1"/>
  <c r="AL1189" i="11" s="1"/>
  <c r="AN1189" i="11" s="1"/>
  <c r="AO1189" i="11" s="1"/>
  <c r="AP1162" i="11" a="1"/>
  <c r="AP1162" i="11" s="1"/>
  <c r="AR1162" i="11" s="1"/>
  <c r="AS1162" i="11" s="1"/>
  <c r="V1171" i="11" a="1"/>
  <c r="V1171" i="11" s="1"/>
  <c r="X1171" i="11" s="1"/>
  <c r="Y1171" i="11" s="1"/>
  <c r="Z1147" i="11" a="1"/>
  <c r="Z1147" i="11" s="1"/>
  <c r="AB1147" i="11" s="1"/>
  <c r="AC1147" i="11" s="1"/>
  <c r="V1147" i="11" a="1"/>
  <c r="V1147" i="11" s="1"/>
  <c r="X1147" i="11" s="1"/>
  <c r="Y1147" i="11" s="1"/>
  <c r="AP1085" i="11" a="1"/>
  <c r="AP1085" i="11" s="1"/>
  <c r="AR1085" i="11" s="1"/>
  <c r="AS1085" i="11" s="1"/>
  <c r="AD1097" i="11" a="1"/>
  <c r="AD1097" i="11" s="1"/>
  <c r="AF1097" i="11" s="1"/>
  <c r="AG1097" i="11" s="1"/>
  <c r="Z1097" i="11" a="1"/>
  <c r="Z1097" i="11" s="1"/>
  <c r="AB1097" i="11" s="1"/>
  <c r="AC1097" i="11" s="1"/>
  <c r="N1097" i="11"/>
  <c r="O1097" i="11" s="1"/>
  <c r="AP1097" i="11" a="1"/>
  <c r="AP1097" i="11" s="1"/>
  <c r="AR1097" i="11" s="1"/>
  <c r="AS1097" i="11" s="1"/>
  <c r="AP1107" i="11" a="1"/>
  <c r="AP1107" i="11" s="1"/>
  <c r="AR1107" i="11" s="1"/>
  <c r="AS1107" i="11" s="1"/>
  <c r="Z1110" i="11" a="1"/>
  <c r="Z1110" i="11" s="1"/>
  <c r="AB1110" i="11" s="1"/>
  <c r="AC1110" i="11" s="1"/>
  <c r="AD1112" i="11" a="1"/>
  <c r="AD1112" i="11" s="1"/>
  <c r="AF1112" i="11" s="1"/>
  <c r="AG1112" i="11" s="1"/>
  <c r="AP1122" i="11" a="1"/>
  <c r="AP1122" i="11" s="1"/>
  <c r="AR1122" i="11" s="1"/>
  <c r="AS1122" i="11" s="1"/>
  <c r="V1125" i="11" a="1"/>
  <c r="V1125" i="11" s="1"/>
  <c r="X1125" i="11" s="1"/>
  <c r="Y1125" i="11" s="1"/>
  <c r="AD1125" i="11" a="1"/>
  <c r="AD1125" i="11" s="1"/>
  <c r="AF1125" i="11" s="1"/>
  <c r="AG1125" i="11" s="1"/>
  <c r="R1125" i="11"/>
  <c r="N1125" i="11"/>
  <c r="O1125" i="11" s="1"/>
  <c r="Z1125" i="11" a="1"/>
  <c r="Z1125" i="11" s="1"/>
  <c r="AB1125" i="11" s="1"/>
  <c r="AC1125" i="11" s="1"/>
  <c r="AL1125" i="11" a="1"/>
  <c r="AL1125" i="11" s="1"/>
  <c r="AN1125" i="11" s="1"/>
  <c r="AO1125" i="11" s="1"/>
  <c r="Z1129" i="11" a="1"/>
  <c r="Z1129" i="11" s="1"/>
  <c r="AB1129" i="11" s="1"/>
  <c r="AC1129" i="11" s="1"/>
  <c r="AL1130" i="11" a="1"/>
  <c r="AL1130" i="11" s="1"/>
  <c r="AN1130" i="11" s="1"/>
  <c r="AO1130" i="11" s="1"/>
  <c r="V1130" i="11" a="1"/>
  <c r="V1130" i="11" s="1"/>
  <c r="X1130" i="11" s="1"/>
  <c r="Y1130" i="11" s="1"/>
  <c r="AH1130" i="11" a="1"/>
  <c r="AH1130" i="11" s="1"/>
  <c r="AJ1130" i="11" s="1"/>
  <c r="AK1130" i="11" s="1"/>
  <c r="AH1125" i="11" a="1"/>
  <c r="AH1125" i="11" s="1"/>
  <c r="AJ1125" i="11" s="1"/>
  <c r="AK1125" i="11" s="1"/>
  <c r="AH1138" i="11" a="1"/>
  <c r="AH1138" i="11" s="1"/>
  <c r="AJ1138" i="11" s="1"/>
  <c r="AK1138" i="11" s="1"/>
  <c r="AD1145" i="11" a="1"/>
  <c r="AD1145" i="11" s="1"/>
  <c r="AF1145" i="11" s="1"/>
  <c r="AG1145" i="11" s="1"/>
  <c r="AH1145" i="11" a="1"/>
  <c r="AH1145" i="11" s="1"/>
  <c r="AJ1145" i="11" s="1"/>
  <c r="AK1145" i="11" s="1"/>
  <c r="R1145" i="11"/>
  <c r="AP1145" i="11" a="1"/>
  <c r="AP1145" i="11" s="1"/>
  <c r="AR1145" i="11" s="1"/>
  <c r="AS1145" i="11" s="1"/>
  <c r="N1145" i="11"/>
  <c r="O1145" i="11" s="1"/>
  <c r="Z1145" i="11" a="1"/>
  <c r="Z1145" i="11" s="1"/>
  <c r="AB1145" i="11" s="1"/>
  <c r="AC1145" i="11" s="1"/>
  <c r="AL1145" i="11" a="1"/>
  <c r="AL1145" i="11" s="1"/>
  <c r="AN1145" i="11" s="1"/>
  <c r="AO1145" i="11" s="1"/>
  <c r="V1145" i="11" a="1"/>
  <c r="V1145" i="11" s="1"/>
  <c r="X1145" i="11" s="1"/>
  <c r="Y1145" i="11" s="1"/>
  <c r="AH1094" i="11" a="1"/>
  <c r="AH1094" i="11" s="1"/>
  <c r="AJ1094" i="11" s="1"/>
  <c r="AK1094" i="11" s="1"/>
  <c r="R1097" i="11"/>
  <c r="AD1105" i="11" a="1"/>
  <c r="AD1105" i="11" s="1"/>
  <c r="AF1105" i="11" s="1"/>
  <c r="AG1105" i="11" s="1"/>
  <c r="Z1105" i="11" a="1"/>
  <c r="Z1105" i="11" s="1"/>
  <c r="AB1105" i="11" s="1"/>
  <c r="AC1105" i="11" s="1"/>
  <c r="N1105" i="11"/>
  <c r="O1105" i="11" s="1"/>
  <c r="AP1105" i="11" a="1"/>
  <c r="AP1105" i="11" s="1"/>
  <c r="AR1105" i="11" s="1"/>
  <c r="AS1105" i="11" s="1"/>
  <c r="R1107" i="11"/>
  <c r="R1130" i="11"/>
  <c r="AD1137" i="11" a="1"/>
  <c r="AD1137" i="11" s="1"/>
  <c r="AF1137" i="11" s="1"/>
  <c r="AG1137" i="11" s="1"/>
  <c r="Z1122" i="11" a="1"/>
  <c r="Z1122" i="11" s="1"/>
  <c r="AB1122" i="11" s="1"/>
  <c r="AC1122" i="11" s="1"/>
  <c r="AD1124" i="11" a="1"/>
  <c r="AD1124" i="11" s="1"/>
  <c r="AF1124" i="11" s="1"/>
  <c r="AG1124" i="11" s="1"/>
  <c r="V1124" i="11" a="1"/>
  <c r="V1124" i="11" s="1"/>
  <c r="X1124" i="11" s="1"/>
  <c r="Y1124" i="11" s="1"/>
  <c r="R1124" i="11"/>
  <c r="AH1124" i="11" a="1"/>
  <c r="AH1124" i="11" s="1"/>
  <c r="AJ1124" i="11" s="1"/>
  <c r="AK1124" i="11" s="1"/>
  <c r="AL1127" i="11" a="1"/>
  <c r="AL1127" i="11" s="1"/>
  <c r="AN1127" i="11" s="1"/>
  <c r="AO1127" i="11" s="1"/>
  <c r="AD1129" i="11" a="1"/>
  <c r="AD1129" i="11" s="1"/>
  <c r="AF1129" i="11" s="1"/>
  <c r="AG1129" i="11" s="1"/>
  <c r="R1105" i="11"/>
  <c r="AL1123" i="11" a="1"/>
  <c r="AL1123" i="11" s="1"/>
  <c r="AN1123" i="11" s="1"/>
  <c r="AO1123" i="11" s="1"/>
  <c r="AP1123" i="11" a="1"/>
  <c r="AP1123" i="11" s="1"/>
  <c r="AR1123" i="11" s="1"/>
  <c r="AS1123" i="11" s="1"/>
  <c r="N1123" i="11"/>
  <c r="O1123" i="11" s="1"/>
  <c r="AL1138" i="11" a="1"/>
  <c r="AL1138" i="11" s="1"/>
  <c r="AN1138" i="11" s="1"/>
  <c r="AO1138" i="11" s="1"/>
  <c r="V1138" i="11" a="1"/>
  <c r="V1138" i="11" s="1"/>
  <c r="X1138" i="11" s="1"/>
  <c r="Y1138" i="11" s="1"/>
  <c r="Z1138" i="11" a="1"/>
  <c r="Z1138" i="11" s="1"/>
  <c r="AB1138" i="11" s="1"/>
  <c r="AC1138" i="11" s="1"/>
  <c r="AP1138" i="11" a="1"/>
  <c r="AP1138" i="11" s="1"/>
  <c r="AR1138" i="11" s="1"/>
  <c r="AS1138" i="11" s="1"/>
  <c r="V1127" i="11" a="1"/>
  <c r="V1127" i="11" s="1"/>
  <c r="X1127" i="11" s="1"/>
  <c r="Y1127" i="11" s="1"/>
  <c r="AD1135" i="11" a="1"/>
  <c r="AD1135" i="11" s="1"/>
  <c r="AF1135" i="11" s="1"/>
  <c r="AG1135" i="11" s="1"/>
  <c r="R1135" i="11"/>
  <c r="AP1135" i="11" a="1"/>
  <c r="AP1135" i="11" s="1"/>
  <c r="AR1135" i="11" s="1"/>
  <c r="AS1135" i="11" s="1"/>
  <c r="N1135" i="11"/>
  <c r="O1135" i="11" s="1"/>
  <c r="Z1135" i="11" a="1"/>
  <c r="Z1135" i="11" s="1"/>
  <c r="AB1135" i="11" s="1"/>
  <c r="AC1135" i="11" s="1"/>
  <c r="V1135" i="11" a="1"/>
  <c r="V1135" i="11" s="1"/>
  <c r="X1135" i="11" s="1"/>
  <c r="Y1135" i="11" s="1"/>
  <c r="AH1122" i="11" a="1"/>
  <c r="AH1122" i="11" s="1"/>
  <c r="AJ1122" i="11" s="1"/>
  <c r="AK1122" i="11" s="1"/>
  <c r="R1122" i="11"/>
  <c r="AD1122" i="11" a="1"/>
  <c r="AD1122" i="11" s="1"/>
  <c r="AF1122" i="11" s="1"/>
  <c r="AG1122" i="11" s="1"/>
  <c r="AL1124" i="11" a="1"/>
  <c r="AL1124" i="11" s="1"/>
  <c r="AN1124" i="11" s="1"/>
  <c r="AO1124" i="11" s="1"/>
  <c r="AL1129" i="11" a="1"/>
  <c r="AL1129" i="11" s="1"/>
  <c r="AN1129" i="11" s="1"/>
  <c r="AO1129" i="11" s="1"/>
  <c r="AH1129" i="11" a="1"/>
  <c r="AH1129" i="11" s="1"/>
  <c r="AJ1129" i="11" s="1"/>
  <c r="AK1129" i="11" s="1"/>
  <c r="AP1139" i="11" a="1"/>
  <c r="AP1139" i="11" s="1"/>
  <c r="AR1139" i="11" s="1"/>
  <c r="AS1139" i="11" s="1"/>
  <c r="R1139" i="11"/>
  <c r="AD1139" i="11" a="1"/>
  <c r="AD1139" i="11" s="1"/>
  <c r="AF1139" i="11" s="1"/>
  <c r="AG1139" i="11" s="1"/>
  <c r="Z1139" i="11" a="1"/>
  <c r="Z1139" i="11" s="1"/>
  <c r="AB1139" i="11" s="1"/>
  <c r="AC1139" i="11" s="1"/>
  <c r="N1139" i="11"/>
  <c r="O1139" i="11" s="1"/>
  <c r="V1139" i="11" a="1"/>
  <c r="V1139" i="11" s="1"/>
  <c r="X1139" i="11" s="1"/>
  <c r="Y1139" i="11" s="1"/>
  <c r="AL1139" i="11" a="1"/>
  <c r="AL1139" i="11" s="1"/>
  <c r="AN1139" i="11" s="1"/>
  <c r="AO1139" i="11" s="1"/>
  <c r="V1098" i="11" a="1"/>
  <c r="V1098" i="11" s="1"/>
  <c r="X1098" i="11" s="1"/>
  <c r="Y1098" i="11" s="1"/>
  <c r="AP1098" i="11" a="1"/>
  <c r="AP1098" i="11" s="1"/>
  <c r="AR1098" i="11" s="1"/>
  <c r="AS1098" i="11" s="1"/>
  <c r="AH1105" i="11" a="1"/>
  <c r="AH1105" i="11" s="1"/>
  <c r="AJ1105" i="11" s="1"/>
  <c r="AK1105" i="11" s="1"/>
  <c r="AL1112" i="11" a="1"/>
  <c r="AL1112" i="11" s="1"/>
  <c r="AN1112" i="11" s="1"/>
  <c r="AO1112" i="11" s="1"/>
  <c r="AL1121" i="11" a="1"/>
  <c r="AL1121" i="11" s="1"/>
  <c r="AN1121" i="11" s="1"/>
  <c r="AO1121" i="11" s="1"/>
  <c r="V1121" i="11" a="1"/>
  <c r="V1121" i="11" s="1"/>
  <c r="X1121" i="11" s="1"/>
  <c r="Y1121" i="11" s="1"/>
  <c r="AP1125" i="11" a="1"/>
  <c r="AP1125" i="11" s="1"/>
  <c r="AR1125" i="11" s="1"/>
  <c r="AS1125" i="11" s="1"/>
  <c r="R1129" i="11"/>
  <c r="AL1096" i="11" a="1"/>
  <c r="AL1096" i="11" s="1"/>
  <c r="AN1096" i="11" s="1"/>
  <c r="AO1096" i="11" s="1"/>
  <c r="AH1096" i="11" a="1"/>
  <c r="AH1096" i="11" s="1"/>
  <c r="AJ1096" i="11" s="1"/>
  <c r="AK1096" i="11" s="1"/>
  <c r="AL1097" i="11" a="1"/>
  <c r="AL1097" i="11" s="1"/>
  <c r="AN1097" i="11" s="1"/>
  <c r="AO1097" i="11" s="1"/>
  <c r="V1105" i="11" a="1"/>
  <c r="V1105" i="11" s="1"/>
  <c r="X1105" i="11" s="1"/>
  <c r="Y1105" i="11" s="1"/>
  <c r="Z1112" i="11" a="1"/>
  <c r="Z1112" i="11" s="1"/>
  <c r="AB1112" i="11" s="1"/>
  <c r="AC1112" i="11" s="1"/>
  <c r="AP1159" i="11" a="1"/>
  <c r="AP1159" i="11" s="1"/>
  <c r="AR1159" i="11" s="1"/>
  <c r="AS1159" i="11" s="1"/>
  <c r="AP1181" i="11" a="1"/>
  <c r="AP1181" i="11" s="1"/>
  <c r="AR1181" i="11" s="1"/>
  <c r="AS1181" i="11" s="1"/>
  <c r="V1181" i="11" a="1"/>
  <c r="V1181" i="11" s="1"/>
  <c r="X1181" i="11" s="1"/>
  <c r="Y1181" i="11" s="1"/>
  <c r="AL1181" i="11" a="1"/>
  <c r="AL1181" i="11" s="1"/>
  <c r="AN1181" i="11" s="1"/>
  <c r="AO1181" i="11" s="1"/>
  <c r="AH1181" i="11" a="1"/>
  <c r="AH1181" i="11" s="1"/>
  <c r="AJ1181" i="11" s="1"/>
  <c r="AK1181" i="11" s="1"/>
  <c r="R1181" i="11"/>
  <c r="N1181" i="11"/>
  <c r="O1181" i="11" s="1"/>
  <c r="AD1181" i="11" a="1"/>
  <c r="AD1181" i="11" s="1"/>
  <c r="AF1181" i="11" s="1"/>
  <c r="AG1181" i="11" s="1"/>
  <c r="Z1181" i="11" a="1"/>
  <c r="Z1181" i="11" s="1"/>
  <c r="AB1181" i="11" s="1"/>
  <c r="AC1181" i="11" s="1"/>
  <c r="AP1132" i="11" a="1"/>
  <c r="AP1132" i="11" s="1"/>
  <c r="AR1132" i="11" s="1"/>
  <c r="AS1132" i="11" s="1"/>
  <c r="AH1154" i="11" a="1"/>
  <c r="AH1154" i="11" s="1"/>
  <c r="AJ1154" i="11" s="1"/>
  <c r="AK1154" i="11" s="1"/>
  <c r="AD1154" i="11" a="1"/>
  <c r="AD1154" i="11" s="1"/>
  <c r="AF1154" i="11" s="1"/>
  <c r="AG1154" i="11" s="1"/>
  <c r="R1154" i="11"/>
  <c r="Z1154" i="11" a="1"/>
  <c r="Z1154" i="11" s="1"/>
  <c r="AB1154" i="11" s="1"/>
  <c r="AC1154" i="11" s="1"/>
  <c r="AP1154" i="11" a="1"/>
  <c r="AP1154" i="11" s="1"/>
  <c r="AR1154" i="11" s="1"/>
  <c r="AS1154" i="11" s="1"/>
  <c r="V1154" i="11" a="1"/>
  <c r="V1154" i="11" s="1"/>
  <c r="X1154" i="11" s="1"/>
  <c r="Y1154" i="11" s="1"/>
  <c r="V1160" i="11" a="1"/>
  <c r="V1160" i="11" s="1"/>
  <c r="X1160" i="11" s="1"/>
  <c r="Y1160" i="11" s="1"/>
  <c r="AD1160" i="11" a="1"/>
  <c r="AD1160" i="11" s="1"/>
  <c r="AF1160" i="11" s="1"/>
  <c r="AG1160" i="11" s="1"/>
  <c r="R1160" i="11"/>
  <c r="Z1160" i="11" a="1"/>
  <c r="Z1160" i="11" s="1"/>
  <c r="AB1160" i="11" s="1"/>
  <c r="AC1160" i="11" s="1"/>
  <c r="AP1160" i="11" a="1"/>
  <c r="AP1160" i="11" s="1"/>
  <c r="AR1160" i="11" s="1"/>
  <c r="AS1160" i="11" s="1"/>
  <c r="AL1160" i="11" a="1"/>
  <c r="AL1160" i="11" s="1"/>
  <c r="AN1160" i="11" s="1"/>
  <c r="AO1160" i="11" s="1"/>
  <c r="AH1160" i="11" a="1"/>
  <c r="AH1160" i="11" s="1"/>
  <c r="AJ1160" i="11" s="1"/>
  <c r="AK1160" i="11" s="1"/>
  <c r="AD1143" i="11" a="1"/>
  <c r="AD1143" i="11" s="1"/>
  <c r="AF1143" i="11" s="1"/>
  <c r="AG1143" i="11" s="1"/>
  <c r="R1143" i="11"/>
  <c r="Z1143" i="11" a="1"/>
  <c r="Z1143" i="11" s="1"/>
  <c r="AB1143" i="11" s="1"/>
  <c r="AC1143" i="11" s="1"/>
  <c r="N1143" i="11"/>
  <c r="O1143" i="11" s="1"/>
  <c r="V1143" i="11" a="1"/>
  <c r="V1143" i="11" s="1"/>
  <c r="X1143" i="11" s="1"/>
  <c r="Y1143" i="11" s="1"/>
  <c r="AD1156" i="11" a="1"/>
  <c r="AD1156" i="11" s="1"/>
  <c r="AF1156" i="11" s="1"/>
  <c r="AG1156" i="11" s="1"/>
  <c r="R1156" i="11"/>
  <c r="N1156" i="11"/>
  <c r="O1156" i="11" s="1"/>
  <c r="AP1156" i="11" a="1"/>
  <c r="AP1156" i="11" s="1"/>
  <c r="AR1156" i="11" s="1"/>
  <c r="AS1156" i="11" s="1"/>
  <c r="AL1156" i="11" a="1"/>
  <c r="AL1156" i="11" s="1"/>
  <c r="AN1156" i="11" s="1"/>
  <c r="AO1156" i="11" s="1"/>
  <c r="Z1162" i="11" a="1"/>
  <c r="Z1162" i="11" s="1"/>
  <c r="AB1162" i="11" s="1"/>
  <c r="AC1162" i="11" s="1"/>
  <c r="AH1164" i="11" a="1"/>
  <c r="AH1164" i="11" s="1"/>
  <c r="AJ1164" i="11" s="1"/>
  <c r="AK1164" i="11" s="1"/>
  <c r="V1164" i="11" a="1"/>
  <c r="V1164" i="11" s="1"/>
  <c r="X1164" i="11" s="1"/>
  <c r="Y1164" i="11" s="1"/>
  <c r="AL1164" i="11" a="1"/>
  <c r="AL1164" i="11" s="1"/>
  <c r="AN1164" i="11" s="1"/>
  <c r="AO1164" i="11" s="1"/>
  <c r="R1164" i="11"/>
  <c r="AD1164" i="11" a="1"/>
  <c r="AD1164" i="11" s="1"/>
  <c r="AF1164" i="11" s="1"/>
  <c r="AG1164" i="11" s="1"/>
  <c r="N1164" i="11"/>
  <c r="O1164" i="11" s="1"/>
  <c r="Z1164" i="11" a="1"/>
  <c r="Z1164" i="11" s="1"/>
  <c r="AB1164" i="11" s="1"/>
  <c r="AC1164" i="11" s="1"/>
  <c r="AL1115" i="11" a="1"/>
  <c r="AL1115" i="11" s="1"/>
  <c r="AN1115" i="11" s="1"/>
  <c r="AO1115" i="11" s="1"/>
  <c r="R1157" i="11"/>
  <c r="AP1157" i="11" a="1"/>
  <c r="AP1157" i="11" s="1"/>
  <c r="AR1157" i="11" s="1"/>
  <c r="AS1157" i="11" s="1"/>
  <c r="Z1157" i="11" a="1"/>
  <c r="Z1157" i="11" s="1"/>
  <c r="AB1157" i="11" s="1"/>
  <c r="AC1157" i="11" s="1"/>
  <c r="N1157" i="11"/>
  <c r="O1157" i="11" s="1"/>
  <c r="AD1157" i="11" a="1"/>
  <c r="AD1157" i="11" s="1"/>
  <c r="AF1157" i="11" s="1"/>
  <c r="AG1157" i="11" s="1"/>
  <c r="V1157" i="11" a="1"/>
  <c r="V1157" i="11" s="1"/>
  <c r="X1157" i="11" s="1"/>
  <c r="Y1157" i="11" s="1"/>
  <c r="AL1157" i="11" a="1"/>
  <c r="AL1157" i="11" s="1"/>
  <c r="AN1157" i="11" s="1"/>
  <c r="AO1157" i="11" s="1"/>
  <c r="AH1157" i="11" a="1"/>
  <c r="AH1157" i="11" s="1"/>
  <c r="AJ1157" i="11" s="1"/>
  <c r="AK1157" i="11" s="1"/>
  <c r="AP1175" i="11" a="1"/>
  <c r="AP1175" i="11" s="1"/>
  <c r="AR1175" i="11" s="1"/>
  <c r="AS1175" i="11" s="1"/>
  <c r="R1175" i="11"/>
  <c r="AL1175" i="11" a="1"/>
  <c r="AL1175" i="11" s="1"/>
  <c r="AN1175" i="11" s="1"/>
  <c r="AO1175" i="11" s="1"/>
  <c r="N1175" i="11"/>
  <c r="O1175" i="11" s="1"/>
  <c r="Z1175" i="11" a="1"/>
  <c r="Z1175" i="11" s="1"/>
  <c r="AB1175" i="11" s="1"/>
  <c r="AC1175" i="11" s="1"/>
  <c r="AH1175" i="11" a="1"/>
  <c r="AH1175" i="11" s="1"/>
  <c r="AJ1175" i="11" s="1"/>
  <c r="AK1175" i="11" s="1"/>
  <c r="AD1175" i="11" a="1"/>
  <c r="AD1175" i="11" s="1"/>
  <c r="AF1175" i="11" s="1"/>
  <c r="AG1175" i="11" s="1"/>
  <c r="V1175" i="11" a="1"/>
  <c r="V1175" i="11" s="1"/>
  <c r="X1175" i="11" s="1"/>
  <c r="Y1175" i="11" s="1"/>
  <c r="AD1127" i="11" a="1"/>
  <c r="AD1127" i="11" s="1"/>
  <c r="AF1127" i="11" s="1"/>
  <c r="AG1127" i="11" s="1"/>
  <c r="AL1146" i="11" a="1"/>
  <c r="AL1146" i="11" s="1"/>
  <c r="AN1146" i="11" s="1"/>
  <c r="AO1146" i="11" s="1"/>
  <c r="V1146" i="11" a="1"/>
  <c r="V1146" i="11" s="1"/>
  <c r="X1146" i="11" s="1"/>
  <c r="Y1146" i="11" s="1"/>
  <c r="N1146" i="11"/>
  <c r="O1146" i="11" s="1"/>
  <c r="AP1146" i="11" a="1"/>
  <c r="AP1146" i="11" s="1"/>
  <c r="AR1146" i="11" s="1"/>
  <c r="AS1146" i="11" s="1"/>
  <c r="AH1132" i="11" a="1"/>
  <c r="AH1132" i="11" s="1"/>
  <c r="AJ1132" i="11" s="1"/>
  <c r="AK1132" i="11" s="1"/>
  <c r="AL1132" i="11" a="1"/>
  <c r="AL1132" i="11" s="1"/>
  <c r="AN1132" i="11" s="1"/>
  <c r="AO1132" i="11" s="1"/>
  <c r="AD1132" i="11" a="1"/>
  <c r="AD1132" i="11" s="1"/>
  <c r="AF1132" i="11" s="1"/>
  <c r="AG1132" i="11" s="1"/>
  <c r="Z1141" i="11" a="1"/>
  <c r="Z1141" i="11" s="1"/>
  <c r="AB1141" i="11" s="1"/>
  <c r="AC1141" i="11" s="1"/>
  <c r="N1141" i="11"/>
  <c r="O1141" i="11" s="1"/>
  <c r="AL1142" i="11" a="1"/>
  <c r="AL1142" i="11" s="1"/>
  <c r="AN1142" i="11" s="1"/>
  <c r="AO1142" i="11" s="1"/>
  <c r="AP1142" i="11" a="1"/>
  <c r="AP1142" i="11" s="1"/>
  <c r="AR1142" i="11" s="1"/>
  <c r="AS1142" i="11" s="1"/>
  <c r="AH1142" i="11" a="1"/>
  <c r="AH1142" i="11" s="1"/>
  <c r="AJ1142" i="11" s="1"/>
  <c r="AK1142" i="11" s="1"/>
  <c r="Z1133" i="11" a="1"/>
  <c r="Z1133" i="11" s="1"/>
  <c r="AB1133" i="11" s="1"/>
  <c r="AC1133" i="11" s="1"/>
  <c r="N1133" i="11"/>
  <c r="O1133" i="11" s="1"/>
  <c r="AD1133" i="11" a="1"/>
  <c r="AD1133" i="11" s="1"/>
  <c r="AF1133" i="11" s="1"/>
  <c r="AG1133" i="11" s="1"/>
  <c r="R1133" i="11"/>
  <c r="AD1141" i="11" a="1"/>
  <c r="AD1141" i="11" s="1"/>
  <c r="AF1141" i="11" s="1"/>
  <c r="AG1141" i="11" s="1"/>
  <c r="R1146" i="11"/>
  <c r="AL1118" i="11" a="1"/>
  <c r="AL1118" i="11" s="1"/>
  <c r="AN1118" i="11" s="1"/>
  <c r="AO1118" i="11" s="1"/>
  <c r="R1132" i="11"/>
  <c r="R1141" i="11"/>
  <c r="R1142" i="11"/>
  <c r="AH1140" i="11" a="1"/>
  <c r="AH1140" i="11" s="1"/>
  <c r="AJ1140" i="11" s="1"/>
  <c r="AK1140" i="11" s="1"/>
  <c r="AL1140" i="11" a="1"/>
  <c r="AL1140" i="11" s="1"/>
  <c r="AN1140" i="11" s="1"/>
  <c r="AO1140" i="11" s="1"/>
  <c r="V1156" i="11" a="1"/>
  <c r="V1156" i="11" s="1"/>
  <c r="X1156" i="11" s="1"/>
  <c r="Y1156" i="11" s="1"/>
  <c r="AP1151" i="11" a="1"/>
  <c r="AP1151" i="11" s="1"/>
  <c r="AR1151" i="11" s="1"/>
  <c r="AS1151" i="11" s="1"/>
  <c r="V1152" i="11" a="1"/>
  <c r="V1152" i="11" s="1"/>
  <c r="X1152" i="11" s="1"/>
  <c r="Y1152" i="11" s="1"/>
  <c r="V1162" i="11" a="1"/>
  <c r="V1162" i="11" s="1"/>
  <c r="X1162" i="11" s="1"/>
  <c r="Y1162" i="11" s="1"/>
  <c r="AD1165" i="11" a="1"/>
  <c r="AD1165" i="11" s="1"/>
  <c r="AF1165" i="11" s="1"/>
  <c r="AG1165" i="11" s="1"/>
  <c r="R1165" i="11"/>
  <c r="AP1165" i="11" a="1"/>
  <c r="AP1165" i="11" s="1"/>
  <c r="AR1165" i="11" s="1"/>
  <c r="AS1165" i="11" s="1"/>
  <c r="Z1165" i="11" a="1"/>
  <c r="Z1165" i="11" s="1"/>
  <c r="AB1165" i="11" s="1"/>
  <c r="AC1165" i="11" s="1"/>
  <c r="N1165" i="11"/>
  <c r="O1165" i="11" s="1"/>
  <c r="AL1165" i="11" a="1"/>
  <c r="AL1165" i="11" s="1"/>
  <c r="AN1165" i="11" s="1"/>
  <c r="AO1165" i="11" s="1"/>
  <c r="AD1147" i="11" a="1"/>
  <c r="AD1147" i="11" s="1"/>
  <c r="AF1147" i="11" s="1"/>
  <c r="AG1147" i="11" s="1"/>
  <c r="AP1147" i="11" a="1"/>
  <c r="AP1147" i="11" s="1"/>
  <c r="AR1147" i="11" s="1"/>
  <c r="AS1147" i="11" s="1"/>
  <c r="R1147" i="11"/>
  <c r="AL1152" i="11" a="1"/>
  <c r="AL1152" i="11" s="1"/>
  <c r="AN1152" i="11" s="1"/>
  <c r="AO1152" i="11" s="1"/>
  <c r="AP1169" i="11" a="1"/>
  <c r="AP1169" i="11" s="1"/>
  <c r="AR1169" i="11" s="1"/>
  <c r="AS1169" i="11" s="1"/>
  <c r="R1169" i="11"/>
  <c r="Z1169" i="11" a="1"/>
  <c r="Z1169" i="11" s="1"/>
  <c r="AB1169" i="11" s="1"/>
  <c r="AC1169" i="11" s="1"/>
  <c r="N1169" i="11"/>
  <c r="O1169" i="11" s="1"/>
  <c r="V1169" i="11" a="1"/>
  <c r="V1169" i="11" s="1"/>
  <c r="X1169" i="11" s="1"/>
  <c r="Y1169" i="11" s="1"/>
  <c r="AL1169" i="11" a="1"/>
  <c r="AL1169" i="11" s="1"/>
  <c r="AN1169" i="11" s="1"/>
  <c r="AO1169" i="11" s="1"/>
  <c r="AH1169" i="11" a="1"/>
  <c r="AH1169" i="11" s="1"/>
  <c r="AJ1169" i="11" s="1"/>
  <c r="AK1169" i="11" s="1"/>
  <c r="Z1176" i="11" a="1"/>
  <c r="Z1176" i="11" s="1"/>
  <c r="AB1176" i="11" s="1"/>
  <c r="AC1176" i="11" s="1"/>
  <c r="AH1147" i="11" a="1"/>
  <c r="AH1147" i="11" s="1"/>
  <c r="AJ1147" i="11" s="1"/>
  <c r="AK1147" i="11" s="1"/>
  <c r="V1148" i="11" a="1"/>
  <c r="V1148" i="11" s="1"/>
  <c r="X1148" i="11" s="1"/>
  <c r="Y1148" i="11" s="1"/>
  <c r="AD1148" i="11" a="1"/>
  <c r="AD1148" i="11" s="1"/>
  <c r="AF1148" i="11" s="1"/>
  <c r="AG1148" i="11" s="1"/>
  <c r="AH1162" i="11" a="1"/>
  <c r="AH1162" i="11" s="1"/>
  <c r="AJ1162" i="11" s="1"/>
  <c r="AK1162" i="11" s="1"/>
  <c r="AL1162" i="11" a="1"/>
  <c r="AL1162" i="11" s="1"/>
  <c r="AN1162" i="11" s="1"/>
  <c r="AO1162" i="11" s="1"/>
  <c r="AP1131" i="11" a="1"/>
  <c r="AP1131" i="11" s="1"/>
  <c r="AR1131" i="11" s="1"/>
  <c r="AS1131" i="11" s="1"/>
  <c r="R1131" i="11"/>
  <c r="AP1137" i="11" a="1"/>
  <c r="AP1137" i="11" s="1"/>
  <c r="AR1137" i="11" s="1"/>
  <c r="AS1137" i="11" s="1"/>
  <c r="AH1148" i="11" a="1"/>
  <c r="AH1148" i="11" s="1"/>
  <c r="AJ1148" i="11" s="1"/>
  <c r="AK1148" i="11" s="1"/>
  <c r="AP1177" i="11" a="1"/>
  <c r="AP1177" i="11" s="1"/>
  <c r="AR1177" i="11" s="1"/>
  <c r="AS1177" i="11" s="1"/>
  <c r="R1177" i="11"/>
  <c r="Z1177" i="11" a="1"/>
  <c r="Z1177" i="11" s="1"/>
  <c r="AB1177" i="11" s="1"/>
  <c r="AC1177" i="11" s="1"/>
  <c r="N1177" i="11"/>
  <c r="O1177" i="11" s="1"/>
  <c r="V1177" i="11" a="1"/>
  <c r="V1177" i="11" s="1"/>
  <c r="X1177" i="11" s="1"/>
  <c r="Y1177" i="11" s="1"/>
  <c r="AH1177" i="11" a="1"/>
  <c r="AH1177" i="11" s="1"/>
  <c r="AJ1177" i="11" s="1"/>
  <c r="AK1177" i="11" s="1"/>
  <c r="AL1147" i="11" a="1"/>
  <c r="AL1147" i="11" s="1"/>
  <c r="AN1147" i="11" s="1"/>
  <c r="AO1147" i="11" s="1"/>
  <c r="R1162" i="11"/>
  <c r="R1137" i="11"/>
  <c r="N1152" i="11"/>
  <c r="O1152" i="11" s="1"/>
  <c r="Z1155" i="11" a="1"/>
  <c r="Z1155" i="11" s="1"/>
  <c r="AB1155" i="11" s="1"/>
  <c r="AC1155" i="11" s="1"/>
  <c r="N1155" i="11"/>
  <c r="O1155" i="11" s="1"/>
  <c r="AD1155" i="11" a="1"/>
  <c r="AD1155" i="11" s="1"/>
  <c r="AF1155" i="11" s="1"/>
  <c r="AG1155" i="11" s="1"/>
  <c r="R1155" i="11"/>
  <c r="AP1161" i="11" a="1"/>
  <c r="AP1161" i="11" s="1"/>
  <c r="AR1161" i="11" s="1"/>
  <c r="AS1161" i="11" s="1"/>
  <c r="R1161" i="11"/>
  <c r="AD1161" i="11" a="1"/>
  <c r="AD1161" i="11" s="1"/>
  <c r="AF1161" i="11" s="1"/>
  <c r="AG1161" i="11" s="1"/>
  <c r="N1161" i="11"/>
  <c r="O1161" i="11" s="1"/>
  <c r="Z1161" i="11" a="1"/>
  <c r="Z1161" i="11" s="1"/>
  <c r="AB1161" i="11" s="1"/>
  <c r="AC1161" i="11" s="1"/>
  <c r="AL1161" i="11" a="1"/>
  <c r="AL1161" i="11" s="1"/>
  <c r="AN1161" i="11" s="1"/>
  <c r="AO1161" i="11" s="1"/>
  <c r="AH1173" i="11" a="1"/>
  <c r="AH1173" i="11" s="1"/>
  <c r="AJ1173" i="11" s="1"/>
  <c r="AK1173" i="11" s="1"/>
  <c r="R1173" i="11"/>
  <c r="AL1173" i="11" a="1"/>
  <c r="AL1173" i="11" s="1"/>
  <c r="AN1173" i="11" s="1"/>
  <c r="AO1173" i="11" s="1"/>
  <c r="R1196" i="11"/>
  <c r="Z1196" i="11" a="1"/>
  <c r="Z1196" i="11" s="1"/>
  <c r="AB1196" i="11" s="1"/>
  <c r="AC1196" i="11" s="1"/>
  <c r="V1196" i="11" a="1"/>
  <c r="V1196" i="11" s="1"/>
  <c r="X1196" i="11" s="1"/>
  <c r="Y1196" i="11" s="1"/>
  <c r="AP1211" i="11" a="1"/>
  <c r="AP1211" i="11" s="1"/>
  <c r="AR1211" i="11" s="1"/>
  <c r="AS1211" i="11" s="1"/>
  <c r="N1211" i="11"/>
  <c r="O1211" i="11" s="1"/>
  <c r="V1211" i="11" a="1"/>
  <c r="V1211" i="11" s="1"/>
  <c r="X1211" i="11" s="1"/>
  <c r="Y1211" i="11" s="1"/>
  <c r="AL1211" i="11" a="1"/>
  <c r="AL1211" i="11" s="1"/>
  <c r="AN1211" i="11" s="1"/>
  <c r="AO1211" i="11" s="1"/>
  <c r="AH1211" i="11" a="1"/>
  <c r="AH1211" i="11" s="1"/>
  <c r="AJ1211" i="11" s="1"/>
  <c r="AK1211" i="11" s="1"/>
  <c r="R1211" i="11"/>
  <c r="Z1188" i="11" a="1"/>
  <c r="Z1188" i="11" s="1"/>
  <c r="AB1188" i="11" s="1"/>
  <c r="AC1188" i="11" s="1"/>
  <c r="AH1213" i="11" a="1"/>
  <c r="AH1213" i="11" s="1"/>
  <c r="AJ1213" i="11" s="1"/>
  <c r="AK1213" i="11" s="1"/>
  <c r="AL1213" i="11" a="1"/>
  <c r="AL1213" i="11" s="1"/>
  <c r="AN1213" i="11" s="1"/>
  <c r="AO1213" i="11" s="1"/>
  <c r="Z1213" i="11" a="1"/>
  <c r="Z1213" i="11" s="1"/>
  <c r="AB1213" i="11" s="1"/>
  <c r="AC1213" i="11" s="1"/>
  <c r="AP1213" i="11" a="1"/>
  <c r="AP1213" i="11" s="1"/>
  <c r="AR1213" i="11" s="1"/>
  <c r="AS1213" i="11" s="1"/>
  <c r="V1213" i="11" a="1"/>
  <c r="V1213" i="11" s="1"/>
  <c r="X1213" i="11" s="1"/>
  <c r="Y1213" i="11" s="1"/>
  <c r="R1213" i="11"/>
  <c r="AD1213" i="11" a="1"/>
  <c r="AD1213" i="11" s="1"/>
  <c r="AF1213" i="11" s="1"/>
  <c r="AG1213" i="11" s="1"/>
  <c r="N1213" i="11"/>
  <c r="O1213" i="11" s="1"/>
  <c r="AD1216" i="11" a="1"/>
  <c r="AD1216" i="11" s="1"/>
  <c r="AF1216" i="11" s="1"/>
  <c r="AG1216" i="11" s="1"/>
  <c r="AH1182" i="11" a="1"/>
  <c r="AH1182" i="11" s="1"/>
  <c r="AJ1182" i="11" s="1"/>
  <c r="AK1182" i="11" s="1"/>
  <c r="AD1182" i="11" a="1"/>
  <c r="AD1182" i="11" s="1"/>
  <c r="AF1182" i="11" s="1"/>
  <c r="AG1182" i="11" s="1"/>
  <c r="R1182" i="11"/>
  <c r="N1182" i="11"/>
  <c r="O1182" i="11" s="1"/>
  <c r="AP1196" i="11" a="1"/>
  <c r="AP1196" i="11" s="1"/>
  <c r="AR1196" i="11" s="1"/>
  <c r="AS1196" i="11" s="1"/>
  <c r="AP1206" i="11" a="1"/>
  <c r="AP1206" i="11" s="1"/>
  <c r="AR1206" i="11" s="1"/>
  <c r="AS1206" i="11" s="1"/>
  <c r="AP1231" i="11" a="1"/>
  <c r="AP1231" i="11" s="1"/>
  <c r="AR1231" i="11" s="1"/>
  <c r="AS1231" i="11" s="1"/>
  <c r="R1231" i="11"/>
  <c r="AH1231" i="11" a="1"/>
  <c r="AH1231" i="11" s="1"/>
  <c r="AJ1231" i="11" s="1"/>
  <c r="AK1231" i="11" s="1"/>
  <c r="V1231" i="11" a="1"/>
  <c r="V1231" i="11" s="1"/>
  <c r="X1231" i="11" s="1"/>
  <c r="Y1231" i="11" s="1"/>
  <c r="Z1231" i="11" a="1"/>
  <c r="Z1231" i="11" s="1"/>
  <c r="AB1231" i="11" s="1"/>
  <c r="AC1231" i="11" s="1"/>
  <c r="AD1231" i="11" a="1"/>
  <c r="AD1231" i="11" s="1"/>
  <c r="AF1231" i="11" s="1"/>
  <c r="AG1231" i="11" s="1"/>
  <c r="AL1231" i="11" a="1"/>
  <c r="AL1231" i="11" s="1"/>
  <c r="AN1231" i="11" s="1"/>
  <c r="AO1231" i="11" s="1"/>
  <c r="AH1170" i="11" a="1"/>
  <c r="AH1170" i="11" s="1"/>
  <c r="AJ1170" i="11" s="1"/>
  <c r="AK1170" i="11" s="1"/>
  <c r="Z1183" i="11" a="1"/>
  <c r="Z1183" i="11" s="1"/>
  <c r="AB1183" i="11" s="1"/>
  <c r="AC1183" i="11" s="1"/>
  <c r="N1183" i="11"/>
  <c r="O1183" i="11" s="1"/>
  <c r="AH1183" i="11" a="1"/>
  <c r="AH1183" i="11" s="1"/>
  <c r="AJ1183" i="11" s="1"/>
  <c r="AK1183" i="11" s="1"/>
  <c r="AD1183" i="11" a="1"/>
  <c r="AD1183" i="11" s="1"/>
  <c r="AF1183" i="11" s="1"/>
  <c r="AG1183" i="11" s="1"/>
  <c r="R1183" i="11"/>
  <c r="AD1193" i="11" a="1"/>
  <c r="AD1193" i="11" s="1"/>
  <c r="AF1193" i="11" s="1"/>
  <c r="AG1193" i="11" s="1"/>
  <c r="R1193" i="11"/>
  <c r="AL1193" i="11" a="1"/>
  <c r="AL1193" i="11" s="1"/>
  <c r="AN1193" i="11" s="1"/>
  <c r="AO1193" i="11" s="1"/>
  <c r="Z1193" i="11" a="1"/>
  <c r="Z1193" i="11" s="1"/>
  <c r="AB1193" i="11" s="1"/>
  <c r="AC1193" i="11" s="1"/>
  <c r="V1193" i="11" a="1"/>
  <c r="V1193" i="11" s="1"/>
  <c r="X1193" i="11" s="1"/>
  <c r="Y1193" i="11" s="1"/>
  <c r="AP1200" i="11" a="1"/>
  <c r="AP1200" i="11" s="1"/>
  <c r="AR1200" i="11" s="1"/>
  <c r="AS1200" i="11" s="1"/>
  <c r="AD1170" i="11" a="1"/>
  <c r="AD1170" i="11" s="1"/>
  <c r="AF1170" i="11" s="1"/>
  <c r="AG1170" i="11" s="1"/>
  <c r="AH1178" i="11" a="1"/>
  <c r="AH1178" i="11" s="1"/>
  <c r="AJ1178" i="11" s="1"/>
  <c r="AK1178" i="11" s="1"/>
  <c r="Z1190" i="11" a="1"/>
  <c r="Z1190" i="11" s="1"/>
  <c r="AB1190" i="11" s="1"/>
  <c r="AC1190" i="11" s="1"/>
  <c r="N1190" i="11"/>
  <c r="O1190" i="11" s="1"/>
  <c r="AH1190" i="11" a="1"/>
  <c r="AH1190" i="11" s="1"/>
  <c r="AJ1190" i="11" s="1"/>
  <c r="AK1190" i="11" s="1"/>
  <c r="V1190" i="11" a="1"/>
  <c r="V1190" i="11" s="1"/>
  <c r="X1190" i="11" s="1"/>
  <c r="Y1190" i="11" s="1"/>
  <c r="AP1193" i="11" a="1"/>
  <c r="AP1193" i="11" s="1"/>
  <c r="AR1193" i="11" s="1"/>
  <c r="AS1193" i="11" s="1"/>
  <c r="AD1184" i="11" a="1"/>
  <c r="AD1184" i="11" s="1"/>
  <c r="AF1184" i="11" s="1"/>
  <c r="AG1184" i="11" s="1"/>
  <c r="R1184" i="11"/>
  <c r="AP1184" i="11" a="1"/>
  <c r="AP1184" i="11" s="1"/>
  <c r="AR1184" i="11" s="1"/>
  <c r="AS1184" i="11" s="1"/>
  <c r="N1184" i="11"/>
  <c r="O1184" i="11" s="1"/>
  <c r="AL1187" i="11" a="1"/>
  <c r="AL1187" i="11" s="1"/>
  <c r="AN1187" i="11" s="1"/>
  <c r="AO1187" i="11" s="1"/>
  <c r="AH1187" i="11" a="1"/>
  <c r="AH1187" i="11" s="1"/>
  <c r="AJ1187" i="11" s="1"/>
  <c r="AK1187" i="11" s="1"/>
  <c r="AD1187" i="11" a="1"/>
  <c r="AD1187" i="11" s="1"/>
  <c r="AF1187" i="11" s="1"/>
  <c r="AG1187" i="11" s="1"/>
  <c r="Z1211" i="11" a="1"/>
  <c r="Z1211" i="11" s="1"/>
  <c r="AB1211" i="11" s="1"/>
  <c r="AC1211" i="11" s="1"/>
  <c r="AP1167" i="11" a="1"/>
  <c r="AP1167" i="11" s="1"/>
  <c r="AR1167" i="11" s="1"/>
  <c r="AS1167" i="11" s="1"/>
  <c r="AL1167" i="11" a="1"/>
  <c r="AL1167" i="11" s="1"/>
  <c r="AN1167" i="11" s="1"/>
  <c r="AO1167" i="11" s="1"/>
  <c r="Z1171" i="11" a="1"/>
  <c r="Z1171" i="11" s="1"/>
  <c r="AB1171" i="11" s="1"/>
  <c r="AC1171" i="11" s="1"/>
  <c r="N1171" i="11"/>
  <c r="O1171" i="11" s="1"/>
  <c r="V1185" i="11" a="1"/>
  <c r="V1185" i="11" s="1"/>
  <c r="X1185" i="11" s="1"/>
  <c r="Y1185" i="11" s="1"/>
  <c r="AP1185" i="11" a="1"/>
  <c r="AP1185" i="11" s="1"/>
  <c r="AR1185" i="11" s="1"/>
  <c r="AS1185" i="11" s="1"/>
  <c r="AD1185" i="11" a="1"/>
  <c r="AD1185" i="11" s="1"/>
  <c r="AF1185" i="11" s="1"/>
  <c r="AG1185" i="11" s="1"/>
  <c r="R1187" i="11"/>
  <c r="AP1204" i="11" a="1"/>
  <c r="AP1204" i="11" s="1"/>
  <c r="AR1204" i="11" s="1"/>
  <c r="AS1204" i="11" s="1"/>
  <c r="Z1204" i="11" a="1"/>
  <c r="Z1204" i="11" s="1"/>
  <c r="AB1204" i="11" s="1"/>
  <c r="AC1204" i="11" s="1"/>
  <c r="AL1204" i="11" a="1"/>
  <c r="AL1204" i="11" s="1"/>
  <c r="AN1204" i="11" s="1"/>
  <c r="AO1204" i="11" s="1"/>
  <c r="V1204" i="11" a="1"/>
  <c r="V1204" i="11" s="1"/>
  <c r="X1204" i="11" s="1"/>
  <c r="Y1204" i="11" s="1"/>
  <c r="AH1204" i="11" a="1"/>
  <c r="AH1204" i="11" s="1"/>
  <c r="AJ1204" i="11" s="1"/>
  <c r="AK1204" i="11" s="1"/>
  <c r="Z1163" i="11" a="1"/>
  <c r="Z1163" i="11" s="1"/>
  <c r="AB1163" i="11" s="1"/>
  <c r="AC1163" i="11" s="1"/>
  <c r="N1163" i="11"/>
  <c r="O1163" i="11" s="1"/>
  <c r="AD1167" i="11" a="1"/>
  <c r="AD1167" i="11" s="1"/>
  <c r="AF1167" i="11" s="1"/>
  <c r="AG1167" i="11" s="1"/>
  <c r="Z1179" i="11" a="1"/>
  <c r="Z1179" i="11" s="1"/>
  <c r="AB1179" i="11" s="1"/>
  <c r="AC1179" i="11" s="1"/>
  <c r="N1179" i="11"/>
  <c r="O1179" i="11" s="1"/>
  <c r="R1204" i="11"/>
  <c r="AD1211" i="11" a="1"/>
  <c r="AD1211" i="11" s="1"/>
  <c r="AF1211" i="11" s="1"/>
  <c r="AG1211" i="11" s="1"/>
  <c r="AP1153" i="11" a="1"/>
  <c r="AP1153" i="11" s="1"/>
  <c r="AR1153" i="11" s="1"/>
  <c r="AS1153" i="11" s="1"/>
  <c r="R1153" i="11"/>
  <c r="AH1168" i="11" a="1"/>
  <c r="AH1168" i="11" s="1"/>
  <c r="AJ1168" i="11" s="1"/>
  <c r="AK1168" i="11" s="1"/>
  <c r="AD1168" i="11" a="1"/>
  <c r="AD1168" i="11" s="1"/>
  <c r="AF1168" i="11" s="1"/>
  <c r="AG1168" i="11" s="1"/>
  <c r="V1178" i="11" a="1"/>
  <c r="V1178" i="11" s="1"/>
  <c r="X1178" i="11" s="1"/>
  <c r="Y1178" i="11" s="1"/>
  <c r="V1183" i="11" a="1"/>
  <c r="V1183" i="11" s="1"/>
  <c r="X1183" i="11" s="1"/>
  <c r="Y1183" i="11" s="1"/>
  <c r="AH1185" i="11" a="1"/>
  <c r="AH1185" i="11" s="1"/>
  <c r="AJ1185" i="11" s="1"/>
  <c r="AK1185" i="11" s="1"/>
  <c r="AP1187" i="11" a="1"/>
  <c r="AP1187" i="11" s="1"/>
  <c r="AR1187" i="11" s="1"/>
  <c r="AS1187" i="11" s="1"/>
  <c r="N1205" i="11"/>
  <c r="O1205" i="11" s="1"/>
  <c r="Z1205" i="11" a="1"/>
  <c r="Z1205" i="11" s="1"/>
  <c r="AB1205" i="11" s="1"/>
  <c r="AC1205" i="11" s="1"/>
  <c r="AH1205" i="11" a="1"/>
  <c r="AH1205" i="11" s="1"/>
  <c r="AJ1205" i="11" s="1"/>
  <c r="AK1205" i="11" s="1"/>
  <c r="AP1205" i="11" a="1"/>
  <c r="AP1205" i="11" s="1"/>
  <c r="AR1205" i="11" s="1"/>
  <c r="AS1205" i="11" s="1"/>
  <c r="V1205" i="11" a="1"/>
  <c r="V1205" i="11" s="1"/>
  <c r="X1205" i="11" s="1"/>
  <c r="Y1205" i="11" s="1"/>
  <c r="AL1205" i="11" a="1"/>
  <c r="AL1205" i="11" s="1"/>
  <c r="AN1205" i="11" s="1"/>
  <c r="AO1205" i="11" s="1"/>
  <c r="R1205" i="11"/>
  <c r="AH1167" i="11" a="1"/>
  <c r="AH1167" i="11" s="1"/>
  <c r="AJ1167" i="11" s="1"/>
  <c r="AK1167" i="11" s="1"/>
  <c r="AH1176" i="11" a="1"/>
  <c r="AH1176" i="11" s="1"/>
  <c r="AJ1176" i="11" s="1"/>
  <c r="AK1176" i="11" s="1"/>
  <c r="AD1176" i="11" a="1"/>
  <c r="AD1176" i="11" s="1"/>
  <c r="AF1176" i="11" s="1"/>
  <c r="AG1176" i="11" s="1"/>
  <c r="V1184" i="11" a="1"/>
  <c r="V1184" i="11" s="1"/>
  <c r="X1184" i="11" s="1"/>
  <c r="Y1184" i="11" s="1"/>
  <c r="V1187" i="11" a="1"/>
  <c r="V1187" i="11" s="1"/>
  <c r="X1187" i="11" s="1"/>
  <c r="Y1187" i="11" s="1"/>
  <c r="Z1194" i="11" a="1"/>
  <c r="Z1194" i="11" s="1"/>
  <c r="AB1194" i="11" s="1"/>
  <c r="AC1194" i="11" s="1"/>
  <c r="N1196" i="11"/>
  <c r="O1196" i="11" s="1"/>
  <c r="N1200" i="11"/>
  <c r="O1200" i="11" s="1"/>
  <c r="AD1206" i="11" a="1"/>
  <c r="AD1206" i="11" s="1"/>
  <c r="AF1206" i="11" s="1"/>
  <c r="AG1206" i="11" s="1"/>
  <c r="Z1207" i="11" a="1"/>
  <c r="Z1207" i="11" s="1"/>
  <c r="AB1207" i="11" s="1"/>
  <c r="AC1207" i="11" s="1"/>
  <c r="N1207" i="11"/>
  <c r="O1207" i="11" s="1"/>
  <c r="AL1207" i="11" a="1"/>
  <c r="AL1207" i="11" s="1"/>
  <c r="AN1207" i="11" s="1"/>
  <c r="AO1207" i="11" s="1"/>
  <c r="AH1207" i="11" a="1"/>
  <c r="AH1207" i="11" s="1"/>
  <c r="AJ1207" i="11" s="1"/>
  <c r="AK1207" i="11" s="1"/>
  <c r="AD1207" i="11" a="1"/>
  <c r="AD1207" i="11" s="1"/>
  <c r="AF1207" i="11" s="1"/>
  <c r="AG1207" i="11" s="1"/>
  <c r="AP1212" i="11" a="1"/>
  <c r="AP1212" i="11" s="1"/>
  <c r="AR1212" i="11" s="1"/>
  <c r="AS1212" i="11" s="1"/>
  <c r="R1212" i="11"/>
  <c r="N1212" i="11"/>
  <c r="O1212" i="11" s="1"/>
  <c r="Z1212" i="11" a="1"/>
  <c r="Z1212" i="11" s="1"/>
  <c r="AB1212" i="11" s="1"/>
  <c r="AC1212" i="11" s="1"/>
  <c r="V1212" i="11" a="1"/>
  <c r="V1212" i="11" s="1"/>
  <c r="X1212" i="11" s="1"/>
  <c r="Y1212" i="11" s="1"/>
  <c r="AL1200" i="11" a="1"/>
  <c r="AL1200" i="11" s="1"/>
  <c r="AN1200" i="11" s="1"/>
  <c r="AO1200" i="11" s="1"/>
  <c r="AH1200" i="11" a="1"/>
  <c r="AH1200" i="11" s="1"/>
  <c r="AJ1200" i="11" s="1"/>
  <c r="AK1200" i="11" s="1"/>
  <c r="AH1227" i="11" a="1"/>
  <c r="AH1227" i="11" s="1"/>
  <c r="AJ1227" i="11" s="1"/>
  <c r="AK1227" i="11" s="1"/>
  <c r="AD1227" i="11" a="1"/>
  <c r="AD1227" i="11" s="1"/>
  <c r="AF1227" i="11" s="1"/>
  <c r="AG1227" i="11" s="1"/>
  <c r="N1227" i="11"/>
  <c r="O1227" i="11" s="1"/>
  <c r="Z1227" i="11" a="1"/>
  <c r="Z1227" i="11" s="1"/>
  <c r="AB1227" i="11" s="1"/>
  <c r="AC1227" i="11" s="1"/>
  <c r="V1227" i="11" a="1"/>
  <c r="V1227" i="11" s="1"/>
  <c r="X1227" i="11" s="1"/>
  <c r="Y1227" i="11" s="1"/>
  <c r="AP1227" i="11" a="1"/>
  <c r="AP1227" i="11" s="1"/>
  <c r="AR1227" i="11" s="1"/>
  <c r="AS1227" i="11" s="1"/>
  <c r="AL1227" i="11" a="1"/>
  <c r="AL1227" i="11" s="1"/>
  <c r="AN1227" i="11" s="1"/>
  <c r="AO1227" i="11" s="1"/>
  <c r="Z1191" i="11" a="1"/>
  <c r="Z1191" i="11" s="1"/>
  <c r="AB1191" i="11" s="1"/>
  <c r="AC1191" i="11" s="1"/>
  <c r="N1191" i="11"/>
  <c r="O1191" i="11" s="1"/>
  <c r="AP1191" i="11" a="1"/>
  <c r="AP1191" i="11" s="1"/>
  <c r="AR1191" i="11" s="1"/>
  <c r="AS1191" i="11" s="1"/>
  <c r="V1194" i="11" a="1"/>
  <c r="V1194" i="11" s="1"/>
  <c r="X1194" i="11" s="1"/>
  <c r="Y1194" i="11" s="1"/>
  <c r="AP1194" i="11" a="1"/>
  <c r="AP1194" i="11" s="1"/>
  <c r="AR1194" i="11" s="1"/>
  <c r="AS1194" i="11" s="1"/>
  <c r="AP1197" i="11" a="1"/>
  <c r="AP1197" i="11" s="1"/>
  <c r="AR1197" i="11" s="1"/>
  <c r="AS1197" i="11" s="1"/>
  <c r="AD1200" i="11" a="1"/>
  <c r="AD1200" i="11" s="1"/>
  <c r="AF1200" i="11" s="1"/>
  <c r="AG1200" i="11" s="1"/>
  <c r="AP1188" i="11" a="1"/>
  <c r="AP1188" i="11" s="1"/>
  <c r="AR1188" i="11" s="1"/>
  <c r="AS1188" i="11" s="1"/>
  <c r="R1188" i="11"/>
  <c r="AD1188" i="11" a="1"/>
  <c r="AD1188" i="11" s="1"/>
  <c r="AF1188" i="11" s="1"/>
  <c r="AG1188" i="11" s="1"/>
  <c r="AD1191" i="11" a="1"/>
  <c r="AD1191" i="11" s="1"/>
  <c r="AF1191" i="11" s="1"/>
  <c r="AG1191" i="11" s="1"/>
  <c r="Z1198" i="11" a="1"/>
  <c r="Z1198" i="11" s="1"/>
  <c r="AB1198" i="11" s="1"/>
  <c r="AC1198" i="11" s="1"/>
  <c r="R1200" i="11"/>
  <c r="R1208" i="11"/>
  <c r="AD1208" i="11" a="1"/>
  <c r="AD1208" i="11" s="1"/>
  <c r="AF1208" i="11" s="1"/>
  <c r="AG1208" i="11" s="1"/>
  <c r="R1227" i="11"/>
  <c r="AD1228" i="11" a="1"/>
  <c r="AD1228" i="11" s="1"/>
  <c r="AF1228" i="11" s="1"/>
  <c r="AG1228" i="11" s="1"/>
  <c r="R1191" i="11"/>
  <c r="R1194" i="11"/>
  <c r="AD1194" i="11" a="1"/>
  <c r="AD1194" i="11" s="1"/>
  <c r="AF1194" i="11" s="1"/>
  <c r="AG1194" i="11" s="1"/>
  <c r="AP1198" i="11" a="1"/>
  <c r="AP1198" i="11" s="1"/>
  <c r="AR1198" i="11" s="1"/>
  <c r="AS1198" i="11" s="1"/>
  <c r="V1210" i="11" a="1"/>
  <c r="V1210" i="11" s="1"/>
  <c r="X1210" i="11" s="1"/>
  <c r="Y1210" i="11" s="1"/>
  <c r="AD1210" i="11" a="1"/>
  <c r="AD1210" i="11" s="1"/>
  <c r="AF1210" i="11" s="1"/>
  <c r="AG1210" i="11" s="1"/>
  <c r="AL1218" i="11" a="1"/>
  <c r="AL1218" i="11" s="1"/>
  <c r="AN1218" i="11" s="1"/>
  <c r="AO1218" i="11" s="1"/>
  <c r="AH1218" i="11" a="1"/>
  <c r="AH1218" i="11" s="1"/>
  <c r="AJ1218" i="11" s="1"/>
  <c r="AK1218" i="11" s="1"/>
  <c r="R1218" i="11"/>
  <c r="N1218" i="11"/>
  <c r="O1218" i="11" s="1"/>
  <c r="AP1218" i="11" a="1"/>
  <c r="AP1218" i="11" s="1"/>
  <c r="AR1218" i="11" s="1"/>
  <c r="AS1218" i="11" s="1"/>
  <c r="AL1212" i="11" a="1"/>
  <c r="AL1212" i="11" s="1"/>
  <c r="AN1212" i="11" s="1"/>
  <c r="AO1212" i="11" s="1"/>
  <c r="V1201" i="11" a="1"/>
  <c r="V1201" i="11" s="1"/>
  <c r="X1201" i="11" s="1"/>
  <c r="Y1201" i="11" s="1"/>
  <c r="AH1208" i="11" a="1"/>
  <c r="AH1208" i="11" s="1"/>
  <c r="AJ1208" i="11" s="1"/>
  <c r="AK1208" i="11" s="1"/>
  <c r="Z1229" i="11" a="1"/>
  <c r="Z1229" i="11" s="1"/>
  <c r="AB1229" i="11" s="1"/>
  <c r="AC1229" i="11" s="1"/>
  <c r="AD1198" i="11" a="1"/>
  <c r="AD1198" i="11" s="1"/>
  <c r="AF1198" i="11" s="1"/>
  <c r="AG1198" i="11" s="1"/>
  <c r="R1198" i="11"/>
  <c r="V1216" i="11" a="1"/>
  <c r="V1216" i="11" s="1"/>
  <c r="X1216" i="11" s="1"/>
  <c r="Y1216" i="11" s="1"/>
  <c r="N1216" i="11"/>
  <c r="O1216" i="11" s="1"/>
  <c r="Z1216" i="11" a="1"/>
  <c r="Z1216" i="11" s="1"/>
  <c r="AB1216" i="11" s="1"/>
  <c r="AC1216" i="11" s="1"/>
  <c r="AD1222" i="11" a="1"/>
  <c r="AD1222" i="11" s="1"/>
  <c r="AF1222" i="11" s="1"/>
  <c r="AG1222" i="11" s="1"/>
  <c r="AH1188" i="11" a="1"/>
  <c r="AH1188" i="11" s="1"/>
  <c r="AJ1188" i="11" s="1"/>
  <c r="AK1188" i="11" s="1"/>
  <c r="AH1189" i="11" a="1"/>
  <c r="AH1189" i="11" s="1"/>
  <c r="AJ1189" i="11" s="1"/>
  <c r="AK1189" i="11" s="1"/>
  <c r="AP1189" i="11" a="1"/>
  <c r="AP1189" i="11" s="1"/>
  <c r="AR1189" i="11" s="1"/>
  <c r="AS1189" i="11" s="1"/>
  <c r="R1189" i="11"/>
  <c r="AD1189" i="11" a="1"/>
  <c r="AD1189" i="11" s="1"/>
  <c r="AF1189" i="11" s="1"/>
  <c r="AG1189" i="11" s="1"/>
  <c r="AH1191" i="11" a="1"/>
  <c r="AH1191" i="11" s="1"/>
  <c r="AJ1191" i="11" s="1"/>
  <c r="AK1191" i="11" s="1"/>
  <c r="AP1195" i="11" a="1"/>
  <c r="AP1195" i="11" s="1"/>
  <c r="AR1195" i="11" s="1"/>
  <c r="AS1195" i="11" s="1"/>
  <c r="V1207" i="11" a="1"/>
  <c r="V1207" i="11" s="1"/>
  <c r="X1207" i="11" s="1"/>
  <c r="Y1207" i="11" s="1"/>
  <c r="AL1192" i="11" a="1"/>
  <c r="AL1192" i="11" s="1"/>
  <c r="AN1192" i="11" s="1"/>
  <c r="AO1192" i="11" s="1"/>
  <c r="AH1194" i="11" a="1"/>
  <c r="AH1194" i="11" s="1"/>
  <c r="AJ1194" i="11" s="1"/>
  <c r="AK1194" i="11" s="1"/>
  <c r="N1203" i="11"/>
  <c r="O1203" i="11" s="1"/>
  <c r="Z1203" i="11" a="1"/>
  <c r="Z1203" i="11" s="1"/>
  <c r="AB1203" i="11" s="1"/>
  <c r="AC1203" i="11" s="1"/>
  <c r="AL1203" i="11" a="1"/>
  <c r="AL1203" i="11" s="1"/>
  <c r="AN1203" i="11" s="1"/>
  <c r="AO1203" i="11" s="1"/>
  <c r="AH1203" i="11" a="1"/>
  <c r="AH1203" i="11" s="1"/>
  <c r="AJ1203" i="11" s="1"/>
  <c r="AK1203" i="11" s="1"/>
  <c r="AD1203" i="11" a="1"/>
  <c r="AD1203" i="11" s="1"/>
  <c r="AF1203" i="11" s="1"/>
  <c r="AG1203" i="11" s="1"/>
  <c r="R1216" i="11"/>
  <c r="Z1233" i="11" a="1"/>
  <c r="Z1233" i="11" s="1"/>
  <c r="AB1233" i="11" s="1"/>
  <c r="AC1233" i="11" s="1"/>
  <c r="N1233" i="11"/>
  <c r="O1233" i="11" s="1"/>
  <c r="AD1233" i="11" a="1"/>
  <c r="AD1233" i="11" s="1"/>
  <c r="AF1233" i="11" s="1"/>
  <c r="AG1233" i="11" s="1"/>
  <c r="AH1233" i="11" a="1"/>
  <c r="AH1233" i="11" s="1"/>
  <c r="AJ1233" i="11" s="1"/>
  <c r="AK1233" i="11" s="1"/>
  <c r="R1233" i="11"/>
  <c r="AL1233" i="11" a="1"/>
  <c r="AL1233" i="11" s="1"/>
  <c r="AN1233" i="11" s="1"/>
  <c r="AO1233" i="11" s="1"/>
  <c r="V1226" i="11" a="1"/>
  <c r="V1226" i="11" s="1"/>
  <c r="X1226" i="11" s="1"/>
  <c r="Y1226" i="11" s="1"/>
  <c r="AL1226" i="11" a="1"/>
  <c r="AL1226" i="11" s="1"/>
  <c r="AN1226" i="11" s="1"/>
  <c r="AO1226" i="11" s="1"/>
  <c r="AH1226" i="11" a="1"/>
  <c r="AH1226" i="11" s="1"/>
  <c r="AJ1226" i="11" s="1"/>
  <c r="AK1226" i="11" s="1"/>
  <c r="R1226" i="11"/>
  <c r="V1228" i="11" a="1"/>
  <c r="V1228" i="11" s="1"/>
  <c r="X1228" i="11" s="1"/>
  <c r="Y1228" i="11" s="1"/>
  <c r="V1202" i="11" a="1"/>
  <c r="V1202" i="11" s="1"/>
  <c r="X1202" i="11" s="1"/>
  <c r="Y1202" i="11" s="1"/>
  <c r="Z1214" i="11" a="1"/>
  <c r="Z1214" i="11" s="1"/>
  <c r="AB1214" i="11" s="1"/>
  <c r="AC1214" i="11" s="1"/>
  <c r="N1214" i="11"/>
  <c r="O1214" i="11" s="1"/>
  <c r="AL1214" i="11" a="1"/>
  <c r="AL1214" i="11" s="1"/>
  <c r="AN1214" i="11" s="1"/>
  <c r="AO1214" i="11" s="1"/>
  <c r="AH1214" i="11" a="1"/>
  <c r="AH1214" i="11" s="1"/>
  <c r="AJ1214" i="11" s="1"/>
  <c r="AK1214" i="11" s="1"/>
  <c r="AD1214" i="11" a="1"/>
  <c r="AD1214" i="11" s="1"/>
  <c r="AF1214" i="11" s="1"/>
  <c r="AG1214" i="11" s="1"/>
  <c r="V1224" i="11" a="1"/>
  <c r="V1224" i="11" s="1"/>
  <c r="X1224" i="11" s="1"/>
  <c r="Y1224" i="11" s="1"/>
  <c r="AH1224" i="11" a="1"/>
  <c r="AH1224" i="11" s="1"/>
  <c r="AJ1224" i="11" s="1"/>
  <c r="AK1224" i="11" s="1"/>
  <c r="AP1233" i="11" a="1"/>
  <c r="AP1233" i="11" s="1"/>
  <c r="AR1233" i="11" s="1"/>
  <c r="AS1233" i="11" s="1"/>
  <c r="AD1223" i="11" a="1"/>
  <c r="AD1223" i="11" s="1"/>
  <c r="AF1223" i="11" s="1"/>
  <c r="AG1223" i="11" s="1"/>
  <c r="N1223" i="11"/>
  <c r="O1223" i="11" s="1"/>
  <c r="Z1223" i="11" a="1"/>
  <c r="Z1223" i="11" s="1"/>
  <c r="AB1223" i="11" s="1"/>
  <c r="AC1223" i="11" s="1"/>
  <c r="V1223" i="11" a="1"/>
  <c r="V1223" i="11" s="1"/>
  <c r="X1223" i="11" s="1"/>
  <c r="Y1223" i="11" s="1"/>
  <c r="AH1223" i="11" a="1"/>
  <c r="AH1223" i="11" s="1"/>
  <c r="AJ1223" i="11" s="1"/>
  <c r="AK1223" i="11" s="1"/>
  <c r="Z1222" i="11" a="1"/>
  <c r="Z1222" i="11" s="1"/>
  <c r="AB1222" i="11" s="1"/>
  <c r="AC1222" i="11" s="1"/>
  <c r="N1222" i="11"/>
  <c r="O1222" i="11" s="1"/>
  <c r="AL1222" i="11" a="1"/>
  <c r="AL1222" i="11" s="1"/>
  <c r="AN1222" i="11" s="1"/>
  <c r="AO1222" i="11" s="1"/>
  <c r="AP1222" i="11" a="1"/>
  <c r="AP1222" i="11" s="1"/>
  <c r="AR1222" i="11" s="1"/>
  <c r="AS1222" i="11" s="1"/>
  <c r="AH1229" i="11" a="1"/>
  <c r="AH1229" i="11" s="1"/>
  <c r="AJ1229" i="11" s="1"/>
  <c r="AK1229" i="11" s="1"/>
  <c r="N1229" i="11"/>
  <c r="O1229" i="11" s="1"/>
  <c r="AD1215" i="11" a="1"/>
  <c r="AD1215" i="11" s="1"/>
  <c r="AF1215" i="11" s="1"/>
  <c r="AG1215" i="11" s="1"/>
  <c r="AH1219" i="11" a="1"/>
  <c r="AH1219" i="11" s="1"/>
  <c r="AJ1219" i="11" s="1"/>
  <c r="AK1219" i="11" s="1"/>
  <c r="AD1219" i="11" a="1"/>
  <c r="AD1219" i="11" s="1"/>
  <c r="AF1219" i="11" s="1"/>
  <c r="AG1219" i="11" s="1"/>
  <c r="R1223" i="11"/>
  <c r="V1233" i="11" a="1"/>
  <c r="V1233" i="11" s="1"/>
  <c r="X1233" i="11" s="1"/>
  <c r="Y1233" i="11" s="1"/>
  <c r="R1222" i="11"/>
  <c r="AH1222" i="11" a="1"/>
  <c r="AH1222" i="11" s="1"/>
  <c r="AJ1222" i="11" s="1"/>
  <c r="AK1222" i="11" s="1"/>
  <c r="R1229" i="11"/>
  <c r="AD1234" i="11" a="1"/>
  <c r="AD1234" i="11" s="1"/>
  <c r="AF1234" i="11" s="1"/>
  <c r="AG1234" i="11" s="1"/>
  <c r="AL1229" i="11" a="1"/>
  <c r="AL1229" i="11" s="1"/>
  <c r="AN1229" i="11" s="1"/>
  <c r="AO1229" i="11" s="1"/>
  <c r="AD1201" i="11" a="1"/>
  <c r="AD1201" i="11" s="1"/>
  <c r="AF1201" i="11" s="1"/>
  <c r="AG1201" i="11" s="1"/>
  <c r="AP1226" i="11" a="1"/>
  <c r="AP1226" i="11" s="1"/>
  <c r="AR1226" i="11" s="1"/>
  <c r="AS1226" i="11" s="1"/>
  <c r="AP1228" i="11" a="1"/>
  <c r="AP1228" i="11" s="1"/>
  <c r="AR1228" i="11" s="1"/>
  <c r="AS1228" i="11" s="1"/>
  <c r="R1228" i="11"/>
  <c r="AH1228" i="11" a="1"/>
  <c r="AH1228" i="11" s="1"/>
  <c r="AJ1228" i="11" s="1"/>
  <c r="AK1228" i="11" s="1"/>
  <c r="R3" i="13"/>
  <c r="U3" i="13" s="1"/>
  <c r="AH1221" i="11" a="1"/>
  <c r="AH1221" i="11" s="1"/>
  <c r="AJ1221" i="11" s="1"/>
  <c r="AK1221" i="11" s="1"/>
  <c r="AP1230" i="11" a="1"/>
  <c r="AP1230" i="11" s="1"/>
  <c r="AR1230" i="11" s="1"/>
  <c r="AS1230" i="11" s="1"/>
  <c r="AD1230" i="11" a="1"/>
  <c r="AD1230" i="11" s="1"/>
  <c r="AF1230" i="11" s="1"/>
  <c r="AG1230" i="11" s="1"/>
  <c r="N1230" i="11"/>
  <c r="O1230" i="11" s="1"/>
  <c r="Z1230" i="11" a="1"/>
  <c r="Z1230" i="11" s="1"/>
  <c r="AB1230" i="11" s="1"/>
  <c r="AC1230" i="11" s="1"/>
  <c r="AH1232" i="11" a="1"/>
  <c r="AH1232" i="11" s="1"/>
  <c r="AJ1232" i="11" s="1"/>
  <c r="AK1232" i="11" s="1"/>
  <c r="Z1232" i="11" a="1"/>
  <c r="Z1232" i="11" s="1"/>
  <c r="AB1232" i="11" s="1"/>
  <c r="AC1232" i="11" s="1"/>
  <c r="N1232" i="11"/>
  <c r="O1232" i="11" s="1"/>
  <c r="AD1232" i="11" a="1"/>
  <c r="AD1232" i="11" s="1"/>
  <c r="AF1232" i="11" s="1"/>
  <c r="AG1232" i="11" s="1"/>
  <c r="N1234" i="11"/>
  <c r="O1234" i="11" s="1"/>
  <c r="V1234" i="11" a="1"/>
  <c r="V1234" i="11" s="1"/>
  <c r="X1234" i="11" s="1"/>
  <c r="Y1234" i="11" s="1"/>
  <c r="R1234" i="11"/>
  <c r="AH1234" i="11" a="1"/>
  <c r="AH1234" i="11" s="1"/>
  <c r="AJ1234" i="11" s="1"/>
  <c r="AK1234" i="11" s="1"/>
  <c r="AL1221" i="11" a="1"/>
  <c r="AL1221" i="11" s="1"/>
  <c r="AN1221" i="11" s="1"/>
  <c r="AO1221" i="11" s="1"/>
  <c r="AP1220" i="11" a="1"/>
  <c r="AP1220" i="11" s="1"/>
  <c r="AR1220" i="11" s="1"/>
  <c r="AS1220" i="11" s="1"/>
  <c r="R1220" i="11"/>
  <c r="AD1220" i="11" a="1"/>
  <c r="AD1220" i="11" s="1"/>
  <c r="AF1220" i="11" s="1"/>
  <c r="AG1220" i="11" s="1"/>
  <c r="AP1232" i="11" a="1"/>
  <c r="AP1232" i="11" s="1"/>
  <c r="AR1232" i="11" s="1"/>
  <c r="AS1232" i="11" s="1"/>
  <c r="E8" i="13"/>
  <c r="H4" i="13"/>
  <c r="L3" i="13"/>
  <c r="E12" i="13"/>
  <c r="E9" i="13"/>
  <c r="E6" i="13"/>
  <c r="E11" i="13"/>
  <c r="E2" i="13"/>
  <c r="AT1302" i="11" l="1"/>
  <c r="AT1311" i="11"/>
  <c r="AT1473" i="11"/>
  <c r="AT1474" i="11"/>
  <c r="AT1539" i="11"/>
  <c r="AT1327" i="11"/>
  <c r="AT1502" i="11"/>
  <c r="AT1410" i="11"/>
  <c r="AT1484" i="11"/>
  <c r="AT1323" i="11"/>
  <c r="AT1373" i="11"/>
  <c r="AT1449" i="11"/>
  <c r="AT1307" i="11"/>
  <c r="AT1306" i="11"/>
  <c r="AT1402" i="11"/>
  <c r="AT1515" i="11"/>
  <c r="AT1471" i="11"/>
  <c r="AT1340" i="11"/>
  <c r="AT1342" i="11"/>
  <c r="AT1505" i="11"/>
  <c r="AT1525" i="11"/>
  <c r="AT1443" i="11"/>
  <c r="AT1386" i="11"/>
  <c r="AT1478" i="11"/>
  <c r="AT1413" i="11"/>
  <c r="AT1427" i="11"/>
  <c r="AT1330" i="11"/>
  <c r="AT1358" i="11"/>
  <c r="AT1506" i="11"/>
  <c r="AT1543" i="11"/>
  <c r="AT1398" i="11"/>
  <c r="AT1488" i="11"/>
  <c r="AT1331" i="11"/>
  <c r="AT1348" i="11"/>
  <c r="AT1445" i="11"/>
  <c r="AT1541" i="11"/>
  <c r="AT1392" i="11"/>
  <c r="AT1401" i="11"/>
  <c r="AT1389" i="11"/>
  <c r="AT1399" i="11"/>
  <c r="AT1421" i="11"/>
  <c r="AT1535" i="11"/>
  <c r="AT1354" i="11"/>
  <c r="AT1538" i="11"/>
  <c r="AT1299" i="11"/>
  <c r="AT1371" i="11"/>
  <c r="AT1320" i="11"/>
  <c r="AT1362" i="11"/>
  <c r="AT1341" i="11"/>
  <c r="AT1452" i="11"/>
  <c r="AT1485" i="11"/>
  <c r="AT1374" i="11"/>
  <c r="AT1522" i="11"/>
  <c r="AT1337" i="11"/>
  <c r="AT1317" i="11"/>
  <c r="AT1347" i="11"/>
  <c r="AT1380" i="11"/>
  <c r="AT1405" i="11"/>
  <c r="AT1343" i="11"/>
  <c r="AT1391" i="11"/>
  <c r="AT1532" i="11"/>
  <c r="AT1361" i="11"/>
  <c r="AT1415" i="11"/>
  <c r="AT1437" i="11"/>
  <c r="AT1407" i="11"/>
  <c r="AT1500" i="11"/>
  <c r="AT1384" i="11"/>
  <c r="AT1494" i="11"/>
  <c r="AT1336" i="11"/>
  <c r="AT1491" i="11"/>
  <c r="AT1350" i="11"/>
  <c r="AT1512" i="11"/>
  <c r="AT1520" i="11"/>
  <c r="AT1498" i="11"/>
  <c r="AT1383" i="11"/>
  <c r="AT1393" i="11"/>
  <c r="AT1420" i="11"/>
  <c r="AT1352" i="11"/>
  <c r="AT1444" i="11"/>
  <c r="AT1325" i="11"/>
  <c r="AT1414" i="11"/>
  <c r="AT1370" i="11"/>
  <c r="AT1326" i="11"/>
  <c r="AT1439" i="11"/>
  <c r="AT1513" i="11"/>
  <c r="AT1496" i="11"/>
  <c r="AT1546" i="11"/>
  <c r="AT1507" i="11"/>
  <c r="AT1395" i="11"/>
  <c r="AT1431" i="11"/>
  <c r="AT1366" i="11"/>
  <c r="AT1400" i="11"/>
  <c r="AT1368" i="11"/>
  <c r="AT1351" i="11"/>
  <c r="AT1339" i="11"/>
  <c r="AT1385" i="11"/>
  <c r="AT1448" i="11"/>
  <c r="AT1312" i="11"/>
  <c r="AT1332" i="11"/>
  <c r="AT1461" i="11"/>
  <c r="AT1328" i="11"/>
  <c r="AT1381" i="11"/>
  <c r="AT1475" i="11"/>
  <c r="AT1529" i="11"/>
  <c r="AT1397" i="11"/>
  <c r="AT1349" i="11"/>
  <c r="AT1516" i="11"/>
  <c r="AT1450" i="11"/>
  <c r="AT1321" i="11"/>
  <c r="AT1468" i="11"/>
  <c r="AT1530" i="11"/>
  <c r="AT1333" i="11"/>
  <c r="AT1359" i="11"/>
  <c r="AT1518" i="11"/>
  <c r="AT1451" i="11"/>
  <c r="AT1489" i="11"/>
  <c r="AT1511" i="11"/>
  <c r="AT1432" i="11"/>
  <c r="AT1524" i="11"/>
  <c r="AT1537" i="11"/>
  <c r="AT1430" i="11"/>
  <c r="AT1355" i="11"/>
  <c r="AT1464" i="11"/>
  <c r="AT1411" i="11"/>
  <c r="AT1412" i="11"/>
  <c r="AT1338" i="11"/>
  <c r="AT1534" i="11"/>
  <c r="AT1315" i="11"/>
  <c r="AT1457" i="11"/>
  <c r="AT1404" i="11"/>
  <c r="AT1442" i="11"/>
  <c r="AT1517" i="11"/>
  <c r="AT1369" i="11"/>
  <c r="AT1406" i="11"/>
  <c r="AT1528" i="11"/>
  <c r="AT1345" i="11"/>
  <c r="AT1379" i="11"/>
  <c r="AT1329" i="11"/>
  <c r="AT1481" i="11"/>
  <c r="AT1527" i="11"/>
  <c r="AT1418" i="11"/>
  <c r="AT1458" i="11"/>
  <c r="AT1531" i="11"/>
  <c r="AT1509" i="11"/>
  <c r="AT1426" i="11"/>
  <c r="AT1409" i="11"/>
  <c r="AT1462" i="11"/>
  <c r="AT1403" i="11"/>
  <c r="AT1422" i="11"/>
  <c r="AT1441" i="11"/>
  <c r="AT1394" i="11"/>
  <c r="AT1377" i="11"/>
  <c r="AT1495" i="11"/>
  <c r="AT1335" i="11"/>
  <c r="AT1433" i="11"/>
  <c r="AT1313" i="11"/>
  <c r="AT1378" i="11"/>
  <c r="AT1454" i="11"/>
  <c r="AT1479" i="11"/>
  <c r="AT1540" i="11"/>
  <c r="AT1467" i="11"/>
  <c r="AT1470" i="11"/>
  <c r="AT1435" i="11"/>
  <c r="AT1372" i="11"/>
  <c r="AT1483" i="11"/>
  <c r="AT1334" i="11"/>
  <c r="AT1501" i="11"/>
  <c r="AT1360" i="11"/>
  <c r="AT1419" i="11"/>
  <c r="AT1365" i="11"/>
  <c r="AT1423" i="11"/>
  <c r="AT1344" i="11"/>
  <c r="AT1364" i="11"/>
  <c r="AT1486" i="11"/>
  <c r="AT1425" i="11"/>
  <c r="AT1436" i="11"/>
  <c r="AT1314" i="11"/>
  <c r="AT1324" i="11"/>
  <c r="AT1408" i="11"/>
  <c r="AT1492" i="11"/>
  <c r="AT1388" i="11"/>
  <c r="AT1428" i="11"/>
  <c r="AT1356" i="11"/>
  <c r="AT1353" i="11"/>
  <c r="AT1519" i="11"/>
  <c r="AT1416" i="11"/>
  <c r="AT1503" i="11"/>
  <c r="AT1476" i="11"/>
  <c r="AT1466" i="11"/>
  <c r="AT1490" i="11"/>
  <c r="AT1456" i="11"/>
  <c r="AT1363" i="11"/>
  <c r="AT1417" i="11"/>
  <c r="AT1521" i="11"/>
  <c r="AT1382" i="11"/>
  <c r="AT1429" i="11"/>
  <c r="AT1499" i="11"/>
  <c r="AT1463" i="11"/>
  <c r="AT1549" i="11"/>
  <c r="AT1542" i="11"/>
  <c r="AT1523" i="11"/>
  <c r="AT1482" i="11"/>
  <c r="AT1504" i="11"/>
  <c r="AT1446" i="11"/>
  <c r="AT1544" i="11"/>
  <c r="AT1536" i="11"/>
  <c r="AT1318" i="11"/>
  <c r="AT1514" i="11"/>
  <c r="AT1396" i="11"/>
  <c r="AT1322" i="11"/>
  <c r="AT1346" i="11"/>
  <c r="AT1447" i="11"/>
  <c r="AT1480" i="11"/>
  <c r="AT1424" i="11"/>
  <c r="AT1548" i="11"/>
  <c r="AT1526" i="11"/>
  <c r="AT1316" i="11"/>
  <c r="AT1545" i="11"/>
  <c r="AT1510" i="11"/>
  <c r="AT1477" i="11"/>
  <c r="AT1469" i="11"/>
  <c r="AT1375" i="11"/>
  <c r="AT1455" i="11"/>
  <c r="AT1376" i="11"/>
  <c r="AT1438" i="11"/>
  <c r="AT1440" i="11"/>
  <c r="AT1533" i="11"/>
  <c r="AT1465" i="11"/>
  <c r="AT1387" i="11"/>
  <c r="AT1459" i="11"/>
  <c r="AT1390" i="11"/>
  <c r="AT1472" i="11"/>
  <c r="AT1453" i="11"/>
  <c r="AT1547" i="11"/>
  <c r="AT1357" i="11"/>
  <c r="AT1319" i="11"/>
  <c r="AT1497" i="11"/>
  <c r="AT1508" i="11"/>
  <c r="AT1367" i="11"/>
  <c r="AT1493" i="11"/>
  <c r="AT1262" i="11"/>
  <c r="AT1273" i="11"/>
  <c r="AT1238" i="11"/>
  <c r="AT1256" i="11"/>
  <c r="AT1284" i="11"/>
  <c r="AT1263" i="11"/>
  <c r="AT1280" i="11"/>
  <c r="AT1257" i="11"/>
  <c r="AT1240" i="11"/>
  <c r="AT1270" i="11"/>
  <c r="AT1277" i="11"/>
  <c r="AT1286" i="11"/>
  <c r="AT1281" i="11"/>
  <c r="AT1279" i="11"/>
  <c r="AT1283" i="11"/>
  <c r="AT1287" i="11"/>
  <c r="AT1285" i="11"/>
  <c r="AT1292" i="11"/>
  <c r="AT1293" i="11"/>
  <c r="AT1282" i="11"/>
  <c r="AT1274" i="11"/>
  <c r="AT1243" i="11"/>
  <c r="AT1260" i="11"/>
  <c r="AT1235" i="11"/>
  <c r="AT1265" i="11"/>
  <c r="AT1278" i="11"/>
  <c r="AT1254" i="11"/>
  <c r="AT1290" i="11"/>
  <c r="AT1266" i="11"/>
  <c r="AT1276" i="11"/>
  <c r="AT1261" i="11"/>
  <c r="AT1251" i="11"/>
  <c r="AT1264" i="11"/>
  <c r="AT1269" i="11"/>
  <c r="AT1246" i="11"/>
  <c r="AT1289" i="11"/>
  <c r="AT1275" i="11"/>
  <c r="AT1271" i="11"/>
  <c r="AT1242" i="11"/>
  <c r="AT1255" i="11"/>
  <c r="AT1244" i="11"/>
  <c r="AT1272" i="11"/>
  <c r="AT1259" i="11"/>
  <c r="AT1253" i="11"/>
  <c r="AT1248" i="11"/>
  <c r="AT1268" i="11"/>
  <c r="AT1245" i="11"/>
  <c r="AT1241" i="11"/>
  <c r="AT1249" i="11"/>
  <c r="AT1288" i="11"/>
  <c r="AT1291" i="11"/>
  <c r="AT1258" i="11"/>
  <c r="AT1247" i="11"/>
  <c r="AT1237" i="11"/>
  <c r="AT1239" i="11"/>
  <c r="AT1252" i="11"/>
  <c r="AT1236" i="11"/>
  <c r="AT1267" i="11"/>
  <c r="AT1250" i="11"/>
  <c r="AT1081" i="11"/>
  <c r="AT1065" i="11"/>
  <c r="AT1100" i="11"/>
  <c r="AT1073" i="11"/>
  <c r="AT1103" i="11"/>
  <c r="AT1124" i="11"/>
  <c r="AT1078" i="11"/>
  <c r="AT1110" i="11"/>
  <c r="AT1223" i="11"/>
  <c r="AT1106" i="11"/>
  <c r="AT1185" i="11"/>
  <c r="AT1096" i="11"/>
  <c r="AT1125" i="11"/>
  <c r="AT1143" i="11"/>
  <c r="AT1148" i="11"/>
  <c r="AT1219" i="11"/>
  <c r="AT1191" i="11"/>
  <c r="AT1174" i="11"/>
  <c r="AT1087" i="11"/>
  <c r="AT1233" i="11"/>
  <c r="AT1228" i="11"/>
  <c r="AT1151" i="11"/>
  <c r="AT1130" i="11"/>
  <c r="AT1210" i="11"/>
  <c r="AT1083" i="11"/>
  <c r="AT1089" i="11"/>
  <c r="AT1095" i="11"/>
  <c r="AT1069" i="11"/>
  <c r="AT1177" i="11"/>
  <c r="AT1175" i="11"/>
  <c r="AT1112" i="11"/>
  <c r="AT1101" i="11"/>
  <c r="AT1076" i="11"/>
  <c r="AT1186" i="11"/>
  <c r="AT1067" i="11"/>
  <c r="AT1208" i="11"/>
  <c r="AT1070" i="11"/>
  <c r="Q2" i="13"/>
  <c r="T17" i="8"/>
  <c r="T16" i="8"/>
  <c r="T19" i="8"/>
  <c r="T26" i="9"/>
  <c r="T27" i="8"/>
  <c r="T15" i="9"/>
  <c r="T5" i="8"/>
  <c r="S17" i="9"/>
  <c r="S26" i="9"/>
  <c r="R23" i="13"/>
  <c r="U23" i="13" s="1"/>
  <c r="AT1077" i="11"/>
  <c r="AT1159" i="11"/>
  <c r="AT1090" i="11"/>
  <c r="AT1064" i="11"/>
  <c r="AT1093" i="11"/>
  <c r="L5" i="9"/>
  <c r="H6" i="9"/>
  <c r="T20" i="8"/>
  <c r="T4" i="8"/>
  <c r="T25" i="8"/>
  <c r="T10" i="8"/>
  <c r="T5" i="9"/>
  <c r="S29" i="9"/>
  <c r="T6" i="8"/>
  <c r="S20" i="9"/>
  <c r="U20" i="9" s="1"/>
  <c r="R24" i="13"/>
  <c r="U24" i="13" s="1"/>
  <c r="R7" i="13"/>
  <c r="U7" i="13" s="1"/>
  <c r="AH11" i="7"/>
  <c r="AI14" i="7"/>
  <c r="AI12" i="7"/>
  <c r="T14" i="9"/>
  <c r="AT1162" i="11"/>
  <c r="AT1071" i="11"/>
  <c r="AT1206" i="11"/>
  <c r="AT1099" i="11"/>
  <c r="S26" i="8"/>
  <c r="S12" i="8"/>
  <c r="T28" i="8"/>
  <c r="T18" i="8"/>
  <c r="T8" i="9"/>
  <c r="T13" i="8"/>
  <c r="T8" i="8"/>
  <c r="R13" i="13"/>
  <c r="U13" i="13" s="1"/>
  <c r="R11" i="13"/>
  <c r="U11" i="13" s="1"/>
  <c r="L4" i="13"/>
  <c r="H5" i="13"/>
  <c r="AT1182" i="11"/>
  <c r="AT1232" i="11"/>
  <c r="AT1218" i="11"/>
  <c r="AT1200" i="11"/>
  <c r="AT1129" i="11"/>
  <c r="AT1141" i="11"/>
  <c r="AT1212" i="11"/>
  <c r="AT1117" i="11"/>
  <c r="AT1085" i="11"/>
  <c r="AT1062" i="11"/>
  <c r="AT1113" i="11"/>
  <c r="S4" i="9"/>
  <c r="R19" i="8"/>
  <c r="S3" i="9"/>
  <c r="R21" i="8"/>
  <c r="R7" i="8"/>
  <c r="T22" i="8"/>
  <c r="S9" i="8"/>
  <c r="S15" i="8"/>
  <c r="R5" i="13"/>
  <c r="U5" i="13" s="1"/>
  <c r="R25" i="13"/>
  <c r="U25" i="13" s="1"/>
  <c r="AT1158" i="11"/>
  <c r="AT1179" i="11"/>
  <c r="AT1189" i="11"/>
  <c r="AT1168" i="11"/>
  <c r="AT1154" i="11"/>
  <c r="AT1172" i="11"/>
  <c r="AT1109" i="11"/>
  <c r="AT1082" i="11"/>
  <c r="AT1220" i="11"/>
  <c r="AT1068" i="11"/>
  <c r="S12" i="9"/>
  <c r="R28" i="8"/>
  <c r="T6" i="9"/>
  <c r="R24" i="8"/>
  <c r="S8" i="8"/>
  <c r="T12" i="9"/>
  <c r="R18" i="8"/>
  <c r="R22" i="8"/>
  <c r="R19" i="13"/>
  <c r="U19" i="13" s="1"/>
  <c r="R2" i="13"/>
  <c r="U2" i="13" s="1"/>
  <c r="V3" i="13" s="1"/>
  <c r="AI7" i="7"/>
  <c r="AI4" i="7"/>
  <c r="AH3" i="7"/>
  <c r="AI6" i="7"/>
  <c r="AI5" i="7"/>
  <c r="AT1183" i="11"/>
  <c r="AT1123" i="11"/>
  <c r="AT1188" i="11"/>
  <c r="AT1190" i="11"/>
  <c r="AT1170" i="11"/>
  <c r="AT1147" i="11"/>
  <c r="AT1196" i="11"/>
  <c r="AT1118" i="11"/>
  <c r="AT1195" i="11"/>
  <c r="AT1075" i="11"/>
  <c r="R29" i="8"/>
  <c r="S22" i="9"/>
  <c r="S14" i="9"/>
  <c r="U14" i="9" s="1"/>
  <c r="R3" i="8"/>
  <c r="S21" i="9"/>
  <c r="S2" i="9"/>
  <c r="R14" i="8"/>
  <c r="T17" i="9"/>
  <c r="R25" i="8"/>
  <c r="T23" i="8"/>
  <c r="R16" i="13"/>
  <c r="U16" i="13" s="1"/>
  <c r="R20" i="13"/>
  <c r="U20" i="13" s="1"/>
  <c r="AT1227" i="11"/>
  <c r="AT1176" i="11"/>
  <c r="AT1146" i="11"/>
  <c r="AT1088" i="11"/>
  <c r="AT1209" i="11"/>
  <c r="AT1114" i="11"/>
  <c r="AT1128" i="11"/>
  <c r="AT1074" i="11"/>
  <c r="AT1108" i="11"/>
  <c r="AT1184" i="11"/>
  <c r="T29" i="9"/>
  <c r="T16" i="9"/>
  <c r="R11" i="8"/>
  <c r="S2" i="8"/>
  <c r="T13" i="9"/>
  <c r="T2" i="9"/>
  <c r="S19" i="9"/>
  <c r="T3" i="9"/>
  <c r="S29" i="8"/>
  <c r="R26" i="13"/>
  <c r="U26" i="13" s="1"/>
  <c r="R14" i="13"/>
  <c r="U14" i="13" s="1"/>
  <c r="AT1222" i="11"/>
  <c r="AT1169" i="11"/>
  <c r="AT1133" i="11"/>
  <c r="AT1163" i="11"/>
  <c r="AT1116" i="11"/>
  <c r="S25" i="9"/>
  <c r="R20" i="8"/>
  <c r="S18" i="9"/>
  <c r="T12" i="8"/>
  <c r="T3" i="8"/>
  <c r="R6" i="8"/>
  <c r="S7" i="8"/>
  <c r="S23" i="9"/>
  <c r="S10" i="9"/>
  <c r="T7" i="9"/>
  <c r="R4" i="13"/>
  <c r="U4" i="13" s="1"/>
  <c r="R27" i="13"/>
  <c r="U27" i="13" s="1"/>
  <c r="AT1138" i="11"/>
  <c r="AT1167" i="11"/>
  <c r="AT1094" i="11"/>
  <c r="AT1221" i="11"/>
  <c r="AT1203" i="11"/>
  <c r="AT1178" i="11"/>
  <c r="AT1173" i="11"/>
  <c r="AT1142" i="11"/>
  <c r="AT1160" i="11"/>
  <c r="AT1122" i="11"/>
  <c r="AT1139" i="11"/>
  <c r="AT1107" i="11"/>
  <c r="AT1131" i="11"/>
  <c r="AT1198" i="11"/>
  <c r="AT1225" i="11"/>
  <c r="AT1102" i="11"/>
  <c r="AT1127" i="11"/>
  <c r="AT1084" i="11"/>
  <c r="AT1092" i="11"/>
  <c r="AT1180" i="11"/>
  <c r="AT1144" i="11"/>
  <c r="AT1115" i="11"/>
  <c r="AT1150" i="11"/>
  <c r="S7" i="9"/>
  <c r="U7" i="9" s="1"/>
  <c r="T22" i="9"/>
  <c r="T20" i="9"/>
  <c r="S19" i="8"/>
  <c r="T11" i="8"/>
  <c r="S21" i="8"/>
  <c r="S14" i="8"/>
  <c r="R5" i="8"/>
  <c r="T18" i="9"/>
  <c r="S13" i="9"/>
  <c r="R9" i="13"/>
  <c r="U9" i="13" s="1"/>
  <c r="R17" i="13"/>
  <c r="U17" i="13" s="1"/>
  <c r="S13" i="8"/>
  <c r="AT1105" i="11"/>
  <c r="AT1121" i="11"/>
  <c r="T26" i="8"/>
  <c r="S5" i="8"/>
  <c r="T27" i="9"/>
  <c r="S28" i="8"/>
  <c r="T15" i="8"/>
  <c r="S24" i="8"/>
  <c r="S15" i="9"/>
  <c r="U15" i="9" s="1"/>
  <c r="R13" i="8"/>
  <c r="T21" i="9"/>
  <c r="R21" i="13"/>
  <c r="U21" i="13" s="1"/>
  <c r="R6" i="13"/>
  <c r="U6" i="13" s="1"/>
  <c r="AT1231" i="11"/>
  <c r="AT1181" i="11"/>
  <c r="AT1120" i="11"/>
  <c r="AT1137" i="11"/>
  <c r="AT1152" i="11"/>
  <c r="AT1217" i="11"/>
  <c r="AT1080" i="11"/>
  <c r="AT1165" i="11"/>
  <c r="R9" i="8"/>
  <c r="R4" i="8"/>
  <c r="S9" i="9"/>
  <c r="S22" i="8"/>
  <c r="R27" i="8"/>
  <c r="S23" i="8"/>
  <c r="T10" i="9"/>
  <c r="R28" i="13"/>
  <c r="U28" i="13" s="1"/>
  <c r="R10" i="13"/>
  <c r="U10" i="13" s="1"/>
  <c r="AT1234" i="11"/>
  <c r="AT1224" i="11"/>
  <c r="AT1207" i="11"/>
  <c r="AT1213" i="11"/>
  <c r="AT1202" i="11"/>
  <c r="AT1086" i="11"/>
  <c r="AT1153" i="11"/>
  <c r="AT1111" i="11"/>
  <c r="AT1149" i="11"/>
  <c r="AT1197" i="11"/>
  <c r="R17" i="8"/>
  <c r="T29" i="8"/>
  <c r="S28" i="9"/>
  <c r="T2" i="8"/>
  <c r="S5" i="9"/>
  <c r="U5" i="9" s="1"/>
  <c r="T7" i="8"/>
  <c r="S27" i="8"/>
  <c r="R16" i="8"/>
  <c r="R12" i="13"/>
  <c r="U12" i="13" s="1"/>
  <c r="R29" i="13"/>
  <c r="U29" i="13" s="1"/>
  <c r="AT1229" i="11"/>
  <c r="AT1226" i="11"/>
  <c r="AT1194" i="11"/>
  <c r="AT1205" i="11"/>
  <c r="AT1164" i="11"/>
  <c r="AT1230" i="11"/>
  <c r="AT1126" i="11"/>
  <c r="AT1161" i="11"/>
  <c r="AT1215" i="11"/>
  <c r="AT1104" i="11"/>
  <c r="AT1155" i="11"/>
  <c r="AT1066" i="11"/>
  <c r="AT1156" i="11"/>
  <c r="AT1193" i="11"/>
  <c r="AT1134" i="11"/>
  <c r="S20" i="8"/>
  <c r="T25" i="9"/>
  <c r="R2" i="8"/>
  <c r="R10" i="8"/>
  <c r="S24" i="9"/>
  <c r="T14" i="8"/>
  <c r="S11" i="9"/>
  <c r="S16" i="8"/>
  <c r="S17" i="8"/>
  <c r="R8" i="13"/>
  <c r="U8" i="13" s="1"/>
  <c r="R22" i="13"/>
  <c r="U22" i="13" s="1"/>
  <c r="AT1187" i="11"/>
  <c r="AT1140" i="11"/>
  <c r="AT1157" i="11"/>
  <c r="AT1171" i="11"/>
  <c r="AT1192" i="11"/>
  <c r="AT1079" i="11"/>
  <c r="AT1166" i="11"/>
  <c r="AT1136" i="11"/>
  <c r="S16" i="9"/>
  <c r="U16" i="9" s="1"/>
  <c r="S4" i="8"/>
  <c r="S3" i="8"/>
  <c r="T11" i="9"/>
  <c r="S6" i="8"/>
  <c r="S18" i="8"/>
  <c r="R23" i="8"/>
  <c r="S25" i="8"/>
  <c r="R15" i="13"/>
  <c r="U15" i="13" s="1"/>
  <c r="AT1211" i="11"/>
  <c r="AT1135" i="11"/>
  <c r="AT1201" i="11"/>
  <c r="AT1199" i="11"/>
  <c r="S27" i="9"/>
  <c r="U27" i="9" s="1"/>
  <c r="R8" i="8"/>
  <c r="S11" i="8"/>
  <c r="T19" i="9"/>
  <c r="T21" i="8"/>
  <c r="R26" i="8"/>
  <c r="U26" i="8" s="1"/>
  <c r="T24" i="9"/>
  <c r="S8" i="9"/>
  <c r="U8" i="9" s="1"/>
  <c r="T4" i="9"/>
  <c r="R18" i="13"/>
  <c r="U18" i="13" s="1"/>
  <c r="AT1214" i="11"/>
  <c r="AT1204" i="11"/>
  <c r="AT1145" i="11"/>
  <c r="AT1132" i="11"/>
  <c r="AT1119" i="11"/>
  <c r="AT1216" i="11"/>
  <c r="AT1072" i="11"/>
  <c r="AT1098" i="11"/>
  <c r="AT1097" i="11"/>
  <c r="AT1063" i="11"/>
  <c r="AT1091" i="11"/>
  <c r="AI5" i="3"/>
  <c r="AI4" i="3"/>
  <c r="AH3" i="3"/>
  <c r="T9" i="8"/>
  <c r="R12" i="8"/>
  <c r="U12" i="8" s="1"/>
  <c r="R15" i="8"/>
  <c r="U15" i="8" s="1"/>
  <c r="S10" i="8"/>
  <c r="T24" i="8"/>
  <c r="S6" i="9"/>
  <c r="U6" i="9" s="1"/>
  <c r="T28" i="9"/>
  <c r="T9" i="9"/>
  <c r="T23" i="9"/>
  <c r="L6" i="8"/>
  <c r="H7" i="8"/>
  <c r="U11" i="9" l="1"/>
  <c r="U2" i="8"/>
  <c r="U13" i="8"/>
  <c r="V27" i="13"/>
  <c r="Q26" i="13"/>
  <c r="Q19" i="13"/>
  <c r="V20" i="13"/>
  <c r="U24" i="8"/>
  <c r="Q4" i="9"/>
  <c r="Q3" i="13"/>
  <c r="V4" i="13"/>
  <c r="Q15" i="13"/>
  <c r="V16" i="13"/>
  <c r="AH5" i="3"/>
  <c r="AH4" i="3"/>
  <c r="AG3" i="3"/>
  <c r="Q21" i="13"/>
  <c r="V22" i="13"/>
  <c r="U27" i="8"/>
  <c r="U11" i="8"/>
  <c r="V12" i="8" s="1"/>
  <c r="U28" i="8"/>
  <c r="Q24" i="13"/>
  <c r="V25" i="13"/>
  <c r="L5" i="13"/>
  <c r="H6" i="13"/>
  <c r="U29" i="9"/>
  <c r="Q6" i="9"/>
  <c r="V7" i="9"/>
  <c r="U10" i="9"/>
  <c r="V11" i="9" s="1"/>
  <c r="U25" i="8"/>
  <c r="V26" i="8" s="1"/>
  <c r="U12" i="9"/>
  <c r="V5" i="13"/>
  <c r="Q4" i="13"/>
  <c r="U28" i="9"/>
  <c r="Q14" i="13"/>
  <c r="V15" i="13"/>
  <c r="U9" i="9"/>
  <c r="U23" i="9"/>
  <c r="Q10" i="13"/>
  <c r="V11" i="13"/>
  <c r="V8" i="13"/>
  <c r="Q7" i="13"/>
  <c r="U8" i="8"/>
  <c r="U17" i="8"/>
  <c r="U4" i="8"/>
  <c r="U14" i="8"/>
  <c r="V15" i="8" s="1"/>
  <c r="Q12" i="13"/>
  <c r="V13" i="13"/>
  <c r="U23" i="8"/>
  <c r="U9" i="8"/>
  <c r="U6" i="8"/>
  <c r="U2" i="9"/>
  <c r="Q23" i="13"/>
  <c r="V24" i="13"/>
  <c r="L7" i="8"/>
  <c r="H8" i="8"/>
  <c r="U21" i="9"/>
  <c r="AH6" i="7"/>
  <c r="AG3" i="7"/>
  <c r="AH7" i="7"/>
  <c r="AH4" i="7"/>
  <c r="AH5" i="7"/>
  <c r="U7" i="8"/>
  <c r="Q22" i="13"/>
  <c r="V23" i="13"/>
  <c r="U24" i="9"/>
  <c r="V17" i="13"/>
  <c r="Q16" i="13"/>
  <c r="U3" i="8"/>
  <c r="U21" i="8"/>
  <c r="L6" i="9"/>
  <c r="H7" i="9"/>
  <c r="U26" i="9"/>
  <c r="Q10" i="9"/>
  <c r="U10" i="8"/>
  <c r="V6" i="13"/>
  <c r="Q5" i="13"/>
  <c r="V9" i="13"/>
  <c r="Q8" i="13"/>
  <c r="U18" i="9"/>
  <c r="U3" i="9"/>
  <c r="U17" i="9"/>
  <c r="Q11" i="8"/>
  <c r="Q20" i="13"/>
  <c r="V21" i="13"/>
  <c r="U13" i="9"/>
  <c r="V14" i="9" s="1"/>
  <c r="U20" i="8"/>
  <c r="Q13" i="13"/>
  <c r="V14" i="13"/>
  <c r="U22" i="9"/>
  <c r="U19" i="8"/>
  <c r="Q14" i="8"/>
  <c r="V29" i="13"/>
  <c r="Q29" i="13"/>
  <c r="Q28" i="13"/>
  <c r="U25" i="9"/>
  <c r="Q25" i="13"/>
  <c r="V26" i="13"/>
  <c r="Q18" i="13"/>
  <c r="V19" i="13"/>
  <c r="U4" i="9"/>
  <c r="V5" i="9" s="1"/>
  <c r="V6" i="9"/>
  <c r="Q5" i="9"/>
  <c r="Q17" i="13"/>
  <c r="V18" i="13"/>
  <c r="Q11" i="13"/>
  <c r="V12" i="13"/>
  <c r="V10" i="13"/>
  <c r="Q9" i="13"/>
  <c r="U5" i="8"/>
  <c r="U22" i="8"/>
  <c r="Q15" i="9"/>
  <c r="V16" i="9"/>
  <c r="U16" i="8"/>
  <c r="Q27" i="13"/>
  <c r="V28" i="13"/>
  <c r="Q12" i="8"/>
  <c r="V13" i="8"/>
  <c r="U29" i="8"/>
  <c r="U18" i="8"/>
  <c r="AH12" i="7"/>
  <c r="AG11" i="7"/>
  <c r="AH14" i="7"/>
  <c r="Q7" i="9"/>
  <c r="V8" i="9"/>
  <c r="V15" i="9"/>
  <c r="Q14" i="9"/>
  <c r="U19" i="9"/>
  <c r="V20" i="9" s="1"/>
  <c r="Q6" i="13"/>
  <c r="V7" i="13"/>
  <c r="Q13" i="9" l="1"/>
  <c r="Q25" i="8"/>
  <c r="Q9" i="9"/>
  <c r="V10" i="9"/>
  <c r="V11" i="8"/>
  <c r="Q10" i="8"/>
  <c r="V17" i="9"/>
  <c r="Q16" i="9"/>
  <c r="Q2" i="9"/>
  <c r="V3" i="9"/>
  <c r="V14" i="8"/>
  <c r="Q13" i="8"/>
  <c r="Q19" i="9"/>
  <c r="H8" i="9"/>
  <c r="L7" i="9"/>
  <c r="H9" i="8"/>
  <c r="L8" i="8"/>
  <c r="Q27" i="9"/>
  <c r="V28" i="9"/>
  <c r="V27" i="8"/>
  <c r="Q26" i="8"/>
  <c r="Q24" i="9"/>
  <c r="V25" i="9"/>
  <c r="Q22" i="9"/>
  <c r="V23" i="9"/>
  <c r="Q23" i="8"/>
  <c r="V24" i="8"/>
  <c r="AG5" i="3"/>
  <c r="AG4" i="3"/>
  <c r="AF3" i="3"/>
  <c r="AF11" i="7"/>
  <c r="AG14" i="7"/>
  <c r="AG12" i="7"/>
  <c r="Q17" i="9"/>
  <c r="V18" i="9"/>
  <c r="V21" i="8"/>
  <c r="Q20" i="8"/>
  <c r="V24" i="9"/>
  <c r="Q23" i="9"/>
  <c r="V18" i="8"/>
  <c r="Q17" i="8"/>
  <c r="Q2" i="8"/>
  <c r="V3" i="8"/>
  <c r="Q28" i="8"/>
  <c r="Q29" i="8"/>
  <c r="V29" i="8"/>
  <c r="V13" i="9"/>
  <c r="Q12" i="9"/>
  <c r="Q6" i="8"/>
  <c r="V7" i="8"/>
  <c r="V26" i="9"/>
  <c r="Q25" i="9"/>
  <c r="Q18" i="8"/>
  <c r="V19" i="8"/>
  <c r="V6" i="8"/>
  <c r="Q5" i="8"/>
  <c r="V4" i="8"/>
  <c r="Q3" i="8"/>
  <c r="V9" i="9"/>
  <c r="Q8" i="9"/>
  <c r="Q29" i="9"/>
  <c r="Q28" i="9"/>
  <c r="V29" i="9"/>
  <c r="V22" i="9"/>
  <c r="Q21" i="9"/>
  <c r="V10" i="8"/>
  <c r="Q9" i="8"/>
  <c r="V9" i="8"/>
  <c r="Q8" i="8"/>
  <c r="Q16" i="8"/>
  <c r="V17" i="8"/>
  <c r="L6" i="13"/>
  <c r="H7" i="13"/>
  <c r="V23" i="8"/>
  <c r="Q22" i="8"/>
  <c r="Q26" i="9"/>
  <c r="Q11" i="9"/>
  <c r="V12" i="9"/>
  <c r="Q21" i="8"/>
  <c r="V22" i="8"/>
  <c r="V19" i="9"/>
  <c r="Q18" i="9"/>
  <c r="AG7" i="7"/>
  <c r="AF3" i="7"/>
  <c r="AG4" i="7"/>
  <c r="AG6" i="7"/>
  <c r="AG5" i="7"/>
  <c r="V27" i="9"/>
  <c r="Q24" i="8"/>
  <c r="V25" i="8"/>
  <c r="Q15" i="8"/>
  <c r="V16" i="8"/>
  <c r="Q19" i="8"/>
  <c r="V20" i="8"/>
  <c r="V8" i="8"/>
  <c r="Q7" i="8"/>
  <c r="Q4" i="8"/>
  <c r="V5" i="8"/>
  <c r="Q3" i="9"/>
  <c r="V4" i="9"/>
  <c r="V21" i="9"/>
  <c r="Q20" i="9"/>
  <c r="Q27" i="8"/>
  <c r="V28" i="8"/>
  <c r="AF12" i="7" l="1"/>
  <c r="AF14" i="7"/>
  <c r="AE11" i="7"/>
  <c r="AF5" i="3"/>
  <c r="AF4" i="3"/>
  <c r="AE3" i="3"/>
  <c r="H10" i="8"/>
  <c r="L9" i="8"/>
  <c r="L8" i="9"/>
  <c r="H9" i="9"/>
  <c r="L7" i="13"/>
  <c r="H8" i="13"/>
  <c r="AF6" i="7"/>
  <c r="AE3" i="7"/>
  <c r="AF7" i="7"/>
  <c r="AF5" i="7"/>
  <c r="AF4" i="7"/>
  <c r="AE6" i="7" l="1"/>
  <c r="AD3" i="7"/>
  <c r="AE7" i="7"/>
  <c r="AE5" i="7"/>
  <c r="AE4" i="7"/>
  <c r="L10" i="8"/>
  <c r="H11" i="8"/>
  <c r="H9" i="13"/>
  <c r="L8" i="13"/>
  <c r="L9" i="9"/>
  <c r="H10" i="9"/>
  <c r="AD3" i="3"/>
  <c r="AE4" i="3"/>
  <c r="AE5" i="3"/>
  <c r="AD11" i="7"/>
  <c r="AE14" i="7"/>
  <c r="AE12" i="7"/>
  <c r="AC3" i="3" l="1"/>
  <c r="AD5" i="3"/>
  <c r="AD4" i="3"/>
  <c r="AC11" i="7"/>
  <c r="AD14" i="7"/>
  <c r="AD12" i="7"/>
  <c r="H11" i="9"/>
  <c r="L10" i="9"/>
  <c r="L9" i="13"/>
  <c r="H10" i="13"/>
  <c r="L11" i="8"/>
  <c r="H12" i="8"/>
  <c r="AD7" i="7"/>
  <c r="AD6" i="7"/>
  <c r="AD4" i="7"/>
  <c r="AC3" i="7"/>
  <c r="AD5" i="7"/>
  <c r="AC4" i="3" l="1"/>
  <c r="AC5" i="3"/>
  <c r="AB3" i="3"/>
  <c r="AC6" i="7"/>
  <c r="AC5" i="7"/>
  <c r="AC4" i="7"/>
  <c r="AB3" i="7"/>
  <c r="AC7" i="7"/>
  <c r="L10" i="13"/>
  <c r="H11" i="13"/>
  <c r="H12" i="9"/>
  <c r="L11" i="9"/>
  <c r="L12" i="8"/>
  <c r="H13" i="8"/>
  <c r="AC12" i="7"/>
  <c r="AB11" i="7"/>
  <c r="AC14" i="7"/>
  <c r="AA11" i="7" l="1"/>
  <c r="AB12" i="7"/>
  <c r="AB14" i="7"/>
  <c r="AA3" i="3"/>
  <c r="AB5" i="3"/>
  <c r="AB4" i="3"/>
  <c r="L13" i="8"/>
  <c r="H14" i="8"/>
  <c r="H13" i="9"/>
  <c r="L12" i="9"/>
  <c r="H12" i="13"/>
  <c r="L11" i="13"/>
  <c r="AB5" i="7"/>
  <c r="AB7" i="7"/>
  <c r="AB4" i="7"/>
  <c r="AA3" i="7"/>
  <c r="AB6" i="7"/>
  <c r="AA4" i="7" l="1"/>
  <c r="Z3" i="7"/>
  <c r="AA7" i="7"/>
  <c r="AA5" i="7"/>
  <c r="AA6" i="7"/>
  <c r="AA14" i="7"/>
  <c r="AA12" i="7"/>
  <c r="Z11" i="7"/>
  <c r="H14" i="9"/>
  <c r="L13" i="9"/>
  <c r="H13" i="13"/>
  <c r="L12" i="13"/>
  <c r="L14" i="8"/>
  <c r="H15" i="8"/>
  <c r="AA4" i="3"/>
  <c r="Z3" i="3"/>
  <c r="AA5" i="3"/>
  <c r="Z5" i="3" l="1"/>
  <c r="Z4" i="3"/>
  <c r="Y3" i="3"/>
  <c r="H16" i="8"/>
  <c r="L15" i="8"/>
  <c r="L13" i="13"/>
  <c r="H14" i="13"/>
  <c r="H15" i="9"/>
  <c r="L14" i="9"/>
  <c r="Y11" i="7"/>
  <c r="Z14" i="7"/>
  <c r="Z12" i="7"/>
  <c r="Z5" i="7"/>
  <c r="Z4" i="7"/>
  <c r="Y3" i="7"/>
  <c r="Z7" i="7"/>
  <c r="Z6" i="7"/>
  <c r="Y4" i="7" l="1"/>
  <c r="Y6" i="7"/>
  <c r="X3" i="7"/>
  <c r="Y5" i="7"/>
  <c r="Y7" i="7"/>
  <c r="Y12" i="7"/>
  <c r="X11" i="7"/>
  <c r="Y14" i="7"/>
  <c r="H16" i="9"/>
  <c r="L15" i="9"/>
  <c r="L14" i="13"/>
  <c r="H15" i="13"/>
  <c r="H17" i="8"/>
  <c r="L16" i="8"/>
  <c r="Y5" i="3"/>
  <c r="Y4" i="3"/>
  <c r="X3" i="3"/>
  <c r="L17" i="8" l="1"/>
  <c r="H18" i="8"/>
  <c r="H16" i="13"/>
  <c r="L15" i="13"/>
  <c r="L16" i="9"/>
  <c r="H17" i="9"/>
  <c r="X14" i="7"/>
  <c r="X12" i="7"/>
  <c r="W11" i="7"/>
  <c r="X5" i="3"/>
  <c r="X4" i="3"/>
  <c r="W3" i="3"/>
  <c r="X6" i="7"/>
  <c r="X5" i="7"/>
  <c r="X7" i="7"/>
  <c r="X4" i="7"/>
  <c r="W3" i="7"/>
  <c r="H19" i="8" l="1"/>
  <c r="L18" i="8"/>
  <c r="V3" i="7"/>
  <c r="W4" i="7"/>
  <c r="W7" i="7"/>
  <c r="W5" i="7"/>
  <c r="W6" i="7"/>
  <c r="W5" i="3"/>
  <c r="W4" i="3"/>
  <c r="V3" i="3"/>
  <c r="W14" i="7"/>
  <c r="W12" i="7"/>
  <c r="V11" i="7"/>
  <c r="L17" i="9"/>
  <c r="H18" i="9"/>
  <c r="L16" i="13"/>
  <c r="H17" i="13"/>
  <c r="V7" i="7" l="1"/>
  <c r="V4" i="7"/>
  <c r="V5" i="7"/>
  <c r="U3" i="7"/>
  <c r="V6" i="7"/>
  <c r="L18" i="9"/>
  <c r="H19" i="9"/>
  <c r="L17" i="13"/>
  <c r="H18" i="13"/>
  <c r="H20" i="8"/>
  <c r="L19" i="8"/>
  <c r="V12" i="7"/>
  <c r="V14" i="7"/>
  <c r="U11" i="7"/>
  <c r="V5" i="3"/>
  <c r="V4" i="3"/>
  <c r="U3" i="3"/>
  <c r="U14" i="7" l="1"/>
  <c r="U12" i="7"/>
  <c r="T11" i="7"/>
  <c r="H19" i="13"/>
  <c r="L18" i="13"/>
  <c r="L20" i="8"/>
  <c r="H21" i="8"/>
  <c r="L19" i="9"/>
  <c r="H20" i="9"/>
  <c r="T3" i="7"/>
  <c r="U5" i="7"/>
  <c r="U6" i="7"/>
  <c r="U4" i="7"/>
  <c r="U7" i="7"/>
  <c r="U5" i="3"/>
  <c r="U4" i="3"/>
  <c r="T3" i="3"/>
  <c r="T14" i="7" l="1"/>
  <c r="S11" i="7"/>
  <c r="T12" i="7"/>
  <c r="T5" i="3"/>
  <c r="T4" i="3"/>
  <c r="S3" i="3"/>
  <c r="L20" i="9"/>
  <c r="H21" i="9"/>
  <c r="T5" i="7"/>
  <c r="S3" i="7"/>
  <c r="T6" i="7"/>
  <c r="T4" i="7"/>
  <c r="T7" i="7"/>
  <c r="L21" i="8"/>
  <c r="H22" i="8"/>
  <c r="L19" i="13"/>
  <c r="H20" i="13"/>
  <c r="S14" i="7" l="1"/>
  <c r="S12" i="7"/>
  <c r="R11" i="7"/>
  <c r="H21" i="13"/>
  <c r="L20" i="13"/>
  <c r="S5" i="7"/>
  <c r="R3" i="7"/>
  <c r="S7" i="7"/>
  <c r="S6" i="7"/>
  <c r="S4" i="7"/>
  <c r="L21" i="9"/>
  <c r="H22" i="9"/>
  <c r="S4" i="3"/>
  <c r="R3" i="3"/>
  <c r="S5" i="3"/>
  <c r="L22" i="8"/>
  <c r="H23" i="8"/>
  <c r="R12" i="7" l="1"/>
  <c r="R14" i="7"/>
  <c r="Q11" i="7"/>
  <c r="R5" i="3"/>
  <c r="R4" i="3"/>
  <c r="Q3" i="3"/>
  <c r="H24" i="8"/>
  <c r="L23" i="8"/>
  <c r="R7" i="7"/>
  <c r="R4" i="7"/>
  <c r="Q3" i="7"/>
  <c r="R5" i="7"/>
  <c r="R6" i="7"/>
  <c r="L22" i="9"/>
  <c r="H23" i="9"/>
  <c r="H22" i="13"/>
  <c r="L21" i="13"/>
  <c r="L22" i="13" l="1"/>
  <c r="H23" i="13"/>
  <c r="H24" i="9"/>
  <c r="L23" i="9"/>
  <c r="P3" i="7"/>
  <c r="Q7" i="7"/>
  <c r="Q6" i="7"/>
  <c r="Q5" i="7"/>
  <c r="Q4" i="7"/>
  <c r="Q5" i="3"/>
  <c r="Q4" i="3"/>
  <c r="P3" i="3"/>
  <c r="H25" i="8"/>
  <c r="L24" i="8"/>
  <c r="Q12" i="7"/>
  <c r="Q14" i="7"/>
  <c r="P11" i="7"/>
  <c r="H26" i="8" l="1"/>
  <c r="L25" i="8"/>
  <c r="P4" i="3"/>
  <c r="O3" i="3"/>
  <c r="P5" i="3"/>
  <c r="P7" i="7"/>
  <c r="O3" i="7"/>
  <c r="P5" i="7"/>
  <c r="P6" i="7"/>
  <c r="P4" i="7"/>
  <c r="H25" i="9"/>
  <c r="L24" i="9"/>
  <c r="H24" i="13"/>
  <c r="L23" i="13"/>
  <c r="O11" i="7"/>
  <c r="P12" i="7"/>
  <c r="P14" i="7"/>
  <c r="L25" i="9" l="1"/>
  <c r="H26" i="9"/>
  <c r="L24" i="13"/>
  <c r="H25" i="13"/>
  <c r="O6" i="7"/>
  <c r="O7" i="7"/>
  <c r="O5" i="7"/>
  <c r="O4" i="7"/>
  <c r="N3" i="7"/>
  <c r="N3" i="3"/>
  <c r="O4" i="3"/>
  <c r="O5" i="3"/>
  <c r="O12" i="7"/>
  <c r="O14" i="7"/>
  <c r="N11" i="7"/>
  <c r="H27" i="8"/>
  <c r="L26" i="8"/>
  <c r="H28" i="8" l="1"/>
  <c r="L27" i="8"/>
  <c r="M11" i="7"/>
  <c r="N14" i="7"/>
  <c r="N12" i="7"/>
  <c r="N5" i="3"/>
  <c r="M3" i="3"/>
  <c r="N4" i="3"/>
  <c r="N7" i="7"/>
  <c r="N6" i="7"/>
  <c r="N5" i="7"/>
  <c r="N4" i="7"/>
  <c r="M3" i="7"/>
  <c r="H26" i="13"/>
  <c r="L25" i="13"/>
  <c r="H27" i="9"/>
  <c r="L26" i="9"/>
  <c r="H28" i="9" l="1"/>
  <c r="L27" i="9"/>
  <c r="L26" i="13"/>
  <c r="H27" i="13"/>
  <c r="M6" i="7"/>
  <c r="M7" i="7"/>
  <c r="M5" i="7"/>
  <c r="M4" i="7"/>
  <c r="L3" i="7"/>
  <c r="L3" i="3"/>
  <c r="M5" i="3"/>
  <c r="M4" i="3"/>
  <c r="M14" i="7"/>
  <c r="M12" i="7"/>
  <c r="L11" i="7"/>
  <c r="H29" i="8"/>
  <c r="L29" i="8" s="1"/>
  <c r="L28" i="8"/>
  <c r="L5" i="3" l="1"/>
  <c r="K3" i="3"/>
  <c r="L4" i="3"/>
  <c r="K11" i="7"/>
  <c r="L14" i="7"/>
  <c r="L12" i="7"/>
  <c r="L5" i="7"/>
  <c r="L6" i="7"/>
  <c r="L4" i="7"/>
  <c r="L7" i="7"/>
  <c r="K3" i="7"/>
  <c r="H28" i="13"/>
  <c r="L27" i="13"/>
  <c r="L28" i="9"/>
  <c r="H29" i="9"/>
  <c r="L29" i="9" s="1"/>
  <c r="H29" i="13" l="1"/>
  <c r="L29" i="13" s="1"/>
  <c r="L28" i="13"/>
  <c r="K4" i="7"/>
  <c r="J3" i="7"/>
  <c r="K5" i="7"/>
  <c r="K7" i="7"/>
  <c r="K6" i="7"/>
  <c r="K14" i="7"/>
  <c r="K12" i="7"/>
  <c r="J11" i="7"/>
  <c r="K5" i="3"/>
  <c r="K4" i="3"/>
  <c r="J3" i="3"/>
  <c r="I3" i="3" l="1"/>
  <c r="J4" i="3"/>
  <c r="J5" i="3"/>
  <c r="I11" i="7"/>
  <c r="J12" i="7"/>
  <c r="J14" i="7"/>
  <c r="J7" i="7"/>
  <c r="J6" i="7"/>
  <c r="J5" i="7"/>
  <c r="J4" i="7"/>
  <c r="I3" i="7"/>
  <c r="I12" i="7" l="1"/>
  <c r="I14" i="7"/>
  <c r="I5" i="7"/>
  <c r="I6" i="7"/>
  <c r="I7" i="7"/>
  <c r="I4" i="7"/>
  <c r="I5" i="3"/>
  <c r="I4" i="3"/>
</calcChain>
</file>

<file path=xl/sharedStrings.xml><?xml version="1.0" encoding="utf-8"?>
<sst xmlns="http://schemas.openxmlformats.org/spreadsheetml/2006/main" count="9525" uniqueCount="1644">
  <si>
    <t>Athlete Name</t>
  </si>
  <si>
    <t>Position</t>
  </si>
  <si>
    <t>Classification</t>
  </si>
  <si>
    <t>Grad Year</t>
  </si>
  <si>
    <t>Madison Werner</t>
  </si>
  <si>
    <t>FWD</t>
  </si>
  <si>
    <t>Megan Tinsley</t>
  </si>
  <si>
    <t>Amber McCorkle</t>
  </si>
  <si>
    <t>F/MID</t>
  </si>
  <si>
    <t>Ellen Loncar</t>
  </si>
  <si>
    <t>Kailey Park</t>
  </si>
  <si>
    <t>MID</t>
  </si>
  <si>
    <t>Madison Thomas</t>
  </si>
  <si>
    <t>Gabriella Marchal</t>
  </si>
  <si>
    <t>MID/D</t>
  </si>
  <si>
    <t>Bella Beltran</t>
  </si>
  <si>
    <t>Sophia Pearlmann</t>
  </si>
  <si>
    <t>Alice Santen</t>
  </si>
  <si>
    <t>D</t>
  </si>
  <si>
    <t>Genevieve Watkins</t>
  </si>
  <si>
    <t>Jennessa Groves</t>
  </si>
  <si>
    <t>Makiya Christensen</t>
  </si>
  <si>
    <t>Kelsey Wong</t>
  </si>
  <si>
    <t>Abby Lynch</t>
  </si>
  <si>
    <t>Megan Rucker</t>
  </si>
  <si>
    <t>Madison Smith</t>
  </si>
  <si>
    <t>UTIL</t>
  </si>
  <si>
    <t>McKenna Lutzker</t>
  </si>
  <si>
    <t>GK</t>
  </si>
  <si>
    <t>Ellie Sommers</t>
  </si>
  <si>
    <t>Year ID</t>
  </si>
  <si>
    <t>Off-Season 22-23</t>
  </si>
  <si>
    <t>Readiness Score</t>
  </si>
  <si>
    <t>Team</t>
  </si>
  <si>
    <t>% Change</t>
  </si>
  <si>
    <t>Daily or Weekly View</t>
  </si>
  <si>
    <t>Daily</t>
  </si>
  <si>
    <t>Calculated Readiness Score</t>
  </si>
  <si>
    <t>Perceived Readiness Score</t>
  </si>
  <si>
    <t>Stress</t>
  </si>
  <si>
    <t>Muscle Soreness</t>
  </si>
  <si>
    <t>Unique Dates</t>
  </si>
  <si>
    <t>Unique Seasons</t>
  </si>
  <si>
    <t>All Dropdown</t>
  </si>
  <si>
    <t>Variables</t>
  </si>
  <si>
    <t>Graph 1 Reference</t>
  </si>
  <si>
    <t>Weekly</t>
  </si>
  <si>
    <t>Date</t>
  </si>
  <si>
    <t>Selector</t>
  </si>
  <si>
    <t>Hydration Score</t>
  </si>
  <si>
    <t>ACWR</t>
  </si>
  <si>
    <t>Fuel Score</t>
  </si>
  <si>
    <t>sRPE</t>
  </si>
  <si>
    <t>Sleep Quality</t>
  </si>
  <si>
    <t>Graph 2 Reference</t>
  </si>
  <si>
    <t>Sleep Quantity</t>
  </si>
  <si>
    <t>Total Daily RPE</t>
  </si>
  <si>
    <t>Total Daily sRPE</t>
  </si>
  <si>
    <t>Prac/Comp Session RPE</t>
  </si>
  <si>
    <t>Prac/Comp Chest RPE</t>
  </si>
  <si>
    <t>Prac/Comp Muscle RPE</t>
  </si>
  <si>
    <t>Prac/Comp Technical RPE</t>
  </si>
  <si>
    <t>Graph 3 Reference</t>
  </si>
  <si>
    <t>Graph 4 Reference</t>
  </si>
  <si>
    <t>In-Season 22-23</t>
  </si>
  <si>
    <t>Neck</t>
  </si>
  <si>
    <t>Back</t>
  </si>
  <si>
    <t>Chest</t>
  </si>
  <si>
    <t>Arms</t>
  </si>
  <si>
    <t>Hip Flexors</t>
  </si>
  <si>
    <t>Glutes</t>
  </si>
  <si>
    <t>Hamstrings</t>
  </si>
  <si>
    <t>Adductors</t>
  </si>
  <si>
    <t>Calves</t>
  </si>
  <si>
    <t>Feet</t>
  </si>
  <si>
    <t>Out</t>
  </si>
  <si>
    <t>Limited</t>
  </si>
  <si>
    <t>Full</t>
  </si>
  <si>
    <t>DropDown1</t>
  </si>
  <si>
    <t>Week</t>
  </si>
  <si>
    <t>Game</t>
  </si>
  <si>
    <t>Practice</t>
  </si>
  <si>
    <t>Lift/Conditioning</t>
  </si>
  <si>
    <t>Total Load</t>
  </si>
  <si>
    <t>Wellness</t>
  </si>
  <si>
    <t>Week ID Refined</t>
  </si>
  <si>
    <t>Sum</t>
  </si>
  <si>
    <t>Dropdown2</t>
  </si>
  <si>
    <t>Dropdown3</t>
  </si>
  <si>
    <t>Dropdown4</t>
  </si>
  <si>
    <t>Timestamp</t>
  </si>
  <si>
    <t>What is your injury status?</t>
  </si>
  <si>
    <t>How stressed are you?</t>
  </si>
  <si>
    <t>How well did you sleep?</t>
  </si>
  <si>
    <t>How many hours did you sleep?</t>
  </si>
  <si>
    <t>Select where you are sore:</t>
  </si>
  <si>
    <t>How sore are you?</t>
  </si>
  <si>
    <t>How well did you hydrate?</t>
  </si>
  <si>
    <t>How well did you fuel?</t>
  </si>
  <si>
    <t xml:space="preserve">What is your readiness score? </t>
  </si>
  <si>
    <t>Data ID</t>
  </si>
  <si>
    <t>Week ID</t>
  </si>
  <si>
    <t>Date Value</t>
  </si>
  <si>
    <t>Season ID</t>
  </si>
  <si>
    <t>Injury Refined</t>
  </si>
  <si>
    <t>Stress RA</t>
  </si>
  <si>
    <t>Stress StdDev</t>
  </si>
  <si>
    <t>Stress Z-Score</t>
  </si>
  <si>
    <t>Stress Wellness Score</t>
  </si>
  <si>
    <t>Sleep Quality RA</t>
  </si>
  <si>
    <t>Sleep Quality StdDev</t>
  </si>
  <si>
    <t>Sleep Quality Z-Score</t>
  </si>
  <si>
    <t>Sleep Quality Wellness Score</t>
  </si>
  <si>
    <t>Sleep Quantity RA</t>
  </si>
  <si>
    <t>Sleep Quantity StdDev</t>
  </si>
  <si>
    <t>Sleep Quantity Z-Score</t>
  </si>
  <si>
    <t>Sleep Quantity Wellness Score</t>
  </si>
  <si>
    <t>Soreness RA</t>
  </si>
  <si>
    <t>Soreness StdDev</t>
  </si>
  <si>
    <t>Soreness Z-Score</t>
  </si>
  <si>
    <t>Soreness Wellness Score</t>
  </si>
  <si>
    <t>Hydrate RA</t>
  </si>
  <si>
    <t>Hydrate StdDev</t>
  </si>
  <si>
    <t>Hydrate Z-Score</t>
  </si>
  <si>
    <t>Hydrate Wellness Score</t>
  </si>
  <si>
    <t>Fuel RA</t>
  </si>
  <si>
    <t>Fuel StdDev</t>
  </si>
  <si>
    <t>Fuel Z-Score</t>
  </si>
  <si>
    <t>Fuel Wellness Score</t>
  </si>
  <si>
    <t>Sarah Murphy</t>
  </si>
  <si>
    <t>Full = I have no injury</t>
  </si>
  <si>
    <t>Hamstrings, Quadricps</t>
  </si>
  <si>
    <t>Sarah Murphy44780</t>
  </si>
  <si>
    <t>22-23</t>
  </si>
  <si>
    <t>Neck, Hamstrings, Quadricps, Calves</t>
  </si>
  <si>
    <t>Genevieve Watkins44780</t>
  </si>
  <si>
    <t>Sydney Douglas</t>
  </si>
  <si>
    <t>Back, Arms, Hip Flexors, Glutes, Hamstrings, Quadricps, Calves, Feet</t>
  </si>
  <si>
    <t>Sydney Douglas44781</t>
  </si>
  <si>
    <t>Hip Flexors, Quadricps, Calves, Feet</t>
  </si>
  <si>
    <t>Gabriella Marchal44781</t>
  </si>
  <si>
    <t>Sarah Murphy44781</t>
  </si>
  <si>
    <t>Sierra Dunphy</t>
  </si>
  <si>
    <t>Limited = I need a modification during lift / practice</t>
  </si>
  <si>
    <t>Hip Flexors, Glutes, Quadricps</t>
  </si>
  <si>
    <t>Sierra Dunphy44781</t>
  </si>
  <si>
    <t>Kailey Park44781</t>
  </si>
  <si>
    <t>Alice Santen44781</t>
  </si>
  <si>
    <t>Jennie Immethun</t>
  </si>
  <si>
    <t>Jennie Immethun44781</t>
  </si>
  <si>
    <t>Out = I have an injury</t>
  </si>
  <si>
    <t>Hip Flexors, Glutes</t>
  </si>
  <si>
    <t>McKenna Lutzker44781</t>
  </si>
  <si>
    <t>Madison Smith44781</t>
  </si>
  <si>
    <t>Neck, Back, Hip Flexors, Glutes, Hamstrings, Quadricps, Calves, Feet</t>
  </si>
  <si>
    <t>Kelsey Wong44781</t>
  </si>
  <si>
    <t>Karla Sandoval</t>
  </si>
  <si>
    <t>Back, Calves</t>
  </si>
  <si>
    <t>Karla Sandoval44781</t>
  </si>
  <si>
    <t>Sadie Kenny</t>
  </si>
  <si>
    <t>Arms, Hip Flexors, Hamstrings, Quadricps, Calves</t>
  </si>
  <si>
    <t>Sadie Kenny44781</t>
  </si>
  <si>
    <t>Neck, Back, Hamstrings</t>
  </si>
  <si>
    <t>Bella Beltran44781</t>
  </si>
  <si>
    <t>Back, Hamstrings, Calves</t>
  </si>
  <si>
    <t>Megan Tinsley44781</t>
  </si>
  <si>
    <t>Back, Hip Flexors, Hamstrings, Calves, Feet</t>
  </si>
  <si>
    <t>Madison Thomas44781</t>
  </si>
  <si>
    <t>Jessie Halladay</t>
  </si>
  <si>
    <t>Quadricps, Adductors</t>
  </si>
  <si>
    <t>Jessie Halladay44781</t>
  </si>
  <si>
    <t>Makayla Demelo</t>
  </si>
  <si>
    <t>Makayla Demelo44781</t>
  </si>
  <si>
    <t>Neck, Back, Hip Flexors, Hamstrings, Quadricps</t>
  </si>
  <si>
    <t>Makiya Christensen44781</t>
  </si>
  <si>
    <t>Glutes, Quadricps</t>
  </si>
  <si>
    <t>Jennessa Groves44781</t>
  </si>
  <si>
    <t>Lilly Horne</t>
  </si>
  <si>
    <t>Back, Quadricps</t>
  </si>
  <si>
    <t>Lilly Horne44781</t>
  </si>
  <si>
    <t>Sydney Saypack</t>
  </si>
  <si>
    <t>Glutes, Hamstrings</t>
  </si>
  <si>
    <t>Sydney Saypack44781</t>
  </si>
  <si>
    <t>Neck, Hip Flexors, Hamstrings, Quadricps, Calves, Feet</t>
  </si>
  <si>
    <t>Abby Lynch44781</t>
  </si>
  <si>
    <t>Abby Stewart</t>
  </si>
  <si>
    <t>Hip Flexors, Hamstrings, Quadricps, Adductors, Calves</t>
  </si>
  <si>
    <t>Abby Stewart44781</t>
  </si>
  <si>
    <t>Hamstrings, Quadricps, Calves, Feet</t>
  </si>
  <si>
    <t>Ellen Loncar44781</t>
  </si>
  <si>
    <t>Abby Stewart44782</t>
  </si>
  <si>
    <t>Hip Flexors, Hamstrings, Quadricps, Calves, Feet</t>
  </si>
  <si>
    <t>Gabriella Marchal44782</t>
  </si>
  <si>
    <t>Hamstrings, Quadricps, Calves</t>
  </si>
  <si>
    <t>Kailey Park44782</t>
  </si>
  <si>
    <t>Madison Smith44782</t>
  </si>
  <si>
    <t>Amanda Delgado</t>
  </si>
  <si>
    <t>Hip Flexors, Calves</t>
  </si>
  <si>
    <t>Amanda Delgado44782</t>
  </si>
  <si>
    <t>Back, Chest, Arms, Hip Flexors, Glutes, Hamstrings, Quadricps, Adductors, Calves, Feet</t>
  </si>
  <si>
    <t>Lilly Horne44782</t>
  </si>
  <si>
    <t>Back, Hip Flexors, Hamstrings, Quadricps, Adductors, Calves</t>
  </si>
  <si>
    <t>Sadie Kenny44782</t>
  </si>
  <si>
    <t>Glutes, Hamstrings, Quadricps</t>
  </si>
  <si>
    <t>Sydney Saypack44782</t>
  </si>
  <si>
    <t>Back, Hip Flexors, Glutes, Hamstrings, Quadricps, Calves, Feet</t>
  </si>
  <si>
    <t>Sydney Douglas44782</t>
  </si>
  <si>
    <t>Jessie Halladay44782</t>
  </si>
  <si>
    <t>Hip Flexors, Hamstrings, Calves</t>
  </si>
  <si>
    <t>Megan Tinsley44782</t>
  </si>
  <si>
    <t>Neck, Back, Hip Flexors, Glutes, Hamstrings, Quadricps, Adductors, Feet</t>
  </si>
  <si>
    <t>Kelsey Wong44782</t>
  </si>
  <si>
    <t>Glutes, Hamstrings, Quadricps, Adductors, Calves, Feet</t>
  </si>
  <si>
    <t>Sarah Murphy44782</t>
  </si>
  <si>
    <t>Genevieve Watkins44782</t>
  </si>
  <si>
    <t>Quadricps, Calves, Feet</t>
  </si>
  <si>
    <t>Ellen Loncar44782</t>
  </si>
  <si>
    <t>Bella Beltran44782</t>
  </si>
  <si>
    <t>Neck, Back, Hip Flexors, Glutes, Quadricps, Adductors</t>
  </si>
  <si>
    <t>Makiya Christensen44782</t>
  </si>
  <si>
    <t>Amanda Delgado44783</t>
  </si>
  <si>
    <t>Sarah Murphy44783</t>
  </si>
  <si>
    <t>Jennie Immethun44783</t>
  </si>
  <si>
    <t>Neck, Back, Hip Flexors, Hamstrings, Quadricps, Adductors, Calves</t>
  </si>
  <si>
    <t>Abby Stewart44783</t>
  </si>
  <si>
    <t>Amanda Perez</t>
  </si>
  <si>
    <t>Hip Flexors, Hamstrings</t>
  </si>
  <si>
    <t>Amanda Perez44783</t>
  </si>
  <si>
    <t>Quadricps</t>
  </si>
  <si>
    <t>Makayla Demelo44783</t>
  </si>
  <si>
    <t>Alice Santen44783</t>
  </si>
  <si>
    <t>Hamstrings, Calves</t>
  </si>
  <si>
    <t>Megan Tinsley44783</t>
  </si>
  <si>
    <t>Neck, Back, Hip Flexors, Glutes, Hamstrings, Quadricps, Feet</t>
  </si>
  <si>
    <t>Makiya Christensen44783</t>
  </si>
  <si>
    <t>Jessie Halladay44783</t>
  </si>
  <si>
    <t>Back, Quadricps, Calves, Feet</t>
  </si>
  <si>
    <t>Karla Sandoval44783</t>
  </si>
  <si>
    <t>Gabriella Marchal44783</t>
  </si>
  <si>
    <t>Back, Glutes</t>
  </si>
  <si>
    <t>Jennessa Groves44783</t>
  </si>
  <si>
    <t>Sydney Douglas44783</t>
  </si>
  <si>
    <t>Genevieve Watkins44783</t>
  </si>
  <si>
    <t>Sydney Saypack44783</t>
  </si>
  <si>
    <t>Hip Flexors, Hamstrings, Quadricps, Adductors, Calves, Feet</t>
  </si>
  <si>
    <t>Madison Thomas44783</t>
  </si>
  <si>
    <t>Kailey Park44783</t>
  </si>
  <si>
    <t>Neck, Back, Hip Flexors, Hamstrings, Quadricps, Adductors, Calves, Feet</t>
  </si>
  <si>
    <t>Kelsey Wong44783</t>
  </si>
  <si>
    <t>Neck, Back, Arms, Hip Flexors, Hamstrings, Quadricps, Calves, Feet</t>
  </si>
  <si>
    <t>Lilly Horne44783</t>
  </si>
  <si>
    <t>Hip Flexors, Glutes, Hamstrings, Quadricps, Calves, Feet</t>
  </si>
  <si>
    <t>Abby Lynch44783</t>
  </si>
  <si>
    <t>Glutes, Hamstrings, Quadricps, Adductors, Calves</t>
  </si>
  <si>
    <t>Ellen Loncar44783</t>
  </si>
  <si>
    <t>Sierra Dunphy44783</t>
  </si>
  <si>
    <t>Madison Smith44783</t>
  </si>
  <si>
    <t>McKenna Lutzker44783</t>
  </si>
  <si>
    <t>Quadricps, Calves</t>
  </si>
  <si>
    <t>Bella Beltran44783</t>
  </si>
  <si>
    <t>Sadie Kenny44783</t>
  </si>
  <si>
    <t>Sophia Pearlmann44783</t>
  </si>
  <si>
    <t>Neck, Hip Flexors, Hamstrings, Quadricps, Adductors, Calves</t>
  </si>
  <si>
    <t>Abby Stewart44784</t>
  </si>
  <si>
    <t>Sarah Murphy44784</t>
  </si>
  <si>
    <t>Makiya Christensen44784</t>
  </si>
  <si>
    <t>Kailey Park44784</t>
  </si>
  <si>
    <t>Neck, Back, Hamstrings, Quadricps, Feet</t>
  </si>
  <si>
    <t>Kelsey Wong44784</t>
  </si>
  <si>
    <t>Hip Flexors, Hamstrings, Quadricps, Feet</t>
  </si>
  <si>
    <t>Gabriella Marchal44784</t>
  </si>
  <si>
    <t>Alice Santen44784</t>
  </si>
  <si>
    <t>Amanda Perez44784</t>
  </si>
  <si>
    <t>Madison Thomas44784</t>
  </si>
  <si>
    <t>Madison Smith44784</t>
  </si>
  <si>
    <t>Back, Quadricps, Calves</t>
  </si>
  <si>
    <t>Karla Sandoval44784</t>
  </si>
  <si>
    <t>Jessie Halladay44784</t>
  </si>
  <si>
    <t>Genevieve Watkins44784</t>
  </si>
  <si>
    <t>McKenna Lutzker44784</t>
  </si>
  <si>
    <t>Glutes, Hamstrings, Quadricps, Calves, Feet</t>
  </si>
  <si>
    <t>Sydney Saypack44784</t>
  </si>
  <si>
    <t>Sarai Zedingil</t>
  </si>
  <si>
    <t>Sarai Zedingil44784</t>
  </si>
  <si>
    <t>Bella Beltran44784</t>
  </si>
  <si>
    <t>Sophia Pearlmann44784</t>
  </si>
  <si>
    <t>Makayla Demelo44784</t>
  </si>
  <si>
    <t>Quadricps, Feet</t>
  </si>
  <si>
    <t>Lilly Horne44784</t>
  </si>
  <si>
    <t>Amanda Delgado44784</t>
  </si>
  <si>
    <t>Megan Tinsley44784</t>
  </si>
  <si>
    <t>Glutes, Hamstrings, Adductors, Calves</t>
  </si>
  <si>
    <t>Ellen Loncar44784</t>
  </si>
  <si>
    <t>Abby Stewart44785</t>
  </si>
  <si>
    <t>Jennie Immethun44785</t>
  </si>
  <si>
    <t>Alice Santen44785</t>
  </si>
  <si>
    <t>Hamstrings, Quadricps, Adductors</t>
  </si>
  <si>
    <t>Makayla Demelo44785</t>
  </si>
  <si>
    <t>Back, Hip Flexors, Glutes, Hamstrings, Quadricps, Feet</t>
  </si>
  <si>
    <t>Makiya Christensen44785</t>
  </si>
  <si>
    <t>Amanda Delgado44785</t>
  </si>
  <si>
    <t>Glutes, Hamstrings, Calves</t>
  </si>
  <si>
    <t>Ellen Loncar44785</t>
  </si>
  <si>
    <t>Megan Tinsley44785</t>
  </si>
  <si>
    <t>Kailey Park44785</t>
  </si>
  <si>
    <t>Back, Hip Flexors, Quadricps</t>
  </si>
  <si>
    <t>Jessie Halladay44785</t>
  </si>
  <si>
    <t>Back, Hamstrings, Calves, Feet</t>
  </si>
  <si>
    <t>Kelsey Wong44785</t>
  </si>
  <si>
    <t>McKenna Lutzker44785</t>
  </si>
  <si>
    <t>Abby Stewart44786</t>
  </si>
  <si>
    <t>Makiya Christensen44786</t>
  </si>
  <si>
    <t>Chest, Hamstrings, Calves</t>
  </si>
  <si>
    <t>Megan Tinsley44786</t>
  </si>
  <si>
    <t>Back, Glutes, Hamstrings, Quadricps, Calves, Feet</t>
  </si>
  <si>
    <t>Sarah Murphy44786</t>
  </si>
  <si>
    <t>Makayla Demelo44786</t>
  </si>
  <si>
    <t>Madison Smith44786</t>
  </si>
  <si>
    <t>Bella Beltran44786</t>
  </si>
  <si>
    <t>McKenna Lutzker44786</t>
  </si>
  <si>
    <t>Gabriella Marchal44786</t>
  </si>
  <si>
    <t>Kailey Park44786</t>
  </si>
  <si>
    <t>Amanda Delgado44786</t>
  </si>
  <si>
    <t>Lilly Horne44786</t>
  </si>
  <si>
    <t>Glutes, Hamstrings, Calves, Feet</t>
  </si>
  <si>
    <t>Ellen Loncar44786</t>
  </si>
  <si>
    <t>Hip Flexors, Hamstrings, Quadricps</t>
  </si>
  <si>
    <t>Jessie Halladay44786</t>
  </si>
  <si>
    <t>Sierra Dunphy44786</t>
  </si>
  <si>
    <t>Kelsey Wong44786</t>
  </si>
  <si>
    <t>Abby Stewart44787</t>
  </si>
  <si>
    <t>Sarah Murphy44787</t>
  </si>
  <si>
    <t>Kailey Park44787</t>
  </si>
  <si>
    <t>Alice Santen44787</t>
  </si>
  <si>
    <t>Sadie Kenny44787</t>
  </si>
  <si>
    <t>Bella Beltran44787</t>
  </si>
  <si>
    <t>Amanda Perez44787</t>
  </si>
  <si>
    <t>McKenna Lutzker44787</t>
  </si>
  <si>
    <t>Karla Sandoval44787</t>
  </si>
  <si>
    <t>Amanda Delgado44787</t>
  </si>
  <si>
    <t>Back, Hip Flexors, Hamstrings, Quadricps, Feet</t>
  </si>
  <si>
    <t>Makiya Christensen44787</t>
  </si>
  <si>
    <t>Hip Flexors, Glutes, Hamstrings</t>
  </si>
  <si>
    <t>Jennie Immethun44787</t>
  </si>
  <si>
    <t>Sierra Dunphy44787</t>
  </si>
  <si>
    <t>Megan Tinsley44787</t>
  </si>
  <si>
    <t>Madison Smith44787</t>
  </si>
  <si>
    <t>Makayla Demelo44787</t>
  </si>
  <si>
    <t>Jessie Halladay44787</t>
  </si>
  <si>
    <t>Hamstrings, Quadricps, Adductors, Calves</t>
  </si>
  <si>
    <t>Genevieve Watkins44787</t>
  </si>
  <si>
    <t>Megan Tinsley44788</t>
  </si>
  <si>
    <t>Abby Stewart44788</t>
  </si>
  <si>
    <t>Kailey Park44788</t>
  </si>
  <si>
    <t>Back, Glutes, Quadricps</t>
  </si>
  <si>
    <t>Sydney Saypack44788</t>
  </si>
  <si>
    <t>Alice Santen44788</t>
  </si>
  <si>
    <t>Amanda Delgado44788</t>
  </si>
  <si>
    <t>Sarah Murphy44788</t>
  </si>
  <si>
    <t>Bella Beltran44788</t>
  </si>
  <si>
    <t>Gabriella Marchal44788</t>
  </si>
  <si>
    <t>Makayla Demelo44788</t>
  </si>
  <si>
    <t>Hip Flexors, Quadricps</t>
  </si>
  <si>
    <t>Jessie Halladay44788</t>
  </si>
  <si>
    <t>Back, Hamstrings, Quadricps, Feet</t>
  </si>
  <si>
    <t>Makiya Christensen44788</t>
  </si>
  <si>
    <t>McKenna Lutzker44788</t>
  </si>
  <si>
    <t>Amanda Perez44788</t>
  </si>
  <si>
    <t>Ellen Loncar44788</t>
  </si>
  <si>
    <t>Alice Santen44789</t>
  </si>
  <si>
    <t>Back, Hamstrings, Quadricps, Calves</t>
  </si>
  <si>
    <t>Megan Tinsley44789</t>
  </si>
  <si>
    <t>McKenna Lutzker44789</t>
  </si>
  <si>
    <t>Madison Smith44789</t>
  </si>
  <si>
    <t>Kailey Park44789</t>
  </si>
  <si>
    <t>Neck, Back, Hip Flexors, Hamstrings, Quadricps, Feet</t>
  </si>
  <si>
    <t>Makiya Christensen44789</t>
  </si>
  <si>
    <t>Amanda Perez44789</t>
  </si>
  <si>
    <t>Karla Sandoval44789</t>
  </si>
  <si>
    <t>Genevieve Watkins44789</t>
  </si>
  <si>
    <t>Hip Flexors, Glutes, Hamstrings, Quadricps, Feet</t>
  </si>
  <si>
    <t>Sophia Pearlmann44789</t>
  </si>
  <si>
    <t>Back, Hamstrings, Quadricps, Adductors, Feet</t>
  </si>
  <si>
    <t>Kelsey Wong44789</t>
  </si>
  <si>
    <t>Madison Thomas44789</t>
  </si>
  <si>
    <t>Neck, Back, Hip Flexors, Glutes, Hamstrings, Quadricps, Calves</t>
  </si>
  <si>
    <t>Lilly Horne44789</t>
  </si>
  <si>
    <t>Sierra Dunphy44789</t>
  </si>
  <si>
    <t>Jessie Halladay44789</t>
  </si>
  <si>
    <t>Amanda Delgado44790</t>
  </si>
  <si>
    <t>Jennie Immethun44790</t>
  </si>
  <si>
    <t>Amanda Perez44790</t>
  </si>
  <si>
    <t>Sarah Murphy44790</t>
  </si>
  <si>
    <t>Neck, Back, Hip Flexors, Glutes, Hamstrings, Calves, Feet</t>
  </si>
  <si>
    <t>Makiya Christensen44790</t>
  </si>
  <si>
    <t>Sierra Dunphy44790</t>
  </si>
  <si>
    <t>Abby Lynch44790</t>
  </si>
  <si>
    <t>Back, Glutes, Hamstrings, Quadricps, Calves</t>
  </si>
  <si>
    <t>Lilly Horne44790</t>
  </si>
  <si>
    <t>Sydney Saypack44790</t>
  </si>
  <si>
    <t>Hip Flexors, Calves, Feet</t>
  </si>
  <si>
    <t>Gabriella Marchal44790</t>
  </si>
  <si>
    <t>Back, Hip Flexors, Hamstrings, Adductors, Feet</t>
  </si>
  <si>
    <t>Kelsey Wong44790</t>
  </si>
  <si>
    <t>Kailey Park44790</t>
  </si>
  <si>
    <t>Madison Thomas44790</t>
  </si>
  <si>
    <t>McKenna Lutzker44790</t>
  </si>
  <si>
    <t>Madison Smith44790</t>
  </si>
  <si>
    <t>Quadricps, Adductors, Calves</t>
  </si>
  <si>
    <t>Genevieve Watkins44790</t>
  </si>
  <si>
    <t>Megan Tinsley44790</t>
  </si>
  <si>
    <t>Alice Santen44790</t>
  </si>
  <si>
    <t>Sadie Kenny44790</t>
  </si>
  <si>
    <t>Abby Stewart44790</t>
  </si>
  <si>
    <t>Jessie Halladay44790</t>
  </si>
  <si>
    <t>Hip Flexors, Glutes, Hamstrings, Quadricps</t>
  </si>
  <si>
    <t>Sydney Douglas44790</t>
  </si>
  <si>
    <t>Back, Hamstrings</t>
  </si>
  <si>
    <t>Jennessa Groves44790</t>
  </si>
  <si>
    <t>Sophia Pearlmann44790</t>
  </si>
  <si>
    <t>Bella Beltran44790</t>
  </si>
  <si>
    <t>Jennie Immethun44791</t>
  </si>
  <si>
    <t>Amanda Delgado44791</t>
  </si>
  <si>
    <t>Alice Santen44791</t>
  </si>
  <si>
    <t>Back, Hip Flexors, Quadricps, Calves, Feet</t>
  </si>
  <si>
    <t>Sydney Douglas44791</t>
  </si>
  <si>
    <t>Makayla Demelo44791</t>
  </si>
  <si>
    <t>Neck, Back, Hip Flexors, Hamstrings, Quadricps, Calves, Feet</t>
  </si>
  <si>
    <t>Makiya Christensen44791</t>
  </si>
  <si>
    <t>Megan Tinsley44791</t>
  </si>
  <si>
    <t>Abby Lynch44791</t>
  </si>
  <si>
    <t>Bella Beltran44791</t>
  </si>
  <si>
    <t>Calves, Feet</t>
  </si>
  <si>
    <t>Kailey Park44791</t>
  </si>
  <si>
    <t>Sarah Murphy44791</t>
  </si>
  <si>
    <t>Glutes, Hamstrings, Quadricps, Calves</t>
  </si>
  <si>
    <t>Genevieve Watkins44791</t>
  </si>
  <si>
    <t>Abby Stewart44792</t>
  </si>
  <si>
    <t>Amanda Delgado44792</t>
  </si>
  <si>
    <t>Jennie Immethun44792</t>
  </si>
  <si>
    <t>Alice Santen44792</t>
  </si>
  <si>
    <t>Kailey Park44792</t>
  </si>
  <si>
    <t>Megan Tinsley44792</t>
  </si>
  <si>
    <t>Madison Smith44792</t>
  </si>
  <si>
    <t>Makiya Christensen44792</t>
  </si>
  <si>
    <t>Amanda Perez44792</t>
  </si>
  <si>
    <t>Glutes, Quadricps, Calves</t>
  </si>
  <si>
    <t>Genevieve Watkins44792</t>
  </si>
  <si>
    <t>Back, Hip Flexors, Glutes, Hamstrings, Adductors, Feet</t>
  </si>
  <si>
    <t>Kelsey Wong44792</t>
  </si>
  <si>
    <t>Hamstrings, Calves, Feet</t>
  </si>
  <si>
    <t>Abby Lynch44792</t>
  </si>
  <si>
    <t>Madison Thomas44792</t>
  </si>
  <si>
    <t>Jessie Halladay44792</t>
  </si>
  <si>
    <t>Sadie Kenny44792</t>
  </si>
  <si>
    <t>Sarah Murphy44792</t>
  </si>
  <si>
    <t>Amber McCorkle44792</t>
  </si>
  <si>
    <t>Glutes, Quadricps, Adductors, Feet</t>
  </si>
  <si>
    <t>Sydney Saypack44792</t>
  </si>
  <si>
    <t>Makayla Demelo44792</t>
  </si>
  <si>
    <t>Gabriella Marchal44792</t>
  </si>
  <si>
    <t>Sydney Douglas44792</t>
  </si>
  <si>
    <t>Sierra Dunphy44792</t>
  </si>
  <si>
    <t>Lilly Horne44792</t>
  </si>
  <si>
    <t>Ellen Loncar44792</t>
  </si>
  <si>
    <t>Abby Stewart44793</t>
  </si>
  <si>
    <t>Jennie Immethun44793</t>
  </si>
  <si>
    <t>Ellen Loncar44793</t>
  </si>
  <si>
    <t>Amanda Perez44793</t>
  </si>
  <si>
    <t>Amanda Delgado44793</t>
  </si>
  <si>
    <t>Makayla Demelo44793</t>
  </si>
  <si>
    <t>Alice Santen44793</t>
  </si>
  <si>
    <t>Genevieve Watkins44793</t>
  </si>
  <si>
    <t>Madison Werner44793</t>
  </si>
  <si>
    <t>Makiya Christensen44793</t>
  </si>
  <si>
    <t>Jessie Halladay44793</t>
  </si>
  <si>
    <t>Kailey Park44793</t>
  </si>
  <si>
    <t>Madison Smith44793</t>
  </si>
  <si>
    <t>Hamstrings, Adductors, Calves, Feet</t>
  </si>
  <si>
    <t>Sarah Murphy44793</t>
  </si>
  <si>
    <t>Neck, Glutes, Quadricps</t>
  </si>
  <si>
    <t>Bella Beltran44793</t>
  </si>
  <si>
    <t>Amanda Delgado44794</t>
  </si>
  <si>
    <t>Abby Stewart44794</t>
  </si>
  <si>
    <t>Megan Tinsley44794</t>
  </si>
  <si>
    <t>Back, Hip Flexors, Hamstrings, Quadricps, Calves, Feet</t>
  </si>
  <si>
    <t>Makiya Christensen44794</t>
  </si>
  <si>
    <t>Makayla Demelo44794</t>
  </si>
  <si>
    <t>Madison Smith44794</t>
  </si>
  <si>
    <t>Arms, Torso, Glutes, Hamstrings, Quadricps, Calves, Feet</t>
  </si>
  <si>
    <t>Sarah Murphy44795</t>
  </si>
  <si>
    <t>Madison Werner44795</t>
  </si>
  <si>
    <t>Neck, Quadricps, Calves</t>
  </si>
  <si>
    <t>Kailey Park44795</t>
  </si>
  <si>
    <t>Abby Stewart44795</t>
  </si>
  <si>
    <t>Neck, Quadricps</t>
  </si>
  <si>
    <t>Amanda Delgado44795</t>
  </si>
  <si>
    <t>Lilly Horne44795</t>
  </si>
  <si>
    <t>Hip Flexors, Hamstrings, Feet</t>
  </si>
  <si>
    <t>Alice Santen44795</t>
  </si>
  <si>
    <t>Jessie Halladay44795</t>
  </si>
  <si>
    <t>Madison Smith44795</t>
  </si>
  <si>
    <t>Megan Tinsley44795</t>
  </si>
  <si>
    <t>Gabriella Marchal44795</t>
  </si>
  <si>
    <t>Abby Lynch44795</t>
  </si>
  <si>
    <t>Bella Beltran44795</t>
  </si>
  <si>
    <t>Back, Feet</t>
  </si>
  <si>
    <t>Kelsey Wong44795</t>
  </si>
  <si>
    <t>Hamstrings, Quadricps, Feet</t>
  </si>
  <si>
    <t>Makiya Christensen44795</t>
  </si>
  <si>
    <t>Amanda Perez44795</t>
  </si>
  <si>
    <t>Glutes, Quadricps, Calves, Feet</t>
  </si>
  <si>
    <t>Genevieve Watkins44795</t>
  </si>
  <si>
    <t>Sydney Douglas44795</t>
  </si>
  <si>
    <t>Jennie Immethun44796</t>
  </si>
  <si>
    <t>Abby Stewart44796</t>
  </si>
  <si>
    <t>Amanda Delgado44796</t>
  </si>
  <si>
    <t>Back, Arms, Glutes</t>
  </si>
  <si>
    <t>Makayla Demelo44796</t>
  </si>
  <si>
    <t>Genevieve Watkins44796</t>
  </si>
  <si>
    <t>Megan Tinsley44796</t>
  </si>
  <si>
    <t>Back, Glutes, Quadricps, Feet</t>
  </si>
  <si>
    <t>Makiya Christensen44796</t>
  </si>
  <si>
    <t>Hip Flexors, Glutes, Feet</t>
  </si>
  <si>
    <t>Sydney Douglas44796</t>
  </si>
  <si>
    <t>Back, Hip Flexors, Adductors</t>
  </si>
  <si>
    <t>Jennessa Groves44796</t>
  </si>
  <si>
    <t>Kailey Park44796</t>
  </si>
  <si>
    <t>Bella Beltran44796</t>
  </si>
  <si>
    <t>Jennie Immethun44797</t>
  </si>
  <si>
    <t>Amanda Delgado44797</t>
  </si>
  <si>
    <t>Torso, Hip Flexors, Hamstrings, Quadricps, Adductors, Calves</t>
  </si>
  <si>
    <t>Abby Stewart44797</t>
  </si>
  <si>
    <t>Kailey Park44797</t>
  </si>
  <si>
    <t>Makayla Demelo44797</t>
  </si>
  <si>
    <t>Abby Lynch44797</t>
  </si>
  <si>
    <t>Lilly Horne44797</t>
  </si>
  <si>
    <t>Bella Beltran44797</t>
  </si>
  <si>
    <t>Karla Sandoval44797</t>
  </si>
  <si>
    <t>Sophia Pearlmann44797</t>
  </si>
  <si>
    <t>Neck, Back, Glutes, Quadricps, Calves</t>
  </si>
  <si>
    <t>Sydney Saypack44797</t>
  </si>
  <si>
    <t>Neck, Glutes, Hamstrings, Quadricps</t>
  </si>
  <si>
    <t>Madison Smith44797</t>
  </si>
  <si>
    <t>Kelsey Wong44797</t>
  </si>
  <si>
    <t>Sierra Dunphy44797</t>
  </si>
  <si>
    <t>Jessie Halladay44797</t>
  </si>
  <si>
    <t>Alice Santen44797</t>
  </si>
  <si>
    <t>Sarah Murphy44797</t>
  </si>
  <si>
    <t>Back, Hip Flexors, Glutes, Hamstrings, Feet</t>
  </si>
  <si>
    <t>Makiya Christensen44797</t>
  </si>
  <si>
    <t>Jennie Immethun44798</t>
  </si>
  <si>
    <t>Alice Santen44798</t>
  </si>
  <si>
    <t>Kailey Park44798</t>
  </si>
  <si>
    <t>Torso, Glutes, Hamstrings, Quadricps, Calves, Feet</t>
  </si>
  <si>
    <t>Sarah Murphy44798</t>
  </si>
  <si>
    <t>Abby Stewart44798</t>
  </si>
  <si>
    <t>Amanda Delgado44798</t>
  </si>
  <si>
    <t>Megan Tinsley44798</t>
  </si>
  <si>
    <t>Back, Glutes, Hamstrings, Adductors, Feet</t>
  </si>
  <si>
    <t>Makiya Christensen44798</t>
  </si>
  <si>
    <t>Arms, Glutes</t>
  </si>
  <si>
    <t>Makayla Demelo44798</t>
  </si>
  <si>
    <t>Bella Beltran44798</t>
  </si>
  <si>
    <t>Madison Smith44798</t>
  </si>
  <si>
    <t>Lilly Horne44798</t>
  </si>
  <si>
    <t>Gabriella Marchal44798</t>
  </si>
  <si>
    <t>Sydney Saypack44798</t>
  </si>
  <si>
    <t>Genevieve Watkins44798</t>
  </si>
  <si>
    <t>Arms, Hip Flexors</t>
  </si>
  <si>
    <t>Amanda Delgado44799</t>
  </si>
  <si>
    <t>Abby Stewart44799</t>
  </si>
  <si>
    <t>Back, Hip Flexors, Glutes, Hamstrings, Quadricps, Calves</t>
  </si>
  <si>
    <t>Lilly Horne44799</t>
  </si>
  <si>
    <t>Back, Arms, Torso, Hip Flexors, Glutes, Hamstrings, Quadricps, Adductors, Calves, Feet</t>
  </si>
  <si>
    <t>Sarah Murphy44799</t>
  </si>
  <si>
    <t>Genevieve Watkins44799</t>
  </si>
  <si>
    <t>Makiya Christensen44799</t>
  </si>
  <si>
    <t>Megan Tinsley44799</t>
  </si>
  <si>
    <t>Jessie Halladay44799</t>
  </si>
  <si>
    <t>Alice Santen44799</t>
  </si>
  <si>
    <t>Gabriella Marchal44799</t>
  </si>
  <si>
    <t>Adductors, Calves, Feet</t>
  </si>
  <si>
    <t>Ellen Loncar44799</t>
  </si>
  <si>
    <t>Neck, Hamstrings, Quadricps, Feet</t>
  </si>
  <si>
    <t>Alice Santen44800</t>
  </si>
  <si>
    <t>Back, Hip Flexors</t>
  </si>
  <si>
    <t>Amanda Delgado44800</t>
  </si>
  <si>
    <t>Amber McCorkle44800</t>
  </si>
  <si>
    <t>Kailey Park44800</t>
  </si>
  <si>
    <t>Abby Stewart44800</t>
  </si>
  <si>
    <t>Megan Tinsley44800</t>
  </si>
  <si>
    <t>Madison Smith44800</t>
  </si>
  <si>
    <t>Sarah Murphy44800</t>
  </si>
  <si>
    <t>Jessie Halladay44800</t>
  </si>
  <si>
    <t>Makiya Christensen44800</t>
  </si>
  <si>
    <t>Sophia Pearlmann44800</t>
  </si>
  <si>
    <t>Makayla Demelo44800</t>
  </si>
  <si>
    <t>Neck, Back</t>
  </si>
  <si>
    <t>Amanda Delgado44801</t>
  </si>
  <si>
    <t>Neck, Hamstrings, Feet</t>
  </si>
  <si>
    <t>Alice Santen44801</t>
  </si>
  <si>
    <t>Sarah Murphy44801</t>
  </si>
  <si>
    <t>Kailey Park44801</t>
  </si>
  <si>
    <t>Megan Tinsley44801</t>
  </si>
  <si>
    <t>Sierra Dunphy44801</t>
  </si>
  <si>
    <t>Sydney Douglas44801</t>
  </si>
  <si>
    <t>Back, Calves, Feet</t>
  </si>
  <si>
    <t>Makiya Christensen44801</t>
  </si>
  <si>
    <t>Madison Smith44801</t>
  </si>
  <si>
    <t>Abby Stewart44801</t>
  </si>
  <si>
    <t>Back, Glutes, Calves</t>
  </si>
  <si>
    <t>Sydney Saypack44801</t>
  </si>
  <si>
    <t>Alice Santen44802</t>
  </si>
  <si>
    <t>Neck, Back, Glutes, Hamstrings, Feet</t>
  </si>
  <si>
    <t>Makiya Christensen44802</t>
  </si>
  <si>
    <t>Abby Stewart44802</t>
  </si>
  <si>
    <t>Megan Tinsley44802</t>
  </si>
  <si>
    <t>Sierra Dunphy44802</t>
  </si>
  <si>
    <t>Kailey Park44802</t>
  </si>
  <si>
    <t>Gabriella Marchal44802</t>
  </si>
  <si>
    <t>Jessie Halladay44802</t>
  </si>
  <si>
    <t>Lilly Horne44802</t>
  </si>
  <si>
    <t>Hip Flexors, Glutes, Calves</t>
  </si>
  <si>
    <t>Jennessa Groves44802</t>
  </si>
  <si>
    <t>Amanda Delgado44802</t>
  </si>
  <si>
    <t>Sydney Douglas44802</t>
  </si>
  <si>
    <t>Sophia Pearlmann44802</t>
  </si>
  <si>
    <t>Bella Beltran44802</t>
  </si>
  <si>
    <t>Genevieve Watkins44802</t>
  </si>
  <si>
    <t>Makayla Demelo44802</t>
  </si>
  <si>
    <t>Neck, Hip Flexors, Hamstrings, Quadricps, Adductors</t>
  </si>
  <si>
    <t>Abby Stewart44803</t>
  </si>
  <si>
    <t>Back, Chest, Feet</t>
  </si>
  <si>
    <t>Makiya Christensen44803</t>
  </si>
  <si>
    <t>Neck, Back, Quadricps</t>
  </si>
  <si>
    <t>Madison Smith44803</t>
  </si>
  <si>
    <t>Jessie Halladay44803</t>
  </si>
  <si>
    <t>Megan Tinsley44803</t>
  </si>
  <si>
    <t>Kailey Park44803</t>
  </si>
  <si>
    <t>Sydney Saypack44803</t>
  </si>
  <si>
    <t>Sydney Douglas44803</t>
  </si>
  <si>
    <t>Amanda Delgado44803</t>
  </si>
  <si>
    <t>Back, Quadricps, Feet</t>
  </si>
  <si>
    <t>Kelsey Wong44803</t>
  </si>
  <si>
    <t>Makayla Demelo44803</t>
  </si>
  <si>
    <t>Sophia Pearlmann44803</t>
  </si>
  <si>
    <t>Alice Santen44803</t>
  </si>
  <si>
    <t>Neck, Back, Glutes, Hamstrings, Quadricps, Adductors, Calves, Feet</t>
  </si>
  <si>
    <t>Sarah Murphy44803</t>
  </si>
  <si>
    <t>Alice Santen44804</t>
  </si>
  <si>
    <t>Jennie Immethun44804</t>
  </si>
  <si>
    <t>Abby Stewart44804</t>
  </si>
  <si>
    <t>Sydney Douglas44804</t>
  </si>
  <si>
    <t>Sierra Dunphy44804</t>
  </si>
  <si>
    <t>Megan Tinsley44804</t>
  </si>
  <si>
    <t>Sadie Kenny44804</t>
  </si>
  <si>
    <t>Jessie Halladay44804</t>
  </si>
  <si>
    <t>Kailey Park44804</t>
  </si>
  <si>
    <t>Sydney Saypack44804</t>
  </si>
  <si>
    <t>Sophia Pearlmann44804</t>
  </si>
  <si>
    <t>Abby Stewart44805</t>
  </si>
  <si>
    <t>Neck, Back, Hip Flexors, Glutes, Quadricps, Adductors, Feet</t>
  </si>
  <si>
    <t>Makiya Christensen44805</t>
  </si>
  <si>
    <t>Amanda Delgado44805</t>
  </si>
  <si>
    <t>Amanda Perez44805</t>
  </si>
  <si>
    <t>Jessie Halladay44805</t>
  </si>
  <si>
    <t>Sydney Douglas44805</t>
  </si>
  <si>
    <t>Sierra Dunphy44805</t>
  </si>
  <si>
    <t>Kailey Park44805</t>
  </si>
  <si>
    <t>Megan Tinsley44805</t>
  </si>
  <si>
    <t>Genevieve Watkins44805</t>
  </si>
  <si>
    <t>Sadie Kenny44805</t>
  </si>
  <si>
    <t>Madison Werner44805</t>
  </si>
  <si>
    <t>Arms, Calves, Feet</t>
  </si>
  <si>
    <t>Kelsey Wong44805</t>
  </si>
  <si>
    <t>Hamstrings, Feet</t>
  </si>
  <si>
    <t>Alice Santen44805</t>
  </si>
  <si>
    <t>Neck, Back, Glutes, Hamstrings, Quadricps, Calves</t>
  </si>
  <si>
    <t>Sydney Saypack44805</t>
  </si>
  <si>
    <t>Glutes, Hamstrings, Feet</t>
  </si>
  <si>
    <t>Gabriella Marchal44805</t>
  </si>
  <si>
    <t>Sophia Pearlmann44805</t>
  </si>
  <si>
    <t>Chest, Arms</t>
  </si>
  <si>
    <t>Makayla Demelo44805</t>
  </si>
  <si>
    <t>Bella Beltran44805</t>
  </si>
  <si>
    <t>Lilly Horne44805</t>
  </si>
  <si>
    <t>Back, Arms, Hip Flexors, Glutes, Hamstrings, Quadricps, Adductors, Calves, Feet</t>
  </si>
  <si>
    <t>Sarah Murphy44805</t>
  </si>
  <si>
    <t>Abby Stewart44806</t>
  </si>
  <si>
    <t>Jennie Immethun44806</t>
  </si>
  <si>
    <t>Sydney Douglas44806</t>
  </si>
  <si>
    <t>Back, Chest, Arms, Glutes, Hamstrings, Quadricps</t>
  </si>
  <si>
    <t>Lilly Horne44806</t>
  </si>
  <si>
    <t>Amanda Delgado44806</t>
  </si>
  <si>
    <t>Kailey Park44806</t>
  </si>
  <si>
    <t>Back, Arms, Quadricps</t>
  </si>
  <si>
    <t>Bella Beltran44806</t>
  </si>
  <si>
    <t>Genevieve Watkins44806</t>
  </si>
  <si>
    <t>Hip Flexors, Glutes, Hamstrings, Quadricps, Adductors, Calves</t>
  </si>
  <si>
    <t>Sierra Dunphy44806</t>
  </si>
  <si>
    <t>Neck, Glutes, Hamstrings, Quadricps, Calves</t>
  </si>
  <si>
    <t>Madison Smith44806</t>
  </si>
  <si>
    <t>Sophia Pearlmann44806</t>
  </si>
  <si>
    <t>Makayla Demelo44806</t>
  </si>
  <si>
    <t>Arms, Hamstrings, Quadricps, Calves, Feet</t>
  </si>
  <si>
    <t>Kelsey Wong44806</t>
  </si>
  <si>
    <t>Back, Glutes, Hamstrings, Calves</t>
  </si>
  <si>
    <t>Megan Tinsley44806</t>
  </si>
  <si>
    <t>Alice Santen44806</t>
  </si>
  <si>
    <t>Arms, Glutes, Quadricps, Calves</t>
  </si>
  <si>
    <t>Jessie Halladay44806</t>
  </si>
  <si>
    <t>Kailey Park44807</t>
  </si>
  <si>
    <t>Neck, Chest, Hip Flexors, Hamstrings, Quadricps, Calves</t>
  </si>
  <si>
    <t>Abby Stewart44807</t>
  </si>
  <si>
    <t>Neck, Back, Calves, Feet</t>
  </si>
  <si>
    <t>Makiya Christensen44807</t>
  </si>
  <si>
    <t>Makayla Demelo44807</t>
  </si>
  <si>
    <t>Back, Arms</t>
  </si>
  <si>
    <t>Amanda Delgado44807</t>
  </si>
  <si>
    <t>Alice Santen44807</t>
  </si>
  <si>
    <t>Sarah Murphy44807</t>
  </si>
  <si>
    <t>Sierra Dunphy44807</t>
  </si>
  <si>
    <t>Back, Arms, Feet</t>
  </si>
  <si>
    <t>Bella Beltran44807</t>
  </si>
  <si>
    <t>Makiya Christensen44808</t>
  </si>
  <si>
    <t>Amanda Delgado44808</t>
  </si>
  <si>
    <t>Alice Santen44808</t>
  </si>
  <si>
    <t>Megan Tinsley44808</t>
  </si>
  <si>
    <t>Genevieve Watkins44808</t>
  </si>
  <si>
    <t>Makayla Demelo44808</t>
  </si>
  <si>
    <t>Jennessa Groves44808</t>
  </si>
  <si>
    <t>Sydney Douglas44808</t>
  </si>
  <si>
    <t>Amanda Delgado44809</t>
  </si>
  <si>
    <t>Abby Lynch44809</t>
  </si>
  <si>
    <t>Sydney Saypack44809</t>
  </si>
  <si>
    <t>Amanda Perez44809</t>
  </si>
  <si>
    <t>Alice Santen44809</t>
  </si>
  <si>
    <t>Megan Tinsley44809</t>
  </si>
  <si>
    <t>Hip Flexors, Glutes, Hamstrings, Quadricps, Adductors, Calves, Feet</t>
  </si>
  <si>
    <t>Sierra Dunphy44809</t>
  </si>
  <si>
    <t>Kailey Park44809</t>
  </si>
  <si>
    <t>Hip Flexors, Glutes, Hamstrings, Quadricps, Adductors</t>
  </si>
  <si>
    <t>Sophia Pearlmann44809</t>
  </si>
  <si>
    <t>Neck, Hip Flexors, Hamstrings, Quadricps, Calves</t>
  </si>
  <si>
    <t>Abby Stewart44810</t>
  </si>
  <si>
    <t>Jessie Halladay44810</t>
  </si>
  <si>
    <t>Amanda Perez44810</t>
  </si>
  <si>
    <t>Makiya Christensen44810</t>
  </si>
  <si>
    <t>Megan Tinsley44810</t>
  </si>
  <si>
    <t>Sierra Dunphy44810</t>
  </si>
  <si>
    <t>Alice Santen44810</t>
  </si>
  <si>
    <t>Kailey Park44810</t>
  </si>
  <si>
    <t>Sydney Saypack44810</t>
  </si>
  <si>
    <t>Madison Thomas44810</t>
  </si>
  <si>
    <t>Amanda Delgado44810</t>
  </si>
  <si>
    <t>Madison Smith44810</t>
  </si>
  <si>
    <t>Neck, Glutes, Hamstrings, Feet</t>
  </si>
  <si>
    <t>Abby Lynch44810</t>
  </si>
  <si>
    <t>Jennie Immethun44810</t>
  </si>
  <si>
    <t>Kelsey Wong44810</t>
  </si>
  <si>
    <t>Hip Flexors, Glutes, Hamstrings, Adductors, Calves, Feet</t>
  </si>
  <si>
    <t>Sydney Douglas44810</t>
  </si>
  <si>
    <t>Bella Beltran44810</t>
  </si>
  <si>
    <t>Genevieve Watkins44810</t>
  </si>
  <si>
    <t>Sophia Pearlmann44810</t>
  </si>
  <si>
    <t>Alice Santen44811</t>
  </si>
  <si>
    <t>Neck, Back, Glutes, Hamstrings, Quadricps, Adductors</t>
  </si>
  <si>
    <t>Makayla Demelo44811</t>
  </si>
  <si>
    <t>Megan Tinsley44811</t>
  </si>
  <si>
    <t>Hip Flexors, Hamstrings, Quadricps, Calves</t>
  </si>
  <si>
    <t>Sydney Saypack44811</t>
  </si>
  <si>
    <t>Back, Chest, Arms, Hip Flexors, Hamstrings, Quadricps, Calves, Feet</t>
  </si>
  <si>
    <t>Lilly Horne44812</t>
  </si>
  <si>
    <t>Amanda Perez44812</t>
  </si>
  <si>
    <t>Neck, Back, Hip Flexors, Hamstrings, Adductors, Calves, Feet</t>
  </si>
  <si>
    <t>Makiya Christensen44812</t>
  </si>
  <si>
    <t>Amanda Delgado44812</t>
  </si>
  <si>
    <t>Chest, Calves</t>
  </si>
  <si>
    <t>Megan Tinsley44812</t>
  </si>
  <si>
    <t>Kailey Park44812</t>
  </si>
  <si>
    <t>Neck, Hip Flexors, Glutes, Hamstrings, Quadricps</t>
  </si>
  <si>
    <t>Abby Stewart44812</t>
  </si>
  <si>
    <t>Sydney Saypack44812</t>
  </si>
  <si>
    <t>Neck, Back, Hamstrings, Adductors, Calves, Feet</t>
  </si>
  <si>
    <t>Makiya Christensen44813</t>
  </si>
  <si>
    <t>Glutes, Adductors</t>
  </si>
  <si>
    <t>Makayla Demelo44813</t>
  </si>
  <si>
    <t>Jennie Immethun44813</t>
  </si>
  <si>
    <t>Amanda Perez44813</t>
  </si>
  <si>
    <t>Jessie Halladay44813</t>
  </si>
  <si>
    <t>Kailey Park44813</t>
  </si>
  <si>
    <t>Amanda Delgado44813</t>
  </si>
  <si>
    <t>Neck, Hip Flexors, Glutes, Hamstrings, Quadricps, Calves</t>
  </si>
  <si>
    <t>Abby Stewart44813</t>
  </si>
  <si>
    <t>Bella Beltran44813</t>
  </si>
  <si>
    <t>Sadie Kenny44813</t>
  </si>
  <si>
    <t>Neck, Quadricps, Feet</t>
  </si>
  <si>
    <t>Kelsey Wong44813</t>
  </si>
  <si>
    <t>Megan Tinsley44813</t>
  </si>
  <si>
    <t>Alice Santen44813</t>
  </si>
  <si>
    <t>Jennie Immethun44814</t>
  </si>
  <si>
    <t>Kailey Park44814</t>
  </si>
  <si>
    <t>Megan Tinsley44814</t>
  </si>
  <si>
    <t>Alice Santen44814</t>
  </si>
  <si>
    <t>Gabriella Marchal44814</t>
  </si>
  <si>
    <t>Bella Beltran44814</t>
  </si>
  <si>
    <t>Back, Hamstrings, Quadricps, Calves, Feet</t>
  </si>
  <si>
    <t>Makiya Christensen44814</t>
  </si>
  <si>
    <t>Neck, Back, Chest, Arms, Glutes, Quadricps, Calves, Feet</t>
  </si>
  <si>
    <t>Madison Smith44814</t>
  </si>
  <si>
    <t>Sydney Douglas44814</t>
  </si>
  <si>
    <t>Jessie Halladay44814</t>
  </si>
  <si>
    <t>Hip Flexors, Glutes, Quadricps, Calves</t>
  </si>
  <si>
    <t>Sydney Saypack44814</t>
  </si>
  <si>
    <t>Amanda Delgado44815</t>
  </si>
  <si>
    <t>Back, Arms, Hip Flexors, Glutes, Hamstrings, Quadricps, Adductors, Calves</t>
  </si>
  <si>
    <t>Lilly Horne44815</t>
  </si>
  <si>
    <t>Alice Santen44815</t>
  </si>
  <si>
    <t>Makiya Christensen44815</t>
  </si>
  <si>
    <t>Megan Tinsley44815</t>
  </si>
  <si>
    <t>Kailey Park44815</t>
  </si>
  <si>
    <t>Sierra Dunphy44815</t>
  </si>
  <si>
    <t>Neck, Back, Chest, Glutes, Feet</t>
  </si>
  <si>
    <t>Madison Smith44815</t>
  </si>
  <si>
    <t>Sydney Douglas44815</t>
  </si>
  <si>
    <t>Back, Hip Flexors, Quadricps, Adductors, Calves</t>
  </si>
  <si>
    <t>Sydney Saypack44815</t>
  </si>
  <si>
    <t>Ellen Loncar44815</t>
  </si>
  <si>
    <t>Jessie Halladay44815</t>
  </si>
  <si>
    <t>Hip Flexors, Feet</t>
  </si>
  <si>
    <t>Bella Beltran44815</t>
  </si>
  <si>
    <t>Jennie Immethun44816</t>
  </si>
  <si>
    <t>Sydney Douglas44816</t>
  </si>
  <si>
    <t>Neck, Back, Chest</t>
  </si>
  <si>
    <t>Madison Smith44816</t>
  </si>
  <si>
    <t>Back, Arms, Hamstrings, Quadricps</t>
  </si>
  <si>
    <t>Lilly Horne44816</t>
  </si>
  <si>
    <t>Alice Santen44816</t>
  </si>
  <si>
    <t>Amanda Delgado44816</t>
  </si>
  <si>
    <t>Amanda Perez44816</t>
  </si>
  <si>
    <t>Jessie Halladay44816</t>
  </si>
  <si>
    <t>Megan Tinsley44816</t>
  </si>
  <si>
    <t>Makiya Christensen44816</t>
  </si>
  <si>
    <t>Genevieve Watkins44816</t>
  </si>
  <si>
    <t>Kailey Park44816</t>
  </si>
  <si>
    <t>Back, Hip Flexors, Glutes, Adductors, Calves</t>
  </si>
  <si>
    <t>Sydney Saypack44816</t>
  </si>
  <si>
    <t>Bella Beltran44816</t>
  </si>
  <si>
    <t>Back, Hip Flexors, Hamstrings, Adductors, Calves, Feet</t>
  </si>
  <si>
    <t>Makiya Christensen44817</t>
  </si>
  <si>
    <t>Jessie Halladay44817</t>
  </si>
  <si>
    <t>Amanda Delgado44817</t>
  </si>
  <si>
    <t>Alice Santen44817</t>
  </si>
  <si>
    <t>Megan Tinsley44817</t>
  </si>
  <si>
    <t>Sydney Douglas44817</t>
  </si>
  <si>
    <t>Kailey Park44817</t>
  </si>
  <si>
    <t>Makayla Demelo44817</t>
  </si>
  <si>
    <t>Alice Santen44818</t>
  </si>
  <si>
    <t>Sydney Douglas44818</t>
  </si>
  <si>
    <t>Megan Tinsley44818</t>
  </si>
  <si>
    <t>Makiya Christensen44818</t>
  </si>
  <si>
    <t>Neck, Hip Flexors, Hamstrings, Quadricps</t>
  </si>
  <si>
    <t>Abby Stewart44818</t>
  </si>
  <si>
    <t>Makayla Demelo44818</t>
  </si>
  <si>
    <t>Kailey Park44818</t>
  </si>
  <si>
    <t>Jessie Halladay44818</t>
  </si>
  <si>
    <t>Sydney Douglas44819</t>
  </si>
  <si>
    <t>Jessie Halladay44819</t>
  </si>
  <si>
    <t>Back, Hip Flexors, Quadricps, Adductors, Feet</t>
  </si>
  <si>
    <t>Makiya Christensen44819</t>
  </si>
  <si>
    <t>Alice Santen44819</t>
  </si>
  <si>
    <t>Megan Tinsley44819</t>
  </si>
  <si>
    <t>Kelsey Wong44819</t>
  </si>
  <si>
    <t>Lilly Horne44819</t>
  </si>
  <si>
    <t>Makayla Demelo44819</t>
  </si>
  <si>
    <t>Amanda Delgado44819</t>
  </si>
  <si>
    <t>Kailey Park44819</t>
  </si>
  <si>
    <t>Back, Adductors, Feet</t>
  </si>
  <si>
    <t>Makiya Christensen44820</t>
  </si>
  <si>
    <t>Kailey Park44820</t>
  </si>
  <si>
    <t>Jennie Immethun44820</t>
  </si>
  <si>
    <t>Amanda Delgado44820</t>
  </si>
  <si>
    <t>Hamstrings, Quadricps, Adductors, Calves, Feet</t>
  </si>
  <si>
    <t>Genevieve Watkins44820</t>
  </si>
  <si>
    <t>Alice Santen44820</t>
  </si>
  <si>
    <t>Megan Tinsley44820</t>
  </si>
  <si>
    <t>Sydney Douglas44820</t>
  </si>
  <si>
    <t>Bella Beltran44820</t>
  </si>
  <si>
    <t>Makiya Christensen44821</t>
  </si>
  <si>
    <t>Amanda Delgado44821</t>
  </si>
  <si>
    <t>Jennie Immethun44821</t>
  </si>
  <si>
    <t>Megan Tinsley44821</t>
  </si>
  <si>
    <t>Madison Smith44821</t>
  </si>
  <si>
    <t>Abby Stewart44821</t>
  </si>
  <si>
    <t>Kailey Park44821</t>
  </si>
  <si>
    <t>Makayla Demelo44821</t>
  </si>
  <si>
    <t>Alice Santen44821</t>
  </si>
  <si>
    <t>Bella Beltran44821</t>
  </si>
  <si>
    <t>Jessie Halladay44821</t>
  </si>
  <si>
    <t>Makiya Christensen44822</t>
  </si>
  <si>
    <t>Jennie Immethun44822</t>
  </si>
  <si>
    <t>Megan Tinsley44822</t>
  </si>
  <si>
    <t>Abby Stewart44822</t>
  </si>
  <si>
    <t>Jessie Halladay44822</t>
  </si>
  <si>
    <t>Alice Santen44822</t>
  </si>
  <si>
    <t>Kailey Park44822</t>
  </si>
  <si>
    <t>Ellen Loncar44822</t>
  </si>
  <si>
    <t>Abby Stewart44823</t>
  </si>
  <si>
    <t>Alice Santen44823</t>
  </si>
  <si>
    <t>Amanda Delgado44823</t>
  </si>
  <si>
    <t>Makiya Christensen44823</t>
  </si>
  <si>
    <t>Megan Tinsley44823</t>
  </si>
  <si>
    <t>Jessie Halladay44823</t>
  </si>
  <si>
    <t>Kailey Park44823</t>
  </si>
  <si>
    <t>Makiya Christensen44824</t>
  </si>
  <si>
    <t>Neck, Shoulders, Hamstrings, Quadricps, Adductors</t>
  </si>
  <si>
    <t>Abby Stewart44824</t>
  </si>
  <si>
    <t>Madison Smith44824</t>
  </si>
  <si>
    <t>Jessie Halladay44824</t>
  </si>
  <si>
    <t>Sydney Douglas44824</t>
  </si>
  <si>
    <t>Back, Hip Flexors, Quadricps, Calves</t>
  </si>
  <si>
    <t>Sydney Saypack44824</t>
  </si>
  <si>
    <t>Kailey Park44824</t>
  </si>
  <si>
    <t>Alice Santen44824</t>
  </si>
  <si>
    <t>Amanda Delgado44824</t>
  </si>
  <si>
    <t>Ellen Loncar44824</t>
  </si>
  <si>
    <t>Kelsey Wong44824</t>
  </si>
  <si>
    <t>Amanda Perez44824</t>
  </si>
  <si>
    <t>Neck, Back, Shoulders, Hip Flexors, Adductors, Feet</t>
  </si>
  <si>
    <t>Makiya Christensen44825</t>
  </si>
  <si>
    <t>Megan Tinsley44825</t>
  </si>
  <si>
    <t>Madison Smith44825</t>
  </si>
  <si>
    <t>Lilly Horne44825</t>
  </si>
  <si>
    <t>Genevieve Watkins44825</t>
  </si>
  <si>
    <t>Jessie Halladay44825</t>
  </si>
  <si>
    <t>Hamstrings, Adductors, Feet</t>
  </si>
  <si>
    <t>Kailey Park44825</t>
  </si>
  <si>
    <t>Alice Santen44825</t>
  </si>
  <si>
    <t>Kelsey Wong44825</t>
  </si>
  <si>
    <t>Back, Shoulders, Hip Flexors, Hamstrings, Quadricps, Calves</t>
  </si>
  <si>
    <t>Sydney Saypack44825</t>
  </si>
  <si>
    <t/>
  </si>
  <si>
    <t>Abby Stewart44826</t>
  </si>
  <si>
    <t>Neck, Back, Shoulders</t>
  </si>
  <si>
    <t>Amanda Delgado44826</t>
  </si>
  <si>
    <t>Jessie Halladay44826</t>
  </si>
  <si>
    <t>Neck, Hamstrings</t>
  </si>
  <si>
    <t>Alice Santen44826</t>
  </si>
  <si>
    <t>Megan Tinsley44826</t>
  </si>
  <si>
    <t>Lilly Horne44826</t>
  </si>
  <si>
    <t>Kailey Park44826</t>
  </si>
  <si>
    <t>Neck, Back, Shoulders, Hip Flexors, Quadricps, Feet</t>
  </si>
  <si>
    <t>Makiya Christensen44826</t>
  </si>
  <si>
    <t>Back, Hip Flexors, Hamstrings, Quadricps, Calves</t>
  </si>
  <si>
    <t>Sydney Saypack44826</t>
  </si>
  <si>
    <t>Madison Smith44826</t>
  </si>
  <si>
    <t>Shoulders, Hip Flexors, Hamstrings, Feet</t>
  </si>
  <si>
    <t>Bella Beltran44826</t>
  </si>
  <si>
    <t>Jennie Immethun44827</t>
  </si>
  <si>
    <t>Abby Stewart44827</t>
  </si>
  <si>
    <t>Makiya Christensen44827</t>
  </si>
  <si>
    <t>Neck, Shoulders</t>
  </si>
  <si>
    <t>Amanda Delgado44827</t>
  </si>
  <si>
    <t>Bella Beltran44827</t>
  </si>
  <si>
    <t>Megan Tinsley44827</t>
  </si>
  <si>
    <t>Amanda Perez44828</t>
  </si>
  <si>
    <t>Neck, Back, Glutes, Calves, Feet</t>
  </si>
  <si>
    <t>Kailey Park44828</t>
  </si>
  <si>
    <t>Megan Tinsley44828</t>
  </si>
  <si>
    <t>Alice Santen44828</t>
  </si>
  <si>
    <t>Neck, Back, Hip Flexors, Calves, Feet</t>
  </si>
  <si>
    <t>Makiya Christensen44828</t>
  </si>
  <si>
    <t>Lilly Horne44828</t>
  </si>
  <si>
    <t>Abby Stewart44828</t>
  </si>
  <si>
    <t>Bella Beltran44828</t>
  </si>
  <si>
    <t>Amanda Delgado44829</t>
  </si>
  <si>
    <t>Neck, Back, Hip Flexors, Hamstrings, Adductors, Feet</t>
  </si>
  <si>
    <t>Makiya Christensen44829</t>
  </si>
  <si>
    <t>Alice Santen44829</t>
  </si>
  <si>
    <t>Amanda Perez44829</t>
  </si>
  <si>
    <t>Arms, Calves</t>
  </si>
  <si>
    <t>Megan Tinsley44829</t>
  </si>
  <si>
    <t>Neck, Back, Hamstrings, Feet</t>
  </si>
  <si>
    <t>Kailey Park44829</t>
  </si>
  <si>
    <t>Neck, Back, Chest, Hip Flexors, Hamstrings, Quadricps</t>
  </si>
  <si>
    <t>Abby Stewart44830</t>
  </si>
  <si>
    <t>Megan Tinsley44830</t>
  </si>
  <si>
    <t>Kailey Park44830</t>
  </si>
  <si>
    <t>Alice Santen44830</t>
  </si>
  <si>
    <t>Sophia Pearlmann44830</t>
  </si>
  <si>
    <t>Genevieve Watkins44830</t>
  </si>
  <si>
    <t>Amanda Perez44830</t>
  </si>
  <si>
    <t>Sadie Kenny44830</t>
  </si>
  <si>
    <t>Sierra Dunphy44830</t>
  </si>
  <si>
    <t>Bella Beltran44830</t>
  </si>
  <si>
    <t>Abby Stewart44831</t>
  </si>
  <si>
    <t>Lilly Horne44831</t>
  </si>
  <si>
    <t>Jessie Halladay44831</t>
  </si>
  <si>
    <t>Bella Beltran44831</t>
  </si>
  <si>
    <t>Neck, Feet</t>
  </si>
  <si>
    <t>Amanda Delgado44831</t>
  </si>
  <si>
    <t>Neck, Back, Hip Flexors, Glutes, Adductors, Feet</t>
  </si>
  <si>
    <t>Makiya Christensen44831</t>
  </si>
  <si>
    <t>Megan Tinsley44831</t>
  </si>
  <si>
    <t>Kelsey Wong44831</t>
  </si>
  <si>
    <t>Gabriella Marchal44831</t>
  </si>
  <si>
    <t>Amanda Perez44831</t>
  </si>
  <si>
    <t>Neck, Glutes, Hamstrings, Quadricps, Adductors, Calves, Feet</t>
  </si>
  <si>
    <t>Sarah Murphy44831</t>
  </si>
  <si>
    <t>Sydney Saypack44831</t>
  </si>
  <si>
    <t>Sadie Kenny44831</t>
  </si>
  <si>
    <t>Alice Santen44832</t>
  </si>
  <si>
    <t>Amanda Delgado44832</t>
  </si>
  <si>
    <t>Megan Tinsley44832</t>
  </si>
  <si>
    <t>Makiya Christensen44832</t>
  </si>
  <si>
    <t>Kailey Park44832</t>
  </si>
  <si>
    <t>Makayla Demelo44832</t>
  </si>
  <si>
    <t>Arms, Quadricps, Feet</t>
  </si>
  <si>
    <t>Bella Beltran44832</t>
  </si>
  <si>
    <t>Makiya Christensen44833</t>
  </si>
  <si>
    <t>Amanda Delgado44833</t>
  </si>
  <si>
    <t>Alice Santen44833</t>
  </si>
  <si>
    <t>Bella Beltran44833</t>
  </si>
  <si>
    <t>Makayla Demelo44833</t>
  </si>
  <si>
    <t>Neck, Back, Hip Flexors, Glutes, Hamstrings, Quadricps, Adductors, Calves, Feet</t>
  </si>
  <si>
    <t>Sarah Murphy44833</t>
  </si>
  <si>
    <t>Kailey Park44833</t>
  </si>
  <si>
    <t>Amanda Perez44833</t>
  </si>
  <si>
    <t>Back, Shoulders, Arms</t>
  </si>
  <si>
    <t>Lilly Horne44833</t>
  </si>
  <si>
    <t>Neck, Shoulders, Hip Flexors, Hamstrings, Quadricps</t>
  </si>
  <si>
    <t>Abby Stewart44833</t>
  </si>
  <si>
    <t>Back, Shoulders, Quadricps, Feet</t>
  </si>
  <si>
    <t>Genevieve Watkins44833</t>
  </si>
  <si>
    <t>Megan Tinsley44833</t>
  </si>
  <si>
    <t>Jessie Halladay44833</t>
  </si>
  <si>
    <t>Amanda Delgado44834</t>
  </si>
  <si>
    <t>Kailey Park44834</t>
  </si>
  <si>
    <t>Alice Santen44834</t>
  </si>
  <si>
    <t>Megan Tinsley44834</t>
  </si>
  <si>
    <t>Makiya Christensen44834</t>
  </si>
  <si>
    <t>Megan Tinsley44835</t>
  </si>
  <si>
    <t>Alice Santen44835</t>
  </si>
  <si>
    <t>Makiya Christensen44835</t>
  </si>
  <si>
    <t>Amanda Perez44835</t>
  </si>
  <si>
    <t>Kailey Park44835</t>
  </si>
  <si>
    <t>Jessie Halladay44835</t>
  </si>
  <si>
    <t>Abby Stewart44835</t>
  </si>
  <si>
    <t>Makayla Demelo44835</t>
  </si>
  <si>
    <t>Jennie Immethun44835</t>
  </si>
  <si>
    <t>Amanda Delgado44836</t>
  </si>
  <si>
    <t>Neck, Back, Hip Flexors, Adductors, Calves, Feet</t>
  </si>
  <si>
    <t>Makiya Christensen44836</t>
  </si>
  <si>
    <t>Kailey Park44836</t>
  </si>
  <si>
    <t>Alice Santen44836</t>
  </si>
  <si>
    <t>Megan Tinsley44836</t>
  </si>
  <si>
    <t>Neck, Back, Glutes, Hamstrings</t>
  </si>
  <si>
    <t>Makayla Demelo44836</t>
  </si>
  <si>
    <t>Makiya Christensen44837</t>
  </si>
  <si>
    <t>Megan Tinsley44837</t>
  </si>
  <si>
    <t>Bella Beltran44837</t>
  </si>
  <si>
    <t>Neck, Back, Hip Flexors</t>
  </si>
  <si>
    <t>Makayla Demelo44837</t>
  </si>
  <si>
    <t>Kailey Park44837</t>
  </si>
  <si>
    <t>Hip Flexors, Glutes, Hamstrings, Quadricps, Calves</t>
  </si>
  <si>
    <t>Sydney Saypack44837</t>
  </si>
  <si>
    <t>Sophia Pearlmann44837</t>
  </si>
  <si>
    <t>Alice Santen44837</t>
  </si>
  <si>
    <t>Back, Shoulders, Calves, Feet</t>
  </si>
  <si>
    <t>Makiya Christensen44838</t>
  </si>
  <si>
    <t>Jessie Halladay44838</t>
  </si>
  <si>
    <t>Amanda Delgado44838</t>
  </si>
  <si>
    <t>Lilly Horne44838</t>
  </si>
  <si>
    <t>Amanda Perez44838</t>
  </si>
  <si>
    <t>Megan Tinsley44838</t>
  </si>
  <si>
    <t>Genevieve Watkins44838</t>
  </si>
  <si>
    <t>Makayla Demelo44838</t>
  </si>
  <si>
    <t>Bella Beltran44838</t>
  </si>
  <si>
    <t>Kailey Park44838</t>
  </si>
  <si>
    <t>Sarai Zedingil44838</t>
  </si>
  <si>
    <t>Sydney Saypack44838</t>
  </si>
  <si>
    <t>Makiya Christensen44839</t>
  </si>
  <si>
    <t>Megan Tinsley44839</t>
  </si>
  <si>
    <t>Sophia Pearlmann44839</t>
  </si>
  <si>
    <t>Kailey Park44839</t>
  </si>
  <si>
    <t>Makayla Demelo44839</t>
  </si>
  <si>
    <t>Jessie Halladay44840</t>
  </si>
  <si>
    <t>Makiya Christensen44840</t>
  </si>
  <si>
    <t>Alice Santen44840</t>
  </si>
  <si>
    <t>Bella Beltran44840</t>
  </si>
  <si>
    <t>Megan Tinsley44840</t>
  </si>
  <si>
    <t>Sadie Kenny44840</t>
  </si>
  <si>
    <t>Neck, Back, Shoulders, Glutes, Hamstrings, Quadricps, Adductors, Calves, Feet</t>
  </si>
  <si>
    <t>Sarah Murphy44840</t>
  </si>
  <si>
    <t>Ellen Loncar44840</t>
  </si>
  <si>
    <t>Abby Stewart44840</t>
  </si>
  <si>
    <t>Back, Glutes, Hamstrings, Quadricps, Feet</t>
  </si>
  <si>
    <t>Genevieve Watkins44840</t>
  </si>
  <si>
    <t>Hip Flexors, Glutes, Hamstrings, Quadricps, Adductors, Feet</t>
  </si>
  <si>
    <t>Sophia Pearlmann44840</t>
  </si>
  <si>
    <t>Neck, Back, Shoulders, Hip Flexors</t>
  </si>
  <si>
    <t>Karla Sandoval44840</t>
  </si>
  <si>
    <t>Back, Shoulders, Glutes, Hamstrings, Quadricps, Calves</t>
  </si>
  <si>
    <t>Sydney Saypack44840</t>
  </si>
  <si>
    <t>Shoulders, Hip Flexors, Glutes, Quadricps, Calves, Feet</t>
  </si>
  <si>
    <t>Abby Lynch44840</t>
  </si>
  <si>
    <t>Amanda Perez44840</t>
  </si>
  <si>
    <t>Kailey Park44840</t>
  </si>
  <si>
    <t>Megan Tinsley44841</t>
  </si>
  <si>
    <t>Jennie Immethun44841</t>
  </si>
  <si>
    <t>Amanda Perez44841</t>
  </si>
  <si>
    <t>Kailey Park44841</t>
  </si>
  <si>
    <t>Makiya Christensen44841</t>
  </si>
  <si>
    <t>Amanda Delgado44841</t>
  </si>
  <si>
    <t>Alice Santen44841</t>
  </si>
  <si>
    <t>Makiya Christensen44842</t>
  </si>
  <si>
    <t>Megan Tinsley44842</t>
  </si>
  <si>
    <t>Alice Santen44842</t>
  </si>
  <si>
    <t>Megan Tinsley44843</t>
  </si>
  <si>
    <t>Amanda Delgado44843</t>
  </si>
  <si>
    <t>Kailey Park44843</t>
  </si>
  <si>
    <t>Alice Santen44843</t>
  </si>
  <si>
    <t>Neck, Back, Hip Flexors, Quadricps, Calves, Feet</t>
  </si>
  <si>
    <t>Makiya Christensen44843</t>
  </si>
  <si>
    <t>Back, Glutes, Hamstrings, Quadricps, Adductors, Calves</t>
  </si>
  <si>
    <t>Sydney Saypack44843</t>
  </si>
  <si>
    <t>Amanda Perez44843</t>
  </si>
  <si>
    <t>Jessie Halladay44843</t>
  </si>
  <si>
    <t>Megan Tinsley44844</t>
  </si>
  <si>
    <t>Jessie Halladay44844</t>
  </si>
  <si>
    <t>Madison Smith44844</t>
  </si>
  <si>
    <t>Kailey Park44844</t>
  </si>
  <si>
    <t>Makiya Christensen44844</t>
  </si>
  <si>
    <t>Alice Santen44844</t>
  </si>
  <si>
    <t>Makayla Demelo44844</t>
  </si>
  <si>
    <t>Neck, Back, Shoulders, Hip Flexors, Adductors, Calves, Feet</t>
  </si>
  <si>
    <t>Makiya Christensen44845</t>
  </si>
  <si>
    <t>Jennie Immethun44845</t>
  </si>
  <si>
    <t>Amanda Delgado44845</t>
  </si>
  <si>
    <t>Jessie Halladay44845</t>
  </si>
  <si>
    <t>Megan Tinsley44845</t>
  </si>
  <si>
    <t>Alice Santen44845</t>
  </si>
  <si>
    <t>Neck, Shoulders, Hip Flexors, Hamstrings, Quadricps, Calves</t>
  </si>
  <si>
    <t>Abby Stewart44845</t>
  </si>
  <si>
    <t>Sydney Saypack44845</t>
  </si>
  <si>
    <t>Alice Santen44846</t>
  </si>
  <si>
    <t>Amanda Perez44846</t>
  </si>
  <si>
    <t>Megan Tinsley44846</t>
  </si>
  <si>
    <t>Neck, Back, Shoulders, Arms, Hip Flexors, Quadricps, Adductors, Calves, Feet</t>
  </si>
  <si>
    <t>Makiya Christensen44846</t>
  </si>
  <si>
    <t>Kailey Park44846</t>
  </si>
  <si>
    <t>Neck, Back, Shoulders, Hip Flexors, Calves, Feet</t>
  </si>
  <si>
    <t>Makiya Christensen44847</t>
  </si>
  <si>
    <t>Jessie Halladay44847</t>
  </si>
  <si>
    <t>Amanda Delgado44847</t>
  </si>
  <si>
    <t>Alice Santen44847</t>
  </si>
  <si>
    <t>Megan Tinsley44847</t>
  </si>
  <si>
    <t>Kailey Park44847</t>
  </si>
  <si>
    <t>Sydney Saypack44847</t>
  </si>
  <si>
    <t>Shoulders, Hip Flexors, Glutes, Hamstrings, Calves, Feet</t>
  </si>
  <si>
    <t>Abby Lynch44847</t>
  </si>
  <si>
    <t>Amanda Delgado44848</t>
  </si>
  <si>
    <t>Alice Santen44848</t>
  </si>
  <si>
    <t>Megan Tinsley44848</t>
  </si>
  <si>
    <t>Kailey Park44848</t>
  </si>
  <si>
    <t>Makiya Christensen44848</t>
  </si>
  <si>
    <t>Amanda Perez44849</t>
  </si>
  <si>
    <t>Amanda Delgado44849</t>
  </si>
  <si>
    <t>Alice Santen44849</t>
  </si>
  <si>
    <t>Megan Tinsley44849</t>
  </si>
  <si>
    <t>Neck, Back, Shoulders, Adductors, Calves, Feet</t>
  </si>
  <si>
    <t>Makiya Christensen44849</t>
  </si>
  <si>
    <t>Megan Tinsley44850</t>
  </si>
  <si>
    <t>Alice Santen44850</t>
  </si>
  <si>
    <t>Kailey Park44850</t>
  </si>
  <si>
    <t>Jessie Halladay44850</t>
  </si>
  <si>
    <t>Amanda Delgado44850</t>
  </si>
  <si>
    <t>Back, Hip Flexors, Glutes, Adductors, Feet</t>
  </si>
  <si>
    <t>Makiya Christensen44850</t>
  </si>
  <si>
    <t>Neck, Back, Hip Flexors, Adductors, Feet</t>
  </si>
  <si>
    <t>Makiya Christensen44851</t>
  </si>
  <si>
    <t>Megan Tinsley44851</t>
  </si>
  <si>
    <t>Kailey Park44851</t>
  </si>
  <si>
    <t>Alice Santen44851</t>
  </si>
  <si>
    <t>Kailey Park44852</t>
  </si>
  <si>
    <t>Amanda Delgado44852</t>
  </si>
  <si>
    <t>Alice Santen44852</t>
  </si>
  <si>
    <t>Megan Tinsley44853</t>
  </si>
  <si>
    <t>Makiya Christensen44853</t>
  </si>
  <si>
    <t>Kailey Park44853</t>
  </si>
  <si>
    <t>Jessie Halladay44854</t>
  </si>
  <si>
    <t>Makiya Christensen44854</t>
  </si>
  <si>
    <t>Jennie Immethun44854</t>
  </si>
  <si>
    <t>Neck, Back, Hip Flexors, Feet</t>
  </si>
  <si>
    <t>Makiya Christensen44855</t>
  </si>
  <si>
    <t>Megan Tinsley44855</t>
  </si>
  <si>
    <t>Kailey Park44855</t>
  </si>
  <si>
    <t>Megan Tinsley44856</t>
  </si>
  <si>
    <t>Megan Tinsley44857</t>
  </si>
  <si>
    <t>Neck, Arms, Hamstrings, Adductors</t>
  </si>
  <si>
    <t>Jennie Immethun44858</t>
  </si>
  <si>
    <t>Kailey Park44858</t>
  </si>
  <si>
    <t>Kailey Park44859</t>
  </si>
  <si>
    <t>Makiya Christensen44859</t>
  </si>
  <si>
    <t>Megan Tinsley44859</t>
  </si>
  <si>
    <t>Makiya Christensen44860</t>
  </si>
  <si>
    <t>Megan Tinsley44860</t>
  </si>
  <si>
    <t>Kailey Park44860</t>
  </si>
  <si>
    <t>Makiya Christensen44861</t>
  </si>
  <si>
    <t>Alice Santen44861</t>
  </si>
  <si>
    <t>Megan Tinsley44861</t>
  </si>
  <si>
    <t>Alice Santen44862</t>
  </si>
  <si>
    <t>Arms, Hamstrings</t>
  </si>
  <si>
    <t>Kailey Park44862</t>
  </si>
  <si>
    <t>Shoulders, Feet</t>
  </si>
  <si>
    <t>Megan Tinsley44862</t>
  </si>
  <si>
    <t>Kailey Park44864</t>
  </si>
  <si>
    <t>Alice Santen44865</t>
  </si>
  <si>
    <t>Kailey Park44866</t>
  </si>
  <si>
    <t>Kailey Park44867</t>
  </si>
  <si>
    <t>Kailey Park44868</t>
  </si>
  <si>
    <t>Alice Santen44869</t>
  </si>
  <si>
    <t>Kailey Park44870</t>
  </si>
  <si>
    <t>Kailey Park44873</t>
  </si>
  <si>
    <t>Alice Santen44874</t>
  </si>
  <si>
    <t>Back, Shoulders, Hamstrings</t>
  </si>
  <si>
    <t>Kailey Park44875</t>
  </si>
  <si>
    <t>Alice Santen44875</t>
  </si>
  <si>
    <t>Kailey Park44877</t>
  </si>
  <si>
    <t>Kailey Park44878</t>
  </si>
  <si>
    <t>Alice Santen44878</t>
  </si>
  <si>
    <t>Kailey Park44879</t>
  </si>
  <si>
    <t>Alice Santen44879</t>
  </si>
  <si>
    <t>Kailey Park44880</t>
  </si>
  <si>
    <t>Kailey Park44882</t>
  </si>
  <si>
    <t>Kailey Park44883</t>
  </si>
  <si>
    <t>Kailey Park44885</t>
  </si>
  <si>
    <t>Kailey Park44887</t>
  </si>
  <si>
    <t>Kailey Park44888</t>
  </si>
  <si>
    <t>Kailey Park44889</t>
  </si>
  <si>
    <t>Kailey Park44893</t>
  </si>
  <si>
    <t>Kailey Park44897</t>
  </si>
  <si>
    <t>Kailey Park44935</t>
  </si>
  <si>
    <t>Kailey Park44938</t>
  </si>
  <si>
    <t>McKenna Lutzker44938</t>
  </si>
  <si>
    <t>Gabriella Marchal44938</t>
  </si>
  <si>
    <t>Back, Shoulders, Arms, Hamstrings, Quadricps, Calves</t>
  </si>
  <si>
    <t>Makiya Christensen44938</t>
  </si>
  <si>
    <t>Shoulders, Arms, Hamstrings</t>
  </si>
  <si>
    <t>Megan Tinsley44938</t>
  </si>
  <si>
    <t>Kelsey Wong44938</t>
  </si>
  <si>
    <t>Shoulders, Arms, Quadricps</t>
  </si>
  <si>
    <t>Genevieve Watkins44938</t>
  </si>
  <si>
    <t>Megan Rucker44939</t>
  </si>
  <si>
    <t>Kailey Park44939</t>
  </si>
  <si>
    <t>Megan Tinsley44939</t>
  </si>
  <si>
    <t>Genevieve Watkins44939</t>
  </si>
  <si>
    <t>Back, Hip Flexors, Glutes, Calves</t>
  </si>
  <si>
    <t>Makiya Christensen44939</t>
  </si>
  <si>
    <t>McKenna Lutzker44940</t>
  </si>
  <si>
    <t>Neck, Back, Hip Flexors, Glutes, Adductors</t>
  </si>
  <si>
    <t>Makiya Christensen44940</t>
  </si>
  <si>
    <t>Makiya Christensen44941</t>
  </si>
  <si>
    <t>Makiya Christensen44942</t>
  </si>
  <si>
    <t>Kailey Park44942</t>
  </si>
  <si>
    <t>McKenna Lutzker44943</t>
  </si>
  <si>
    <t>Genevieve Watkins44943</t>
  </si>
  <si>
    <t>Alice Santen44943</t>
  </si>
  <si>
    <t>Megan Rucker44943</t>
  </si>
  <si>
    <t>Kailey Park44943</t>
  </si>
  <si>
    <t>Back, Hip Flexors, Glutes</t>
  </si>
  <si>
    <t>Makiya Christensen44943</t>
  </si>
  <si>
    <t>Megan Tinsley44943</t>
  </si>
  <si>
    <t>Kelsey Wong44944</t>
  </si>
  <si>
    <t>Genevieve Watkins44944</t>
  </si>
  <si>
    <t>McKenna Lutzker44944</t>
  </si>
  <si>
    <t>Sophia Pearlmann44944</t>
  </si>
  <si>
    <t>Kailey Park44944</t>
  </si>
  <si>
    <t>Back, Hip Flexors, Glutes, Quadricps</t>
  </si>
  <si>
    <t>Makiya Christensen44944</t>
  </si>
  <si>
    <t>Shoulders, Hip Flexors, Glutes</t>
  </si>
  <si>
    <t>Megan Rucker44944</t>
  </si>
  <si>
    <t>Megan Tinsley44944</t>
  </si>
  <si>
    <t>Hip Flexors, Quadricps, Adductors</t>
  </si>
  <si>
    <t>Ellie Sommers44944</t>
  </si>
  <si>
    <t>Shoulders, Chest, Hip Flexors, Hamstrings, Quadricps</t>
  </si>
  <si>
    <t>Gabriella Marchal44944</t>
  </si>
  <si>
    <t>Shoulders, Chest, Arms</t>
  </si>
  <si>
    <t>Jennessa Groves44944</t>
  </si>
  <si>
    <t>Arms, Hip Flexors, Hamstrings</t>
  </si>
  <si>
    <t>Madison Thomas44944</t>
  </si>
  <si>
    <t>Shoulders, Arms</t>
  </si>
  <si>
    <t>Alice Santen44944</t>
  </si>
  <si>
    <t>Neck, Back, Shoulders, Chest, Arms</t>
  </si>
  <si>
    <t>Ellen Loncar44944</t>
  </si>
  <si>
    <t>Ellie Sommers44945</t>
  </si>
  <si>
    <t>Kailey Park44945</t>
  </si>
  <si>
    <t>Arms, Quadricps, Calves</t>
  </si>
  <si>
    <t>Genevieve Watkins44945</t>
  </si>
  <si>
    <t>McKenna Lutzker44945</t>
  </si>
  <si>
    <t>Hip Flexors, Glutes, Hamstrings, Calves</t>
  </si>
  <si>
    <t>Sophia Pearlmann44945</t>
  </si>
  <si>
    <t>Makiya Christensen44945</t>
  </si>
  <si>
    <t>Megan Tinsley44945</t>
  </si>
  <si>
    <t>Neck, Back, Shoulders, Chest, Arms, Hamstrings</t>
  </si>
  <si>
    <t>Ellen Loncar44945</t>
  </si>
  <si>
    <t>Arms, Glutes, Hamstrings, Quadricps</t>
  </si>
  <si>
    <t>Megan Rucker44945</t>
  </si>
  <si>
    <t>Gabriella Marchal44945</t>
  </si>
  <si>
    <t>Shoulders, Arms, Hamstrings, Quadricps</t>
  </si>
  <si>
    <t>Alice Santen44945</t>
  </si>
  <si>
    <t>Back, Arms, Hip Flexors, Feet</t>
  </si>
  <si>
    <t>Kelsey Wong44945</t>
  </si>
  <si>
    <t>Alice Santen44946</t>
  </si>
  <si>
    <t>Arms, Hamstrings, Quadricps, Calves</t>
  </si>
  <si>
    <t>Genevieve Watkins44946</t>
  </si>
  <si>
    <t>Glutes, Hamstrings, Quadricps, Adductors</t>
  </si>
  <si>
    <t>Ellie Sommers44946</t>
  </si>
  <si>
    <t>Arms, Hamstrings, Quadricps</t>
  </si>
  <si>
    <t>Kailey Park44946</t>
  </si>
  <si>
    <t>Makiya Christensen44946</t>
  </si>
  <si>
    <t>Bella Beltran44946</t>
  </si>
  <si>
    <t>Gabriella Marchal44946</t>
  </si>
  <si>
    <t>Megan Tinsley44946</t>
  </si>
  <si>
    <t>Ellen Loncar44946</t>
  </si>
  <si>
    <t>Hip Flexors, Quadricps, Feet</t>
  </si>
  <si>
    <t>Kelsey Wong44946</t>
  </si>
  <si>
    <t>Madison Thomas44946</t>
  </si>
  <si>
    <t>Madison Werner44946</t>
  </si>
  <si>
    <t>Glutes, Calves</t>
  </si>
  <si>
    <t>Jennessa Groves44946</t>
  </si>
  <si>
    <t>Amber McCorkle44946</t>
  </si>
  <si>
    <t>Neck, Shoulders, Arms, Hip Flexors, Glutes, Hamstrings, Quadricps</t>
  </si>
  <si>
    <t>Megan Rucker44946</t>
  </si>
  <si>
    <t>Hip Flexors, Glutes, Hamstrings, Calves, Feet</t>
  </si>
  <si>
    <t>Abby Lynch44946</t>
  </si>
  <si>
    <t>Sophia Pearlmann44946</t>
  </si>
  <si>
    <t>Makiya Christensen44947</t>
  </si>
  <si>
    <t>Shoulders, Hip Flexors, Glutes, Quadricps</t>
  </si>
  <si>
    <t>Ellie Sommers44947</t>
  </si>
  <si>
    <t>Megan Tinsley44947</t>
  </si>
  <si>
    <t>Back, Hip Flexors, Calves, Feet</t>
  </si>
  <si>
    <t>Makiya Christensen44948</t>
  </si>
  <si>
    <t>Kailey Park44948</t>
  </si>
  <si>
    <t>McKenna Lutzker44949</t>
  </si>
  <si>
    <t>Genevieve Watkins44949</t>
  </si>
  <si>
    <t>Shoulders, Hip Flexors, Adductors</t>
  </si>
  <si>
    <t>Ellie Sommers44949</t>
  </si>
  <si>
    <t>Back, Hip Flexors, Glutes, Hamstrings</t>
  </si>
  <si>
    <t>Megan Rucker44949</t>
  </si>
  <si>
    <t>Megan Tinsley44949</t>
  </si>
  <si>
    <t>Back, Hip Flexors, Calves</t>
  </si>
  <si>
    <t>Kailey Park44949</t>
  </si>
  <si>
    <t>Sophia Pearlmann44949</t>
  </si>
  <si>
    <t>Makiya Christensen44949</t>
  </si>
  <si>
    <t>Bella Beltran44949</t>
  </si>
  <si>
    <t>Jennessa Groves44949</t>
  </si>
  <si>
    <t>Gabriella Marchal44949</t>
  </si>
  <si>
    <t>Alice Santen44949</t>
  </si>
  <si>
    <t>Neck, Back, Shoulders, Hamstrings</t>
  </si>
  <si>
    <t>Ellen Loncar44949</t>
  </si>
  <si>
    <t>Kelsey Wong44949</t>
  </si>
  <si>
    <t>Madison Thomas44949</t>
  </si>
  <si>
    <t>Hip Flexors, Hamstrings, Calves, Feet</t>
  </si>
  <si>
    <t>Abby Lynch44949</t>
  </si>
  <si>
    <t>Amber McCorkle44949</t>
  </si>
  <si>
    <t>Madison Werner44949</t>
  </si>
  <si>
    <t>Ellie Sommers44950</t>
  </si>
  <si>
    <t>Neck, Shoulders, Arms, Calves</t>
  </si>
  <si>
    <t>Genevieve Watkins44950</t>
  </si>
  <si>
    <t>Gabriella Marchal44950</t>
  </si>
  <si>
    <t>Shoulders, Chest</t>
  </si>
  <si>
    <t>Bella Beltran44950</t>
  </si>
  <si>
    <t>Makiya Christensen44950</t>
  </si>
  <si>
    <t>Back, Shoulders, Arms, Hip Flexors, Hamstrings, Quadricps</t>
  </si>
  <si>
    <t>Megan Rucker44950</t>
  </si>
  <si>
    <t>Kailey Park44950</t>
  </si>
  <si>
    <t>Shoulders, Arms, Glutes, Hamstrings</t>
  </si>
  <si>
    <t>Ellen Loncar44950</t>
  </si>
  <si>
    <t>Megan Tinsley44950</t>
  </si>
  <si>
    <t>Alice Santen44950</t>
  </si>
  <si>
    <t>Back, Glutes, Hamstrings, Calves, Feet</t>
  </si>
  <si>
    <t>Abby Lynch44950</t>
  </si>
  <si>
    <t>Amber McCorkle44950</t>
  </si>
  <si>
    <t>Madison Werner44950</t>
  </si>
  <si>
    <t>Shoulders, Hip Flexors, Hamstrings</t>
  </si>
  <si>
    <t>Ellie Sommers44951</t>
  </si>
  <si>
    <t>McKenna Lutzker44951</t>
  </si>
  <si>
    <t>Arms, Hamstrings, Quadricps, Feet</t>
  </si>
  <si>
    <t>Gabriella Marchal44951</t>
  </si>
  <si>
    <t>Neck, Shoulders, Arms, Hamstrings, Quadricps, Calves</t>
  </si>
  <si>
    <t>Genevieve Watkins44951</t>
  </si>
  <si>
    <t>Bella Beltran44951</t>
  </si>
  <si>
    <t>Alice Santen44951</t>
  </si>
  <si>
    <t>Back, Shoulders, Arms, Hip Flexors, Glutes, Hamstrings, Quadricps</t>
  </si>
  <si>
    <t>Megan Rucker44951</t>
  </si>
  <si>
    <t>Makiya Christensen44951</t>
  </si>
  <si>
    <t>Megan Tinsley44951</t>
  </si>
  <si>
    <t>Kailey Park44951</t>
  </si>
  <si>
    <t>Shoulders, Chest, Arms, Hip Flexors, Glutes, Hamstrings, Quadricps</t>
  </si>
  <si>
    <t>Sophia Pearlmann44951</t>
  </si>
  <si>
    <t>Back, Glutes, Hamstrings</t>
  </si>
  <si>
    <t>Ellen Loncar44951</t>
  </si>
  <si>
    <t>Madison Werner44951</t>
  </si>
  <si>
    <t>Amber McCorkle44951</t>
  </si>
  <si>
    <t>Back, Shoulders, Hamstrings, Feet</t>
  </si>
  <si>
    <t>Kelsey Wong44951</t>
  </si>
  <si>
    <t>Shoulders, Chest, Arms, Glutes, Hamstrings, Adductors, Calves, Feet</t>
  </si>
  <si>
    <t>Abby Lynch44951</t>
  </si>
  <si>
    <t>Neck, Shoulders, Glutes</t>
  </si>
  <si>
    <t>Jennessa Groves44951</t>
  </si>
  <si>
    <t>Gabriella Marchal44952</t>
  </si>
  <si>
    <t>McKenna Lutzker44952</t>
  </si>
  <si>
    <t>Shoulders, Arms, Glutes, Hamstrings, Quadricps</t>
  </si>
  <si>
    <t>Genevieve Watkins44952</t>
  </si>
  <si>
    <t>Alice Santen44952</t>
  </si>
  <si>
    <t>Makiya Christensen44952</t>
  </si>
  <si>
    <t>Back, Hip Flexors, Hamstrings</t>
  </si>
  <si>
    <t>Megan Tinsley44952</t>
  </si>
  <si>
    <t>Bella Beltran44952</t>
  </si>
  <si>
    <t>Kailey Park44952</t>
  </si>
  <si>
    <t>Megan Rucker44952</t>
  </si>
  <si>
    <t>Back, Shoulders, Hamstrings, Calves</t>
  </si>
  <si>
    <t>Ellen Loncar44952</t>
  </si>
  <si>
    <t>Shoulders, Hip Flexors, Hamstrings, Adductors</t>
  </si>
  <si>
    <t>Ellie Sommers44952</t>
  </si>
  <si>
    <t>Back, Chest, Arms, Hamstrings, Feet</t>
  </si>
  <si>
    <t>Kelsey Wong44952</t>
  </si>
  <si>
    <t>Shoulders, Arms, Hamstrings, Quadricps, Calves</t>
  </si>
  <si>
    <t>Genevieve Watkins44953</t>
  </si>
  <si>
    <t>Gabriella Marchal44953</t>
  </si>
  <si>
    <t>Back, Shoulders, Hip Flexors</t>
  </si>
  <si>
    <t>Makiya Christensen44953</t>
  </si>
  <si>
    <t>Kailey Park44953</t>
  </si>
  <si>
    <t>Back, Shoulders, Glutes</t>
  </si>
  <si>
    <t>Jennessa Groves44953</t>
  </si>
  <si>
    <t>Shoulders, Hip Flexors</t>
  </si>
  <si>
    <t>Ellie Sommers44953</t>
  </si>
  <si>
    <t>Neck, Back, Shoulders, Hip Flexors, Adductors</t>
  </si>
  <si>
    <t>Makiya Christensen44954</t>
  </si>
  <si>
    <t>Kailey Park44954</t>
  </si>
  <si>
    <t>Makiya Christensen44955</t>
  </si>
  <si>
    <t>Kailey Park44955</t>
  </si>
  <si>
    <t>Kailey Park44956</t>
  </si>
  <si>
    <t>Back, Hamstrings, Feet</t>
  </si>
  <si>
    <t>Kelsey Wong44956</t>
  </si>
  <si>
    <t>Sophia Pearlmann44956</t>
  </si>
  <si>
    <t>Genevieve Watkins44956</t>
  </si>
  <si>
    <t>Alice Santen44956</t>
  </si>
  <si>
    <t>Megan Rucker44956</t>
  </si>
  <si>
    <t>Back, Shoulders, Calves</t>
  </si>
  <si>
    <t>Ellen Loncar44956</t>
  </si>
  <si>
    <t>Makiya Christensen44956</t>
  </si>
  <si>
    <t>Ellie Sommers44956</t>
  </si>
  <si>
    <t>Gabriella Marchal44956</t>
  </si>
  <si>
    <t>Megan Tinsley44956</t>
  </si>
  <si>
    <t>Madison Werner44956</t>
  </si>
  <si>
    <t>Bella Beltran44956</t>
  </si>
  <si>
    <t>Neck, Calves</t>
  </si>
  <si>
    <t>Jennessa Groves44956</t>
  </si>
  <si>
    <t>Madison Thomas44956</t>
  </si>
  <si>
    <t>Neck, Hip Flexors, Feet</t>
  </si>
  <si>
    <t>Abby Lynch44956</t>
  </si>
  <si>
    <t>McKenna Lutzker44957</t>
  </si>
  <si>
    <t>Genevieve Watkins44957</t>
  </si>
  <si>
    <t>Shoulders, Chest, Hamstrings</t>
  </si>
  <si>
    <t>Bella Beltran44957</t>
  </si>
  <si>
    <t>Gabriella Marchal44957</t>
  </si>
  <si>
    <t>Neck, Back, Arms, Hamstrings, Calves</t>
  </si>
  <si>
    <t>Ellen Loncar44957</t>
  </si>
  <si>
    <t>Neck, Back, Shoulders, Hip Flexors, Hamstrings, Adductors</t>
  </si>
  <si>
    <t>Makiya Christensen44957</t>
  </si>
  <si>
    <t>Ellie Sommers44957</t>
  </si>
  <si>
    <t>Kailey Park44957</t>
  </si>
  <si>
    <t>Kelsey Wong44957</t>
  </si>
  <si>
    <t>Hamstrings, Adductors</t>
  </si>
  <si>
    <t>Ellie Sommers44958</t>
  </si>
  <si>
    <t>Kailey Park44958</t>
  </si>
  <si>
    <t>Alice Santen44958</t>
  </si>
  <si>
    <t>Gabriella Marchal44958</t>
  </si>
  <si>
    <t>Sophia Pearlmann44958</t>
  </si>
  <si>
    <t>Megan Rucker44958</t>
  </si>
  <si>
    <t>Neck, Back, Shoulders, Hip Flexors, Hamstrings, Quadricps, Adductors</t>
  </si>
  <si>
    <t>Makiya Christensen44958</t>
  </si>
  <si>
    <t>Chest, Arms, Hamstrings, Quadricps, Calves</t>
  </si>
  <si>
    <t>Genevieve Watkins44958</t>
  </si>
  <si>
    <t>Megan Tinsley44958</t>
  </si>
  <si>
    <t>Ellen Loncar44958</t>
  </si>
  <si>
    <t>Bella Beltran44958</t>
  </si>
  <si>
    <t>Kelsey Wong44958</t>
  </si>
  <si>
    <t>Glutes, Feet</t>
  </si>
  <si>
    <t>Jennessa Groves44958</t>
  </si>
  <si>
    <t>Back, Glutes, Hamstrings, Adductors, Calves, Feet</t>
  </si>
  <si>
    <t>Abby Lynch44958</t>
  </si>
  <si>
    <t>Madison Werner44958</t>
  </si>
  <si>
    <t>Madison Thomas44958</t>
  </si>
  <si>
    <t>Neck, Back, Shoulders, Arms, Hip Flexors, Hamstrings, Adductors</t>
  </si>
  <si>
    <t>Shoulders, Hip Flexors, Glutes, Hamstrings, Quadricps</t>
  </si>
  <si>
    <t>Neck, Shoulders, Quadricps, Adductors</t>
  </si>
  <si>
    <t>Arms, Hip Flexors, Glutes, Hamstrings</t>
  </si>
  <si>
    <t>Back, Arms, Hamstrings, Feet</t>
  </si>
  <si>
    <t>Shoulders, Arms, Quadricps, Calves, Feet</t>
  </si>
  <si>
    <t>Neck, Shoulders, Glutes, Feet</t>
  </si>
  <si>
    <t>Shoulders, Glutes, Hamstrings</t>
  </si>
  <si>
    <t>Arms, Quadricps</t>
  </si>
  <si>
    <t>Shoulders, Arms, Hip Flexors, Glutes, Hamstrings, Quadricps</t>
  </si>
  <si>
    <t>Back, Arms, Hip Flexors, Hamstrings, Quadricps, Calves, Feet</t>
  </si>
  <si>
    <t>Back, Arms, Hip Flexors, Hamstrings, Quadricps</t>
  </si>
  <si>
    <t>Neck, Back, Hip Flexors, Quadricps, Adductors</t>
  </si>
  <si>
    <t>Back, Arms, Hamstrings, Calves, Feet</t>
  </si>
  <si>
    <t>Hip Flexors, Adductors</t>
  </si>
  <si>
    <t>Neck, Arms</t>
  </si>
  <si>
    <t>Glutes, Calves, Feet</t>
  </si>
  <si>
    <t>Arms, Glutes, Hamstrings, Calves</t>
  </si>
  <si>
    <t>Back, Shoulders, Hip Flexors, Adductors</t>
  </si>
  <si>
    <t>Chest, Arms, Calves</t>
  </si>
  <si>
    <t>Back, Arms, Hip Flexors, Hamstrings</t>
  </si>
  <si>
    <t>Shoulders, Hamstrings, Quadricps, Calves</t>
  </si>
  <si>
    <t>Neck, Back, Shoulders, Arms, Hip Flexors, Hamstrings, Quadricps</t>
  </si>
  <si>
    <t>Arms, Hip Flexors, Glutes, Hamstrings, Quadricps</t>
  </si>
  <si>
    <t>Neck, Back, Glutes, Quadricps, Feet</t>
  </si>
  <si>
    <t>Back, Shoulders, Hip Flexors, Glutes, Hamstrings</t>
  </si>
  <si>
    <t>Neck, Back, Shoulders, Hip Flexors, Glutes, Hamstrings, Quadricps</t>
  </si>
  <si>
    <t>Shoulders, Hip Flexors, Glutes, Quadricps, Adductors</t>
  </si>
  <si>
    <t>Back, Shoulders, Arms, Hamstrings, Calves</t>
  </si>
  <si>
    <t>Shoulders, Glutes, Hamstrings, Quadricps</t>
  </si>
  <si>
    <t>Neck, Back, Shoulders, Hamstrings, Quadricps</t>
  </si>
  <si>
    <t>Back, Arms, Hamstrings</t>
  </si>
  <si>
    <t>Back, Shoulders, Arms, Hip Flexors, Glutes, Hamstrings, Quadricps, Adductors</t>
  </si>
  <si>
    <t>Shoulders, Glutes, Quadricps</t>
  </si>
  <si>
    <t>Back, Chest, Glutes, Quadricps</t>
  </si>
  <si>
    <t>Arms, Hip Flexors, Glutes, Quadricps, Calves</t>
  </si>
  <si>
    <t>Back, Arms, Glutes, Hamstrings, Quadricps</t>
  </si>
  <si>
    <t>Back, Shoulders, Hip Flexors, Glutes, Quadricps</t>
  </si>
  <si>
    <t>Back, Shoulders, Arms, Hip Flexors, Adductors</t>
  </si>
  <si>
    <t>Back, Glutes, Hamstrings, Quadricps</t>
  </si>
  <si>
    <t>Back, Shoulders, Hip Flexors, Glutes, Hamstrings, Quadricps</t>
  </si>
  <si>
    <t>Back, Arms, Glutes, Hamstrings</t>
  </si>
  <si>
    <t>Neck, Back, Shoulders, Glutes, Hamstrings, Calves</t>
  </si>
  <si>
    <t>Back, Shoulders, Arms, Hip Flexors, Glutes, Hamstrings, Adductors</t>
  </si>
  <si>
    <t>Chest, Arms, Glutes, Hamstrings</t>
  </si>
  <si>
    <t>Back, Shoulders, Glutes, Hamstrings, Calves</t>
  </si>
  <si>
    <t>Shoulders, Glutes, Hamstrings, Calves</t>
  </si>
  <si>
    <t>Back, Arms, Hip Flexors, Glutes, Hamstrings, Quadricps</t>
  </si>
  <si>
    <t>Shoulders, Hip Flexors, Hamstrings, Quadricps</t>
  </si>
  <si>
    <t>Shoulders, Quadricps</t>
  </si>
  <si>
    <t>Chest, Arms, Quadricps</t>
  </si>
  <si>
    <t>Back, Shoulders, Arms, Glutes, Hamstrings, Quadricps, Calves</t>
  </si>
  <si>
    <t>Back, Hip Flexors, Glutes, Hamstrings, Adductors</t>
  </si>
  <si>
    <t>Neck, Back, Shoulders, Arms, Glutes, Hamstrings, Calves</t>
  </si>
  <si>
    <t>Neck, Back, Hip Flexors, Glutes, Hamstrings, Quadricps</t>
  </si>
  <si>
    <t>Neck, Chest, Arms, Feet</t>
  </si>
  <si>
    <t>Back, Arms, Hamstrings, Quadricps, Calves</t>
  </si>
  <si>
    <t>Athlete ID #</t>
  </si>
  <si>
    <t>Athlete 1</t>
  </si>
  <si>
    <t>Athlete 2</t>
  </si>
  <si>
    <t>Athlete 3</t>
  </si>
  <si>
    <t>Athlete 4</t>
  </si>
  <si>
    <t>Athlete 5</t>
  </si>
  <si>
    <t>Athlete 6</t>
  </si>
  <si>
    <t>Athlete 7</t>
  </si>
  <si>
    <t>Athlete 8</t>
  </si>
  <si>
    <t>Athlete 9</t>
  </si>
  <si>
    <t>Athlete 10</t>
  </si>
  <si>
    <t>Athlete 11</t>
  </si>
  <si>
    <t>Athlete 12</t>
  </si>
  <si>
    <t>Athlete 13</t>
  </si>
  <si>
    <t>Athlete 14</t>
  </si>
  <si>
    <t>Athlete 15</t>
  </si>
  <si>
    <t>Athlete 16</t>
  </si>
  <si>
    <t>Athlete 17</t>
  </si>
  <si>
    <t>Athlete 18</t>
  </si>
  <si>
    <t>Athlete</t>
  </si>
  <si>
    <t>Athlete 19</t>
  </si>
  <si>
    <t>Athlete 20</t>
  </si>
  <si>
    <t>Athlete 21</t>
  </si>
  <si>
    <t>Athlete 22</t>
  </si>
  <si>
    <t>Athlete 23</t>
  </si>
  <si>
    <t>Athlete 24</t>
  </si>
  <si>
    <t>Athlete 25</t>
  </si>
  <si>
    <t>Athlete 26</t>
  </si>
  <si>
    <t>Athlete 27</t>
  </si>
  <si>
    <t>Athlete 28</t>
  </si>
  <si>
    <t>Athlete 29</t>
  </si>
  <si>
    <t>Athlete 30</t>
  </si>
  <si>
    <t>Athlete 31</t>
  </si>
  <si>
    <t>Athlete 32</t>
  </si>
  <si>
    <t>Athlete 33</t>
  </si>
  <si>
    <t>Neck, Back, Shoulders, Arms, Glutes, Hamstrings, Calves, Feet</t>
  </si>
  <si>
    <t>Back, Shoulders, Arms, Hip Flexors, Glutes, Quadricps, Calves</t>
  </si>
  <si>
    <t>Back, Shoulders, Hip Flexors, Glutes, Hamstrings, Adductors</t>
  </si>
  <si>
    <t>Neck, Back, Hip Flexors, Glutes</t>
  </si>
  <si>
    <t>Neck, Back, Arms, Glutes, Hamstrings, Calves</t>
  </si>
  <si>
    <t>Back, Hip Flexors, Hamstrings, Quadricps, Adductors</t>
  </si>
  <si>
    <t>Neck, Back, Arms, Glutes, Hamstrings, Calves, Feet</t>
  </si>
  <si>
    <t>Neck, Back, Hamstrings, Quadricps</t>
  </si>
  <si>
    <t>Arms, Hip Flexors, Glutes, Hamstrings, Quadricps, Calves</t>
  </si>
  <si>
    <t>Back, Shoulders, Hip Flexors, Hamstrings</t>
  </si>
  <si>
    <t>Neck, Back, Hip Flexors, Adductors</t>
  </si>
  <si>
    <t>Back, Shoulders, Hip Flexors, Glutes, Quadricps, Adductors</t>
  </si>
  <si>
    <t>Glutes, Quadricps, Adductors</t>
  </si>
  <si>
    <t>Shoulders, Hip Flexors, Quadricps</t>
  </si>
  <si>
    <t>Back, Shoulders, Arms, Glutes, Hamstrings</t>
  </si>
  <si>
    <t>Neck, Back, Feet</t>
  </si>
  <si>
    <t>Glutes, Quadricps, Feet</t>
  </si>
  <si>
    <t>Back, Shoulders, Arms, Feet</t>
  </si>
  <si>
    <t>Shoulders, Arms, Glutes, Hamstrings, Calves, Feet</t>
  </si>
  <si>
    <t>Shoulders, Glutes, Hamstrings, Quadricps, Calves</t>
  </si>
  <si>
    <t>Neck, Back, Chest, Hamstrings, Feet</t>
  </si>
  <si>
    <t>Back, Shoulders, Hip Flexors, Glutes, Hamstrings, Adductors, Calves</t>
  </si>
  <si>
    <t>Hip Flexors, Hamstrings, Quadricps, Adductors</t>
  </si>
  <si>
    <t>Back, Shoulders, Hip Flexors, Quadricps</t>
  </si>
  <si>
    <t>Neck, Back, Shoulders, Hip Flexors, Glutes, Hamstrings, Quadricps, Adductors</t>
  </si>
  <si>
    <t>Neck, Back, Hip Flexors, Hamstrings, Adductors</t>
  </si>
  <si>
    <t>Back, Hip Flexors, Hamstrings, Adductors</t>
  </si>
  <si>
    <t>Shoulders, Glutes, Hamstrings, Calves, Feet</t>
  </si>
  <si>
    <t>Hip Flexors, Hamstrings, Adductors</t>
  </si>
  <si>
    <t>Shoulders, Glutes, Hamstrings, Quadricps, Calves, Feet</t>
  </si>
  <si>
    <t>Neck, Hamstrings, Calves, Feet</t>
  </si>
  <si>
    <t>Back, Hip Flexors, Glutes, Hamstrings, Adductors, Calves</t>
  </si>
  <si>
    <t>Shoulders, Hip Flexors, Glutes, Hamstrings</t>
  </si>
  <si>
    <t>Chest, Arms, Hip Flexors, Glutes</t>
  </si>
  <si>
    <t>Back, Chest, Hip Flexors, Glutes, Adductors, Calves, Feet</t>
  </si>
  <si>
    <t>Shoulders, Hip Flexors, Quadricps, Adductors</t>
  </si>
  <si>
    <t>Back, Quadricps, Adductors, Calves</t>
  </si>
  <si>
    <t>Back, Shoulders, Hip Flexors, Glutes, Hamstrings, Adductors, Feet</t>
  </si>
  <si>
    <t>Neck, Hip Flexors, Glutes, Hamstrings</t>
  </si>
  <si>
    <t>Adductors, Calves</t>
  </si>
  <si>
    <t>Back, Glutes, Quadricps, Calves, Feet</t>
  </si>
  <si>
    <t>Back, Glutes, Calves, Feet</t>
  </si>
  <si>
    <t>Back, Chest, Arms, Hip Flexors, Glutes, Hamstrings, Quadricps</t>
  </si>
  <si>
    <t>Back, Shoulders, Arms, Hip Flexors, Glutes, Hamstrings, Adductors, Feet</t>
  </si>
  <si>
    <t>Chest, Arms, Hip Flexors, Glutes, Hamstrings, Quadricps, Adductors</t>
  </si>
  <si>
    <t>Back, Hip Flexors, Feet</t>
  </si>
  <si>
    <t>Back, Shoulders, Glutes, Hamstrings, Quadricps, Calves, Feet</t>
  </si>
  <si>
    <t>Arms, Hip Flexors, Glutes, Hamstrings, Quadricps, Adductors, Calves, Feet</t>
  </si>
  <si>
    <t>Back, Shoulders, Arms, Hip Flexors, Glutes, Hamstrings</t>
  </si>
  <si>
    <t>Back, Shoulders, Hip Flexors, Glutes, Adductors</t>
  </si>
  <si>
    <t>Back, Shoulders, Chest, Arms, Hip Flexors, Glutes, Hamstrings, Quadricps, Adductors, Calves</t>
  </si>
  <si>
    <t>Neck, Back, Shoulders, Arms, Glutes, Hamstrings, Quadricps, Calves</t>
  </si>
  <si>
    <t>Back, Shoulders, Hip Flexors, Hamstrings, Feet</t>
  </si>
  <si>
    <t>Shoulders</t>
  </si>
  <si>
    <t>Back, Shoulders, Arms, Hip Flexors, Hamstrings, Quadricps, Feet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</si>
</sst>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6" formatCode="m/d/yyyy\ h:mm:ss"/>
  </numFmts>
  <fonts count="14" x14ac:knownFonts="1">
    <font>
      <sz val="10"/>
      <color rgb="FF000000"/>
      <name val="Arial"/>
      <scheme val="minor"/>
    </font>
    <font>
      <sz val="10"/>
      <color rgb="FFFFFFFF"/>
      <name val="Arial"/>
      <family val="2"/>
      <scheme val="minor"/>
    </font>
    <font>
      <sz val="10"/>
      <name val="Arial"/>
      <family val="2"/>
    </font>
    <font>
      <b/>
      <sz val="2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b/>
      <sz val="10"/>
      <color theme="1"/>
      <name val="Arial"/>
      <family val="2"/>
    </font>
    <font>
      <b/>
      <sz val="11"/>
      <color theme="0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rgb="FFFFFFFF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4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 style="thick">
        <color rgb="FF000000"/>
      </left>
      <right/>
      <top/>
      <bottom style="dotted">
        <color rgb="FF000000"/>
      </bottom>
      <diagonal/>
    </border>
    <border>
      <left style="medium">
        <color rgb="FF000000"/>
      </left>
      <right style="thick">
        <color rgb="FF000000"/>
      </right>
      <top style="dotted">
        <color rgb="FF000000"/>
      </top>
      <bottom style="thick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thick">
        <color rgb="FF000000"/>
      </right>
      <top/>
      <bottom style="dotted">
        <color rgb="FF000000"/>
      </bottom>
      <diagonal/>
    </border>
    <border>
      <left style="thick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 style="thick">
        <color rgb="FF000000"/>
      </left>
      <right style="medium">
        <color rgb="FF000000"/>
      </right>
      <top style="dotted">
        <color rgb="FF000000"/>
      </top>
      <bottom style="thick">
        <color rgb="FF000000"/>
      </bottom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 style="thick">
        <color rgb="FF000000"/>
      </bottom>
      <diagonal/>
    </border>
    <border>
      <left style="thick">
        <color rgb="FF000000"/>
      </left>
      <right style="medium">
        <color rgb="FF000000"/>
      </right>
      <top style="dotted">
        <color rgb="FF000000"/>
      </top>
      <bottom/>
      <diagonal/>
    </border>
    <border>
      <left style="medium">
        <color rgb="FF000000"/>
      </left>
      <right style="medium">
        <color rgb="FF000000"/>
      </right>
      <top style="dotted">
        <color rgb="FF000000"/>
      </top>
      <bottom/>
      <diagonal/>
    </border>
    <border>
      <left style="medium">
        <color rgb="FF000000"/>
      </left>
      <right style="thick">
        <color rgb="FF000000"/>
      </right>
      <top style="dotted">
        <color rgb="FF000000"/>
      </top>
      <bottom/>
      <diagonal/>
    </border>
  </borders>
  <cellStyleXfs count="2">
    <xf numFmtId="0" fontId="0" fillId="0" borderId="0"/>
    <xf numFmtId="0" fontId="11" fillId="0" borderId="0"/>
  </cellStyleXfs>
  <cellXfs count="93">
    <xf numFmtId="0" fontId="0" fillId="0" borderId="0" xfId="0"/>
    <xf numFmtId="0" fontId="4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9" fillId="0" borderId="4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16" xfId="0" applyFont="1" applyBorder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14" fontId="4" fillId="0" borderId="17" xfId="0" applyNumberFormat="1" applyFon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2" fontId="4" fillId="0" borderId="17" xfId="0" applyNumberFormat="1" applyFont="1" applyBorder="1" applyAlignment="1">
      <alignment horizontal="center" vertical="center"/>
    </xf>
    <xf numFmtId="2" fontId="4" fillId="0" borderId="18" xfId="0" applyNumberFormat="1" applyFont="1" applyBorder="1" applyAlignment="1">
      <alignment horizontal="center" vertical="center"/>
    </xf>
    <xf numFmtId="14" fontId="4" fillId="0" borderId="0" xfId="0" applyNumberFormat="1" applyFont="1"/>
    <xf numFmtId="0" fontId="8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9" fillId="0" borderId="19" xfId="0" applyFont="1" applyBorder="1" applyAlignment="1">
      <alignment horizontal="center" vertical="center"/>
    </xf>
    <xf numFmtId="164" fontId="4" fillId="0" borderId="20" xfId="0" applyNumberFormat="1" applyFont="1" applyBorder="1" applyAlignment="1">
      <alignment horizontal="center" vertical="center"/>
    </xf>
    <xf numFmtId="164" fontId="4" fillId="0" borderId="13" xfId="0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1" fontId="4" fillId="0" borderId="17" xfId="0" applyNumberFormat="1" applyFont="1" applyBorder="1" applyAlignment="1">
      <alignment horizontal="center" vertical="center"/>
    </xf>
    <xf numFmtId="1" fontId="4" fillId="0" borderId="18" xfId="0" applyNumberFormat="1" applyFont="1" applyBorder="1" applyAlignment="1">
      <alignment horizontal="center" vertical="center"/>
    </xf>
    <xf numFmtId="0" fontId="4" fillId="0" borderId="16" xfId="0" applyFont="1" applyBorder="1"/>
    <xf numFmtId="2" fontId="4" fillId="0" borderId="17" xfId="0" applyNumberFormat="1" applyFont="1" applyBorder="1"/>
    <xf numFmtId="0" fontId="4" fillId="0" borderId="19" xfId="0" applyFont="1" applyBorder="1"/>
    <xf numFmtId="2" fontId="4" fillId="0" borderId="20" xfId="0" applyNumberFormat="1" applyFont="1" applyBorder="1"/>
    <xf numFmtId="2" fontId="4" fillId="0" borderId="20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2" fontId="4" fillId="0" borderId="22" xfId="0" applyNumberFormat="1" applyFont="1" applyBorder="1" applyAlignment="1">
      <alignment horizontal="center" vertical="center"/>
    </xf>
    <xf numFmtId="2" fontId="4" fillId="0" borderId="23" xfId="0" applyNumberFormat="1" applyFont="1" applyBorder="1" applyAlignment="1">
      <alignment horizontal="center" vertical="center"/>
    </xf>
    <xf numFmtId="1" fontId="4" fillId="0" borderId="20" xfId="0" applyNumberFormat="1" applyFont="1" applyBorder="1" applyAlignment="1">
      <alignment horizontal="center" vertical="center"/>
    </xf>
    <xf numFmtId="1" fontId="4" fillId="0" borderId="13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0" xfId="0" applyFont="1"/>
    <xf numFmtId="0" fontId="6" fillId="0" borderId="2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9" fontId="8" fillId="0" borderId="6" xfId="0" applyNumberFormat="1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/>
    <xf numFmtId="165" fontId="8" fillId="0" borderId="6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center"/>
    </xf>
    <xf numFmtId="0" fontId="8" fillId="0" borderId="7" xfId="0" applyFont="1" applyBorder="1" applyAlignment="1">
      <alignment horizontal="center"/>
    </xf>
    <xf numFmtId="14" fontId="8" fillId="0" borderId="11" xfId="0" applyNumberFormat="1" applyFont="1" applyBorder="1" applyAlignment="1">
      <alignment horizontal="center"/>
    </xf>
    <xf numFmtId="1" fontId="8" fillId="0" borderId="11" xfId="0" applyNumberFormat="1" applyFont="1" applyBorder="1" applyAlignment="1">
      <alignment horizontal="center"/>
    </xf>
    <xf numFmtId="2" fontId="8" fillId="0" borderId="11" xfId="0" applyNumberFormat="1" applyFont="1" applyBorder="1" applyAlignment="1">
      <alignment horizontal="center"/>
    </xf>
    <xf numFmtId="9" fontId="8" fillId="0" borderId="8" xfId="0" applyNumberFormat="1" applyFont="1" applyBorder="1" applyAlignment="1">
      <alignment horizontal="center"/>
    </xf>
    <xf numFmtId="0" fontId="8" fillId="0" borderId="7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/>
    </xf>
    <xf numFmtId="165" fontId="8" fillId="0" borderId="8" xfId="0" applyNumberFormat="1" applyFont="1" applyBorder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1" fontId="9" fillId="0" borderId="0" xfId="0" applyNumberFormat="1" applyFont="1" applyAlignment="1">
      <alignment horizontal="center" vertical="center" wrapText="1"/>
    </xf>
    <xf numFmtId="4" fontId="9" fillId="0" borderId="0" xfId="0" applyNumberFormat="1" applyFont="1" applyAlignment="1">
      <alignment horizontal="center" vertical="center" wrapText="1"/>
    </xf>
    <xf numFmtId="166" fontId="4" fillId="0" borderId="0" xfId="0" applyNumberFormat="1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0" xfId="0" applyFont="1"/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9" xfId="0" applyFont="1" applyBorder="1"/>
    <xf numFmtId="0" fontId="2" fillId="0" borderId="3" xfId="0" applyFont="1" applyBorder="1"/>
    <xf numFmtId="0" fontId="2" fillId="0" borderId="12" xfId="0" applyFont="1" applyBorder="1"/>
    <xf numFmtId="0" fontId="2" fillId="0" borderId="14" xfId="0" applyFont="1" applyBorder="1"/>
    <xf numFmtId="0" fontId="2" fillId="0" borderId="15" xfId="0" applyFont="1" applyBorder="1"/>
  </cellXfs>
  <cellStyles count="2">
    <cellStyle name="Normal" xfId="0" builtinId="0"/>
    <cellStyle name="Normal 2" xfId="1" xr:uid="{96C341DF-12DD-4114-B42F-505D624AAA86}"/>
  </cellStyles>
  <dxfs count="53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2" formatCode="0.0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9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numFmt numFmtId="166" formatCode="m/d/yyyy\ h:mm:ss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" formatCode="0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brasher\Downloads\Wellness%20_%20Training%20Dashboard%20(3).xlsx" TargetMode="External"/><Relationship Id="rId1" Type="http://schemas.openxmlformats.org/officeDocument/2006/relationships/externalLinkPath" Target="/Users/jbrasher/Downloads/Wellness%20_%20Training%20Dashboard%20(3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brasher\Downloads\Wellness%20_%20Training%20Dashboard%20(4).xlsx" TargetMode="External"/><Relationship Id="rId1" Type="http://schemas.openxmlformats.org/officeDocument/2006/relationships/externalLinkPath" Target="/Users/jbrasher/Downloads/Wellness%20_%20Training%20Dashboard%20(4)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brasher\Downloads\Wellness%20_%20Training%20Dashboard%20(5).xlsx" TargetMode="External"/><Relationship Id="rId1" Type="http://schemas.openxmlformats.org/officeDocument/2006/relationships/externalLinkPath" Target="/Users/jbrasher/Downloads/Wellness%20_%20Training%20Dashboard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ster"/>
      <sheetName val="Quickview Report"/>
      <sheetName val="Quickview Ref"/>
      <sheetName val="Player Profile"/>
      <sheetName val="Team Wellness Report"/>
      <sheetName val="Team Competition Report"/>
      <sheetName val="Player Profile Ref"/>
      <sheetName val="Team Wellness Ref"/>
      <sheetName val="Team Prac Ref"/>
      <sheetName val="Team Practice Report"/>
      <sheetName val="Wellness Responses"/>
      <sheetName val="Training Responses"/>
      <sheetName val="Team Comp Ref"/>
    </sheetNames>
    <sheetDataSet>
      <sheetData sheetId="0">
        <row r="3">
          <cell r="C3" t="str">
            <v>Madison Werner</v>
          </cell>
          <cell r="D3" t="str">
            <v>FWD</v>
          </cell>
          <cell r="E3" t="str">
            <v>FWD</v>
          </cell>
        </row>
        <row r="4">
          <cell r="C4" t="str">
            <v>Megan Tinsley</v>
          </cell>
          <cell r="D4" t="str">
            <v>FWD</v>
          </cell>
          <cell r="E4" t="str">
            <v>FWD</v>
          </cell>
        </row>
        <row r="5">
          <cell r="C5" t="str">
            <v>Amber McCorkle</v>
          </cell>
          <cell r="D5" t="str">
            <v>F/MID</v>
          </cell>
          <cell r="E5" t="str">
            <v>F/MID</v>
          </cell>
        </row>
        <row r="6">
          <cell r="C6" t="str">
            <v>Ellen Loncar</v>
          </cell>
          <cell r="D6" t="str">
            <v>F/MID</v>
          </cell>
          <cell r="E6" t="str">
            <v>F/MID</v>
          </cell>
        </row>
        <row r="7">
          <cell r="C7" t="str">
            <v>Kailey Park</v>
          </cell>
          <cell r="D7" t="str">
            <v>MID</v>
          </cell>
          <cell r="E7" t="str">
            <v>MID</v>
          </cell>
        </row>
        <row r="8">
          <cell r="C8" t="str">
            <v>Madison Thomas</v>
          </cell>
          <cell r="D8" t="str">
            <v>MID</v>
          </cell>
          <cell r="E8" t="str">
            <v>MID</v>
          </cell>
        </row>
        <row r="9">
          <cell r="C9" t="str">
            <v>Gabriella Marchal</v>
          </cell>
          <cell r="D9" t="str">
            <v>MID/D</v>
          </cell>
          <cell r="E9" t="str">
            <v>MID/D</v>
          </cell>
          <cell r="K9" t="str">
            <v>Off-Season</v>
          </cell>
        </row>
        <row r="10">
          <cell r="C10" t="str">
            <v>Bella Beltran</v>
          </cell>
          <cell r="D10" t="str">
            <v>MID/D</v>
          </cell>
          <cell r="E10" t="str">
            <v>MID/D</v>
          </cell>
          <cell r="K10" t="str">
            <v>Off-Season</v>
          </cell>
        </row>
        <row r="11">
          <cell r="C11" t="str">
            <v>Sadie Dunphy</v>
          </cell>
          <cell r="D11" t="str">
            <v>MID/D</v>
          </cell>
          <cell r="E11" t="str">
            <v>MID/D</v>
          </cell>
          <cell r="K11" t="str">
            <v>Off-Season</v>
          </cell>
        </row>
        <row r="12">
          <cell r="C12" t="str">
            <v>Sophia Pearlmann</v>
          </cell>
          <cell r="D12" t="str">
            <v>MID/D</v>
          </cell>
          <cell r="E12" t="str">
            <v>MID/D</v>
          </cell>
          <cell r="K12" t="str">
            <v>Off-Season</v>
          </cell>
        </row>
        <row r="13">
          <cell r="C13" t="str">
            <v>Alice Santen</v>
          </cell>
          <cell r="D13" t="str">
            <v>D</v>
          </cell>
          <cell r="E13" t="str">
            <v>D</v>
          </cell>
          <cell r="K13" t="str">
            <v>Off-Season</v>
          </cell>
        </row>
        <row r="14">
          <cell r="C14" t="str">
            <v>Genevieve Watkins</v>
          </cell>
          <cell r="D14" t="str">
            <v>D</v>
          </cell>
          <cell r="E14" t="str">
            <v>D</v>
          </cell>
          <cell r="K14" t="str">
            <v>Off-Season</v>
          </cell>
        </row>
        <row r="15">
          <cell r="C15" t="str">
            <v>Jennessa Groves</v>
          </cell>
          <cell r="D15" t="str">
            <v>D</v>
          </cell>
          <cell r="E15" t="str">
            <v>D</v>
          </cell>
          <cell r="K15" t="str">
            <v>Pre-Season</v>
          </cell>
        </row>
        <row r="16">
          <cell r="C16" t="str">
            <v>Makiya Christensen</v>
          </cell>
          <cell r="D16" t="str">
            <v>D</v>
          </cell>
          <cell r="E16" t="str">
            <v>D</v>
          </cell>
          <cell r="K16" t="str">
            <v>In-Season</v>
          </cell>
        </row>
        <row r="17">
          <cell r="C17" t="str">
            <v>Kelsey Wong</v>
          </cell>
          <cell r="D17" t="str">
            <v>D</v>
          </cell>
          <cell r="E17" t="str">
            <v>D</v>
          </cell>
          <cell r="K17" t="str">
            <v>In-Season</v>
          </cell>
        </row>
        <row r="18">
          <cell r="C18" t="str">
            <v>Abby Lynch</v>
          </cell>
          <cell r="D18" t="str">
            <v>D</v>
          </cell>
          <cell r="E18" t="str">
            <v>D</v>
          </cell>
          <cell r="K18" t="str">
            <v>In-Season</v>
          </cell>
        </row>
        <row r="19">
          <cell r="C19" t="str">
            <v>Megan Rucker</v>
          </cell>
          <cell r="D19" t="str">
            <v>D</v>
          </cell>
          <cell r="E19" t="str">
            <v>D</v>
          </cell>
          <cell r="K19" t="str">
            <v>In-Season</v>
          </cell>
        </row>
        <row r="20">
          <cell r="C20" t="str">
            <v>Madison Smith</v>
          </cell>
          <cell r="D20" t="str">
            <v>UTIL</v>
          </cell>
          <cell r="E20" t="str">
            <v>UTIL</v>
          </cell>
          <cell r="K20" t="str">
            <v>Off-Season</v>
          </cell>
        </row>
        <row r="21">
          <cell r="C21" t="str">
            <v>McKenna Lutzker</v>
          </cell>
          <cell r="D21" t="str">
            <v>GK</v>
          </cell>
          <cell r="E21" t="str">
            <v>GK</v>
          </cell>
        </row>
        <row r="22">
          <cell r="C22" t="str">
            <v>Ellie Sommers</v>
          </cell>
          <cell r="D22" t="str">
            <v>GK</v>
          </cell>
          <cell r="E22" t="str">
            <v>GK</v>
          </cell>
        </row>
        <row r="23">
          <cell r="C23"/>
          <cell r="D23"/>
          <cell r="E23"/>
        </row>
        <row r="24">
          <cell r="C24"/>
          <cell r="D24"/>
          <cell r="E24"/>
        </row>
        <row r="25">
          <cell r="C25"/>
          <cell r="D25"/>
          <cell r="E25"/>
          <cell r="K25">
            <v>7</v>
          </cell>
        </row>
        <row r="26">
          <cell r="C26"/>
          <cell r="D26"/>
          <cell r="E26"/>
          <cell r="K26">
            <v>8</v>
          </cell>
        </row>
        <row r="27">
          <cell r="C27"/>
          <cell r="D27"/>
          <cell r="E27"/>
        </row>
        <row r="28">
          <cell r="C28"/>
          <cell r="D28"/>
          <cell r="E28"/>
        </row>
        <row r="29">
          <cell r="C29"/>
          <cell r="D29"/>
          <cell r="E29"/>
        </row>
        <row r="30">
          <cell r="C30"/>
          <cell r="D30"/>
          <cell r="E30"/>
        </row>
        <row r="31">
          <cell r="C31"/>
          <cell r="D31"/>
          <cell r="E31"/>
        </row>
        <row r="32">
          <cell r="C32"/>
          <cell r="D32"/>
          <cell r="E32"/>
        </row>
        <row r="33">
          <cell r="C33"/>
          <cell r="D33"/>
          <cell r="E33"/>
        </row>
        <row r="34">
          <cell r="C34"/>
          <cell r="D34"/>
          <cell r="E34"/>
        </row>
        <row r="35">
          <cell r="C35"/>
          <cell r="D35"/>
          <cell r="E35"/>
        </row>
        <row r="36">
          <cell r="C36"/>
          <cell r="D36"/>
          <cell r="E36"/>
        </row>
        <row r="37">
          <cell r="C37"/>
          <cell r="D37"/>
          <cell r="E37"/>
        </row>
        <row r="38">
          <cell r="C38"/>
          <cell r="D38"/>
          <cell r="E38"/>
        </row>
        <row r="39">
          <cell r="C39"/>
          <cell r="D39"/>
          <cell r="E39"/>
        </row>
        <row r="40">
          <cell r="C40"/>
          <cell r="D40"/>
          <cell r="E40"/>
        </row>
        <row r="41">
          <cell r="C41"/>
          <cell r="D41"/>
          <cell r="E41"/>
        </row>
        <row r="42">
          <cell r="C42"/>
          <cell r="D42"/>
          <cell r="E4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ster"/>
      <sheetName val="Quickview Report"/>
      <sheetName val="Quickview Ref"/>
      <sheetName val="Player Profile"/>
      <sheetName val="Team Wellness Report"/>
      <sheetName val="Team Competition Report"/>
      <sheetName val="Player Profile Ref"/>
      <sheetName val="Team Wellness Ref"/>
      <sheetName val="Team Prac Ref"/>
      <sheetName val="Team Practice Report"/>
      <sheetName val="Wellness Responses"/>
      <sheetName val="Training Responses"/>
      <sheetName val="Team Comp Ref"/>
    </sheetNames>
    <sheetDataSet>
      <sheetData sheetId="0">
        <row r="3">
          <cell r="C3" t="str">
            <v>Madison Werner</v>
          </cell>
          <cell r="D3" t="str">
            <v>FWD</v>
          </cell>
          <cell r="E3" t="str">
            <v>FWD</v>
          </cell>
        </row>
        <row r="4">
          <cell r="C4" t="str">
            <v>Megan Tinsley</v>
          </cell>
          <cell r="D4" t="str">
            <v>FWD</v>
          </cell>
          <cell r="E4" t="str">
            <v>FWD</v>
          </cell>
        </row>
        <row r="5">
          <cell r="C5" t="str">
            <v>Amber McCorkle</v>
          </cell>
          <cell r="D5" t="str">
            <v>F/MID</v>
          </cell>
          <cell r="E5" t="str">
            <v>F/MID</v>
          </cell>
        </row>
        <row r="6">
          <cell r="C6" t="str">
            <v>Ellen Loncar</v>
          </cell>
          <cell r="D6" t="str">
            <v>F/MID</v>
          </cell>
          <cell r="E6" t="str">
            <v>F/MID</v>
          </cell>
        </row>
        <row r="7">
          <cell r="C7" t="str">
            <v>Kailey Park</v>
          </cell>
          <cell r="D7" t="str">
            <v>MID</v>
          </cell>
          <cell r="E7" t="str">
            <v>MID</v>
          </cell>
        </row>
        <row r="8">
          <cell r="C8" t="str">
            <v>Madison Thomas</v>
          </cell>
          <cell r="D8" t="str">
            <v>MID</v>
          </cell>
          <cell r="E8" t="str">
            <v>MID</v>
          </cell>
        </row>
        <row r="9">
          <cell r="C9" t="str">
            <v>Gabriella Marchal</v>
          </cell>
          <cell r="D9" t="str">
            <v>MID/D</v>
          </cell>
          <cell r="E9" t="str">
            <v>MID/D</v>
          </cell>
          <cell r="K9" t="str">
            <v>Off-Season</v>
          </cell>
        </row>
        <row r="10">
          <cell r="C10" t="str">
            <v>Bella Beltran</v>
          </cell>
          <cell r="D10" t="str">
            <v>MID/D</v>
          </cell>
          <cell r="E10" t="str">
            <v>MID/D</v>
          </cell>
          <cell r="K10" t="str">
            <v>Off-Season</v>
          </cell>
        </row>
        <row r="11">
          <cell r="C11" t="str">
            <v>Sadie Dunphy</v>
          </cell>
          <cell r="D11" t="str">
            <v>MID/D</v>
          </cell>
          <cell r="E11" t="str">
            <v>MID/D</v>
          </cell>
          <cell r="K11" t="str">
            <v>Off-Season</v>
          </cell>
        </row>
        <row r="12">
          <cell r="C12" t="str">
            <v>Sophia Pearlmann</v>
          </cell>
          <cell r="D12" t="str">
            <v>MID/D</v>
          </cell>
          <cell r="E12" t="str">
            <v>MID/D</v>
          </cell>
          <cell r="K12" t="str">
            <v>Off-Season</v>
          </cell>
        </row>
        <row r="13">
          <cell r="C13" t="str">
            <v>Alice Santen</v>
          </cell>
          <cell r="D13" t="str">
            <v>D</v>
          </cell>
          <cell r="E13" t="str">
            <v>D</v>
          </cell>
          <cell r="K13" t="str">
            <v>Off-Season</v>
          </cell>
        </row>
        <row r="14">
          <cell r="C14" t="str">
            <v>Genevieve Watkins</v>
          </cell>
          <cell r="D14" t="str">
            <v>D</v>
          </cell>
          <cell r="E14" t="str">
            <v>D</v>
          </cell>
          <cell r="K14" t="str">
            <v>Off-Season</v>
          </cell>
        </row>
        <row r="15">
          <cell r="C15" t="str">
            <v>Jennessa Groves</v>
          </cell>
          <cell r="D15" t="str">
            <v>D</v>
          </cell>
          <cell r="E15" t="str">
            <v>D</v>
          </cell>
          <cell r="K15" t="str">
            <v>Pre-Season</v>
          </cell>
        </row>
        <row r="16">
          <cell r="C16" t="str">
            <v>Makiya Christensen</v>
          </cell>
          <cell r="D16" t="str">
            <v>D</v>
          </cell>
          <cell r="E16" t="str">
            <v>D</v>
          </cell>
          <cell r="K16" t="str">
            <v>In-Season</v>
          </cell>
        </row>
        <row r="17">
          <cell r="C17" t="str">
            <v>Kelsey Wong</v>
          </cell>
          <cell r="D17" t="str">
            <v>D</v>
          </cell>
          <cell r="E17" t="str">
            <v>D</v>
          </cell>
          <cell r="K17" t="str">
            <v>In-Season</v>
          </cell>
        </row>
        <row r="18">
          <cell r="C18" t="str">
            <v>Abby Lynch</v>
          </cell>
          <cell r="D18" t="str">
            <v>D</v>
          </cell>
          <cell r="E18" t="str">
            <v>D</v>
          </cell>
          <cell r="K18" t="str">
            <v>In-Season</v>
          </cell>
        </row>
        <row r="19">
          <cell r="C19" t="str">
            <v>Megan Rucker</v>
          </cell>
          <cell r="D19" t="str">
            <v>D</v>
          </cell>
          <cell r="E19" t="str">
            <v>D</v>
          </cell>
          <cell r="K19" t="str">
            <v>In-Season</v>
          </cell>
        </row>
        <row r="20">
          <cell r="C20" t="str">
            <v>Madison Smith</v>
          </cell>
          <cell r="D20" t="str">
            <v>UTIL</v>
          </cell>
          <cell r="E20" t="str">
            <v>UTIL</v>
          </cell>
          <cell r="K20" t="str">
            <v>Off-Season</v>
          </cell>
        </row>
        <row r="21">
          <cell r="C21" t="str">
            <v>McKenna Lutzker</v>
          </cell>
          <cell r="D21" t="str">
            <v>GK</v>
          </cell>
          <cell r="E21" t="str">
            <v>GK</v>
          </cell>
        </row>
        <row r="22">
          <cell r="C22" t="str">
            <v>Ellie Sommers</v>
          </cell>
          <cell r="D22" t="str">
            <v>GK</v>
          </cell>
          <cell r="E22" t="str">
            <v>GK</v>
          </cell>
        </row>
        <row r="23">
          <cell r="C23"/>
          <cell r="D23"/>
          <cell r="E23"/>
        </row>
        <row r="24">
          <cell r="C24"/>
          <cell r="D24"/>
          <cell r="E24"/>
        </row>
        <row r="25">
          <cell r="C25"/>
          <cell r="D25"/>
          <cell r="E25"/>
          <cell r="K25">
            <v>7</v>
          </cell>
        </row>
        <row r="26">
          <cell r="C26"/>
          <cell r="D26"/>
          <cell r="E26"/>
          <cell r="K26">
            <v>8</v>
          </cell>
        </row>
        <row r="27">
          <cell r="C27"/>
          <cell r="D27"/>
          <cell r="E27"/>
        </row>
        <row r="28">
          <cell r="C28"/>
          <cell r="D28"/>
          <cell r="E28"/>
        </row>
        <row r="29">
          <cell r="C29"/>
          <cell r="D29"/>
          <cell r="E29"/>
        </row>
        <row r="30">
          <cell r="C30"/>
          <cell r="D30"/>
          <cell r="E30"/>
        </row>
        <row r="31">
          <cell r="C31"/>
          <cell r="D31"/>
          <cell r="E31"/>
        </row>
        <row r="32">
          <cell r="C32"/>
          <cell r="D32"/>
          <cell r="E32"/>
        </row>
        <row r="33">
          <cell r="C33"/>
          <cell r="D33"/>
          <cell r="E33"/>
        </row>
        <row r="34">
          <cell r="C34"/>
          <cell r="D34"/>
          <cell r="E34"/>
        </row>
        <row r="35">
          <cell r="C35"/>
          <cell r="D35"/>
          <cell r="E35"/>
        </row>
        <row r="36">
          <cell r="C36"/>
          <cell r="D36"/>
          <cell r="E36"/>
        </row>
        <row r="37">
          <cell r="C37"/>
          <cell r="D37"/>
          <cell r="E37"/>
        </row>
        <row r="38">
          <cell r="C38"/>
          <cell r="D38"/>
          <cell r="E38"/>
        </row>
        <row r="39">
          <cell r="C39"/>
          <cell r="D39"/>
          <cell r="E39"/>
        </row>
        <row r="40">
          <cell r="C40"/>
          <cell r="D40"/>
          <cell r="E40"/>
        </row>
        <row r="41">
          <cell r="C41"/>
          <cell r="D41"/>
          <cell r="E41"/>
        </row>
        <row r="42">
          <cell r="C42"/>
          <cell r="D42"/>
          <cell r="E42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oster"/>
      <sheetName val="Quickview Report"/>
      <sheetName val="Quickview Ref"/>
      <sheetName val="Player Profile"/>
      <sheetName val="Team Wellness Report"/>
      <sheetName val="Team Competition Report"/>
      <sheetName val="Player Profile Ref"/>
      <sheetName val="Team Wellness Ref"/>
      <sheetName val="Team Prac Ref"/>
      <sheetName val="Team Practice Report"/>
      <sheetName val="Wellness Responses"/>
      <sheetName val="Training Responses"/>
      <sheetName val="Team Comp Ref"/>
    </sheetNames>
    <sheetDataSet>
      <sheetData sheetId="0">
        <row r="3">
          <cell r="C3" t="str">
            <v>Madison Werner</v>
          </cell>
          <cell r="D3" t="str">
            <v>FWD</v>
          </cell>
          <cell r="E3" t="str">
            <v>FWD</v>
          </cell>
        </row>
        <row r="4">
          <cell r="C4" t="str">
            <v>Megan Tinsley</v>
          </cell>
          <cell r="D4" t="str">
            <v>FWD</v>
          </cell>
          <cell r="E4" t="str">
            <v>FWD</v>
          </cell>
        </row>
        <row r="5">
          <cell r="C5" t="str">
            <v>Amber McCorkle</v>
          </cell>
          <cell r="D5" t="str">
            <v>F/MID</v>
          </cell>
          <cell r="E5" t="str">
            <v>F/MID</v>
          </cell>
        </row>
        <row r="6">
          <cell r="C6" t="str">
            <v>Ellen Loncar</v>
          </cell>
          <cell r="D6" t="str">
            <v>F/MID</v>
          </cell>
          <cell r="E6" t="str">
            <v>F/MID</v>
          </cell>
        </row>
        <row r="7">
          <cell r="C7" t="str">
            <v>Kailey Park</v>
          </cell>
          <cell r="D7" t="str">
            <v>MID</v>
          </cell>
          <cell r="E7" t="str">
            <v>MID</v>
          </cell>
        </row>
        <row r="8">
          <cell r="C8" t="str">
            <v>Madison Thomas</v>
          </cell>
          <cell r="D8" t="str">
            <v>MID</v>
          </cell>
          <cell r="E8" t="str">
            <v>MID</v>
          </cell>
        </row>
        <row r="9">
          <cell r="C9" t="str">
            <v>Gabriella Marchal</v>
          </cell>
          <cell r="D9" t="str">
            <v>MID/D</v>
          </cell>
          <cell r="E9" t="str">
            <v>MID/D</v>
          </cell>
          <cell r="K9" t="str">
            <v>Off-Season</v>
          </cell>
        </row>
        <row r="10">
          <cell r="C10" t="str">
            <v>Bella Beltran</v>
          </cell>
          <cell r="D10" t="str">
            <v>MID/D</v>
          </cell>
          <cell r="E10" t="str">
            <v>MID/D</v>
          </cell>
          <cell r="K10" t="str">
            <v>Off-Season</v>
          </cell>
        </row>
        <row r="11">
          <cell r="C11" t="str">
            <v>Sadie Dunphy</v>
          </cell>
          <cell r="D11" t="str">
            <v>MID/D</v>
          </cell>
          <cell r="E11" t="str">
            <v>MID/D</v>
          </cell>
          <cell r="K11" t="str">
            <v>Off-Season</v>
          </cell>
        </row>
        <row r="12">
          <cell r="C12" t="str">
            <v>Sophia Pearlmann</v>
          </cell>
          <cell r="D12" t="str">
            <v>MID/D</v>
          </cell>
          <cell r="E12" t="str">
            <v>MID/D</v>
          </cell>
          <cell r="K12" t="str">
            <v>Off-Season</v>
          </cell>
        </row>
        <row r="13">
          <cell r="C13" t="str">
            <v>Alice Santen</v>
          </cell>
          <cell r="D13" t="str">
            <v>D</v>
          </cell>
          <cell r="E13" t="str">
            <v>D</v>
          </cell>
          <cell r="K13" t="str">
            <v>Off-Season</v>
          </cell>
        </row>
        <row r="14">
          <cell r="C14" t="str">
            <v>Genevieve Watkins</v>
          </cell>
          <cell r="D14" t="str">
            <v>D</v>
          </cell>
          <cell r="E14" t="str">
            <v>D</v>
          </cell>
          <cell r="K14" t="str">
            <v>Off-Season</v>
          </cell>
        </row>
        <row r="15">
          <cell r="C15" t="str">
            <v>Jennessa Groves</v>
          </cell>
          <cell r="D15" t="str">
            <v>D</v>
          </cell>
          <cell r="E15" t="str">
            <v>D</v>
          </cell>
          <cell r="K15" t="str">
            <v>Pre-Season</v>
          </cell>
        </row>
        <row r="16">
          <cell r="C16" t="str">
            <v>Makiya Christensen</v>
          </cell>
          <cell r="D16" t="str">
            <v>D</v>
          </cell>
          <cell r="E16" t="str">
            <v>D</v>
          </cell>
          <cell r="K16" t="str">
            <v>In-Season</v>
          </cell>
        </row>
        <row r="17">
          <cell r="C17" t="str">
            <v>Kelsey Wong</v>
          </cell>
          <cell r="D17" t="str">
            <v>D</v>
          </cell>
          <cell r="E17" t="str">
            <v>D</v>
          </cell>
          <cell r="K17" t="str">
            <v>In-Season</v>
          </cell>
        </row>
        <row r="18">
          <cell r="C18" t="str">
            <v>Abby Lynch</v>
          </cell>
          <cell r="D18" t="str">
            <v>D</v>
          </cell>
          <cell r="E18" t="str">
            <v>D</v>
          </cell>
          <cell r="K18" t="str">
            <v>In-Season</v>
          </cell>
        </row>
        <row r="19">
          <cell r="C19" t="str">
            <v>Megan Rucker</v>
          </cell>
          <cell r="D19" t="str">
            <v>D</v>
          </cell>
          <cell r="E19" t="str">
            <v>D</v>
          </cell>
          <cell r="K19" t="str">
            <v>In-Season</v>
          </cell>
        </row>
        <row r="20">
          <cell r="C20" t="str">
            <v>Madison Smith</v>
          </cell>
          <cell r="D20" t="str">
            <v>UTIL</v>
          </cell>
          <cell r="E20" t="str">
            <v>UTIL</v>
          </cell>
          <cell r="K20" t="str">
            <v>Off-Season</v>
          </cell>
        </row>
        <row r="21">
          <cell r="C21" t="str">
            <v>McKenna Lutzker</v>
          </cell>
          <cell r="D21" t="str">
            <v>GK</v>
          </cell>
          <cell r="E21" t="str">
            <v>GK</v>
          </cell>
        </row>
        <row r="22">
          <cell r="C22" t="str">
            <v>Ellie Sommers</v>
          </cell>
          <cell r="D22" t="str">
            <v>GK</v>
          </cell>
          <cell r="E22" t="str">
            <v>GK</v>
          </cell>
        </row>
        <row r="25">
          <cell r="K25">
            <v>7</v>
          </cell>
        </row>
        <row r="26">
          <cell r="K26">
            <v>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BB8BCE-1BD2-4FB7-9348-85D86CDE579F}" name="Table2" displayName="Table2" ref="A1:AT1549" totalsRowShown="0" headerRowDxfId="52" dataDxfId="51">
  <autoFilter ref="A1:AT1549" xr:uid="{28BB8BCE-1BD2-4FB7-9348-85D86CDE579F}"/>
  <tableColumns count="46">
    <tableColumn id="1" xr3:uid="{387127AB-283C-4C47-99CD-041D93DB0E72}" name="Timestamp" dataDxfId="50"/>
    <tableColumn id="2" xr3:uid="{D43AA2A3-F761-4E3E-BA22-7F001E6D67B1}" name="Athlete Name" dataDxfId="49"/>
    <tableColumn id="3" xr3:uid="{56AB8093-0CB0-4845-9A6E-4CFC0CD417A0}" name="Athlete ID #" dataDxfId="48">
      <calculatedColumnFormula>INDEX(TBL_Name,MATCH(Table2[[#This Row],[Athlete Name]],listNames,0),2)</calculatedColumnFormula>
    </tableColumn>
    <tableColumn id="4" xr3:uid="{180A76E2-0E69-4DBE-8694-EE2137410F6F}" name="What is your injury status?" dataDxfId="47"/>
    <tableColumn id="5" xr3:uid="{FA3909DE-0E71-45D8-BE3D-447A4B2CBB03}" name="How stressed are you?" dataDxfId="46"/>
    <tableColumn id="6" xr3:uid="{F402BF78-B96B-4F4D-A2C3-8CFF0920B4C6}" name="How well did you sleep?" dataDxfId="45"/>
    <tableColumn id="7" xr3:uid="{4E03274B-8DEF-4EA6-857C-904776A5F50A}" name="How many hours did you sleep?" dataDxfId="44"/>
    <tableColumn id="8" xr3:uid="{2F7E90BF-5481-40BE-B0AE-9B43C38F90F9}" name="Select where you are sore:" dataDxfId="43"/>
    <tableColumn id="9" xr3:uid="{D087F170-B4A1-4729-B6C9-8B59A7478E80}" name="How sore are you?" dataDxfId="42"/>
    <tableColumn id="10" xr3:uid="{466FE681-6E68-4AAB-96E9-63062DDADF4D}" name="How well did you hydrate?" dataDxfId="41"/>
    <tableColumn id="11" xr3:uid="{60BF3068-236B-4A0A-BF86-63A98A6001C4}" name="How well did you fuel?" dataDxfId="40"/>
    <tableColumn id="12" xr3:uid="{C06D76D7-A6AA-4722-97E5-2F0F1F0D0919}" name="What is your readiness score? " dataDxfId="39"/>
    <tableColumn id="13" xr3:uid="{F3561C6C-B56B-4E59-8A7B-FC93CCC4566E}" name="Data ID" dataDxfId="38">
      <calculatedColumnFormula>_xludf.concat($B2,$P2)</calculatedColumnFormula>
    </tableColumn>
    <tableColumn id="14" xr3:uid="{1B321C89-9842-4825-B64E-91405C7054CD}" name="Week ID" dataDxfId="37">
      <calculatedColumnFormula>WEEKNUM($P2)</calculatedColumnFormula>
    </tableColumn>
    <tableColumn id="15" xr3:uid="{7E404A6E-7289-41BF-BB93-32064D28F135}" name="Week ID Refined" dataDxfId="36">
      <calculatedColumnFormula>IF($N2=_xludf.MINIFS($N$2:$N1190,$R$2:$R1190,$R2),1,
($N2-_xludf.MINIFS($N$2:$N1190,$R$2:$R1190,$R2))+1)</calculatedColumnFormula>
    </tableColumn>
    <tableColumn id="16" xr3:uid="{F48B2477-A7B5-4465-995B-A0A0C3C90A17}" name="Date Value" dataDxfId="35">
      <calculatedColumnFormula>DATEVALUE(A2)</calculatedColumnFormula>
    </tableColumn>
    <tableColumn id="17" xr3:uid="{644FBC7F-96B6-4FCD-9F48-3A638BAE867E}" name="Year ID" dataDxfId="34">
      <calculatedColumnFormula>RIGHT(YEAR($A2),2)-(MONTH($A2)&lt;=#REF!)
 &amp;"-"&amp;
 RIGHT(YEAR($A2),2)+(MONTH($A2)&gt;=#REF!)</calculatedColumnFormula>
    </tableColumn>
    <tableColumn id="18" xr3:uid="{55E7913A-AD1C-4297-A336-B473E74559F1}" name="Season ID" dataDxfId="33"/>
    <tableColumn id="19" xr3:uid="{E794FD3D-26A2-4658-9087-DBDE76152C68}" name="Injury Refined" dataDxfId="32">
      <calculatedColumnFormula>IF($D2="Full = I have no injury",1, IF($D2="Limited = I need a modification during lift / practice",2,IF($D2="Out = I have an injury",3,"")))</calculatedColumnFormula>
    </tableColumn>
    <tableColumn id="20" xr3:uid="{AF5FF272-100C-427B-B8EB-8054F20CE274}" name="Position" dataDxfId="31">
      <calculatedColumnFormula array="1">IFERROR(INDEX(#REF!,MATCH($B2,#REF!,0)),"")</calculatedColumnFormula>
    </tableColumn>
    <tableColumn id="21" xr3:uid="{123DD58F-67C0-4FAB-AFE7-A951D439263E}" name="Classification" dataDxfId="30"/>
    <tableColumn id="22" xr3:uid="{54B93553-BA05-4A79-8945-560F0B854B7F}" name="Stress RA" dataDxfId="29"/>
    <tableColumn id="23" xr3:uid="{A7FACB74-5041-4A0A-A73C-F7C10F3D9C22}" name="Stress StdDev" dataDxfId="28"/>
    <tableColumn id="24" xr3:uid="{8E224186-7FC7-48D0-ADFA-905650D2CE12}" name="Stress Z-Score" dataDxfId="27">
      <calculatedColumnFormula>IFERROR(STANDARDIZE($E2,$V2,$W2),0)</calculatedColumnFormula>
    </tableColumn>
    <tableColumn id="25" xr3:uid="{6794C8CB-3597-4FE1-824B-412BD9555CB1}" name="Stress Wellness Score" dataDxfId="26">
      <calculatedColumnFormula>IF($X2&gt;=1,4,IF($X2&gt;=0,3,IF($X2&gt;-1,2,IF($X2&lt;=-1,1))))</calculatedColumnFormula>
    </tableColumn>
    <tableColumn id="26" xr3:uid="{B0591FDC-24DF-47F3-B037-6F5AB04DB3FE}" name="Sleep Quality RA" dataDxfId="25"/>
    <tableColumn id="27" xr3:uid="{F0EBBB78-5175-4DE7-93ED-42B3F3F30FA9}" name="Sleep Quality StdDev" dataDxfId="24"/>
    <tableColumn id="28" xr3:uid="{935BAE15-0C34-4A89-8F3F-1589A48C35D3}" name="Sleep Quality Z-Score" dataDxfId="23">
      <calculatedColumnFormula>IFERROR(STANDARDIZE($F2,$Z2,$AA2),0)</calculatedColumnFormula>
    </tableColumn>
    <tableColumn id="29" xr3:uid="{9036F0A4-C151-418E-9363-530ABC4D0C2A}" name="Sleep Quality Wellness Score" dataDxfId="22">
      <calculatedColumnFormula>IF($AB2&gt;=1,4,IF($AB2&gt;=0,3,IF($AB2&gt;-1,2,IF($AB2&lt;=-1,1))))</calculatedColumnFormula>
    </tableColumn>
    <tableColumn id="30" xr3:uid="{4C0EF0EE-1769-4AC4-94D7-559F46E59A09}" name="Sleep Quantity RA" dataDxfId="21"/>
    <tableColumn id="31" xr3:uid="{3829A70E-59FB-4186-8D7D-88C4E74F5467}" name="Sleep Quantity StdDev" dataDxfId="20"/>
    <tableColumn id="32" xr3:uid="{53F4F5E8-830E-4B3E-94D3-A8E47D1A3672}" name="Sleep Quantity Z-Score" dataDxfId="19">
      <calculatedColumnFormula>IFERROR(STANDARDIZE($G2,$AD2,$AE2),0)</calculatedColumnFormula>
    </tableColumn>
    <tableColumn id="33" xr3:uid="{0D078808-F3D7-429A-A53B-3EAEEF78C720}" name="Sleep Quantity Wellness Score" dataDxfId="18">
      <calculatedColumnFormula>IF($AF2&gt;=1,4,IF($AF2&gt;=0,3,IF($AF2&gt;-1,2,IF($AF2&lt;=-1,1))))</calculatedColumnFormula>
    </tableColumn>
    <tableColumn id="34" xr3:uid="{B56ADACB-2226-4381-9DBC-EFDE16F0F707}" name="Soreness RA" dataDxfId="17"/>
    <tableColumn id="35" xr3:uid="{F5A53C98-3726-45DF-99F4-C221297820CD}" name="Soreness StdDev" dataDxfId="16"/>
    <tableColumn id="36" xr3:uid="{BE7A97D3-28A7-4ABE-B2F4-4D511189677C}" name="Soreness Z-Score" dataDxfId="15">
      <calculatedColumnFormula>IFERROR(STANDARDIZE($I2,$AH2,$AI2),0)</calculatedColumnFormula>
    </tableColumn>
    <tableColumn id="37" xr3:uid="{86F14AA4-E28C-4B88-8786-BDA3885B3FE0}" name="Soreness Wellness Score" dataDxfId="14">
      <calculatedColumnFormula>IF($AJ2&gt;=1,4,IF($AJ2&gt;=0,3,IF($AJ2&gt;-1,2,IF($AJ2&lt;=-1,1))))</calculatedColumnFormula>
    </tableColumn>
    <tableColumn id="38" xr3:uid="{D69B3BB5-78AF-496A-8BE7-10959E1CEA7F}" name="Hydrate RA" dataDxfId="13"/>
    <tableColumn id="39" xr3:uid="{D9D39355-8E6B-429B-80B9-BA81C6ECCE40}" name="Hydrate StdDev" dataDxfId="12"/>
    <tableColumn id="40" xr3:uid="{BC1CF40F-4E2F-4240-8F27-BDFF2BB67DC5}" name="Hydrate Z-Score" dataDxfId="11">
      <calculatedColumnFormula>IFERROR(STANDARDIZE($J2,$AL2,$AM2),0)</calculatedColumnFormula>
    </tableColumn>
    <tableColumn id="41" xr3:uid="{BEF48C0B-165C-4E58-B146-D51A360E79D2}" name="Hydrate Wellness Score" dataDxfId="10">
      <calculatedColumnFormula>IF($AN2&gt;=1,4,IF($AN2&gt;=0,3,IF($AN2&gt;-1,2,IF($AN2&lt;=-1,1))))</calculatedColumnFormula>
    </tableColumn>
    <tableColumn id="42" xr3:uid="{B2887AC9-6130-4250-8B7D-1B4440A91DE8}" name="Fuel RA" dataDxfId="9"/>
    <tableColumn id="43" xr3:uid="{A2FC2BF8-9555-4832-A99E-C06636B95788}" name="Fuel StdDev" dataDxfId="8"/>
    <tableColumn id="44" xr3:uid="{9B0ED94B-1ADC-4029-B0BF-7CED53786EB4}" name="Fuel Z-Score" dataDxfId="7">
      <calculatedColumnFormula>IFERROR(STANDARDIZE($K2,$AP2,$AQ2),0)</calculatedColumnFormula>
    </tableColumn>
    <tableColumn id="45" xr3:uid="{EBED611A-478E-41AF-8C80-D99418D8F29E}" name="Fuel Wellness Score" dataDxfId="6">
      <calculatedColumnFormula>IF($AR2&gt;=1,4,IF($AR2&gt;=0,3,IF($AR2&gt;-1,2,IF($AR2&lt;=-1,1))))</calculatedColumnFormula>
    </tableColumn>
    <tableColumn id="46" xr3:uid="{938CE656-F1D1-4668-BCA7-DE5E0D2C4F96}" name="Readiness Score" dataDxfId="5">
      <calculatedColumnFormula>SUM($AK2,$AG2,$AC2,$Y2,$AO2,$AS2)/24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7C1A6C-C2F3-42A3-BA18-6CB507B48C69}" name="Table1" displayName="Table1" ref="B3:E36" totalsRowShown="0" headerRowDxfId="4">
  <autoFilter ref="B3:E36" xr:uid="{7D7C1A6C-C2F3-42A3-BA18-6CB507B48C69}"/>
  <tableColumns count="4">
    <tableColumn id="1" xr3:uid="{B266686F-F6C9-4B42-BBF8-E4DAA1CD1B7B}" name="Athlete" dataDxfId="3"/>
    <tableColumn id="2" xr3:uid="{A4FE5499-D665-49ED-8878-164D3CFD9FB9}" name="Athlete ID #" dataDxfId="2"/>
    <tableColumn id="3" xr3:uid="{99180DB9-2E86-4132-8342-BDAE5CC950D6}" name="Position" dataDxfId="1"/>
    <tableColumn id="4" xr3:uid="{D01ED284-5374-446A-BEF0-643DB42E738D}" name="Grad Year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J52"/>
  <sheetViews>
    <sheetView workbookViewId="0"/>
  </sheetViews>
  <sheetFormatPr defaultColWidth="12.54296875" defaultRowHeight="15.75" customHeight="1" x14ac:dyDescent="0.25"/>
  <cols>
    <col min="1" max="1" width="11.54296875" customWidth="1"/>
    <col min="2" max="2" width="14.453125" customWidth="1"/>
    <col min="3" max="5" width="19.453125" customWidth="1"/>
    <col min="6" max="6" width="24.54296875" customWidth="1"/>
    <col min="8" max="8" width="30.81640625" customWidth="1"/>
  </cols>
  <sheetData>
    <row r="1" spans="1:36" ht="15.75" customHeight="1" x14ac:dyDescent="0.3">
      <c r="A1" s="2" t="s">
        <v>41</v>
      </c>
      <c r="B1" s="3" t="s">
        <v>42</v>
      </c>
      <c r="C1" s="4" t="s">
        <v>1</v>
      </c>
      <c r="D1" s="3" t="s">
        <v>43</v>
      </c>
      <c r="E1" s="5" t="s">
        <v>35</v>
      </c>
      <c r="F1" s="5" t="s">
        <v>44</v>
      </c>
      <c r="H1" s="87" t="s">
        <v>45</v>
      </c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9"/>
    </row>
    <row r="2" spans="1:36" ht="15.75" customHeight="1" x14ac:dyDescent="0.25">
      <c r="A2" s="6">
        <f ca="1">IFERROR(__xludf.DUMMYFUNCTION("unique(filter('Wellness Responses'!$O$2:$O1000,'Wellness Responses'!$Q$2:$Q1000='Quickview Report'!$V$5))"),44897)</f>
        <v>44897</v>
      </c>
      <c r="B2" s="7" t="str">
        <f ca="1">IFERROR(__xludf.DUMMYFUNCTION("unique('Wellness Responses'!$Q$2:$Q1000)"),"In-Season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8" t="s">
        <v>36</v>
      </c>
      <c r="F2" s="9" t="s">
        <v>37</v>
      </c>
      <c r="H2" s="90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2"/>
    </row>
    <row r="3" spans="1:36" ht="15.75" customHeight="1" x14ac:dyDescent="0.3">
      <c r="A3" s="6">
        <f ca="1">IFERROR(__xludf.DUMMYFUNCTION("""COMPUTED_VALUE"""),44935)</f>
        <v>44935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10" t="s">
        <v>46</v>
      </c>
      <c r="F3" s="11" t="s">
        <v>38</v>
      </c>
      <c r="H3" s="12" t="s">
        <v>47</v>
      </c>
      <c r="I3" s="13" t="e">
        <f>IF(
(IF(J$3&lt;1,"",_xludf.MaxIFS('Wellness Responses'!$P$2:$P1000,'Wellness Responses'!$R$2:$R1000,#REF!,'Wellness Responses'!$P$2:$P1000,"&lt;"&amp;J$3)))&lt;1,"",
(IF(J$3&lt;1,"",_xludf.MaxIFS('Wellness Responses'!$P$2:$P1000,'Wellness Responses'!$R$2:$R1000,#REF!,'Wellness Responses'!$P$2:$P1000,"&lt;"&amp;J$3))))</f>
        <v>#REF!</v>
      </c>
      <c r="J3" s="14" t="e">
        <f>IF(
(IF(K$3&lt;1,"",_xludf.MaxIFS('Wellness Responses'!$P$2:$P1000,'Wellness Responses'!$R$2:$R1000,#REF!,'Wellness Responses'!$P$2:$P1000,"&lt;"&amp;K$3)))&lt;1,"",
(IF(K$3&lt;1,"",_xludf.MaxIFS('Wellness Responses'!$P$2:$P1000,'Wellness Responses'!$R$2:$R1000,#REF!,'Wellness Responses'!$P$2:$P1000,"&lt;"&amp;K$3))))</f>
        <v>#REF!</v>
      </c>
      <c r="K3" s="14" t="e">
        <f>IF(
(IF(L$3&lt;1,"",_xludf.MaxIFS('Wellness Responses'!$P$2:$P1000,'Wellness Responses'!$R$2:$R1000,#REF!,'Wellness Responses'!$P$2:$P1000,"&lt;"&amp;L$3)))&lt;1,"",
(IF(L$3&lt;1,"",_xludf.MaxIFS('Wellness Responses'!$P$2:$P1000,'Wellness Responses'!$R$2:$R1000,#REF!,'Wellness Responses'!$P$2:$P1000,"&lt;"&amp;L$3))))</f>
        <v>#REF!</v>
      </c>
      <c r="L3" s="14" t="e">
        <f>IF(
(IF(M$3&lt;1,"",_xludf.MaxIFS('Wellness Responses'!$P$2:$P1000,'Wellness Responses'!$R$2:$R1000,#REF!,'Wellness Responses'!$P$2:$P1000,"&lt;"&amp;M$3)))&lt;1,"",
(IF(M$3&lt;1,"",_xludf.MaxIFS('Wellness Responses'!$P$2:$P1000,'Wellness Responses'!$R$2:$R1000,#REF!,'Wellness Responses'!$P$2:$P1000,"&lt;"&amp;M$3))))</f>
        <v>#REF!</v>
      </c>
      <c r="M3" s="14" t="e">
        <f>IF(
(IF(N$3&lt;1,"",_xludf.MaxIFS('Wellness Responses'!$P$2:$P1000,'Wellness Responses'!$R$2:$R1000,#REF!,'Wellness Responses'!$P$2:$P1000,"&lt;"&amp;N$3)))&lt;1,"",
(IF(N$3&lt;1,"",_xludf.MaxIFS('Wellness Responses'!$P$2:$P1000,'Wellness Responses'!$R$2:$R1000,#REF!,'Wellness Responses'!$P$2:$P1000,"&lt;"&amp;N$3))))</f>
        <v>#REF!</v>
      </c>
      <c r="N3" s="14" t="e">
        <f>IF(
(IF(O$3&lt;1,"",_xludf.MaxIFS('Wellness Responses'!$P$2:$P1000,'Wellness Responses'!$R$2:$R1000,#REF!,'Wellness Responses'!$P$2:$P1000,"&lt;"&amp;O$3)))&lt;1,"",
(IF(O$3&lt;1,"",_xludf.MaxIFS('Wellness Responses'!$P$2:$P1000,'Wellness Responses'!$R$2:$R1000,#REF!,'Wellness Responses'!$P$2:$P1000,"&lt;"&amp;O$3))))</f>
        <v>#REF!</v>
      </c>
      <c r="O3" s="14" t="e">
        <f>IF(
(IF(P$3&lt;1,"",_xludf.MaxIFS('Wellness Responses'!$P$2:$P1000,'Wellness Responses'!$R$2:$R1000,#REF!,'Wellness Responses'!$P$2:$P1000,"&lt;"&amp;P$3)))&lt;1,"",
(IF(P$3&lt;1,"",_xludf.MaxIFS('Wellness Responses'!$P$2:$P1000,'Wellness Responses'!$R$2:$R1000,#REF!,'Wellness Responses'!$P$2:$P1000,"&lt;"&amp;P$3))))</f>
        <v>#REF!</v>
      </c>
      <c r="P3" s="14" t="e">
        <f>IF(
(IF(Q$3&lt;1,"",_xludf.MaxIFS('Wellness Responses'!$P$2:$P1000,'Wellness Responses'!$R$2:$R1000,#REF!,'Wellness Responses'!$P$2:$P1000,"&lt;"&amp;Q$3)))&lt;1,"",
(IF(Q$3&lt;1,"",_xludf.MaxIFS('Wellness Responses'!$P$2:$P1000,'Wellness Responses'!$R$2:$R1000,#REF!,'Wellness Responses'!$P$2:$P1000,"&lt;"&amp;Q$3))))</f>
        <v>#REF!</v>
      </c>
      <c r="Q3" s="14" t="e">
        <f>IF(
(IF(R$3&lt;1,"",_xludf.MaxIFS('Wellness Responses'!$P$2:$P1000,'Wellness Responses'!$R$2:$R1000,#REF!,'Wellness Responses'!$P$2:$P1000,"&lt;"&amp;R$3)))&lt;1,"",
(IF(R$3&lt;1,"",_xludf.MaxIFS('Wellness Responses'!$P$2:$P1000,'Wellness Responses'!$R$2:$R1000,#REF!,'Wellness Responses'!$P$2:$P1000,"&lt;"&amp;R$3))))</f>
        <v>#REF!</v>
      </c>
      <c r="R3" s="14" t="e">
        <f>IF(
(IF(S$3&lt;1,"",_xludf.MaxIFS('Wellness Responses'!$P$2:$P1000,'Wellness Responses'!$R$2:$R1000,#REF!,'Wellness Responses'!$P$2:$P1000,"&lt;"&amp;S$3)))&lt;1,"",
(IF(S$3&lt;1,"",_xludf.MaxIFS('Wellness Responses'!$P$2:$P1000,'Wellness Responses'!$R$2:$R1000,#REF!,'Wellness Responses'!$P$2:$P1000,"&lt;"&amp;S$3))))</f>
        <v>#REF!</v>
      </c>
      <c r="S3" s="14" t="e">
        <f>IF(
(IF(T$3&lt;1,"",_xludf.MaxIFS('Wellness Responses'!$P$2:$P1000,'Wellness Responses'!$R$2:$R1000,#REF!,'Wellness Responses'!$P$2:$P1000,"&lt;"&amp;T$3)))&lt;1,"",
(IF(T$3&lt;1,"",_xludf.MaxIFS('Wellness Responses'!$P$2:$P1000,'Wellness Responses'!$R$2:$R1000,#REF!,'Wellness Responses'!$P$2:$P1000,"&lt;"&amp;T$3))))</f>
        <v>#REF!</v>
      </c>
      <c r="T3" s="14" t="e">
        <f>IF(
(IF(U$3&lt;1,"",_xludf.MaxIFS('Wellness Responses'!$P$2:$P1000,'Wellness Responses'!$R$2:$R1000,#REF!,'Wellness Responses'!$P$2:$P1000,"&lt;"&amp;U$3)))&lt;1,"",
(IF(U$3&lt;1,"",_xludf.MaxIFS('Wellness Responses'!$P$2:$P1000,'Wellness Responses'!$R$2:$R1000,#REF!,'Wellness Responses'!$P$2:$P1000,"&lt;"&amp;U$3))))</f>
        <v>#REF!</v>
      </c>
      <c r="U3" s="14" t="e">
        <f>IF(
(IF(V$3&lt;1,"",_xludf.MaxIFS('Wellness Responses'!$P$2:$P1000,'Wellness Responses'!$R$2:$R1000,#REF!,'Wellness Responses'!$P$2:$P1000,"&lt;"&amp;V$3)))&lt;1,"",
(IF(V$3&lt;1,"",_xludf.MaxIFS('Wellness Responses'!$P$2:$P1000,'Wellness Responses'!$R$2:$R1000,#REF!,'Wellness Responses'!$P$2:$P1000,"&lt;"&amp;V$3))))</f>
        <v>#REF!</v>
      </c>
      <c r="V3" s="14" t="e">
        <f>IF(
(IF(W$3&lt;1,"",_xludf.MaxIFS('Wellness Responses'!$P$2:$P1000,'Wellness Responses'!$R$2:$R1000,#REF!,'Wellness Responses'!$P$2:$P1000,"&lt;"&amp;W$3)))&lt;1,"",
(IF(W$3&lt;1,"",_xludf.MaxIFS('Wellness Responses'!$P$2:$P1000,'Wellness Responses'!$R$2:$R1000,#REF!,'Wellness Responses'!$P$2:$P1000,"&lt;"&amp;W$3))))</f>
        <v>#REF!</v>
      </c>
      <c r="W3" s="14" t="e">
        <f>IF(
(IF(X$3&lt;1,"",_xludf.MaxIFS('Wellness Responses'!$P$2:$P1000,'Wellness Responses'!$R$2:$R1000,#REF!,'Wellness Responses'!$P$2:$P1000,"&lt;"&amp;X$3)))&lt;1,"",
(IF(X$3&lt;1,"",_xludf.MaxIFS('Wellness Responses'!$P$2:$P1000,'Wellness Responses'!$R$2:$R1000,#REF!,'Wellness Responses'!$P$2:$P1000,"&lt;"&amp;X$3))))</f>
        <v>#REF!</v>
      </c>
      <c r="X3" s="14" t="e">
        <f>IF(
(IF(Y$3&lt;1,"",_xludf.MaxIFS('Wellness Responses'!$P$2:$P1000,'Wellness Responses'!$R$2:$R1000,#REF!,'Wellness Responses'!$P$2:$P1000,"&lt;"&amp;Y$3)))&lt;1,"",
(IF(Y$3&lt;1,"",_xludf.MaxIFS('Wellness Responses'!$P$2:$P1000,'Wellness Responses'!$R$2:$R1000,#REF!,'Wellness Responses'!$P$2:$P1000,"&lt;"&amp;Y$3))))</f>
        <v>#REF!</v>
      </c>
      <c r="Y3" s="14" t="e">
        <f>IF(
(IF(Z$3&lt;1,"",_xludf.MaxIFS('Wellness Responses'!$P$2:$P1000,'Wellness Responses'!$R$2:$R1000,#REF!,'Wellness Responses'!$P$2:$P1000,"&lt;"&amp;Z$3)))&lt;1,"",
(IF(Z$3&lt;1,"",_xludf.MaxIFS('Wellness Responses'!$P$2:$P1000,'Wellness Responses'!$R$2:$R1000,#REF!,'Wellness Responses'!$P$2:$P1000,"&lt;"&amp;Z$3))))</f>
        <v>#REF!</v>
      </c>
      <c r="Z3" s="14" t="e">
        <f>IF(
(IF(AA$3&lt;1,"",_xludf.MaxIFS('Wellness Responses'!$P$2:$P1000,'Wellness Responses'!$R$2:$R1000,#REF!,'Wellness Responses'!$P$2:$P1000,"&lt;"&amp;AA$3)))&lt;1,"",
(IF(AA$3&lt;1,"",_xludf.MaxIFS('Wellness Responses'!$P$2:$P1000,'Wellness Responses'!$R$2:$R1000,#REF!,'Wellness Responses'!$P$2:$P1000,"&lt;"&amp;AA$3))))</f>
        <v>#REF!</v>
      </c>
      <c r="AA3" s="14" t="e">
        <f>IF(
(IF(AB$3&lt;1,"",_xludf.MaxIFS('Wellness Responses'!$P$2:$P1000,'Wellness Responses'!$R$2:$R1000,#REF!,'Wellness Responses'!$P$2:$P1000,"&lt;"&amp;AB$3)))&lt;1,"",
(IF(AB$3&lt;1,"",_xludf.MaxIFS('Wellness Responses'!$P$2:$P1000,'Wellness Responses'!$R$2:$R1000,#REF!,'Wellness Responses'!$P$2:$P1000,"&lt;"&amp;AB$3))))</f>
        <v>#REF!</v>
      </c>
      <c r="AB3" s="14" t="e">
        <f>IF(
(IF(AC$3&lt;1,"",_xludf.MaxIFS('Wellness Responses'!$P$2:$P1000,'Wellness Responses'!$R$2:$R1000,#REF!,'Wellness Responses'!$P$2:$P1000,"&lt;"&amp;AC$3)))&lt;1,"",
(IF(AC$3&lt;1,"",_xludf.MaxIFS('Wellness Responses'!$P$2:$P1000,'Wellness Responses'!$R$2:$R1000,#REF!,'Wellness Responses'!$P$2:$P1000,"&lt;"&amp;AC$3))))</f>
        <v>#REF!</v>
      </c>
      <c r="AC3" s="14" t="e">
        <f>IF(
(IF(AD$3&lt;1,"",_xludf.MaxIFS('Wellness Responses'!$P$2:$P1000,'Wellness Responses'!$R$2:$R1000,#REF!,'Wellness Responses'!$P$2:$P1000,"&lt;"&amp;AD$3)))&lt;1,"",
(IF(AD$3&lt;1,"",_xludf.MaxIFS('Wellness Responses'!$P$2:$P1000,'Wellness Responses'!$R$2:$R1000,#REF!,'Wellness Responses'!$P$2:$P1000,"&lt;"&amp;AD$3))))</f>
        <v>#REF!</v>
      </c>
      <c r="AD3" s="14" t="e">
        <f>IF(
(IF(AE$3&lt;1,"",_xludf.MaxIFS('Wellness Responses'!$P$2:$P1000,'Wellness Responses'!$R$2:$R1000,#REF!,'Wellness Responses'!$P$2:$P1000,"&lt;"&amp;AE$3)))&lt;1,"",
(IF(AE$3&lt;1,"",_xludf.MaxIFS('Wellness Responses'!$P$2:$P1000,'Wellness Responses'!$R$2:$R1000,#REF!,'Wellness Responses'!$P$2:$P1000,"&lt;"&amp;AE$3))))</f>
        <v>#REF!</v>
      </c>
      <c r="AE3" s="14" t="e">
        <f>IF(
(IF(AF$3&lt;1,"",_xludf.MaxIFS('Wellness Responses'!$P$2:$P1000,'Wellness Responses'!$R$2:$R1000,#REF!,'Wellness Responses'!$P$2:$P1000,"&lt;"&amp;AF$3)))&lt;1,"",
(IF(AF$3&lt;1,"",_xludf.MaxIFS('Wellness Responses'!$P$2:$P1000,'Wellness Responses'!$R$2:$R1000,#REF!,'Wellness Responses'!$P$2:$P1000,"&lt;"&amp;AF$3))))</f>
        <v>#REF!</v>
      </c>
      <c r="AF3" s="14" t="e">
        <f>IF(
(IF(AG$3&lt;1,"",_xludf.MaxIFS('Wellness Responses'!$P$2:$P1000,'Wellness Responses'!$R$2:$R1000,#REF!,'Wellness Responses'!$P$2:$P1000,"&lt;"&amp;AG$3)))&lt;1,"",
(IF(AG$3&lt;1,"",_xludf.MaxIFS('Wellness Responses'!$P$2:$P1000,'Wellness Responses'!$R$2:$R1000,#REF!,'Wellness Responses'!$P$2:$P1000,"&lt;"&amp;AG$3))))</f>
        <v>#REF!</v>
      </c>
      <c r="AG3" s="14" t="e">
        <f>IF(
(IF(AH$3&lt;1,"",_xludf.MaxIFS('Wellness Responses'!$P$2:$P1000,'Wellness Responses'!$R$2:$R1000,#REF!,'Wellness Responses'!$P$2:$P1000,"&lt;"&amp;AH$3)))&lt;1,"",
(IF(AH$3&lt;1,"",_xludf.MaxIFS('Wellness Responses'!$P$2:$P1000,'Wellness Responses'!$R$2:$R1000,#REF!,'Wellness Responses'!$P$2:$P1000,"&lt;"&amp;AH$3))))</f>
        <v>#REF!</v>
      </c>
      <c r="AH3" s="14" t="e">
        <f>IF(
(IF(AI$3&lt;1,"",_xludf.MaxIFS('Wellness Responses'!$P$2:$P1000,'Wellness Responses'!$R$2:$R1000,#REF!,'Wellness Responses'!$P$2:$P1000,"&lt;"&amp;AI$3)))&lt;1,"",
(IF(AI$3&lt;1,"",_xludf.MaxIFS('Wellness Responses'!$P$2:$P1000,'Wellness Responses'!$R$2:$R1000,#REF!,'Wellness Responses'!$P$2:$P1000,"&lt;"&amp;AI$3))))</f>
        <v>#REF!</v>
      </c>
      <c r="AI3" s="14" t="e">
        <f>IF(
(IF(AJ$3&lt;1,"",_xludf.MaxIFS('Wellness Responses'!$P$2:$P1000,'Wellness Responses'!$R$2:$R1000,#REF!,'Wellness Responses'!$P$2:$P1000,"&lt;"&amp;AJ$3)))&lt;1,"",
(IF(AJ$3&lt;1,"",_xludf.MaxIFS('Wellness Responses'!$P$2:$P1000,'Wellness Responses'!$R$2:$R1000,#REF!,'Wellness Responses'!$P$2:$P1000,"&lt;"&amp;AJ$3))))</f>
        <v>#REF!</v>
      </c>
      <c r="AJ3" s="14" t="e">
        <f>#REF!</f>
        <v>#REF!</v>
      </c>
    </row>
    <row r="4" spans="1:36" ht="15.75" customHeight="1" x14ac:dyDescent="0.3">
      <c r="A4" s="6">
        <f ca="1">IFERROR(__xludf.DUMMYFUNCTION("""COMPUTED_VALUE"""),44938)</f>
        <v>44938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15" t="s">
        <v>48</v>
      </c>
      <c r="F4" s="11" t="s">
        <v>49</v>
      </c>
      <c r="H4" s="12" t="s">
        <v>50</v>
      </c>
      <c r="I4" s="16" t="str">
        <f>IFERROR(
IF(#REF!="Team",AVERAGEIFS(#REF!,#REF!,I$3),
IF(#REF!=$E$5,AVERAGEIFS(#REF!,#REF!,I$3,#REF!,#REF!),
IF(#REF!=$E$6,AVERAGEIFS(#REF!,#REF!,I$3,#REF!,#REF!)))),"")</f>
        <v/>
      </c>
      <c r="J4" s="16" t="str">
        <f>IFERROR(
IF(#REF!="Team",AVERAGEIFS(#REF!,#REF!,J$3),
IF(#REF!=$E$5,AVERAGEIFS(#REF!,#REF!,J$3,#REF!,#REF!),
IF(#REF!=$E$6,AVERAGEIFS(#REF!,#REF!,J$3,#REF!,#REF!)))),"")</f>
        <v/>
      </c>
      <c r="K4" s="16" t="str">
        <f>IFERROR(
IF(#REF!="Team",AVERAGEIFS(#REF!,#REF!,K$3),
IF(#REF!=$E$5,AVERAGEIFS(#REF!,#REF!,K$3,#REF!,#REF!),
IF(#REF!=$E$6,AVERAGEIFS(#REF!,#REF!,K$3,#REF!,#REF!)))),"")</f>
        <v/>
      </c>
      <c r="L4" s="16" t="str">
        <f>IFERROR(
IF(#REF!="Team",AVERAGEIFS(#REF!,#REF!,L$3),
IF(#REF!=$E$5,AVERAGEIFS(#REF!,#REF!,L$3,#REF!,#REF!),
IF(#REF!=$E$6,AVERAGEIFS(#REF!,#REF!,L$3,#REF!,#REF!)))),"")</f>
        <v/>
      </c>
      <c r="M4" s="16" t="str">
        <f>IFERROR(
IF(#REF!="Team",AVERAGEIFS(#REF!,#REF!,M$3),
IF(#REF!=$E$5,AVERAGEIFS(#REF!,#REF!,M$3,#REF!,#REF!),
IF(#REF!=$E$6,AVERAGEIFS(#REF!,#REF!,M$3,#REF!,#REF!)))),"")</f>
        <v/>
      </c>
      <c r="N4" s="16" t="str">
        <f>IFERROR(
IF(#REF!="Team",AVERAGEIFS(#REF!,#REF!,N$3),
IF(#REF!=$E$5,AVERAGEIFS(#REF!,#REF!,N$3,#REF!,#REF!),
IF(#REF!=$E$6,AVERAGEIFS(#REF!,#REF!,N$3,#REF!,#REF!)))),"")</f>
        <v/>
      </c>
      <c r="O4" s="16" t="str">
        <f>IFERROR(
IF(#REF!="Team",AVERAGEIFS(#REF!,#REF!,O$3),
IF(#REF!=$E$5,AVERAGEIFS(#REF!,#REF!,O$3,#REF!,#REF!),
IF(#REF!=$E$6,AVERAGEIFS(#REF!,#REF!,O$3,#REF!,#REF!)))),"")</f>
        <v/>
      </c>
      <c r="P4" s="16" t="str">
        <f>IFERROR(
IF(#REF!="Team",AVERAGEIFS(#REF!,#REF!,P$3),
IF(#REF!=$E$5,AVERAGEIFS(#REF!,#REF!,P$3,#REF!,#REF!),
IF(#REF!=$E$6,AVERAGEIFS(#REF!,#REF!,P$3,#REF!,#REF!)))),"")</f>
        <v/>
      </c>
      <c r="Q4" s="16" t="str">
        <f>IFERROR(
IF(#REF!="Team",AVERAGEIFS(#REF!,#REF!,Q$3),
IF(#REF!=$E$5,AVERAGEIFS(#REF!,#REF!,Q$3,#REF!,#REF!),
IF(#REF!=$E$6,AVERAGEIFS(#REF!,#REF!,Q$3,#REF!,#REF!)))),"")</f>
        <v/>
      </c>
      <c r="R4" s="16" t="str">
        <f>IFERROR(
IF(#REF!="Team",AVERAGEIFS(#REF!,#REF!,R$3),
IF(#REF!=$E$5,AVERAGEIFS(#REF!,#REF!,R$3,#REF!,#REF!),
IF(#REF!=$E$6,AVERAGEIFS(#REF!,#REF!,R$3,#REF!,#REF!)))),"")</f>
        <v/>
      </c>
      <c r="S4" s="16" t="str">
        <f>IFERROR(
IF(#REF!="Team",AVERAGEIFS(#REF!,#REF!,S$3),
IF(#REF!=$E$5,AVERAGEIFS(#REF!,#REF!,S$3,#REF!,#REF!),
IF(#REF!=$E$6,AVERAGEIFS(#REF!,#REF!,S$3,#REF!,#REF!)))),"")</f>
        <v/>
      </c>
      <c r="T4" s="16" t="str">
        <f>IFERROR(
IF(#REF!="Team",AVERAGEIFS(#REF!,#REF!,T$3),
IF(#REF!=$E$5,AVERAGEIFS(#REF!,#REF!,T$3,#REF!,#REF!),
IF(#REF!=$E$6,AVERAGEIFS(#REF!,#REF!,T$3,#REF!,#REF!)))),"")</f>
        <v/>
      </c>
      <c r="U4" s="16" t="str">
        <f>IFERROR(
IF(#REF!="Team",AVERAGEIFS(#REF!,#REF!,U$3),
IF(#REF!=$E$5,AVERAGEIFS(#REF!,#REF!,U$3,#REF!,#REF!),
IF(#REF!=$E$6,AVERAGEIFS(#REF!,#REF!,U$3,#REF!,#REF!)))),"")</f>
        <v/>
      </c>
      <c r="V4" s="16" t="str">
        <f>IFERROR(
IF(#REF!="Team",AVERAGEIFS(#REF!,#REF!,V$3),
IF(#REF!=$E$5,AVERAGEIFS(#REF!,#REF!,V$3,#REF!,#REF!),
IF(#REF!=$E$6,AVERAGEIFS(#REF!,#REF!,V$3,#REF!,#REF!)))),"")</f>
        <v/>
      </c>
      <c r="W4" s="16" t="str">
        <f>IFERROR(
IF(#REF!="Team",AVERAGEIFS(#REF!,#REF!,W$3),
IF(#REF!=$E$5,AVERAGEIFS(#REF!,#REF!,W$3,#REF!,#REF!),
IF(#REF!=$E$6,AVERAGEIFS(#REF!,#REF!,W$3,#REF!,#REF!)))),"")</f>
        <v/>
      </c>
      <c r="X4" s="16" t="str">
        <f>IFERROR(
IF(#REF!="Team",AVERAGEIFS(#REF!,#REF!,X$3),
IF(#REF!=$E$5,AVERAGEIFS(#REF!,#REF!,X$3,#REF!,#REF!),
IF(#REF!=$E$6,AVERAGEIFS(#REF!,#REF!,X$3,#REF!,#REF!)))),"")</f>
        <v/>
      </c>
      <c r="Y4" s="16" t="str">
        <f>IFERROR(
IF(#REF!="Team",AVERAGEIFS(#REF!,#REF!,Y$3),
IF(#REF!=$E$5,AVERAGEIFS(#REF!,#REF!,Y$3,#REF!,#REF!),
IF(#REF!=$E$6,AVERAGEIFS(#REF!,#REF!,Y$3,#REF!,#REF!)))),"")</f>
        <v/>
      </c>
      <c r="Z4" s="16" t="str">
        <f>IFERROR(
IF(#REF!="Team",AVERAGEIFS(#REF!,#REF!,Z$3),
IF(#REF!=$E$5,AVERAGEIFS(#REF!,#REF!,Z$3,#REF!,#REF!),
IF(#REF!=$E$6,AVERAGEIFS(#REF!,#REF!,Z$3,#REF!,#REF!)))),"")</f>
        <v/>
      </c>
      <c r="AA4" s="16" t="str">
        <f>IFERROR(
IF(#REF!="Team",AVERAGEIFS(#REF!,#REF!,AA$3),
IF(#REF!=$E$5,AVERAGEIFS(#REF!,#REF!,AA$3,#REF!,#REF!),
IF(#REF!=$E$6,AVERAGEIFS(#REF!,#REF!,AA$3,#REF!,#REF!)))),"")</f>
        <v/>
      </c>
      <c r="AB4" s="16" t="str">
        <f>IFERROR(
IF(#REF!="Team",AVERAGEIFS(#REF!,#REF!,AB$3),
IF(#REF!=$E$5,AVERAGEIFS(#REF!,#REF!,AB$3,#REF!,#REF!),
IF(#REF!=$E$6,AVERAGEIFS(#REF!,#REF!,AB$3,#REF!,#REF!)))),"")</f>
        <v/>
      </c>
      <c r="AC4" s="16" t="str">
        <f>IFERROR(
IF(#REF!="Team",AVERAGEIFS(#REF!,#REF!,AC$3),
IF(#REF!=$E$5,AVERAGEIFS(#REF!,#REF!,AC$3,#REF!,#REF!),
IF(#REF!=$E$6,AVERAGEIFS(#REF!,#REF!,AC$3,#REF!,#REF!)))),"")</f>
        <v/>
      </c>
      <c r="AD4" s="16" t="str">
        <f>IFERROR(
IF(#REF!="Team",AVERAGEIFS(#REF!,#REF!,AD$3),
IF(#REF!=$E$5,AVERAGEIFS(#REF!,#REF!,AD$3,#REF!,#REF!),
IF(#REF!=$E$6,AVERAGEIFS(#REF!,#REF!,AD$3,#REF!,#REF!)))),"")</f>
        <v/>
      </c>
      <c r="AE4" s="16" t="str">
        <f>IFERROR(
IF(#REF!="Team",AVERAGEIFS(#REF!,#REF!,AE$3),
IF(#REF!=$E$5,AVERAGEIFS(#REF!,#REF!,AE$3,#REF!,#REF!),
IF(#REF!=$E$6,AVERAGEIFS(#REF!,#REF!,AE$3,#REF!,#REF!)))),"")</f>
        <v/>
      </c>
      <c r="AF4" s="16" t="str">
        <f>IFERROR(
IF(#REF!="Team",AVERAGEIFS(#REF!,#REF!,AF$3),
IF(#REF!=$E$5,AVERAGEIFS(#REF!,#REF!,AF$3,#REF!,#REF!),
IF(#REF!=$E$6,AVERAGEIFS(#REF!,#REF!,AF$3,#REF!,#REF!)))),"")</f>
        <v/>
      </c>
      <c r="AG4" s="16" t="str">
        <f>IFERROR(
IF(#REF!="Team",AVERAGEIFS(#REF!,#REF!,AG$3),
IF(#REF!=$E$5,AVERAGEIFS(#REF!,#REF!,AG$3,#REF!,#REF!),
IF(#REF!=$E$6,AVERAGEIFS(#REF!,#REF!,AG$3,#REF!,#REF!)))),"")</f>
        <v/>
      </c>
      <c r="AH4" s="16" t="str">
        <f>IFERROR(
IF(#REF!="Team",AVERAGEIFS(#REF!,#REF!,AH$3),
IF(#REF!=$E$5,AVERAGEIFS(#REF!,#REF!,AH$3,#REF!,#REF!),
IF(#REF!=$E$6,AVERAGEIFS(#REF!,#REF!,AH$3,#REF!,#REF!)))),"")</f>
        <v/>
      </c>
      <c r="AI4" s="16" t="str">
        <f>IFERROR(
IF(#REF!="Team",AVERAGEIFS(#REF!,#REF!,AI$3),
IF(#REF!=$E$5,AVERAGEIFS(#REF!,#REF!,AI$3,#REF!,#REF!),
IF(#REF!=$E$6,AVERAGEIFS(#REF!,#REF!,AI$3,#REF!,#REF!)))),"")</f>
        <v/>
      </c>
      <c r="AJ4" s="17" t="str">
        <f>IFERROR(
IF(#REF!="Team",AVERAGEIFS(#REF!,#REF!,AJ$3),
IF(#REF!=$E$5,AVERAGEIFS(#REF!,#REF!,AJ$3,#REF!,#REF!),
IF(#REF!=$E$6,AVERAGEIFS(#REF!,#REF!,AJ$3,#REF!,#REF!)))),"")</f>
        <v/>
      </c>
    </row>
    <row r="5" spans="1:36" ht="15.75" customHeight="1" x14ac:dyDescent="0.3">
      <c r="A5" s="18">
        <f ca="1">IFERROR(__xludf.DUMMYFUNCTION("""COMPUTED_VALUE"""),44939)</f>
        <v>44939</v>
      </c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20" t="e">
        <f ca="1">IF(OR(#REF!=$C$3,#REF!=$C$4,#REF!=$C$5,#REF!=$C$6,#REF!=$C$7,#REF!=$C$8,#REF!=$C$9,#REF!=$C$10),#REF!,"")</f>
        <v>#REF!</v>
      </c>
      <c r="F5" s="11" t="s">
        <v>51</v>
      </c>
      <c r="H5" s="21" t="s">
        <v>52</v>
      </c>
      <c r="I5" s="22" t="str">
        <f>IFERROR(
IF(#REF!="Team",AVERAGEIFS(#REF!,#REF!,I$3),
IF(#REF!=$E$5,AVERAGEIFS(#REF!,#REF!,I$3,#REF!,#REF!),
IF(#REF!=$E$6,AVERAGEIFS(#REF!,#REF!,I$3,#REF!,#REF!)))),"")</f>
        <v/>
      </c>
      <c r="J5" s="22" t="str">
        <f>IFERROR(
IF(#REF!="Team",AVERAGEIFS(#REF!,#REF!,J$3),
IF(#REF!=$E$5,AVERAGEIFS(#REF!,#REF!,J$3,#REF!,#REF!),
IF(#REF!=$E$6,AVERAGEIFS(#REF!,#REF!,J$3,#REF!,#REF!)))),"")</f>
        <v/>
      </c>
      <c r="K5" s="22" t="str">
        <f>IFERROR(
IF(#REF!="Team",AVERAGEIFS(#REF!,#REF!,K$3),
IF(#REF!=$E$5,AVERAGEIFS(#REF!,#REF!,K$3,#REF!,#REF!),
IF(#REF!=$E$6,AVERAGEIFS(#REF!,#REF!,K$3,#REF!,#REF!)))),"")</f>
        <v/>
      </c>
      <c r="L5" s="22" t="str">
        <f>IFERROR(
IF(#REF!="Team",AVERAGEIFS(#REF!,#REF!,L$3),
IF(#REF!=$E$5,AVERAGEIFS(#REF!,#REF!,L$3,#REF!,#REF!),
IF(#REF!=$E$6,AVERAGEIFS(#REF!,#REF!,L$3,#REF!,#REF!)))),"")</f>
        <v/>
      </c>
      <c r="M5" s="22" t="str">
        <f>IFERROR(
IF(#REF!="Team",AVERAGEIFS(#REF!,#REF!,M$3),
IF(#REF!=$E$5,AVERAGEIFS(#REF!,#REF!,M$3,#REF!,#REF!),
IF(#REF!=$E$6,AVERAGEIFS(#REF!,#REF!,M$3,#REF!,#REF!)))),"")</f>
        <v/>
      </c>
      <c r="N5" s="22" t="str">
        <f>IFERROR(
IF(#REF!="Team",AVERAGEIFS(#REF!,#REF!,N$3),
IF(#REF!=$E$5,AVERAGEIFS(#REF!,#REF!,N$3,#REF!,#REF!),
IF(#REF!=$E$6,AVERAGEIFS(#REF!,#REF!,N$3,#REF!,#REF!)))),"")</f>
        <v/>
      </c>
      <c r="O5" s="22" t="str">
        <f>IFERROR(
IF(#REF!="Team",AVERAGEIFS(#REF!,#REF!,O$3),
IF(#REF!=$E$5,AVERAGEIFS(#REF!,#REF!,O$3,#REF!,#REF!),
IF(#REF!=$E$6,AVERAGEIFS(#REF!,#REF!,O$3,#REF!,#REF!)))),"")</f>
        <v/>
      </c>
      <c r="P5" s="22" t="str">
        <f>IFERROR(
IF(#REF!="Team",AVERAGEIFS(#REF!,#REF!,P$3),
IF(#REF!=$E$5,AVERAGEIFS(#REF!,#REF!,P$3,#REF!,#REF!),
IF(#REF!=$E$6,AVERAGEIFS(#REF!,#REF!,P$3,#REF!,#REF!)))),"")</f>
        <v/>
      </c>
      <c r="Q5" s="22" t="str">
        <f>IFERROR(
IF(#REF!="Team",AVERAGEIFS(#REF!,#REF!,Q$3),
IF(#REF!=$E$5,AVERAGEIFS(#REF!,#REF!,Q$3,#REF!,#REF!),
IF(#REF!=$E$6,AVERAGEIFS(#REF!,#REF!,Q$3,#REF!,#REF!)))),"")</f>
        <v/>
      </c>
      <c r="R5" s="22" t="str">
        <f>IFERROR(
IF(#REF!="Team",AVERAGEIFS(#REF!,#REF!,R$3),
IF(#REF!=$E$5,AVERAGEIFS(#REF!,#REF!,R$3,#REF!,#REF!),
IF(#REF!=$E$6,AVERAGEIFS(#REF!,#REF!,R$3,#REF!,#REF!)))),"")</f>
        <v/>
      </c>
      <c r="S5" s="22" t="str">
        <f>IFERROR(
IF(#REF!="Team",AVERAGEIFS(#REF!,#REF!,S$3),
IF(#REF!=$E$5,AVERAGEIFS(#REF!,#REF!,S$3,#REF!,#REF!),
IF(#REF!=$E$6,AVERAGEIFS(#REF!,#REF!,S$3,#REF!,#REF!)))),"")</f>
        <v/>
      </c>
      <c r="T5" s="22" t="str">
        <f>IFERROR(
IF(#REF!="Team",AVERAGEIFS(#REF!,#REF!,T$3),
IF(#REF!=$E$5,AVERAGEIFS(#REF!,#REF!,T$3,#REF!,#REF!),
IF(#REF!=$E$6,AVERAGEIFS(#REF!,#REF!,T$3,#REF!,#REF!)))),"")</f>
        <v/>
      </c>
      <c r="U5" s="22" t="str">
        <f>IFERROR(
IF(#REF!="Team",AVERAGEIFS(#REF!,#REF!,U$3),
IF(#REF!=$E$5,AVERAGEIFS(#REF!,#REF!,U$3,#REF!,#REF!),
IF(#REF!=$E$6,AVERAGEIFS(#REF!,#REF!,U$3,#REF!,#REF!)))),"")</f>
        <v/>
      </c>
      <c r="V5" s="22" t="str">
        <f>IFERROR(
IF(#REF!="Team",AVERAGEIFS(#REF!,#REF!,V$3),
IF(#REF!=$E$5,AVERAGEIFS(#REF!,#REF!,V$3,#REF!,#REF!),
IF(#REF!=$E$6,AVERAGEIFS(#REF!,#REF!,V$3,#REF!,#REF!)))),"")</f>
        <v/>
      </c>
      <c r="W5" s="22" t="str">
        <f>IFERROR(
IF(#REF!="Team",AVERAGEIFS(#REF!,#REF!,W$3),
IF(#REF!=$E$5,AVERAGEIFS(#REF!,#REF!,W$3,#REF!,#REF!),
IF(#REF!=$E$6,AVERAGEIFS(#REF!,#REF!,W$3,#REF!,#REF!)))),"")</f>
        <v/>
      </c>
      <c r="X5" s="22" t="str">
        <f>IFERROR(
IF(#REF!="Team",AVERAGEIFS(#REF!,#REF!,X$3),
IF(#REF!=$E$5,AVERAGEIFS(#REF!,#REF!,X$3,#REF!,#REF!),
IF(#REF!=$E$6,AVERAGEIFS(#REF!,#REF!,X$3,#REF!,#REF!)))),"")</f>
        <v/>
      </c>
      <c r="Y5" s="22" t="str">
        <f>IFERROR(
IF(#REF!="Team",AVERAGEIFS(#REF!,#REF!,Y$3),
IF(#REF!=$E$5,AVERAGEIFS(#REF!,#REF!,Y$3,#REF!,#REF!),
IF(#REF!=$E$6,AVERAGEIFS(#REF!,#REF!,Y$3,#REF!,#REF!)))),"")</f>
        <v/>
      </c>
      <c r="Z5" s="22" t="str">
        <f>IFERROR(
IF(#REF!="Team",AVERAGEIFS(#REF!,#REF!,Z$3),
IF(#REF!=$E$5,AVERAGEIFS(#REF!,#REF!,Z$3,#REF!,#REF!),
IF(#REF!=$E$6,AVERAGEIFS(#REF!,#REF!,Z$3,#REF!,#REF!)))),"")</f>
        <v/>
      </c>
      <c r="AA5" s="22" t="str">
        <f>IFERROR(
IF(#REF!="Team",AVERAGEIFS(#REF!,#REF!,AA$3),
IF(#REF!=$E$5,AVERAGEIFS(#REF!,#REF!,AA$3,#REF!,#REF!),
IF(#REF!=$E$6,AVERAGEIFS(#REF!,#REF!,AA$3,#REF!,#REF!)))),"")</f>
        <v/>
      </c>
      <c r="AB5" s="22" t="str">
        <f>IFERROR(
IF(#REF!="Team",AVERAGEIFS(#REF!,#REF!,AB$3),
IF(#REF!=$E$5,AVERAGEIFS(#REF!,#REF!,AB$3,#REF!,#REF!),
IF(#REF!=$E$6,AVERAGEIFS(#REF!,#REF!,AB$3,#REF!,#REF!)))),"")</f>
        <v/>
      </c>
      <c r="AC5" s="22" t="str">
        <f>IFERROR(
IF(#REF!="Team",AVERAGEIFS(#REF!,#REF!,AC$3),
IF(#REF!=$E$5,AVERAGEIFS(#REF!,#REF!,AC$3,#REF!,#REF!),
IF(#REF!=$E$6,AVERAGEIFS(#REF!,#REF!,AC$3,#REF!,#REF!)))),"")</f>
        <v/>
      </c>
      <c r="AD5" s="22" t="str">
        <f>IFERROR(
IF(#REF!="Team",AVERAGEIFS(#REF!,#REF!,AD$3),
IF(#REF!=$E$5,AVERAGEIFS(#REF!,#REF!,AD$3,#REF!,#REF!),
IF(#REF!=$E$6,AVERAGEIFS(#REF!,#REF!,AD$3,#REF!,#REF!)))),"")</f>
        <v/>
      </c>
      <c r="AE5" s="22" t="str">
        <f>IFERROR(
IF(#REF!="Team",AVERAGEIFS(#REF!,#REF!,AE$3),
IF(#REF!=$E$5,AVERAGEIFS(#REF!,#REF!,AE$3,#REF!,#REF!),
IF(#REF!=$E$6,AVERAGEIFS(#REF!,#REF!,AE$3,#REF!,#REF!)))),"")</f>
        <v/>
      </c>
      <c r="AF5" s="22" t="str">
        <f>IFERROR(
IF(#REF!="Team",AVERAGEIFS(#REF!,#REF!,AF$3),
IF(#REF!=$E$5,AVERAGEIFS(#REF!,#REF!,AF$3,#REF!,#REF!),
IF(#REF!=$E$6,AVERAGEIFS(#REF!,#REF!,AF$3,#REF!,#REF!)))),"")</f>
        <v/>
      </c>
      <c r="AG5" s="22" t="str">
        <f>IFERROR(
IF(#REF!="Team",AVERAGEIFS(#REF!,#REF!,AG$3),
IF(#REF!=$E$5,AVERAGEIFS(#REF!,#REF!,AG$3,#REF!,#REF!),
IF(#REF!=$E$6,AVERAGEIFS(#REF!,#REF!,AG$3,#REF!,#REF!)))),"")</f>
        <v/>
      </c>
      <c r="AH5" s="22" t="str">
        <f>IFERROR(
IF(#REF!="Team",AVERAGEIFS(#REF!,#REF!,AH$3),
IF(#REF!=$E$5,AVERAGEIFS(#REF!,#REF!,AH$3,#REF!,#REF!),
IF(#REF!=$E$6,AVERAGEIFS(#REF!,#REF!,AH$3,#REF!,#REF!)))),"")</f>
        <v/>
      </c>
      <c r="AI5" s="22" t="str">
        <f>IFERROR(
IF(#REF!="Team",AVERAGEIFS(#REF!,#REF!,AI$3),
IF(#REF!=$E$5,AVERAGEIFS(#REF!,#REF!,AI$3,#REF!,#REF!),
IF(#REF!=$E$6,AVERAGEIFS(#REF!,#REF!,AI$3,#REF!,#REF!)))),"")</f>
        <v/>
      </c>
      <c r="AJ5" s="23" t="str">
        <f>IFERROR(
IF(#REF!="Team",AVERAGEIFS(#REF!,#REF!,AJ$3),
IF(#REF!=$E$5,AVERAGEIFS(#REF!,#REF!,AJ$3,#REF!,#REF!),
IF(#REF!=$E$6,AVERAGEIFS(#REF!,#REF!,AJ$3,#REF!,#REF!)))),"")</f>
        <v/>
      </c>
    </row>
    <row r="6" spans="1:36" ht="15.75" customHeight="1" x14ac:dyDescent="0.25">
      <c r="A6" s="18">
        <f ca="1">IFERROR(__xludf.DUMMYFUNCTION("""COMPUTED_VALUE"""),44940)</f>
        <v>44940</v>
      </c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24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8" t="s">
        <v>39</v>
      </c>
    </row>
    <row r="7" spans="1:36" ht="15.75" customHeight="1" x14ac:dyDescent="0.25">
      <c r="A7" s="18">
        <f ca="1">IFERROR(__xludf.DUMMYFUNCTION("""COMPUTED_VALUE"""),44941)</f>
        <v>44941</v>
      </c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F7" s="8" t="s">
        <v>53</v>
      </c>
      <c r="H7" s="87" t="s">
        <v>54</v>
      </c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9"/>
    </row>
    <row r="8" spans="1:36" ht="15.75" customHeight="1" x14ac:dyDescent="0.25">
      <c r="A8" s="18">
        <f ca="1">IFERROR(__xludf.DUMMYFUNCTION("""COMPUTED_VALUE"""),44942)</f>
        <v>44942</v>
      </c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F8" s="8" t="s">
        <v>55</v>
      </c>
      <c r="H8" s="90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  <c r="AA8" s="91"/>
      <c r="AB8" s="91"/>
      <c r="AC8" s="91"/>
      <c r="AD8" s="91"/>
      <c r="AE8" s="91"/>
      <c r="AF8" s="91"/>
      <c r="AG8" s="91"/>
      <c r="AH8" s="91"/>
      <c r="AI8" s="91"/>
      <c r="AJ8" s="92"/>
    </row>
    <row r="9" spans="1:36" ht="15.75" customHeight="1" x14ac:dyDescent="0.25">
      <c r="A9" s="18">
        <f ca="1">IFERROR(__xludf.DUMMYFUNCTION("""COMPUTED_VALUE"""),44943)</f>
        <v>44943</v>
      </c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F9" s="8" t="s">
        <v>40</v>
      </c>
      <c r="H9" s="12" t="s">
        <v>47</v>
      </c>
      <c r="I9" s="25" t="e">
        <f>IF(#REF!=$E$2,
(IF(
(IF(J$9&lt;1,"",_xludf.MaxIFS('Wellness Responses'!$P$2:$P1000,'Wellness Responses'!$R$2:$R1000,#REF!,'Wellness Responses'!$P$2:$P1000,"&lt;"&amp;J$9)))&lt;1,"",
(IF(J$9&lt;1,"",TEXT(_xludf.MaxIFS('Wellness Responses'!$P$2:$P1000,'Wellness Responses'!$R$2:$R1000,#REF!,'Wellness Responses'!$P$2:$P1000,"&lt;"&amp;J$9),"MM/DD/YYYY"))))),
IF(#REF!=$E$3,
(IF(OR(J$9&lt;1,J$9=1,J$9=""),"",J$9-1))))</f>
        <v>#REF!</v>
      </c>
      <c r="J9" s="25" t="e">
        <f>IF(#REF!=$E$2,
(IF(
(IF(K$9&lt;1,"",_xludf.MaxIFS('Wellness Responses'!$P$2:$P1000,'Wellness Responses'!$R$2:$R1000,#REF!,'Wellness Responses'!$P$2:$P1000,"&lt;"&amp;K$9)))&lt;1,"",
(IF(K$9&lt;1,"",TEXT(_xludf.MaxIFS('Wellness Responses'!$P$2:$P1000,'Wellness Responses'!$R$2:$R1000,#REF!,'Wellness Responses'!$P$2:$P1000,"&lt;"&amp;K$9),"MM/DD/YYYY"))))),
IF(#REF!=$E$3,
(IF(OR(K$9&lt;1,K$9=1,K$9=""),"",K$9-1))))</f>
        <v>#REF!</v>
      </c>
      <c r="K9" s="25" t="e">
        <f>IF(#REF!=$E$2,
(IF(
(IF(L$9&lt;1,"",_xludf.MaxIFS('Wellness Responses'!$P$2:$P1000,'Wellness Responses'!$R$2:$R1000,#REF!,'Wellness Responses'!$P$2:$P1000,"&lt;"&amp;L$9)))&lt;1,"",
(IF(L$9&lt;1,"",TEXT(_xludf.MaxIFS('Wellness Responses'!$P$2:$P1000,'Wellness Responses'!$R$2:$R1000,#REF!,'Wellness Responses'!$P$2:$P1000,"&lt;"&amp;L$9),"MM/DD/YYYY"))))),
IF(#REF!=$E$3,
(IF(OR(L$9&lt;1,L$9=1,L$9=""),"",L$9-1))))</f>
        <v>#REF!</v>
      </c>
      <c r="L9" s="25" t="e">
        <f>IF(#REF!=$E$2,
(IF(
(IF(M$9&lt;1,"",_xludf.MaxIFS('Wellness Responses'!$P$2:$P1000,'Wellness Responses'!$R$2:$R1000,#REF!,'Wellness Responses'!$P$2:$P1000,"&lt;"&amp;M$9)))&lt;1,"",
(IF(M$9&lt;1,"",TEXT(_xludf.MaxIFS('Wellness Responses'!$P$2:$P1000,'Wellness Responses'!$R$2:$R1000,#REF!,'Wellness Responses'!$P$2:$P1000,"&lt;"&amp;M$9),"MM/DD/YYYY"))))),
IF(#REF!=$E$3,
(IF(OR(M$9&lt;1,M$9=1,M$9=""),"",M$9-1))))</f>
        <v>#REF!</v>
      </c>
      <c r="M9" s="25" t="e">
        <f>IF(#REF!=$E$2,
(IF(
(IF(N$9&lt;1,"",_xludf.MaxIFS('Wellness Responses'!$P$2:$P1000,'Wellness Responses'!$R$2:$R1000,#REF!,'Wellness Responses'!$P$2:$P1000,"&lt;"&amp;N$9)))&lt;1,"",
(IF(N$9&lt;1,"",TEXT(_xludf.MaxIFS('Wellness Responses'!$P$2:$P1000,'Wellness Responses'!$R$2:$R1000,#REF!,'Wellness Responses'!$P$2:$P1000,"&lt;"&amp;N$9),"MM/DD/YYYY"))))),
IF(#REF!=$E$3,
(IF(OR(N$9&lt;1,N$9=1,N$9=""),"",N$9-1))))</f>
        <v>#REF!</v>
      </c>
      <c r="N9" s="25" t="e">
        <f>IF(#REF!=$E$2,
(IF(
(IF(O$9&lt;1,"",_xludf.MaxIFS('Wellness Responses'!$P$2:$P1000,'Wellness Responses'!$R$2:$R1000,#REF!,'Wellness Responses'!$P$2:$P1000,"&lt;"&amp;O$9)))&lt;1,"",
(IF(O$9&lt;1,"",TEXT(_xludf.MaxIFS('Wellness Responses'!$P$2:$P1000,'Wellness Responses'!$R$2:$R1000,#REF!,'Wellness Responses'!$P$2:$P1000,"&lt;"&amp;O$9),"MM/DD/YYYY"))))),
IF(#REF!=$E$3,
(IF(OR(O$9&lt;1,O$9=1,O$9=""),"",O$9-1))))</f>
        <v>#REF!</v>
      </c>
      <c r="O9" s="25" t="e">
        <f>IF(#REF!=$E$2,
(IF(
(IF(P$9&lt;1,"",_xludf.MaxIFS('Wellness Responses'!$P$2:$P1000,'Wellness Responses'!$R$2:$R1000,#REF!,'Wellness Responses'!$P$2:$P1000,"&lt;"&amp;P$9)))&lt;1,"",
(IF(P$9&lt;1,"",TEXT(_xludf.MaxIFS('Wellness Responses'!$P$2:$P1000,'Wellness Responses'!$R$2:$R1000,#REF!,'Wellness Responses'!$P$2:$P1000,"&lt;"&amp;P$9),"MM/DD/YYYY"))))),
IF(#REF!=$E$3,
(IF(OR(P$9&lt;1,P$9=1,P$9=""),"",P$9-1))))</f>
        <v>#REF!</v>
      </c>
      <c r="P9" s="25" t="e">
        <f>IF(#REF!=$E$2,
(IF(
(IF(Q$9&lt;1,"",_xludf.MaxIFS('Wellness Responses'!$P$2:$P1000,'Wellness Responses'!$R$2:$R1000,#REF!,'Wellness Responses'!$P$2:$P1000,"&lt;"&amp;Q$9)))&lt;1,"",
(IF(Q$9&lt;1,"",TEXT(_xludf.MaxIFS('Wellness Responses'!$P$2:$P1000,'Wellness Responses'!$R$2:$R1000,#REF!,'Wellness Responses'!$P$2:$P1000,"&lt;"&amp;Q$9),"MM/DD/YYYY"))))),
IF(#REF!=$E$3,
(IF(OR(Q$9&lt;1,Q$9=1,Q$9=""),"",Q$9-1))))</f>
        <v>#REF!</v>
      </c>
      <c r="Q9" s="25" t="e">
        <f>IF(#REF!=$E$2,
(IF(
(IF(R$9&lt;1,"",_xludf.MaxIFS('Wellness Responses'!$P$2:$P1000,'Wellness Responses'!$R$2:$R1000,#REF!,'Wellness Responses'!$P$2:$P1000,"&lt;"&amp;R$9)))&lt;1,"",
(IF(R$9&lt;1,"",TEXT(_xludf.MaxIFS('Wellness Responses'!$P$2:$P1000,'Wellness Responses'!$R$2:$R1000,#REF!,'Wellness Responses'!$P$2:$P1000,"&lt;"&amp;R$9),"MM/DD/YYYY"))))),
IF(#REF!=$E$3,
(IF(OR(R$9&lt;1,R$9=1,R$9=""),"",R$9-1))))</f>
        <v>#REF!</v>
      </c>
      <c r="R9" s="25" t="e">
        <f>IF(#REF!=$E$2,
(IF(
(IF(S$9&lt;1,"",_xludf.MaxIFS('Wellness Responses'!$P$2:$P1000,'Wellness Responses'!$R$2:$R1000,#REF!,'Wellness Responses'!$P$2:$P1000,"&lt;"&amp;S$9)))&lt;1,"",
(IF(S$9&lt;1,"",TEXT(_xludf.MaxIFS('Wellness Responses'!$P$2:$P1000,'Wellness Responses'!$R$2:$R1000,#REF!,'Wellness Responses'!$P$2:$P1000,"&lt;"&amp;S$9),"MM/DD/YYYY"))))),
IF(#REF!=$E$3,
(IF(OR(S$9&lt;1,S$9=1,S$9=""),"",S$9-1))))</f>
        <v>#REF!</v>
      </c>
      <c r="S9" s="25" t="e">
        <f>IF(#REF!=$E$2,
(IF(
(IF(T$9&lt;1,"",_xludf.MaxIFS('Wellness Responses'!$P$2:$P1000,'Wellness Responses'!$R$2:$R1000,#REF!,'Wellness Responses'!$P$2:$P1000,"&lt;"&amp;T$9)))&lt;1,"",
(IF(T$9&lt;1,"",TEXT(_xludf.MaxIFS('Wellness Responses'!$P$2:$P1000,'Wellness Responses'!$R$2:$R1000,#REF!,'Wellness Responses'!$P$2:$P1000,"&lt;"&amp;T$9),"MM/DD/YYYY"))))),
IF(#REF!=$E$3,
(IF(OR(T$9&lt;1,T$9=1,T$9=""),"",T$9-1))))</f>
        <v>#REF!</v>
      </c>
      <c r="T9" s="25" t="e">
        <f>IF(#REF!=$E$2,
(IF(
(IF(U$9&lt;1,"",_xludf.MaxIFS('Wellness Responses'!$P$2:$P1000,'Wellness Responses'!$R$2:$R1000,#REF!,'Wellness Responses'!$P$2:$P1000,"&lt;"&amp;U$9)))&lt;1,"",
(IF(U$9&lt;1,"",TEXT(_xludf.MaxIFS('Wellness Responses'!$P$2:$P1000,'Wellness Responses'!$R$2:$R1000,#REF!,'Wellness Responses'!$P$2:$P1000,"&lt;"&amp;U$9),"MM/DD/YYYY"))))),
IF(#REF!=$E$3,
(IF(OR(U$9&lt;1,U$9=1,U$9=""),"",U$9-1))))</f>
        <v>#REF!</v>
      </c>
      <c r="U9" s="25" t="e">
        <f>IF(#REF!=$E$2,
(IF(
(IF(V$9&lt;1,"",_xludf.MaxIFS('Wellness Responses'!$P$2:$P1000,'Wellness Responses'!$R$2:$R1000,#REF!,'Wellness Responses'!$P$2:$P1000,"&lt;"&amp;V$9)))&lt;1,"",
(IF(V$9&lt;1,"",TEXT(_xludf.MaxIFS('Wellness Responses'!$P$2:$P1000,'Wellness Responses'!$R$2:$R1000,#REF!,'Wellness Responses'!$P$2:$P1000,"&lt;"&amp;V$9),"MM/DD/YYYY"))))),
IF(#REF!=$E$3,
(IF(OR(V$9&lt;1,V$9=1,V$9=""),"",V$9-1))))</f>
        <v>#REF!</v>
      </c>
      <c r="V9" s="25" t="e">
        <f>IF(#REF!=$E$2,
(IF(
(IF(W$9&lt;1,"",_xludf.MaxIFS('Wellness Responses'!$P$2:$P1000,'Wellness Responses'!$R$2:$R1000,#REF!,'Wellness Responses'!$P$2:$P1000,"&lt;"&amp;W$9)))&lt;1,"",
(IF(W$9&lt;1,"",TEXT(_xludf.MaxIFS('Wellness Responses'!$P$2:$P1000,'Wellness Responses'!$R$2:$R1000,#REF!,'Wellness Responses'!$P$2:$P1000,"&lt;"&amp;W$9),"MM/DD/YYYY"))))),
IF(#REF!=$E$3,
(IF(OR(W$9&lt;1,W$9=1,W$9=""),"",W$9-1))))</f>
        <v>#REF!</v>
      </c>
      <c r="W9" s="25" t="e">
        <f>IF(#REF!=$E$2,
(IF(
(IF(X$9&lt;1,"",_xludf.MaxIFS('Wellness Responses'!$P$2:$P1000,'Wellness Responses'!$R$2:$R1000,#REF!,'Wellness Responses'!$P$2:$P1000,"&lt;"&amp;X$9)))&lt;1,"",
(IF(X$9&lt;1,"",TEXT(_xludf.MaxIFS('Wellness Responses'!$P$2:$P1000,'Wellness Responses'!$R$2:$R1000,#REF!,'Wellness Responses'!$P$2:$P1000,"&lt;"&amp;X$9),"MM/DD/YYYY"))))),
IF(#REF!=$E$3,
(IF(OR(X$9&lt;1,X$9=1,X$9=""),"",X$9-1))))</f>
        <v>#REF!</v>
      </c>
      <c r="X9" s="25" t="e">
        <f>IF(#REF!=$E$2,
(IF(
(IF(Y$9&lt;1,"",_xludf.MaxIFS('Wellness Responses'!$P$2:$P1000,'Wellness Responses'!$R$2:$R1000,#REF!,'Wellness Responses'!$P$2:$P1000,"&lt;"&amp;Y$9)))&lt;1,"",
(IF(Y$9&lt;1,"",TEXT(_xludf.MaxIFS('Wellness Responses'!$P$2:$P1000,'Wellness Responses'!$R$2:$R1000,#REF!,'Wellness Responses'!$P$2:$P1000,"&lt;"&amp;Y$9),"MM/DD/YYYY"))))),
IF(#REF!=$E$3,
(IF(OR(Y$9&lt;1,Y$9=1,Y$9=""),"",Y$9-1))))</f>
        <v>#REF!</v>
      </c>
      <c r="Y9" s="25" t="e">
        <f>IF(#REF!=$E$2,
(IF(
(IF(Z$9&lt;1,"",_xludf.MaxIFS('Wellness Responses'!$P$2:$P1000,'Wellness Responses'!$R$2:$R1000,#REF!,'Wellness Responses'!$P$2:$P1000,"&lt;"&amp;Z$9)))&lt;1,"",
(IF(Z$9&lt;1,"",TEXT(_xludf.MaxIFS('Wellness Responses'!$P$2:$P1000,'Wellness Responses'!$R$2:$R1000,#REF!,'Wellness Responses'!$P$2:$P1000,"&lt;"&amp;Z$9),"MM/DD/YYYY"))))),
IF(#REF!=$E$3,
(IF(OR(Z$9&lt;1,Z$9=1,Z$9=""),"",Z$9-1))))</f>
        <v>#REF!</v>
      </c>
      <c r="Z9" s="25" t="e">
        <f>IF(#REF!=$E$2,
(IF(
(IF(AA$9&lt;1,"",_xludf.MaxIFS('Wellness Responses'!$P$2:$P1000,'Wellness Responses'!$R$2:$R1000,#REF!,'Wellness Responses'!$P$2:$P1000,"&lt;"&amp;AA$9)))&lt;1,"",
(IF(AA$9&lt;1,"",TEXT(_xludf.MaxIFS('Wellness Responses'!$P$2:$P1000,'Wellness Responses'!$R$2:$R1000,#REF!,'Wellness Responses'!$P$2:$P1000,"&lt;"&amp;AA$9),"MM/DD/YYYY"))))),
IF(#REF!=$E$3,
(IF(OR(AA$9&lt;1,AA$9=1,AA$9=""),"",AA$9-1))))</f>
        <v>#REF!</v>
      </c>
      <c r="AA9" s="25" t="e">
        <f>IF(#REF!=$E$2,
(IF(
(IF(AB$9&lt;1,"",_xludf.MaxIFS('Wellness Responses'!$P$2:$P1000,'Wellness Responses'!$R$2:$R1000,#REF!,'Wellness Responses'!$P$2:$P1000,"&lt;"&amp;AB$9)))&lt;1,"",
(IF(AB$9&lt;1,"",TEXT(_xludf.MaxIFS('Wellness Responses'!$P$2:$P1000,'Wellness Responses'!$R$2:$R1000,#REF!,'Wellness Responses'!$P$2:$P1000,"&lt;"&amp;AB$9),"MM/DD/YYYY"))))),
IF(#REF!=$E$3,
(IF(OR(AB$9&lt;1,AB$9=1,AB$9=""),"",AB$9-1))))</f>
        <v>#REF!</v>
      </c>
      <c r="AB9" s="25" t="e">
        <f>IF(#REF!=$E$2,
(IF(
(IF(AC$9&lt;1,"",_xludf.MaxIFS('Wellness Responses'!$P$2:$P1000,'Wellness Responses'!$R$2:$R1000,#REF!,'Wellness Responses'!$P$2:$P1000,"&lt;"&amp;AC$9)))&lt;1,"",
(IF(AC$9&lt;1,"",TEXT(_xludf.MaxIFS('Wellness Responses'!$P$2:$P1000,'Wellness Responses'!$R$2:$R1000,#REF!,'Wellness Responses'!$P$2:$P1000,"&lt;"&amp;AC$9),"MM/DD/YYYY"))))),
IF(#REF!=$E$3,
(IF(OR(AC$9&lt;1,AC$9=1,AC$9=""),"",AC$9-1))))</f>
        <v>#REF!</v>
      </c>
      <c r="AC9" s="25" t="e">
        <f>IF(#REF!=$E$2,
(IF(
(IF(AD$9&lt;1,"",_xludf.MaxIFS('Wellness Responses'!$P$2:$P1000,'Wellness Responses'!$R$2:$R1000,#REF!,'Wellness Responses'!$P$2:$P1000,"&lt;"&amp;AD$9)))&lt;1,"",
(IF(AD$9&lt;1,"",TEXT(_xludf.MaxIFS('Wellness Responses'!$P$2:$P1000,'Wellness Responses'!$R$2:$R1000,#REF!,'Wellness Responses'!$P$2:$P1000,"&lt;"&amp;AD$9),"MM/DD/YYYY"))))),
IF(#REF!=$E$3,
(IF(OR(AD$9&lt;1,AD$9=1,AD$9=""),"",AD$9-1))))</f>
        <v>#REF!</v>
      </c>
      <c r="AD9" s="25" t="e">
        <f>IF(#REF!=$E$2,
(IF(
(IF(AE$9&lt;1,"",_xludf.MaxIFS('Wellness Responses'!$P$2:$P1000,'Wellness Responses'!$R$2:$R1000,#REF!,'Wellness Responses'!$P$2:$P1000,"&lt;"&amp;AE$9)))&lt;1,"",
(IF(AE$9&lt;1,"",TEXT(_xludf.MaxIFS('Wellness Responses'!$P$2:$P1000,'Wellness Responses'!$R$2:$R1000,#REF!,'Wellness Responses'!$P$2:$P1000,"&lt;"&amp;AE$9),"MM/DD/YYYY"))))),
IF(#REF!=$E$3,
(IF(OR(AE$9&lt;1,AE$9=1,AE$9=""),"",AE$9-1))))</f>
        <v>#REF!</v>
      </c>
      <c r="AE9" s="25" t="e">
        <f>IF(#REF!=$E$2,
(IF(
(IF(AF$9&lt;1,"",_xludf.MaxIFS('Wellness Responses'!$P$2:$P1000,'Wellness Responses'!$R$2:$R1000,#REF!,'Wellness Responses'!$P$2:$P1000,"&lt;"&amp;AF$9)))&lt;1,"",
(IF(AF$9&lt;1,"",TEXT(_xludf.MaxIFS('Wellness Responses'!$P$2:$P1000,'Wellness Responses'!$R$2:$R1000,#REF!,'Wellness Responses'!$P$2:$P1000,"&lt;"&amp;AF$9),"MM/DD/YYYY"))))),
IF(#REF!=$E$3,
(IF(OR(AF$9&lt;1,AF$9=1,AF$9=""),"",AF$9-1))))</f>
        <v>#REF!</v>
      </c>
      <c r="AF9" s="25" t="e">
        <f>IF(#REF!=$E$2,
(IF(
(IF(AG$9&lt;1,"",_xludf.MaxIFS('Wellness Responses'!$P$2:$P1000,'Wellness Responses'!$R$2:$R1000,#REF!,'Wellness Responses'!$P$2:$P1000,"&lt;"&amp;AG$9)))&lt;1,"",
(IF(AG$9&lt;1,"",TEXT(_xludf.MaxIFS('Wellness Responses'!$P$2:$P1000,'Wellness Responses'!$R$2:$R1000,#REF!,'Wellness Responses'!$P$2:$P1000,"&lt;"&amp;AG$9),"MM/DD/YYYY"))))),
IF(#REF!=$E$3,
(IF(OR(AG$9&lt;1,AG$9=1,AG$9=""),"",AG$9-1))))</f>
        <v>#REF!</v>
      </c>
      <c r="AG9" s="25" t="e">
        <f>IF(#REF!=$E$2,
(IF(
(IF(AH$9&lt;1,"",_xludf.MaxIFS('Wellness Responses'!$P$2:$P1000,'Wellness Responses'!$R$2:$R1000,#REF!,'Wellness Responses'!$P$2:$P1000,"&lt;"&amp;AH$9)))&lt;1,"",
(IF(AH$9&lt;1,"",TEXT(_xludf.MaxIFS('Wellness Responses'!$P$2:$P1000,'Wellness Responses'!$R$2:$R1000,#REF!,'Wellness Responses'!$P$2:$P1000,"&lt;"&amp;AH$9),"MM/DD/YYYY"))))),
IF(#REF!=$E$3,
(IF(OR(AH$9&lt;1,AH$9=1,AH$9=""),"",AH$9-1))))</f>
        <v>#REF!</v>
      </c>
      <c r="AH9" s="25" t="e">
        <f>IF(#REF!=$E$2,
(IF(
(IF(AI$9&lt;1,"",_xludf.MaxIFS('Wellness Responses'!$P$2:$P1000,'Wellness Responses'!$R$2:$R1000,#REF!,'Wellness Responses'!$P$2:$P1000,"&lt;"&amp;AI$9)))&lt;1,"",
(IF(AI$9&lt;1,"",TEXT(_xludf.MaxIFS('Wellness Responses'!$P$2:$P1000,'Wellness Responses'!$R$2:$R1000,#REF!,'Wellness Responses'!$P$2:$P1000,"&lt;"&amp;AI$9),"MM/DD/YYYY"))))),
IF(#REF!=$E$3,
(IF(OR(AI$9&lt;1,AI$9=1,AI$9=""),"",AI$9-1))))</f>
        <v>#REF!</v>
      </c>
      <c r="AI9" s="25" t="e">
        <f>IF(#REF!=$E$2,
(IF(
(IF(AJ$9&lt;1,"",_xludf.MaxIFS('Wellness Responses'!$P$2:$P1000,'Wellness Responses'!$R$2:$R1000,#REF!,'Wellness Responses'!$P$2:$P1000,"&lt;"&amp;AJ$9)))&lt;1,"",
(IF(AJ$9&lt;1,"",TEXT(_xludf.MaxIFS('Wellness Responses'!$P$2:$P1000,'Wellness Responses'!$R$2:$R1000,#REF!,'Wellness Responses'!$P$2:$P1000,"&lt;"&amp;AJ$9),"MM/DD/YYYY"))))),
IF(#REF!=$E$3,
(IF(OR(AJ$9&lt;1,AJ$9=1,AJ$9=""),"",AJ$9-1))))</f>
        <v>#REF!</v>
      </c>
      <c r="AJ9" s="26" t="e">
        <f t="array" ref="AJ9">IF(#REF!=$E$2,TEXT(#REF!,"MM/DD/YYYY"),
IF(#REF!=$E$3,INDEX('Wellness Responses'!$O$2:$O1000,MATCH(#REF!,'Wellness Responses'!$P$2:$P1000,0),"")))</f>
        <v>#REF!</v>
      </c>
    </row>
    <row r="10" spans="1:36" ht="15.75" customHeight="1" x14ac:dyDescent="0.25">
      <c r="A10" s="18">
        <f ca="1">IFERROR(__xludf.DUMMYFUNCTION("""COMPUTED_VALUE"""),44944)</f>
        <v>44944</v>
      </c>
      <c r="C10" s="19"/>
      <c r="D10" s="7"/>
      <c r="F10" s="8" t="s">
        <v>56</v>
      </c>
      <c r="H10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10" s="16">
        <v>0.58333333330000003</v>
      </c>
      <c r="J10" s="16">
        <v>0.64705882349999999</v>
      </c>
      <c r="K10" s="16">
        <v>0.70833333330000003</v>
      </c>
      <c r="L10" s="16">
        <v>0.78125</v>
      </c>
      <c r="M10" s="16">
        <v>0.64236111110000005</v>
      </c>
      <c r="N10" s="16">
        <v>0.6875</v>
      </c>
      <c r="O10" s="16">
        <v>0.58455882349999999</v>
      </c>
      <c r="P10" s="16">
        <v>0.59895833330000003</v>
      </c>
      <c r="Q10" s="16">
        <v>0.60416666669999997</v>
      </c>
      <c r="R10" s="16">
        <v>0.75</v>
      </c>
      <c r="S10" s="16">
        <v>0.875</v>
      </c>
      <c r="T10" s="16">
        <v>0.6953125</v>
      </c>
      <c r="U10" s="16">
        <v>0.63888888889999995</v>
      </c>
      <c r="V10" s="16">
        <v>0.58455882349999999</v>
      </c>
      <c r="W10" s="16">
        <v>0.6730769231</v>
      </c>
      <c r="X10" s="16">
        <v>0.6755952381</v>
      </c>
      <c r="Y10" s="16">
        <v>0.66666666669999997</v>
      </c>
      <c r="Z10" s="16">
        <v>0.72916666669999997</v>
      </c>
      <c r="AA10" s="16">
        <v>0.65555555560000001</v>
      </c>
      <c r="AB10" s="16">
        <v>0.69345238099999995</v>
      </c>
      <c r="AC10" s="16">
        <v>0.5865384615</v>
      </c>
      <c r="AD10" s="16">
        <v>0.61458333330000003</v>
      </c>
      <c r="AE10" s="16">
        <v>0.65625</v>
      </c>
      <c r="AF10" s="16">
        <v>0.70138888889999995</v>
      </c>
      <c r="AG10" s="16">
        <v>0.65277777780000001</v>
      </c>
      <c r="AH10" s="16">
        <v>0.66025641030000004</v>
      </c>
      <c r="AI10" s="16">
        <v>0.68589743589999996</v>
      </c>
      <c r="AJ10" s="17">
        <v>0.6328125</v>
      </c>
    </row>
    <row r="11" spans="1:36" ht="15.75" customHeight="1" x14ac:dyDescent="0.25">
      <c r="A11" s="18">
        <f ca="1">IFERROR(__xludf.DUMMYFUNCTION("""COMPUTED_VALUE"""),44945)</f>
        <v>44945</v>
      </c>
      <c r="C11" s="19" t="str">
        <f ca="1">IFERROR(__xludf.DUMMYFUNCTION("unique(Roster!$D$3:$D$42)"),"FWD")</f>
        <v>FWD</v>
      </c>
      <c r="D11" s="7"/>
      <c r="F11" s="8" t="s">
        <v>57</v>
      </c>
      <c r="H11" s="27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11" s="28" t="str">
        <f>IFERROR(
IF(#REF!=$E$2,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IF(AND(#REF!=$E$6,#REF!=$F$15),AVERAGEIFS(#REF!,#REF!,I$9,#REF!,#REF!))))))))))))))),
IF(#REF!=$E$3,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IF(AND(#REF!=$E$6,#REF!=$F$15),AVERAGEIFS(#REF!,#REF!,I$9,#REF!,#REF!))))))))))))))))),"")</f>
        <v/>
      </c>
      <c r="J11" s="28" t="str">
        <f>IFERROR(
IF(#REF!=$E$2,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IF(AND(#REF!=$E$6,#REF!=$F$15),AVERAGEIFS(#REF!,#REF!,J$9,#REF!,#REF!))))))))))))))),
IF(#REF!=$E$3,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IF(AND(#REF!=$E$6,#REF!=$F$15),AVERAGEIFS(#REF!,#REF!,J$9,#REF!,#REF!))))))))))))))))),"")</f>
        <v/>
      </c>
      <c r="K11" s="28" t="str">
        <f>IFERROR(
IF(#REF!=$E$2,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IF(AND(#REF!=$E$6,#REF!=$F$15),AVERAGEIFS(#REF!,#REF!,K$9,#REF!,#REF!))))))))))))))),
IF(#REF!=$E$3,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IF(AND(#REF!=$E$6,#REF!=$F$15),AVERAGEIFS(#REF!,#REF!,K$9,#REF!,#REF!))))))))))))))))),"")</f>
        <v/>
      </c>
      <c r="L11" s="28" t="str">
        <f>IFERROR(
IF(#REF!=$E$2,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IF(AND(#REF!=$E$6,#REF!=$F$15),AVERAGEIFS(#REF!,#REF!,L$9,#REF!,#REF!))))))))))))))),
IF(#REF!=$E$3,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IF(AND(#REF!=$E$6,#REF!=$F$15),AVERAGEIFS(#REF!,#REF!,L$9,#REF!,#REF!))))))))))))))))),"")</f>
        <v/>
      </c>
      <c r="M11" s="28" t="str">
        <f>IFERROR(
IF(#REF!=$E$2,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IF(AND(#REF!=$E$6,#REF!=$F$15),AVERAGEIFS(#REF!,#REF!,M$9,#REF!,#REF!))))))))))))))),
IF(#REF!=$E$3,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IF(AND(#REF!=$E$6,#REF!=$F$15),AVERAGEIFS(#REF!,#REF!,M$9,#REF!,#REF!))))))))))))))))),"")</f>
        <v/>
      </c>
      <c r="N11" s="28" t="str">
        <f>IFERROR(
IF(#REF!=$E$2,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IF(AND(#REF!=$E$6,#REF!=$F$15),AVERAGEIFS(#REF!,#REF!,N$9,#REF!,#REF!))))))))))))))),
IF(#REF!=$E$3,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IF(AND(#REF!=$E$6,#REF!=$F$15),AVERAGEIFS(#REF!,#REF!,N$9,#REF!,#REF!))))))))))))))))),"")</f>
        <v/>
      </c>
      <c r="O11" s="28" t="str">
        <f>IFERROR(
IF(#REF!=$E$2,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IF(AND(#REF!=$E$6,#REF!=$F$15),AVERAGEIFS(#REF!,#REF!,O$9,#REF!,#REF!))))))))))))))),
IF(#REF!=$E$3,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IF(AND(#REF!=$E$6,#REF!=$F$15),AVERAGEIFS(#REF!,#REF!,O$9,#REF!,#REF!))))))))))))))))),"")</f>
        <v/>
      </c>
      <c r="P11" s="28" t="str">
        <f>IFERROR(
IF(#REF!=$E$2,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IF(AND(#REF!=$E$6,#REF!=$F$15),AVERAGEIFS(#REF!,#REF!,P$9,#REF!,#REF!))))))))))))))),
IF(#REF!=$E$3,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IF(AND(#REF!=$E$6,#REF!=$F$15),AVERAGEIFS(#REF!,#REF!,P$9,#REF!,#REF!))))))))))))))))),"")</f>
        <v/>
      </c>
      <c r="Q11" s="28" t="str">
        <f>IFERROR(
IF(#REF!=$E$2,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IF(AND(#REF!=$E$6,#REF!=$F$15),AVERAGEIFS(#REF!,#REF!,Q$9,#REF!,#REF!))))))))))))))),
IF(#REF!=$E$3,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IF(AND(#REF!=$E$6,#REF!=$F$15),AVERAGEIFS(#REF!,#REF!,Q$9,#REF!,#REF!))))))))))))))))),"")</f>
        <v/>
      </c>
      <c r="R11" s="28" t="str">
        <f>IFERROR(
IF(#REF!=$E$2,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IF(AND(#REF!=$E$6,#REF!=$F$15),AVERAGEIFS(#REF!,#REF!,R$9,#REF!,#REF!))))))))))))))),
IF(#REF!=$E$3,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IF(AND(#REF!=$E$6,#REF!=$F$15),AVERAGEIFS(#REF!,#REF!,R$9,#REF!,#REF!))))))))))))))))),"")</f>
        <v/>
      </c>
      <c r="S11" s="28" t="str">
        <f>IFERROR(
IF(#REF!=$E$2,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IF(AND(#REF!=$E$6,#REF!=$F$15),AVERAGEIFS(#REF!,#REF!,S$9,#REF!,#REF!))))))))))))))),
IF(#REF!=$E$3,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IF(AND(#REF!=$E$6,#REF!=$F$15),AVERAGEIFS(#REF!,#REF!,S$9,#REF!,#REF!))))))))))))))))),"")</f>
        <v/>
      </c>
      <c r="T11" s="28" t="str">
        <f>IFERROR(
IF(#REF!=$E$2,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IF(AND(#REF!=$E$6,#REF!=$F$15),AVERAGEIFS(#REF!,#REF!,T$9,#REF!,#REF!))))))))))))))),
IF(#REF!=$E$3,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IF(AND(#REF!=$E$6,#REF!=$F$15),AVERAGEIFS(#REF!,#REF!,T$9,#REF!,#REF!))))))))))))))))),"")</f>
        <v/>
      </c>
      <c r="U11" s="28" t="str">
        <f>IFERROR(
IF(#REF!=$E$2,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IF(AND(#REF!=$E$6,#REF!=$F$15),AVERAGEIFS(#REF!,#REF!,U$9,#REF!,#REF!))))))))))))))),
IF(#REF!=$E$3,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IF(AND(#REF!=$E$6,#REF!=$F$15),AVERAGEIFS(#REF!,#REF!,U$9,#REF!,#REF!))))))))))))))))),"")</f>
        <v/>
      </c>
      <c r="V11" s="28" t="str">
        <f>IFERROR(
IF(#REF!=$E$2,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IF(AND(#REF!=$E$6,#REF!=$F$15),AVERAGEIFS(#REF!,#REF!,V$9,#REF!,#REF!))))))))))))))),
IF(#REF!=$E$3,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IF(AND(#REF!=$E$6,#REF!=$F$15),AVERAGEIFS(#REF!,#REF!,V$9,#REF!,#REF!))))))))))))))))),"")</f>
        <v/>
      </c>
      <c r="W11" s="28" t="str">
        <f>IFERROR(
IF(#REF!=$E$2,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IF(AND(#REF!=$E$6,#REF!=$F$15),AVERAGEIFS(#REF!,#REF!,W$9,#REF!,#REF!))))))))))))))),
IF(#REF!=$E$3,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IF(AND(#REF!=$E$6,#REF!=$F$15),AVERAGEIFS(#REF!,#REF!,W$9,#REF!,#REF!))))))))))))))))),"")</f>
        <v/>
      </c>
      <c r="X11" s="28" t="str">
        <f>IFERROR(
IF(#REF!=$E$2,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IF(AND(#REF!=$E$6,#REF!=$F$15),AVERAGEIFS(#REF!,#REF!,X$9,#REF!,#REF!))))))))))))))),
IF(#REF!=$E$3,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IF(AND(#REF!=$E$6,#REF!=$F$15),AVERAGEIFS(#REF!,#REF!,X$9,#REF!,#REF!))))))))))))))))),"")</f>
        <v/>
      </c>
      <c r="Y11" s="28" t="str">
        <f>IFERROR(
IF(#REF!=$E$2,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IF(AND(#REF!=$E$6,#REF!=$F$15),AVERAGEIFS(#REF!,#REF!,Y$9,#REF!,#REF!))))))))))))))),
IF(#REF!=$E$3,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IF(AND(#REF!=$E$6,#REF!=$F$15),AVERAGEIFS(#REF!,#REF!,Y$9,#REF!,#REF!))))))))))))))))),"")</f>
        <v/>
      </c>
      <c r="Z11" s="28" t="str">
        <f>IFERROR(
IF(#REF!=$E$2,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IF(AND(#REF!=$E$6,#REF!=$F$15),AVERAGEIFS(#REF!,#REF!,Z$9,#REF!,#REF!))))))))))))))),
IF(#REF!=$E$3,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IF(AND(#REF!=$E$6,#REF!=$F$15),AVERAGEIFS(#REF!,#REF!,Z$9,#REF!,#REF!))))))))))))))))),"")</f>
        <v/>
      </c>
      <c r="AA11" s="28" t="str">
        <f>IFERROR(
IF(#REF!=$E$2,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IF(AND(#REF!=$E$6,#REF!=$F$15),AVERAGEIFS(#REF!,#REF!,AA$9,#REF!,#REF!))))))))))))))),
IF(#REF!=$E$3,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IF(AND(#REF!=$E$6,#REF!=$F$15),AVERAGEIFS(#REF!,#REF!,AA$9,#REF!,#REF!))))))))))))))))),"")</f>
        <v/>
      </c>
      <c r="AB11" s="28" t="str">
        <f>IFERROR(
IF(#REF!=$E$2,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IF(AND(#REF!=$E$6,#REF!=$F$15),AVERAGEIFS(#REF!,#REF!,AB$9,#REF!,#REF!))))))))))))))),
IF(#REF!=$E$3,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IF(AND(#REF!=$E$6,#REF!=$F$15),AVERAGEIFS(#REF!,#REF!,AB$9,#REF!,#REF!))))))))))))))))),"")</f>
        <v/>
      </c>
      <c r="AC11" s="28" t="str">
        <f>IFERROR(
IF(#REF!=$E$2,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IF(AND(#REF!=$E$6,#REF!=$F$15),AVERAGEIFS(#REF!,#REF!,AC$9,#REF!,#REF!))))))))))))))),
IF(#REF!=$E$3,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IF(AND(#REF!=$E$6,#REF!=$F$15),AVERAGEIFS(#REF!,#REF!,AC$9,#REF!,#REF!))))))))))))))))),"")</f>
        <v/>
      </c>
      <c r="AD11" s="28" t="str">
        <f>IFERROR(
IF(#REF!=$E$2,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IF(AND(#REF!=$E$6,#REF!=$F$15),AVERAGEIFS(#REF!,#REF!,AD$9,#REF!,#REF!))))))))))))))),
IF(#REF!=$E$3,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IF(AND(#REF!=$E$6,#REF!=$F$15),AVERAGEIFS(#REF!,#REF!,AD$9,#REF!,#REF!))))))))))))))))),"")</f>
        <v/>
      </c>
      <c r="AE11" s="28" t="str">
        <f>IFERROR(
IF(#REF!=$E$2,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IF(AND(#REF!=$E$6,#REF!=$F$15),AVERAGEIFS(#REF!,#REF!,AE$9,#REF!,#REF!))))))))))))))),
IF(#REF!=$E$3,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IF(AND(#REF!=$E$6,#REF!=$F$15),AVERAGEIFS(#REF!,#REF!,AE$9,#REF!,#REF!))))))))))))))))),"")</f>
        <v/>
      </c>
      <c r="AF11" s="28" t="str">
        <f>IFERROR(
IF(#REF!=$E$2,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IF(AND(#REF!=$E$6,#REF!=$F$15),AVERAGEIFS(#REF!,#REF!,AF$9,#REF!,#REF!))))))))))))))),
IF(#REF!=$E$3,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IF(AND(#REF!=$E$6,#REF!=$F$15),AVERAGEIFS(#REF!,#REF!,AF$9,#REF!,#REF!))))))))))))))))),"")</f>
        <v/>
      </c>
      <c r="AG11" s="28" t="str">
        <f>IFERROR(
IF(#REF!=$E$2,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IF(AND(#REF!=$E$6,#REF!=$F$15),AVERAGEIFS(#REF!,#REF!,AG$9,#REF!,#REF!))))))))))))))),
IF(#REF!=$E$3,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IF(AND(#REF!=$E$6,#REF!=$F$15),AVERAGEIFS(#REF!,#REF!,AG$9,#REF!,#REF!))))))))))))))))),"")</f>
        <v/>
      </c>
      <c r="AH11" s="28" t="str">
        <f>IFERROR(
IF(#REF!=$E$2,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IF(AND(#REF!=$E$6,#REF!=$F$15),AVERAGEIFS(#REF!,#REF!,AH$9,#REF!,#REF!))))))))))))))),
IF(#REF!=$E$3,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IF(AND(#REF!=$E$6,#REF!=$F$15),AVERAGEIFS(#REF!,#REF!,AH$9,#REF!,#REF!))))))))))))))))),"")</f>
        <v/>
      </c>
      <c r="AI11" s="16" t="str">
        <f>IFERROR(
IF(#REF!=$E$2,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IF(AND(#REF!=$E$6,#REF!=$F$15),AVERAGEIFS(#REF!,#REF!,AI$9,#REF!,#REF!))))))))))))))),
IF(#REF!=$E$3,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IF(AND(#REF!=$E$6,#REF!=$F$15),AVERAGEIFS(#REF!,#REF!,AI$9,#REF!,#REF!))))))))))))))))),"")</f>
        <v/>
      </c>
      <c r="AJ11" s="17">
        <f>IFERROR(
IF(#REF!=$E$2,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IF(AND(#REF!=$E$6,#REF!=$F$15),AVERAGEIFS(#REF!,#REF!,AJ$9,#REF!,#REF!))))))))))))))),
IF(#REF!=$E$3,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IF(AND(#REF!=$E$6,#REF!=$F$15),AVERAGEIFS(#REF!,#REF!,AJ$9,#REF!,#REF!))))))))))))))))),0)</f>
        <v>0</v>
      </c>
    </row>
    <row r="12" spans="1:36" ht="15.75" customHeight="1" x14ac:dyDescent="0.25">
      <c r="A12" s="18">
        <f ca="1">IFERROR(__xludf.DUMMYFUNCTION("""COMPUTED_VALUE"""),44946)</f>
        <v>44946</v>
      </c>
      <c r="C12" s="19" t="str">
        <f ca="1">IFERROR(__xludf.DUMMYFUNCTION("""COMPUTED_VALUE"""),"F/MID")</f>
        <v>F/MID</v>
      </c>
      <c r="D12" s="7"/>
      <c r="F12" s="8" t="s">
        <v>58</v>
      </c>
      <c r="H12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12" s="16" t="s">
        <v>942</v>
      </c>
      <c r="J12" s="16" t="s">
        <v>942</v>
      </c>
      <c r="K12" s="16" t="s">
        <v>942</v>
      </c>
      <c r="L12" s="16" t="s">
        <v>942</v>
      </c>
      <c r="M12" s="16" t="s">
        <v>942</v>
      </c>
      <c r="N12" s="16" t="s">
        <v>942</v>
      </c>
      <c r="O12" s="16" t="s">
        <v>942</v>
      </c>
      <c r="P12" s="16" t="s">
        <v>942</v>
      </c>
      <c r="Q12" s="16" t="s">
        <v>942</v>
      </c>
      <c r="R12" s="16" t="s">
        <v>942</v>
      </c>
      <c r="S12" s="16" t="s">
        <v>942</v>
      </c>
      <c r="T12" s="16" t="s">
        <v>942</v>
      </c>
      <c r="U12" s="16" t="s">
        <v>942</v>
      </c>
      <c r="V12" s="16" t="s">
        <v>942</v>
      </c>
      <c r="W12" s="16">
        <v>6.230769231</v>
      </c>
      <c r="X12" s="16">
        <v>6.7142857139999998</v>
      </c>
      <c r="Y12" s="16">
        <v>6.6666666670000003</v>
      </c>
      <c r="Z12" s="16">
        <v>5.5</v>
      </c>
      <c r="AA12" s="16">
        <v>6.4</v>
      </c>
      <c r="AB12" s="16">
        <v>6.7857142860000002</v>
      </c>
      <c r="AC12" s="16">
        <v>7.076923077</v>
      </c>
      <c r="AD12" s="16">
        <v>7</v>
      </c>
      <c r="AE12" s="16">
        <v>7.6666666670000003</v>
      </c>
      <c r="AF12" s="16">
        <v>7.1666666670000003</v>
      </c>
      <c r="AG12" s="16">
        <v>7</v>
      </c>
      <c r="AH12" s="16">
        <v>7.307692308</v>
      </c>
      <c r="AI12" s="16">
        <v>7.692307692</v>
      </c>
      <c r="AJ12" s="17">
        <v>7.5625</v>
      </c>
    </row>
    <row r="13" spans="1:36" ht="15.75" customHeight="1" x14ac:dyDescent="0.25">
      <c r="A13" s="18">
        <f ca="1">IFERROR(__xludf.DUMMYFUNCTION("""COMPUTED_VALUE"""),44947)</f>
        <v>44947</v>
      </c>
      <c r="C13" s="19" t="str">
        <f ca="1">IFERROR(__xludf.DUMMYFUNCTION("""COMPUTED_VALUE"""),"MID")</f>
        <v>MID</v>
      </c>
      <c r="D13" s="7"/>
      <c r="F13" s="8" t="s">
        <v>59</v>
      </c>
      <c r="H13" s="29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13" s="30" t="str">
        <f>IFERROR(
IF(#REF!=$E$2,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IF(AND(#REF!=$E$6,#REF!=$F$15),AVERAGEIFS(#REF!,#REF!,I$9,#REF!,#REF!))))))))))))))),
IF(#REF!=$E$3,
(IF(OR(#REF!=$F$2,#REF!=$F$3,#REF!=$F$4,#REF!=$F$5,#REF!=$F$6,#REF!=$F$7,#REF!=$F$8,#REF!=$F$9,#REF!=$F$10,#REF!=$F$11),"",
IF(AND(#REF!="Team",#REF!=$F$12),AVERAGEIFS(#REF!,#REF!,I$9),
IF(AND(#REF!=$E$5,#REF!=$F$12),AVERAGEIFS(#REF!,#REF!,I$9,#REF!,#REF!),
IF(AND(#REF!=$E$6,#REF!=$F$12),AVERAGEIFS(#REF!,#REF!,I$9,#REF!,#REF!),
IF(AND(#REF!="Team",#REF!=$F$13),AVERAGEIFS(#REF!,#REF!,I$9),
IF(AND(#REF!=$E$5,#REF!=$F$13),AVERAGEIFS(#REF!,#REF!,I$9,#REF!,#REF!),
IF(AND(#REF!=$E$6,#REF!=$F$13),AVERAGEIFS(#REF!,#REF!,I$9,#REF!,#REF!),
IF(AND(#REF!="Team",#REF!=$F$14),AVERAGEIFS(#REF!,#REF!,I$9),
IF(AND(#REF!=$E$5,#REF!=$F$14),AVERAGEIFS(#REF!,#REF!,I$9,#REF!,#REF!),
IF(AND(#REF!=$E$6,#REF!=$F$14),AVERAGEIFS(#REF!,#REF!,I$9,#REF!,#REF!),
IF(AND(#REF!="Team",#REF!=$F$15),AVERAGEIFS(#REF!,#REF!,I$9),
IF(AND(#REF!=$E$5,#REF!=$F$15),AVERAGEIFS(#REF!,#REF!,I$9,#REF!,#REF!),
IF(AND(#REF!=$E$6,#REF!=$F$15),AVERAGEIFS(#REF!,#REF!,I$9,#REF!,#REF!))))))))))))))))),"")</f>
        <v/>
      </c>
      <c r="J13" s="30" t="str">
        <f>IFERROR(
IF(#REF!=$E$2,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IF(AND(#REF!=$E$6,#REF!=$F$15),AVERAGEIFS(#REF!,#REF!,J$9,#REF!,#REF!))))))))))))))),
IF(#REF!=$E$3,
(IF(OR(#REF!=$F$2,#REF!=$F$3,#REF!=$F$4,#REF!=$F$5,#REF!=$F$6,#REF!=$F$7,#REF!=$F$8,#REF!=$F$9,#REF!=$F$10,#REF!=$F$11),"",
IF(AND(#REF!="Team",#REF!=$F$12),AVERAGEIFS(#REF!,#REF!,J$9),
IF(AND(#REF!=$E$5,#REF!=$F$12),AVERAGEIFS(#REF!,#REF!,J$9,#REF!,#REF!),
IF(AND(#REF!=$E$6,#REF!=$F$12),AVERAGEIFS(#REF!,#REF!,J$9,#REF!,#REF!),
IF(AND(#REF!="Team",#REF!=$F$13),AVERAGEIFS(#REF!,#REF!,J$9),
IF(AND(#REF!=$E$5,#REF!=$F$13),AVERAGEIFS(#REF!,#REF!,J$9,#REF!,#REF!),
IF(AND(#REF!=$E$6,#REF!=$F$13),AVERAGEIFS(#REF!,#REF!,J$9,#REF!,#REF!),
IF(AND(#REF!="Team",#REF!=$F$14),AVERAGEIFS(#REF!,#REF!,J$9),
IF(AND(#REF!=$E$5,#REF!=$F$14),AVERAGEIFS(#REF!,#REF!,J$9,#REF!,#REF!),
IF(AND(#REF!=$E$6,#REF!=$F$14),AVERAGEIFS(#REF!,#REF!,J$9,#REF!,#REF!),
IF(AND(#REF!="Team",#REF!=$F$15),AVERAGEIFS(#REF!,#REF!,J$9),
IF(AND(#REF!=$E$5,#REF!=$F$15),AVERAGEIFS(#REF!,#REF!,J$9,#REF!,#REF!),
IF(AND(#REF!=$E$6,#REF!=$F$15),AVERAGEIFS(#REF!,#REF!,J$9,#REF!,#REF!))))))))))))))))),"")</f>
        <v/>
      </c>
      <c r="K13" s="30" t="str">
        <f>IFERROR(
IF(#REF!=$E$2,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IF(AND(#REF!=$E$6,#REF!=$F$15),AVERAGEIFS(#REF!,#REF!,K$9,#REF!,#REF!))))))))))))))),
IF(#REF!=$E$3,
(IF(OR(#REF!=$F$2,#REF!=$F$3,#REF!=$F$4,#REF!=$F$5,#REF!=$F$6,#REF!=$F$7,#REF!=$F$8,#REF!=$F$9,#REF!=$F$10,#REF!=$F$11),"",
IF(AND(#REF!="Team",#REF!=$F$12),AVERAGEIFS(#REF!,#REF!,K$9),
IF(AND(#REF!=$E$5,#REF!=$F$12),AVERAGEIFS(#REF!,#REF!,K$9,#REF!,#REF!),
IF(AND(#REF!=$E$6,#REF!=$F$12),AVERAGEIFS(#REF!,#REF!,K$9,#REF!,#REF!),
IF(AND(#REF!="Team",#REF!=$F$13),AVERAGEIFS(#REF!,#REF!,K$9),
IF(AND(#REF!=$E$5,#REF!=$F$13),AVERAGEIFS(#REF!,#REF!,K$9,#REF!,#REF!),
IF(AND(#REF!=$E$6,#REF!=$F$13),AVERAGEIFS(#REF!,#REF!,K$9,#REF!,#REF!),
IF(AND(#REF!="Team",#REF!=$F$14),AVERAGEIFS(#REF!,#REF!,K$9),
IF(AND(#REF!=$E$5,#REF!=$F$14),AVERAGEIFS(#REF!,#REF!,K$9,#REF!,#REF!),
IF(AND(#REF!=$E$6,#REF!=$F$14),AVERAGEIFS(#REF!,#REF!,K$9,#REF!,#REF!),
IF(AND(#REF!="Team",#REF!=$F$15),AVERAGEIFS(#REF!,#REF!,K$9),
IF(AND(#REF!=$E$5,#REF!=$F$15),AVERAGEIFS(#REF!,#REF!,K$9,#REF!,#REF!),
IF(AND(#REF!=$E$6,#REF!=$F$15),AVERAGEIFS(#REF!,#REF!,K$9,#REF!,#REF!))))))))))))))))),"")</f>
        <v/>
      </c>
      <c r="L13" s="30" t="str">
        <f>IFERROR(
IF(#REF!=$E$2,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IF(AND(#REF!=$E$6,#REF!=$F$15),AVERAGEIFS(#REF!,#REF!,L$9,#REF!,#REF!))))))))))))))),
IF(#REF!=$E$3,
(IF(OR(#REF!=$F$2,#REF!=$F$3,#REF!=$F$4,#REF!=$F$5,#REF!=$F$6,#REF!=$F$7,#REF!=$F$8,#REF!=$F$9,#REF!=$F$10,#REF!=$F$11),"",
IF(AND(#REF!="Team",#REF!=$F$12),AVERAGEIFS(#REF!,#REF!,L$9),
IF(AND(#REF!=$E$5,#REF!=$F$12),AVERAGEIFS(#REF!,#REF!,L$9,#REF!,#REF!),
IF(AND(#REF!=$E$6,#REF!=$F$12),AVERAGEIFS(#REF!,#REF!,L$9,#REF!,#REF!),
IF(AND(#REF!="Team",#REF!=$F$13),AVERAGEIFS(#REF!,#REF!,L$9),
IF(AND(#REF!=$E$5,#REF!=$F$13),AVERAGEIFS(#REF!,#REF!,L$9,#REF!,#REF!),
IF(AND(#REF!=$E$6,#REF!=$F$13),AVERAGEIFS(#REF!,#REF!,L$9,#REF!,#REF!),
IF(AND(#REF!="Team",#REF!=$F$14),AVERAGEIFS(#REF!,#REF!,L$9),
IF(AND(#REF!=$E$5,#REF!=$F$14),AVERAGEIFS(#REF!,#REF!,L$9,#REF!,#REF!),
IF(AND(#REF!=$E$6,#REF!=$F$14),AVERAGEIFS(#REF!,#REF!,L$9,#REF!,#REF!),
IF(AND(#REF!="Team",#REF!=$F$15),AVERAGEIFS(#REF!,#REF!,L$9),
IF(AND(#REF!=$E$5,#REF!=$F$15),AVERAGEIFS(#REF!,#REF!,L$9,#REF!,#REF!),
IF(AND(#REF!=$E$6,#REF!=$F$15),AVERAGEIFS(#REF!,#REF!,L$9,#REF!,#REF!))))))))))))))))),"")</f>
        <v/>
      </c>
      <c r="M13" s="30" t="str">
        <f>IFERROR(
IF(#REF!=$E$2,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IF(AND(#REF!=$E$6,#REF!=$F$15),AVERAGEIFS(#REF!,#REF!,M$9,#REF!,#REF!))))))))))))))),
IF(#REF!=$E$3,
(IF(OR(#REF!=$F$2,#REF!=$F$3,#REF!=$F$4,#REF!=$F$5,#REF!=$F$6,#REF!=$F$7,#REF!=$F$8,#REF!=$F$9,#REF!=$F$10,#REF!=$F$11),"",
IF(AND(#REF!="Team",#REF!=$F$12),AVERAGEIFS(#REF!,#REF!,M$9),
IF(AND(#REF!=$E$5,#REF!=$F$12),AVERAGEIFS(#REF!,#REF!,M$9,#REF!,#REF!),
IF(AND(#REF!=$E$6,#REF!=$F$12),AVERAGEIFS(#REF!,#REF!,M$9,#REF!,#REF!),
IF(AND(#REF!="Team",#REF!=$F$13),AVERAGEIFS(#REF!,#REF!,M$9),
IF(AND(#REF!=$E$5,#REF!=$F$13),AVERAGEIFS(#REF!,#REF!,M$9,#REF!,#REF!),
IF(AND(#REF!=$E$6,#REF!=$F$13),AVERAGEIFS(#REF!,#REF!,M$9,#REF!,#REF!),
IF(AND(#REF!="Team",#REF!=$F$14),AVERAGEIFS(#REF!,#REF!,M$9),
IF(AND(#REF!=$E$5,#REF!=$F$14),AVERAGEIFS(#REF!,#REF!,M$9,#REF!,#REF!),
IF(AND(#REF!=$E$6,#REF!=$F$14),AVERAGEIFS(#REF!,#REF!,M$9,#REF!,#REF!),
IF(AND(#REF!="Team",#REF!=$F$15),AVERAGEIFS(#REF!,#REF!,M$9),
IF(AND(#REF!=$E$5,#REF!=$F$15),AVERAGEIFS(#REF!,#REF!,M$9,#REF!,#REF!),
IF(AND(#REF!=$E$6,#REF!=$F$15),AVERAGEIFS(#REF!,#REF!,M$9,#REF!,#REF!))))))))))))))))),"")</f>
        <v/>
      </c>
      <c r="N13" s="30" t="str">
        <f>IFERROR(
IF(#REF!=$E$2,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IF(AND(#REF!=$E$6,#REF!=$F$15),AVERAGEIFS(#REF!,#REF!,N$9,#REF!,#REF!))))))))))))))),
IF(#REF!=$E$3,
(IF(OR(#REF!=$F$2,#REF!=$F$3,#REF!=$F$4,#REF!=$F$5,#REF!=$F$6,#REF!=$F$7,#REF!=$F$8,#REF!=$F$9,#REF!=$F$10,#REF!=$F$11),"",
IF(AND(#REF!="Team",#REF!=$F$12),AVERAGEIFS(#REF!,#REF!,N$9),
IF(AND(#REF!=$E$5,#REF!=$F$12),AVERAGEIFS(#REF!,#REF!,N$9,#REF!,#REF!),
IF(AND(#REF!=$E$6,#REF!=$F$12),AVERAGEIFS(#REF!,#REF!,N$9,#REF!,#REF!),
IF(AND(#REF!="Team",#REF!=$F$13),AVERAGEIFS(#REF!,#REF!,N$9),
IF(AND(#REF!=$E$5,#REF!=$F$13),AVERAGEIFS(#REF!,#REF!,N$9,#REF!,#REF!),
IF(AND(#REF!=$E$6,#REF!=$F$13),AVERAGEIFS(#REF!,#REF!,N$9,#REF!,#REF!),
IF(AND(#REF!="Team",#REF!=$F$14),AVERAGEIFS(#REF!,#REF!,N$9),
IF(AND(#REF!=$E$5,#REF!=$F$14),AVERAGEIFS(#REF!,#REF!,N$9,#REF!,#REF!),
IF(AND(#REF!=$E$6,#REF!=$F$14),AVERAGEIFS(#REF!,#REF!,N$9,#REF!,#REF!),
IF(AND(#REF!="Team",#REF!=$F$15),AVERAGEIFS(#REF!,#REF!,N$9),
IF(AND(#REF!=$E$5,#REF!=$F$15),AVERAGEIFS(#REF!,#REF!,N$9,#REF!,#REF!),
IF(AND(#REF!=$E$6,#REF!=$F$15),AVERAGEIFS(#REF!,#REF!,N$9,#REF!,#REF!))))))))))))))))),"")</f>
        <v/>
      </c>
      <c r="O13" s="30" t="str">
        <f>IFERROR(
IF(#REF!=$E$2,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IF(AND(#REF!=$E$6,#REF!=$F$15),AVERAGEIFS(#REF!,#REF!,O$9,#REF!,#REF!))))))))))))))),
IF(#REF!=$E$3,
(IF(OR(#REF!=$F$2,#REF!=$F$3,#REF!=$F$4,#REF!=$F$5,#REF!=$F$6,#REF!=$F$7,#REF!=$F$8,#REF!=$F$9,#REF!=$F$10,#REF!=$F$11),"",
IF(AND(#REF!="Team",#REF!=$F$12),AVERAGEIFS(#REF!,#REF!,O$9),
IF(AND(#REF!=$E$5,#REF!=$F$12),AVERAGEIFS(#REF!,#REF!,O$9,#REF!,#REF!),
IF(AND(#REF!=$E$6,#REF!=$F$12),AVERAGEIFS(#REF!,#REF!,O$9,#REF!,#REF!),
IF(AND(#REF!="Team",#REF!=$F$13),AVERAGEIFS(#REF!,#REF!,O$9),
IF(AND(#REF!=$E$5,#REF!=$F$13),AVERAGEIFS(#REF!,#REF!,O$9,#REF!,#REF!),
IF(AND(#REF!=$E$6,#REF!=$F$13),AVERAGEIFS(#REF!,#REF!,O$9,#REF!,#REF!),
IF(AND(#REF!="Team",#REF!=$F$14),AVERAGEIFS(#REF!,#REF!,O$9),
IF(AND(#REF!=$E$5,#REF!=$F$14),AVERAGEIFS(#REF!,#REF!,O$9,#REF!,#REF!),
IF(AND(#REF!=$E$6,#REF!=$F$14),AVERAGEIFS(#REF!,#REF!,O$9,#REF!,#REF!),
IF(AND(#REF!="Team",#REF!=$F$15),AVERAGEIFS(#REF!,#REF!,O$9),
IF(AND(#REF!=$E$5,#REF!=$F$15),AVERAGEIFS(#REF!,#REF!,O$9,#REF!,#REF!),
IF(AND(#REF!=$E$6,#REF!=$F$15),AVERAGEIFS(#REF!,#REF!,O$9,#REF!,#REF!))))))))))))))))),"")</f>
        <v/>
      </c>
      <c r="P13" s="30" t="str">
        <f>IFERROR(
IF(#REF!=$E$2,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IF(AND(#REF!=$E$6,#REF!=$F$15),AVERAGEIFS(#REF!,#REF!,P$9,#REF!,#REF!))))))))))))))),
IF(#REF!=$E$3,
(IF(OR(#REF!=$F$2,#REF!=$F$3,#REF!=$F$4,#REF!=$F$5,#REF!=$F$6,#REF!=$F$7,#REF!=$F$8,#REF!=$F$9,#REF!=$F$10,#REF!=$F$11),"",
IF(AND(#REF!="Team",#REF!=$F$12),AVERAGEIFS(#REF!,#REF!,P$9),
IF(AND(#REF!=$E$5,#REF!=$F$12),AVERAGEIFS(#REF!,#REF!,P$9,#REF!,#REF!),
IF(AND(#REF!=$E$6,#REF!=$F$12),AVERAGEIFS(#REF!,#REF!,P$9,#REF!,#REF!),
IF(AND(#REF!="Team",#REF!=$F$13),AVERAGEIFS(#REF!,#REF!,P$9),
IF(AND(#REF!=$E$5,#REF!=$F$13),AVERAGEIFS(#REF!,#REF!,P$9,#REF!,#REF!),
IF(AND(#REF!=$E$6,#REF!=$F$13),AVERAGEIFS(#REF!,#REF!,P$9,#REF!,#REF!),
IF(AND(#REF!="Team",#REF!=$F$14),AVERAGEIFS(#REF!,#REF!,P$9),
IF(AND(#REF!=$E$5,#REF!=$F$14),AVERAGEIFS(#REF!,#REF!,P$9,#REF!,#REF!),
IF(AND(#REF!=$E$6,#REF!=$F$14),AVERAGEIFS(#REF!,#REF!,P$9,#REF!,#REF!),
IF(AND(#REF!="Team",#REF!=$F$15),AVERAGEIFS(#REF!,#REF!,P$9),
IF(AND(#REF!=$E$5,#REF!=$F$15),AVERAGEIFS(#REF!,#REF!,P$9,#REF!,#REF!),
IF(AND(#REF!=$E$6,#REF!=$F$15),AVERAGEIFS(#REF!,#REF!,P$9,#REF!,#REF!))))))))))))))))),"")</f>
        <v/>
      </c>
      <c r="Q13" s="30" t="str">
        <f>IFERROR(
IF(#REF!=$E$2,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IF(AND(#REF!=$E$6,#REF!=$F$15),AVERAGEIFS(#REF!,#REF!,Q$9,#REF!,#REF!))))))))))))))),
IF(#REF!=$E$3,
(IF(OR(#REF!=$F$2,#REF!=$F$3,#REF!=$F$4,#REF!=$F$5,#REF!=$F$6,#REF!=$F$7,#REF!=$F$8,#REF!=$F$9,#REF!=$F$10,#REF!=$F$11),"",
IF(AND(#REF!="Team",#REF!=$F$12),AVERAGEIFS(#REF!,#REF!,Q$9),
IF(AND(#REF!=$E$5,#REF!=$F$12),AVERAGEIFS(#REF!,#REF!,Q$9,#REF!,#REF!),
IF(AND(#REF!=$E$6,#REF!=$F$12),AVERAGEIFS(#REF!,#REF!,Q$9,#REF!,#REF!),
IF(AND(#REF!="Team",#REF!=$F$13),AVERAGEIFS(#REF!,#REF!,Q$9),
IF(AND(#REF!=$E$5,#REF!=$F$13),AVERAGEIFS(#REF!,#REF!,Q$9,#REF!,#REF!),
IF(AND(#REF!=$E$6,#REF!=$F$13),AVERAGEIFS(#REF!,#REF!,Q$9,#REF!,#REF!),
IF(AND(#REF!="Team",#REF!=$F$14),AVERAGEIFS(#REF!,#REF!,Q$9),
IF(AND(#REF!=$E$5,#REF!=$F$14),AVERAGEIFS(#REF!,#REF!,Q$9,#REF!,#REF!),
IF(AND(#REF!=$E$6,#REF!=$F$14),AVERAGEIFS(#REF!,#REF!,Q$9,#REF!,#REF!),
IF(AND(#REF!="Team",#REF!=$F$15),AVERAGEIFS(#REF!,#REF!,Q$9),
IF(AND(#REF!=$E$5,#REF!=$F$15),AVERAGEIFS(#REF!,#REF!,Q$9,#REF!,#REF!),
IF(AND(#REF!=$E$6,#REF!=$F$15),AVERAGEIFS(#REF!,#REF!,Q$9,#REF!,#REF!))))))))))))))))),"")</f>
        <v/>
      </c>
      <c r="R13" s="30" t="str">
        <f>IFERROR(
IF(#REF!=$E$2,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IF(AND(#REF!=$E$6,#REF!=$F$15),AVERAGEIFS(#REF!,#REF!,R$9,#REF!,#REF!))))))))))))))),
IF(#REF!=$E$3,
(IF(OR(#REF!=$F$2,#REF!=$F$3,#REF!=$F$4,#REF!=$F$5,#REF!=$F$6,#REF!=$F$7,#REF!=$F$8,#REF!=$F$9,#REF!=$F$10,#REF!=$F$11),"",
IF(AND(#REF!="Team",#REF!=$F$12),AVERAGEIFS(#REF!,#REF!,R$9),
IF(AND(#REF!=$E$5,#REF!=$F$12),AVERAGEIFS(#REF!,#REF!,R$9,#REF!,#REF!),
IF(AND(#REF!=$E$6,#REF!=$F$12),AVERAGEIFS(#REF!,#REF!,R$9,#REF!,#REF!),
IF(AND(#REF!="Team",#REF!=$F$13),AVERAGEIFS(#REF!,#REF!,R$9),
IF(AND(#REF!=$E$5,#REF!=$F$13),AVERAGEIFS(#REF!,#REF!,R$9,#REF!,#REF!),
IF(AND(#REF!=$E$6,#REF!=$F$13),AVERAGEIFS(#REF!,#REF!,R$9,#REF!,#REF!),
IF(AND(#REF!="Team",#REF!=$F$14),AVERAGEIFS(#REF!,#REF!,R$9),
IF(AND(#REF!=$E$5,#REF!=$F$14),AVERAGEIFS(#REF!,#REF!,R$9,#REF!,#REF!),
IF(AND(#REF!=$E$6,#REF!=$F$14),AVERAGEIFS(#REF!,#REF!,R$9,#REF!,#REF!),
IF(AND(#REF!="Team",#REF!=$F$15),AVERAGEIFS(#REF!,#REF!,R$9),
IF(AND(#REF!=$E$5,#REF!=$F$15),AVERAGEIFS(#REF!,#REF!,R$9,#REF!,#REF!),
IF(AND(#REF!=$E$6,#REF!=$F$15),AVERAGEIFS(#REF!,#REF!,R$9,#REF!,#REF!))))))))))))))))),"")</f>
        <v/>
      </c>
      <c r="S13" s="30" t="str">
        <f>IFERROR(
IF(#REF!=$E$2,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IF(AND(#REF!=$E$6,#REF!=$F$15),AVERAGEIFS(#REF!,#REF!,S$9,#REF!,#REF!))))))))))))))),
IF(#REF!=$E$3,
(IF(OR(#REF!=$F$2,#REF!=$F$3,#REF!=$F$4,#REF!=$F$5,#REF!=$F$6,#REF!=$F$7,#REF!=$F$8,#REF!=$F$9,#REF!=$F$10,#REF!=$F$11),"",
IF(AND(#REF!="Team",#REF!=$F$12),AVERAGEIFS(#REF!,#REF!,S$9),
IF(AND(#REF!=$E$5,#REF!=$F$12),AVERAGEIFS(#REF!,#REF!,S$9,#REF!,#REF!),
IF(AND(#REF!=$E$6,#REF!=$F$12),AVERAGEIFS(#REF!,#REF!,S$9,#REF!,#REF!),
IF(AND(#REF!="Team",#REF!=$F$13),AVERAGEIFS(#REF!,#REF!,S$9),
IF(AND(#REF!=$E$5,#REF!=$F$13),AVERAGEIFS(#REF!,#REF!,S$9,#REF!,#REF!),
IF(AND(#REF!=$E$6,#REF!=$F$13),AVERAGEIFS(#REF!,#REF!,S$9,#REF!,#REF!),
IF(AND(#REF!="Team",#REF!=$F$14),AVERAGEIFS(#REF!,#REF!,S$9),
IF(AND(#REF!=$E$5,#REF!=$F$14),AVERAGEIFS(#REF!,#REF!,S$9,#REF!,#REF!),
IF(AND(#REF!=$E$6,#REF!=$F$14),AVERAGEIFS(#REF!,#REF!,S$9,#REF!,#REF!),
IF(AND(#REF!="Team",#REF!=$F$15),AVERAGEIFS(#REF!,#REF!,S$9),
IF(AND(#REF!=$E$5,#REF!=$F$15),AVERAGEIFS(#REF!,#REF!,S$9,#REF!,#REF!),
IF(AND(#REF!=$E$6,#REF!=$F$15),AVERAGEIFS(#REF!,#REF!,S$9,#REF!,#REF!))))))))))))))))),"")</f>
        <v/>
      </c>
      <c r="T13" s="30" t="str">
        <f>IFERROR(
IF(#REF!=$E$2,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IF(AND(#REF!=$E$6,#REF!=$F$15),AVERAGEIFS(#REF!,#REF!,T$9,#REF!,#REF!))))))))))))))),
IF(#REF!=$E$3,
(IF(OR(#REF!=$F$2,#REF!=$F$3,#REF!=$F$4,#REF!=$F$5,#REF!=$F$6,#REF!=$F$7,#REF!=$F$8,#REF!=$F$9,#REF!=$F$10,#REF!=$F$11),"",
IF(AND(#REF!="Team",#REF!=$F$12),AVERAGEIFS(#REF!,#REF!,T$9),
IF(AND(#REF!=$E$5,#REF!=$F$12),AVERAGEIFS(#REF!,#REF!,T$9,#REF!,#REF!),
IF(AND(#REF!=$E$6,#REF!=$F$12),AVERAGEIFS(#REF!,#REF!,T$9,#REF!,#REF!),
IF(AND(#REF!="Team",#REF!=$F$13),AVERAGEIFS(#REF!,#REF!,T$9),
IF(AND(#REF!=$E$5,#REF!=$F$13),AVERAGEIFS(#REF!,#REF!,T$9,#REF!,#REF!),
IF(AND(#REF!=$E$6,#REF!=$F$13),AVERAGEIFS(#REF!,#REF!,T$9,#REF!,#REF!),
IF(AND(#REF!="Team",#REF!=$F$14),AVERAGEIFS(#REF!,#REF!,T$9),
IF(AND(#REF!=$E$5,#REF!=$F$14),AVERAGEIFS(#REF!,#REF!,T$9,#REF!,#REF!),
IF(AND(#REF!=$E$6,#REF!=$F$14),AVERAGEIFS(#REF!,#REF!,T$9,#REF!,#REF!),
IF(AND(#REF!="Team",#REF!=$F$15),AVERAGEIFS(#REF!,#REF!,T$9),
IF(AND(#REF!=$E$5,#REF!=$F$15),AVERAGEIFS(#REF!,#REF!,T$9,#REF!,#REF!),
IF(AND(#REF!=$E$6,#REF!=$F$15),AVERAGEIFS(#REF!,#REF!,T$9,#REF!,#REF!))))))))))))))))),"")</f>
        <v/>
      </c>
      <c r="U13" s="30" t="str">
        <f>IFERROR(
IF(#REF!=$E$2,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IF(AND(#REF!=$E$6,#REF!=$F$15),AVERAGEIFS(#REF!,#REF!,U$9,#REF!,#REF!))))))))))))))),
IF(#REF!=$E$3,
(IF(OR(#REF!=$F$2,#REF!=$F$3,#REF!=$F$4,#REF!=$F$5,#REF!=$F$6,#REF!=$F$7,#REF!=$F$8,#REF!=$F$9,#REF!=$F$10,#REF!=$F$11),"",
IF(AND(#REF!="Team",#REF!=$F$12),AVERAGEIFS(#REF!,#REF!,U$9),
IF(AND(#REF!=$E$5,#REF!=$F$12),AVERAGEIFS(#REF!,#REF!,U$9,#REF!,#REF!),
IF(AND(#REF!=$E$6,#REF!=$F$12),AVERAGEIFS(#REF!,#REF!,U$9,#REF!,#REF!),
IF(AND(#REF!="Team",#REF!=$F$13),AVERAGEIFS(#REF!,#REF!,U$9),
IF(AND(#REF!=$E$5,#REF!=$F$13),AVERAGEIFS(#REF!,#REF!,U$9,#REF!,#REF!),
IF(AND(#REF!=$E$6,#REF!=$F$13),AVERAGEIFS(#REF!,#REF!,U$9,#REF!,#REF!),
IF(AND(#REF!="Team",#REF!=$F$14),AVERAGEIFS(#REF!,#REF!,U$9),
IF(AND(#REF!=$E$5,#REF!=$F$14),AVERAGEIFS(#REF!,#REF!,U$9,#REF!,#REF!),
IF(AND(#REF!=$E$6,#REF!=$F$14),AVERAGEIFS(#REF!,#REF!,U$9,#REF!,#REF!),
IF(AND(#REF!="Team",#REF!=$F$15),AVERAGEIFS(#REF!,#REF!,U$9),
IF(AND(#REF!=$E$5,#REF!=$F$15),AVERAGEIFS(#REF!,#REF!,U$9,#REF!,#REF!),
IF(AND(#REF!=$E$6,#REF!=$F$15),AVERAGEIFS(#REF!,#REF!,U$9,#REF!,#REF!))))))))))))))))),"")</f>
        <v/>
      </c>
      <c r="V13" s="30" t="str">
        <f>IFERROR(
IF(#REF!=$E$2,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IF(AND(#REF!=$E$6,#REF!=$F$15),AVERAGEIFS(#REF!,#REF!,V$9,#REF!,#REF!))))))))))))))),
IF(#REF!=$E$3,
(IF(OR(#REF!=$F$2,#REF!=$F$3,#REF!=$F$4,#REF!=$F$5,#REF!=$F$6,#REF!=$F$7,#REF!=$F$8,#REF!=$F$9,#REF!=$F$10,#REF!=$F$11),"",
IF(AND(#REF!="Team",#REF!=$F$12),AVERAGEIFS(#REF!,#REF!,V$9),
IF(AND(#REF!=$E$5,#REF!=$F$12),AVERAGEIFS(#REF!,#REF!,V$9,#REF!,#REF!),
IF(AND(#REF!=$E$6,#REF!=$F$12),AVERAGEIFS(#REF!,#REF!,V$9,#REF!,#REF!),
IF(AND(#REF!="Team",#REF!=$F$13),AVERAGEIFS(#REF!,#REF!,V$9),
IF(AND(#REF!=$E$5,#REF!=$F$13),AVERAGEIFS(#REF!,#REF!,V$9,#REF!,#REF!),
IF(AND(#REF!=$E$6,#REF!=$F$13),AVERAGEIFS(#REF!,#REF!,V$9,#REF!,#REF!),
IF(AND(#REF!="Team",#REF!=$F$14),AVERAGEIFS(#REF!,#REF!,V$9),
IF(AND(#REF!=$E$5,#REF!=$F$14),AVERAGEIFS(#REF!,#REF!,V$9,#REF!,#REF!),
IF(AND(#REF!=$E$6,#REF!=$F$14),AVERAGEIFS(#REF!,#REF!,V$9,#REF!,#REF!),
IF(AND(#REF!="Team",#REF!=$F$15),AVERAGEIFS(#REF!,#REF!,V$9),
IF(AND(#REF!=$E$5,#REF!=$F$15),AVERAGEIFS(#REF!,#REF!,V$9,#REF!,#REF!),
IF(AND(#REF!=$E$6,#REF!=$F$15),AVERAGEIFS(#REF!,#REF!,V$9,#REF!,#REF!))))))))))))))))),"")</f>
        <v/>
      </c>
      <c r="W13" s="30" t="str">
        <f>IFERROR(
IF(#REF!=$E$2,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IF(AND(#REF!=$E$6,#REF!=$F$15),AVERAGEIFS(#REF!,#REF!,W$9,#REF!,#REF!))))))))))))))),
IF(#REF!=$E$3,
(IF(OR(#REF!=$F$2,#REF!=$F$3,#REF!=$F$4,#REF!=$F$5,#REF!=$F$6,#REF!=$F$7,#REF!=$F$8,#REF!=$F$9,#REF!=$F$10,#REF!=$F$11),"",
IF(AND(#REF!="Team",#REF!=$F$12),AVERAGEIFS(#REF!,#REF!,W$9),
IF(AND(#REF!=$E$5,#REF!=$F$12),AVERAGEIFS(#REF!,#REF!,W$9,#REF!,#REF!),
IF(AND(#REF!=$E$6,#REF!=$F$12),AVERAGEIFS(#REF!,#REF!,W$9,#REF!,#REF!),
IF(AND(#REF!="Team",#REF!=$F$13),AVERAGEIFS(#REF!,#REF!,W$9),
IF(AND(#REF!=$E$5,#REF!=$F$13),AVERAGEIFS(#REF!,#REF!,W$9,#REF!,#REF!),
IF(AND(#REF!=$E$6,#REF!=$F$13),AVERAGEIFS(#REF!,#REF!,W$9,#REF!,#REF!),
IF(AND(#REF!="Team",#REF!=$F$14),AVERAGEIFS(#REF!,#REF!,W$9),
IF(AND(#REF!=$E$5,#REF!=$F$14),AVERAGEIFS(#REF!,#REF!,W$9,#REF!,#REF!),
IF(AND(#REF!=$E$6,#REF!=$F$14),AVERAGEIFS(#REF!,#REF!,W$9,#REF!,#REF!),
IF(AND(#REF!="Team",#REF!=$F$15),AVERAGEIFS(#REF!,#REF!,W$9),
IF(AND(#REF!=$E$5,#REF!=$F$15),AVERAGEIFS(#REF!,#REF!,W$9,#REF!,#REF!),
IF(AND(#REF!=$E$6,#REF!=$F$15),AVERAGEIFS(#REF!,#REF!,W$9,#REF!,#REF!))))))))))))))))),"")</f>
        <v/>
      </c>
      <c r="X13" s="30" t="str">
        <f>IFERROR(
IF(#REF!=$E$2,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IF(AND(#REF!=$E$6,#REF!=$F$15),AVERAGEIFS(#REF!,#REF!,X$9,#REF!,#REF!))))))))))))))),
IF(#REF!=$E$3,
(IF(OR(#REF!=$F$2,#REF!=$F$3,#REF!=$F$4,#REF!=$F$5,#REF!=$F$6,#REF!=$F$7,#REF!=$F$8,#REF!=$F$9,#REF!=$F$10,#REF!=$F$11),"",
IF(AND(#REF!="Team",#REF!=$F$12),AVERAGEIFS(#REF!,#REF!,X$9),
IF(AND(#REF!=$E$5,#REF!=$F$12),AVERAGEIFS(#REF!,#REF!,X$9,#REF!,#REF!),
IF(AND(#REF!=$E$6,#REF!=$F$12),AVERAGEIFS(#REF!,#REF!,X$9,#REF!,#REF!),
IF(AND(#REF!="Team",#REF!=$F$13),AVERAGEIFS(#REF!,#REF!,X$9),
IF(AND(#REF!=$E$5,#REF!=$F$13),AVERAGEIFS(#REF!,#REF!,X$9,#REF!,#REF!),
IF(AND(#REF!=$E$6,#REF!=$F$13),AVERAGEIFS(#REF!,#REF!,X$9,#REF!,#REF!),
IF(AND(#REF!="Team",#REF!=$F$14),AVERAGEIFS(#REF!,#REF!,X$9),
IF(AND(#REF!=$E$5,#REF!=$F$14),AVERAGEIFS(#REF!,#REF!,X$9,#REF!,#REF!),
IF(AND(#REF!=$E$6,#REF!=$F$14),AVERAGEIFS(#REF!,#REF!,X$9,#REF!,#REF!),
IF(AND(#REF!="Team",#REF!=$F$15),AVERAGEIFS(#REF!,#REF!,X$9),
IF(AND(#REF!=$E$5,#REF!=$F$15),AVERAGEIFS(#REF!,#REF!,X$9,#REF!,#REF!),
IF(AND(#REF!=$E$6,#REF!=$F$15),AVERAGEIFS(#REF!,#REF!,X$9,#REF!,#REF!))))))))))))))))),"")</f>
        <v/>
      </c>
      <c r="Y13" s="30" t="str">
        <f>IFERROR(
IF(#REF!=$E$2,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IF(AND(#REF!=$E$6,#REF!=$F$15),AVERAGEIFS(#REF!,#REF!,Y$9,#REF!,#REF!))))))))))))))),
IF(#REF!=$E$3,
(IF(OR(#REF!=$F$2,#REF!=$F$3,#REF!=$F$4,#REF!=$F$5,#REF!=$F$6,#REF!=$F$7,#REF!=$F$8,#REF!=$F$9,#REF!=$F$10,#REF!=$F$11),"",
IF(AND(#REF!="Team",#REF!=$F$12),AVERAGEIFS(#REF!,#REF!,Y$9),
IF(AND(#REF!=$E$5,#REF!=$F$12),AVERAGEIFS(#REF!,#REF!,Y$9,#REF!,#REF!),
IF(AND(#REF!=$E$6,#REF!=$F$12),AVERAGEIFS(#REF!,#REF!,Y$9,#REF!,#REF!),
IF(AND(#REF!="Team",#REF!=$F$13),AVERAGEIFS(#REF!,#REF!,Y$9),
IF(AND(#REF!=$E$5,#REF!=$F$13),AVERAGEIFS(#REF!,#REF!,Y$9,#REF!,#REF!),
IF(AND(#REF!=$E$6,#REF!=$F$13),AVERAGEIFS(#REF!,#REF!,Y$9,#REF!,#REF!),
IF(AND(#REF!="Team",#REF!=$F$14),AVERAGEIFS(#REF!,#REF!,Y$9),
IF(AND(#REF!=$E$5,#REF!=$F$14),AVERAGEIFS(#REF!,#REF!,Y$9,#REF!,#REF!),
IF(AND(#REF!=$E$6,#REF!=$F$14),AVERAGEIFS(#REF!,#REF!,Y$9,#REF!,#REF!),
IF(AND(#REF!="Team",#REF!=$F$15),AVERAGEIFS(#REF!,#REF!,Y$9),
IF(AND(#REF!=$E$5,#REF!=$F$15),AVERAGEIFS(#REF!,#REF!,Y$9,#REF!,#REF!),
IF(AND(#REF!=$E$6,#REF!=$F$15),AVERAGEIFS(#REF!,#REF!,Y$9,#REF!,#REF!))))))))))))))))),"")</f>
        <v/>
      </c>
      <c r="Z13" s="30" t="str">
        <f>IFERROR(
IF(#REF!=$E$2,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IF(AND(#REF!=$E$6,#REF!=$F$15),AVERAGEIFS(#REF!,#REF!,Z$9,#REF!,#REF!))))))))))))))),
IF(#REF!=$E$3,
(IF(OR(#REF!=$F$2,#REF!=$F$3,#REF!=$F$4,#REF!=$F$5,#REF!=$F$6,#REF!=$F$7,#REF!=$F$8,#REF!=$F$9,#REF!=$F$10,#REF!=$F$11),"",
IF(AND(#REF!="Team",#REF!=$F$12),AVERAGEIFS(#REF!,#REF!,Z$9),
IF(AND(#REF!=$E$5,#REF!=$F$12),AVERAGEIFS(#REF!,#REF!,Z$9,#REF!,#REF!),
IF(AND(#REF!=$E$6,#REF!=$F$12),AVERAGEIFS(#REF!,#REF!,Z$9,#REF!,#REF!),
IF(AND(#REF!="Team",#REF!=$F$13),AVERAGEIFS(#REF!,#REF!,Z$9),
IF(AND(#REF!=$E$5,#REF!=$F$13),AVERAGEIFS(#REF!,#REF!,Z$9,#REF!,#REF!),
IF(AND(#REF!=$E$6,#REF!=$F$13),AVERAGEIFS(#REF!,#REF!,Z$9,#REF!,#REF!),
IF(AND(#REF!="Team",#REF!=$F$14),AVERAGEIFS(#REF!,#REF!,Z$9),
IF(AND(#REF!=$E$5,#REF!=$F$14),AVERAGEIFS(#REF!,#REF!,Z$9,#REF!,#REF!),
IF(AND(#REF!=$E$6,#REF!=$F$14),AVERAGEIFS(#REF!,#REF!,Z$9,#REF!,#REF!),
IF(AND(#REF!="Team",#REF!=$F$15),AVERAGEIFS(#REF!,#REF!,Z$9),
IF(AND(#REF!=$E$5,#REF!=$F$15),AVERAGEIFS(#REF!,#REF!,Z$9,#REF!,#REF!),
IF(AND(#REF!=$E$6,#REF!=$F$15),AVERAGEIFS(#REF!,#REF!,Z$9,#REF!,#REF!))))))))))))))))),"")</f>
        <v/>
      </c>
      <c r="AA13" s="30" t="str">
        <f>IFERROR(
IF(#REF!=$E$2,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IF(AND(#REF!=$E$6,#REF!=$F$15),AVERAGEIFS(#REF!,#REF!,AA$9,#REF!,#REF!))))))))))))))),
IF(#REF!=$E$3,
(IF(OR(#REF!=$F$2,#REF!=$F$3,#REF!=$F$4,#REF!=$F$5,#REF!=$F$6,#REF!=$F$7,#REF!=$F$8,#REF!=$F$9,#REF!=$F$10,#REF!=$F$11),"",
IF(AND(#REF!="Team",#REF!=$F$12),AVERAGEIFS(#REF!,#REF!,AA$9),
IF(AND(#REF!=$E$5,#REF!=$F$12),AVERAGEIFS(#REF!,#REF!,AA$9,#REF!,#REF!),
IF(AND(#REF!=$E$6,#REF!=$F$12),AVERAGEIFS(#REF!,#REF!,AA$9,#REF!,#REF!),
IF(AND(#REF!="Team",#REF!=$F$13),AVERAGEIFS(#REF!,#REF!,AA$9),
IF(AND(#REF!=$E$5,#REF!=$F$13),AVERAGEIFS(#REF!,#REF!,AA$9,#REF!,#REF!),
IF(AND(#REF!=$E$6,#REF!=$F$13),AVERAGEIFS(#REF!,#REF!,AA$9,#REF!,#REF!),
IF(AND(#REF!="Team",#REF!=$F$14),AVERAGEIFS(#REF!,#REF!,AA$9),
IF(AND(#REF!=$E$5,#REF!=$F$14),AVERAGEIFS(#REF!,#REF!,AA$9,#REF!,#REF!),
IF(AND(#REF!=$E$6,#REF!=$F$14),AVERAGEIFS(#REF!,#REF!,AA$9,#REF!,#REF!),
IF(AND(#REF!="Team",#REF!=$F$15),AVERAGEIFS(#REF!,#REF!,AA$9),
IF(AND(#REF!=$E$5,#REF!=$F$15),AVERAGEIFS(#REF!,#REF!,AA$9,#REF!,#REF!),
IF(AND(#REF!=$E$6,#REF!=$F$15),AVERAGEIFS(#REF!,#REF!,AA$9,#REF!,#REF!))))))))))))))))),"")</f>
        <v/>
      </c>
      <c r="AB13" s="30" t="str">
        <f>IFERROR(
IF(#REF!=$E$2,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IF(AND(#REF!=$E$6,#REF!=$F$15),AVERAGEIFS(#REF!,#REF!,AB$9,#REF!,#REF!))))))))))))))),
IF(#REF!=$E$3,
(IF(OR(#REF!=$F$2,#REF!=$F$3,#REF!=$F$4,#REF!=$F$5,#REF!=$F$6,#REF!=$F$7,#REF!=$F$8,#REF!=$F$9,#REF!=$F$10,#REF!=$F$11),"",
IF(AND(#REF!="Team",#REF!=$F$12),AVERAGEIFS(#REF!,#REF!,AB$9),
IF(AND(#REF!=$E$5,#REF!=$F$12),AVERAGEIFS(#REF!,#REF!,AB$9,#REF!,#REF!),
IF(AND(#REF!=$E$6,#REF!=$F$12),AVERAGEIFS(#REF!,#REF!,AB$9,#REF!,#REF!),
IF(AND(#REF!="Team",#REF!=$F$13),AVERAGEIFS(#REF!,#REF!,AB$9),
IF(AND(#REF!=$E$5,#REF!=$F$13),AVERAGEIFS(#REF!,#REF!,AB$9,#REF!,#REF!),
IF(AND(#REF!=$E$6,#REF!=$F$13),AVERAGEIFS(#REF!,#REF!,AB$9,#REF!,#REF!),
IF(AND(#REF!="Team",#REF!=$F$14),AVERAGEIFS(#REF!,#REF!,AB$9),
IF(AND(#REF!=$E$5,#REF!=$F$14),AVERAGEIFS(#REF!,#REF!,AB$9,#REF!,#REF!),
IF(AND(#REF!=$E$6,#REF!=$F$14),AVERAGEIFS(#REF!,#REF!,AB$9,#REF!,#REF!),
IF(AND(#REF!="Team",#REF!=$F$15),AVERAGEIFS(#REF!,#REF!,AB$9),
IF(AND(#REF!=$E$5,#REF!=$F$15),AVERAGEIFS(#REF!,#REF!,AB$9,#REF!,#REF!),
IF(AND(#REF!=$E$6,#REF!=$F$15),AVERAGEIFS(#REF!,#REF!,AB$9,#REF!,#REF!))))))))))))))))),"")</f>
        <v/>
      </c>
      <c r="AC13" s="30" t="str">
        <f>IFERROR(
IF(#REF!=$E$2,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IF(AND(#REF!=$E$6,#REF!=$F$15),AVERAGEIFS(#REF!,#REF!,AC$9,#REF!,#REF!))))))))))))))),
IF(#REF!=$E$3,
(IF(OR(#REF!=$F$2,#REF!=$F$3,#REF!=$F$4,#REF!=$F$5,#REF!=$F$6,#REF!=$F$7,#REF!=$F$8,#REF!=$F$9,#REF!=$F$10,#REF!=$F$11),"",
IF(AND(#REF!="Team",#REF!=$F$12),AVERAGEIFS(#REF!,#REF!,AC$9),
IF(AND(#REF!=$E$5,#REF!=$F$12),AVERAGEIFS(#REF!,#REF!,AC$9,#REF!,#REF!),
IF(AND(#REF!=$E$6,#REF!=$F$12),AVERAGEIFS(#REF!,#REF!,AC$9,#REF!,#REF!),
IF(AND(#REF!="Team",#REF!=$F$13),AVERAGEIFS(#REF!,#REF!,AC$9),
IF(AND(#REF!=$E$5,#REF!=$F$13),AVERAGEIFS(#REF!,#REF!,AC$9,#REF!,#REF!),
IF(AND(#REF!=$E$6,#REF!=$F$13),AVERAGEIFS(#REF!,#REF!,AC$9,#REF!,#REF!),
IF(AND(#REF!="Team",#REF!=$F$14),AVERAGEIFS(#REF!,#REF!,AC$9),
IF(AND(#REF!=$E$5,#REF!=$F$14),AVERAGEIFS(#REF!,#REF!,AC$9,#REF!,#REF!),
IF(AND(#REF!=$E$6,#REF!=$F$14),AVERAGEIFS(#REF!,#REF!,AC$9,#REF!,#REF!),
IF(AND(#REF!="Team",#REF!=$F$15),AVERAGEIFS(#REF!,#REF!,AC$9),
IF(AND(#REF!=$E$5,#REF!=$F$15),AVERAGEIFS(#REF!,#REF!,AC$9,#REF!,#REF!),
IF(AND(#REF!=$E$6,#REF!=$F$15),AVERAGEIFS(#REF!,#REF!,AC$9,#REF!,#REF!))))))))))))))))),"")</f>
        <v/>
      </c>
      <c r="AD13" s="30" t="str">
        <f>IFERROR(
IF(#REF!=$E$2,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IF(AND(#REF!=$E$6,#REF!=$F$15),AVERAGEIFS(#REF!,#REF!,AD$9,#REF!,#REF!))))))))))))))),
IF(#REF!=$E$3,
(IF(OR(#REF!=$F$2,#REF!=$F$3,#REF!=$F$4,#REF!=$F$5,#REF!=$F$6,#REF!=$F$7,#REF!=$F$8,#REF!=$F$9,#REF!=$F$10,#REF!=$F$11),"",
IF(AND(#REF!="Team",#REF!=$F$12),AVERAGEIFS(#REF!,#REF!,AD$9),
IF(AND(#REF!=$E$5,#REF!=$F$12),AVERAGEIFS(#REF!,#REF!,AD$9,#REF!,#REF!),
IF(AND(#REF!=$E$6,#REF!=$F$12),AVERAGEIFS(#REF!,#REF!,AD$9,#REF!,#REF!),
IF(AND(#REF!="Team",#REF!=$F$13),AVERAGEIFS(#REF!,#REF!,AD$9),
IF(AND(#REF!=$E$5,#REF!=$F$13),AVERAGEIFS(#REF!,#REF!,AD$9,#REF!,#REF!),
IF(AND(#REF!=$E$6,#REF!=$F$13),AVERAGEIFS(#REF!,#REF!,AD$9,#REF!,#REF!),
IF(AND(#REF!="Team",#REF!=$F$14),AVERAGEIFS(#REF!,#REF!,AD$9),
IF(AND(#REF!=$E$5,#REF!=$F$14),AVERAGEIFS(#REF!,#REF!,AD$9,#REF!,#REF!),
IF(AND(#REF!=$E$6,#REF!=$F$14),AVERAGEIFS(#REF!,#REF!,AD$9,#REF!,#REF!),
IF(AND(#REF!="Team",#REF!=$F$15),AVERAGEIFS(#REF!,#REF!,AD$9),
IF(AND(#REF!=$E$5,#REF!=$F$15),AVERAGEIFS(#REF!,#REF!,AD$9,#REF!,#REF!),
IF(AND(#REF!=$E$6,#REF!=$F$15),AVERAGEIFS(#REF!,#REF!,AD$9,#REF!,#REF!))))))))))))))))),"")</f>
        <v/>
      </c>
      <c r="AE13" s="30" t="str">
        <f>IFERROR(
IF(#REF!=$E$2,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IF(AND(#REF!=$E$6,#REF!=$F$15),AVERAGEIFS(#REF!,#REF!,AE$9,#REF!,#REF!))))))))))))))),
IF(#REF!=$E$3,
(IF(OR(#REF!=$F$2,#REF!=$F$3,#REF!=$F$4,#REF!=$F$5,#REF!=$F$6,#REF!=$F$7,#REF!=$F$8,#REF!=$F$9,#REF!=$F$10,#REF!=$F$11),"",
IF(AND(#REF!="Team",#REF!=$F$12),AVERAGEIFS(#REF!,#REF!,AE$9),
IF(AND(#REF!=$E$5,#REF!=$F$12),AVERAGEIFS(#REF!,#REF!,AE$9,#REF!,#REF!),
IF(AND(#REF!=$E$6,#REF!=$F$12),AVERAGEIFS(#REF!,#REF!,AE$9,#REF!,#REF!),
IF(AND(#REF!="Team",#REF!=$F$13),AVERAGEIFS(#REF!,#REF!,AE$9),
IF(AND(#REF!=$E$5,#REF!=$F$13),AVERAGEIFS(#REF!,#REF!,AE$9,#REF!,#REF!),
IF(AND(#REF!=$E$6,#REF!=$F$13),AVERAGEIFS(#REF!,#REF!,AE$9,#REF!,#REF!),
IF(AND(#REF!="Team",#REF!=$F$14),AVERAGEIFS(#REF!,#REF!,AE$9),
IF(AND(#REF!=$E$5,#REF!=$F$14),AVERAGEIFS(#REF!,#REF!,AE$9,#REF!,#REF!),
IF(AND(#REF!=$E$6,#REF!=$F$14),AVERAGEIFS(#REF!,#REF!,AE$9,#REF!,#REF!),
IF(AND(#REF!="Team",#REF!=$F$15),AVERAGEIFS(#REF!,#REF!,AE$9),
IF(AND(#REF!=$E$5,#REF!=$F$15),AVERAGEIFS(#REF!,#REF!,AE$9,#REF!,#REF!),
IF(AND(#REF!=$E$6,#REF!=$F$15),AVERAGEIFS(#REF!,#REF!,AE$9,#REF!,#REF!))))))))))))))))),"")</f>
        <v/>
      </c>
      <c r="AF13" s="30" t="str">
        <f>IFERROR(
IF(#REF!=$E$2,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IF(AND(#REF!=$E$6,#REF!=$F$15),AVERAGEIFS(#REF!,#REF!,AF$9,#REF!,#REF!))))))))))))))),
IF(#REF!=$E$3,
(IF(OR(#REF!=$F$2,#REF!=$F$3,#REF!=$F$4,#REF!=$F$5,#REF!=$F$6,#REF!=$F$7,#REF!=$F$8,#REF!=$F$9,#REF!=$F$10,#REF!=$F$11),"",
IF(AND(#REF!="Team",#REF!=$F$12),AVERAGEIFS(#REF!,#REF!,AF$9),
IF(AND(#REF!=$E$5,#REF!=$F$12),AVERAGEIFS(#REF!,#REF!,AF$9,#REF!,#REF!),
IF(AND(#REF!=$E$6,#REF!=$F$12),AVERAGEIFS(#REF!,#REF!,AF$9,#REF!,#REF!),
IF(AND(#REF!="Team",#REF!=$F$13),AVERAGEIFS(#REF!,#REF!,AF$9),
IF(AND(#REF!=$E$5,#REF!=$F$13),AVERAGEIFS(#REF!,#REF!,AF$9,#REF!,#REF!),
IF(AND(#REF!=$E$6,#REF!=$F$13),AVERAGEIFS(#REF!,#REF!,AF$9,#REF!,#REF!),
IF(AND(#REF!="Team",#REF!=$F$14),AVERAGEIFS(#REF!,#REF!,AF$9),
IF(AND(#REF!=$E$5,#REF!=$F$14),AVERAGEIFS(#REF!,#REF!,AF$9,#REF!,#REF!),
IF(AND(#REF!=$E$6,#REF!=$F$14),AVERAGEIFS(#REF!,#REF!,AF$9,#REF!,#REF!),
IF(AND(#REF!="Team",#REF!=$F$15),AVERAGEIFS(#REF!,#REF!,AF$9),
IF(AND(#REF!=$E$5,#REF!=$F$15),AVERAGEIFS(#REF!,#REF!,AF$9,#REF!,#REF!),
IF(AND(#REF!=$E$6,#REF!=$F$15),AVERAGEIFS(#REF!,#REF!,AF$9,#REF!,#REF!))))))))))))))))),"")</f>
        <v/>
      </c>
      <c r="AG13" s="30" t="str">
        <f>IFERROR(
IF(#REF!=$E$2,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IF(AND(#REF!=$E$6,#REF!=$F$15),AVERAGEIFS(#REF!,#REF!,AG$9,#REF!,#REF!))))))))))))))),
IF(#REF!=$E$3,
(IF(OR(#REF!=$F$2,#REF!=$F$3,#REF!=$F$4,#REF!=$F$5,#REF!=$F$6,#REF!=$F$7,#REF!=$F$8,#REF!=$F$9,#REF!=$F$10,#REF!=$F$11),"",
IF(AND(#REF!="Team",#REF!=$F$12),AVERAGEIFS(#REF!,#REF!,AG$9),
IF(AND(#REF!=$E$5,#REF!=$F$12),AVERAGEIFS(#REF!,#REF!,AG$9,#REF!,#REF!),
IF(AND(#REF!=$E$6,#REF!=$F$12),AVERAGEIFS(#REF!,#REF!,AG$9,#REF!,#REF!),
IF(AND(#REF!="Team",#REF!=$F$13),AVERAGEIFS(#REF!,#REF!,AG$9),
IF(AND(#REF!=$E$5,#REF!=$F$13),AVERAGEIFS(#REF!,#REF!,AG$9,#REF!,#REF!),
IF(AND(#REF!=$E$6,#REF!=$F$13),AVERAGEIFS(#REF!,#REF!,AG$9,#REF!,#REF!),
IF(AND(#REF!="Team",#REF!=$F$14),AVERAGEIFS(#REF!,#REF!,AG$9),
IF(AND(#REF!=$E$5,#REF!=$F$14),AVERAGEIFS(#REF!,#REF!,AG$9,#REF!,#REF!),
IF(AND(#REF!=$E$6,#REF!=$F$14),AVERAGEIFS(#REF!,#REF!,AG$9,#REF!,#REF!),
IF(AND(#REF!="Team",#REF!=$F$15),AVERAGEIFS(#REF!,#REF!,AG$9),
IF(AND(#REF!=$E$5,#REF!=$F$15),AVERAGEIFS(#REF!,#REF!,AG$9,#REF!,#REF!),
IF(AND(#REF!=$E$6,#REF!=$F$15),AVERAGEIFS(#REF!,#REF!,AG$9,#REF!,#REF!))))))))))))))))),"")</f>
        <v/>
      </c>
      <c r="AH13" s="30" t="str">
        <f>IFERROR(
IF(#REF!=$E$2,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IF(AND(#REF!=$E$6,#REF!=$F$15),AVERAGEIFS(#REF!,#REF!,AH$9,#REF!,#REF!))))))))))))))),
IF(#REF!=$E$3,
(IF(OR(#REF!=$F$2,#REF!=$F$3,#REF!=$F$4,#REF!=$F$5,#REF!=$F$6,#REF!=$F$7,#REF!=$F$8,#REF!=$F$9,#REF!=$F$10,#REF!=$F$11),"",
IF(AND(#REF!="Team",#REF!=$F$12),AVERAGEIFS(#REF!,#REF!,AH$9),
IF(AND(#REF!=$E$5,#REF!=$F$12),AVERAGEIFS(#REF!,#REF!,AH$9,#REF!,#REF!),
IF(AND(#REF!=$E$6,#REF!=$F$12),AVERAGEIFS(#REF!,#REF!,AH$9,#REF!,#REF!),
IF(AND(#REF!="Team",#REF!=$F$13),AVERAGEIFS(#REF!,#REF!,AH$9),
IF(AND(#REF!=$E$5,#REF!=$F$13),AVERAGEIFS(#REF!,#REF!,AH$9,#REF!,#REF!),
IF(AND(#REF!=$E$6,#REF!=$F$13),AVERAGEIFS(#REF!,#REF!,AH$9,#REF!,#REF!),
IF(AND(#REF!="Team",#REF!=$F$14),AVERAGEIFS(#REF!,#REF!,AH$9),
IF(AND(#REF!=$E$5,#REF!=$F$14),AVERAGEIFS(#REF!,#REF!,AH$9,#REF!,#REF!),
IF(AND(#REF!=$E$6,#REF!=$F$14),AVERAGEIFS(#REF!,#REF!,AH$9,#REF!,#REF!),
IF(AND(#REF!="Team",#REF!=$F$15),AVERAGEIFS(#REF!,#REF!,AH$9),
IF(AND(#REF!=$E$5,#REF!=$F$15),AVERAGEIFS(#REF!,#REF!,AH$9,#REF!,#REF!),
IF(AND(#REF!=$E$6,#REF!=$F$15),AVERAGEIFS(#REF!,#REF!,AH$9,#REF!,#REF!))))))))))))))))),"")</f>
        <v/>
      </c>
      <c r="AI13" s="31" t="str">
        <f>IFERROR(
IF(#REF!=$E$2,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IF(AND(#REF!=$E$6,#REF!=$F$15),AVERAGEIFS(#REF!,#REF!,AI$9,#REF!,#REF!))))))))))))))),
IF(#REF!=$E$3,
(IF(OR(#REF!=$F$2,#REF!=$F$3,#REF!=$F$4,#REF!=$F$5,#REF!=$F$6,#REF!=$F$7,#REF!=$F$8,#REF!=$F$9,#REF!=$F$10,#REF!=$F$11),"",
IF(AND(#REF!="Team",#REF!=$F$12),AVERAGEIFS(#REF!,#REF!,AI$9),
IF(AND(#REF!=$E$5,#REF!=$F$12),AVERAGEIFS(#REF!,#REF!,AI$9,#REF!,#REF!),
IF(AND(#REF!=$E$6,#REF!=$F$12),AVERAGEIFS(#REF!,#REF!,AI$9,#REF!,#REF!),
IF(AND(#REF!="Team",#REF!=$F$13),AVERAGEIFS(#REF!,#REF!,AI$9),
IF(AND(#REF!=$E$5,#REF!=$F$13),AVERAGEIFS(#REF!,#REF!,AI$9,#REF!,#REF!),
IF(AND(#REF!=$E$6,#REF!=$F$13),AVERAGEIFS(#REF!,#REF!,AI$9,#REF!,#REF!),
IF(AND(#REF!="Team",#REF!=$F$14),AVERAGEIFS(#REF!,#REF!,AI$9),
IF(AND(#REF!=$E$5,#REF!=$F$14),AVERAGEIFS(#REF!,#REF!,AI$9,#REF!,#REF!),
IF(AND(#REF!=$E$6,#REF!=$F$14),AVERAGEIFS(#REF!,#REF!,AI$9,#REF!,#REF!),
IF(AND(#REF!="Team",#REF!=$F$15),AVERAGEIFS(#REF!,#REF!,AI$9),
IF(AND(#REF!=$E$5,#REF!=$F$15),AVERAGEIFS(#REF!,#REF!,AI$9,#REF!,#REF!),
IF(AND(#REF!=$E$6,#REF!=$F$15),AVERAGEIFS(#REF!,#REF!,AI$9,#REF!,#REF!))))))))))))))))),"")</f>
        <v/>
      </c>
      <c r="AJ13" s="32">
        <f>IFERROR(
IF(#REF!=$E$2,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IF(AND(#REF!=$E$6,#REF!=$F$15),AVERAGEIFS(#REF!,#REF!,AJ$9,#REF!,#REF!))))))))))))))),
IF(#REF!=$E$3,
(IF(OR(#REF!=$F$2,#REF!=$F$3,#REF!=$F$4,#REF!=$F$5,#REF!=$F$6,#REF!=$F$7,#REF!=$F$8,#REF!=$F$9,#REF!=$F$10,#REF!=$F$11),0,
IF(AND(#REF!="Team",#REF!=$F$12),AVERAGEIFS(#REF!,#REF!,AJ$9),
IF(AND(#REF!=$E$5,#REF!=$F$12),AVERAGEIFS(#REF!,#REF!,AJ$9,#REF!,#REF!),
IF(AND(#REF!=$E$6,#REF!=$F$12),AVERAGEIFS(#REF!,#REF!,AJ$9,#REF!,#REF!),
IF(AND(#REF!="Team",#REF!=$F$13),AVERAGEIFS(#REF!,#REF!,AJ$9),
IF(AND(#REF!=$E$5,#REF!=$F$13),AVERAGEIFS(#REF!,#REF!,AJ$9,#REF!,#REF!),
IF(AND(#REF!=$E$6,#REF!=$F$13),AVERAGEIFS(#REF!,#REF!,AJ$9,#REF!,#REF!),
IF(AND(#REF!="Team",#REF!=$F$14),AVERAGEIFS(#REF!,#REF!,AJ$9),
IF(AND(#REF!=$E$5,#REF!=$F$14),AVERAGEIFS(#REF!,#REF!,AJ$9,#REF!,#REF!),
IF(AND(#REF!=$E$6,#REF!=$F$14),AVERAGEIFS(#REF!,#REF!,AJ$9,#REF!,#REF!),
IF(AND(#REF!="Team",#REF!=$F$15),AVERAGEIFS(#REF!,#REF!,AJ$9),
IF(AND(#REF!=$E$5,#REF!=$F$15),AVERAGEIFS(#REF!,#REF!,AJ$9,#REF!,#REF!),
IF(AND(#REF!=$E$6,#REF!=$F$15),AVERAGEIFS(#REF!,#REF!,AJ$9,#REF!,#REF!))))))))))))))))),0)</f>
        <v>0</v>
      </c>
    </row>
    <row r="14" spans="1:36" ht="15.75" customHeight="1" x14ac:dyDescent="0.25">
      <c r="A14" s="18">
        <f ca="1">IFERROR(__xludf.DUMMYFUNCTION("""COMPUTED_VALUE"""),44948)</f>
        <v>44948</v>
      </c>
      <c r="C14" s="19" t="str">
        <f ca="1">IFERROR(__xludf.DUMMYFUNCTION("""COMPUTED_VALUE"""),"MID/D")</f>
        <v>MID/D</v>
      </c>
      <c r="D14" s="7"/>
      <c r="F14" s="8" t="s">
        <v>60</v>
      </c>
    </row>
    <row r="15" spans="1:36" ht="15.75" customHeight="1" x14ac:dyDescent="0.25">
      <c r="A15" s="18">
        <f ca="1">IFERROR(__xludf.DUMMYFUNCTION("""COMPUTED_VALUE"""),44949)</f>
        <v>44949</v>
      </c>
      <c r="C15" s="19" t="str">
        <f ca="1">IFERROR(__xludf.DUMMYFUNCTION("""COMPUTED_VALUE"""),"D")</f>
        <v>D</v>
      </c>
      <c r="D15" s="7"/>
      <c r="F15" s="10" t="s">
        <v>61</v>
      </c>
      <c r="H15" s="87" t="s">
        <v>62</v>
      </c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9"/>
    </row>
    <row r="16" spans="1:36" ht="15.75" customHeight="1" x14ac:dyDescent="0.25">
      <c r="A16" s="18">
        <f ca="1">IFERROR(__xludf.DUMMYFUNCTION("""COMPUTED_VALUE"""),44950)</f>
        <v>44950</v>
      </c>
      <c r="C16" s="19" t="str">
        <f ca="1">IFERROR(__xludf.DUMMYFUNCTION("""COMPUTED_VALUE"""),"UTIL")</f>
        <v>UTIL</v>
      </c>
      <c r="D16" s="7"/>
      <c r="H16" s="90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  <c r="AA16" s="91"/>
      <c r="AB16" s="91"/>
      <c r="AC16" s="91"/>
      <c r="AD16" s="91"/>
      <c r="AE16" s="91"/>
      <c r="AF16" s="91"/>
      <c r="AG16" s="91"/>
      <c r="AH16" s="91"/>
      <c r="AI16" s="91"/>
      <c r="AJ16" s="92"/>
    </row>
    <row r="17" spans="1:36" ht="15.75" customHeight="1" x14ac:dyDescent="0.25">
      <c r="A17" s="18">
        <f ca="1">IFERROR(__xludf.DUMMYFUNCTION("""COMPUTED_VALUE"""),44951)</f>
        <v>44951</v>
      </c>
      <c r="C17" s="19" t="str">
        <f ca="1">IFERROR(__xludf.DUMMYFUNCTION("""COMPUTED_VALUE"""),"GK")</f>
        <v>GK</v>
      </c>
      <c r="D17" s="7"/>
      <c r="H17" s="12" t="s">
        <v>47</v>
      </c>
      <c r="I17" s="25" t="e">
        <f>IF(#REF!=$E$2,
(IF(
(IF(J$17&lt;1,"",_xludf.MaxIFS('Wellness Responses'!$P$2:$P1000,'Wellness Responses'!$R$2:$R1000,#REF!,'Wellness Responses'!$P$2:$P1000,"&lt;"&amp;J$17)))&lt;1,"",
(IF(J$17&lt;1,"",TEXT(_xludf.MaxIFS('Wellness Responses'!$P$2:$P1000,'Wellness Responses'!$R$2:$R1000,#REF!,'Wellness Responses'!$P$2:$P1000,"&lt;"&amp;J$17),"MM/DD/YYYY"))))),
IF(#REF!=$E$3,
(IF(OR(J$17&lt;1,J$17=1,J$17=""),"",J$17-1))))</f>
        <v>#REF!</v>
      </c>
      <c r="J17" s="25" t="e">
        <f>IF(#REF!=$E$2,
(IF(
(IF(K$17&lt;1,"",_xludf.MaxIFS('Wellness Responses'!$P$2:$P1000,'Wellness Responses'!$R$2:$R1000,#REF!,'Wellness Responses'!$P$2:$P1000,"&lt;"&amp;K$17)))&lt;1,"",
(IF(K$17&lt;1,"",TEXT(_xludf.MaxIFS('Wellness Responses'!$P$2:$P1000,'Wellness Responses'!$R$2:$R1000,#REF!,'Wellness Responses'!$P$2:$P1000,"&lt;"&amp;K$17),"MM/DD/YYYY"))))),
IF(#REF!=$E$3,
(IF(OR(K$17&lt;1,K$17=1,K$17=""),"",K$17-1))))</f>
        <v>#REF!</v>
      </c>
      <c r="K17" s="25" t="e">
        <f>IF(#REF!=$E$2,
(IF(
(IF(L$17&lt;1,"",_xludf.MaxIFS('Wellness Responses'!$P$2:$P1000,'Wellness Responses'!$R$2:$R1000,#REF!,'Wellness Responses'!$P$2:$P1000,"&lt;"&amp;L$17)))&lt;1,"",
(IF(L$17&lt;1,"",TEXT(_xludf.MaxIFS('Wellness Responses'!$P$2:$P1000,'Wellness Responses'!$R$2:$R1000,#REF!,'Wellness Responses'!$P$2:$P1000,"&lt;"&amp;L$17),"MM/DD/YYYY"))))),
IF(#REF!=$E$3,
(IF(OR(L$17&lt;1,L$17=1,L$17=""),"",L$17-1))))</f>
        <v>#REF!</v>
      </c>
      <c r="L17" s="25" t="e">
        <f>IF(#REF!=$E$2,
(IF(
(IF(M$17&lt;1,"",_xludf.MaxIFS('Wellness Responses'!$P$2:$P1000,'Wellness Responses'!$R$2:$R1000,#REF!,'Wellness Responses'!$P$2:$P1000,"&lt;"&amp;M$17)))&lt;1,"",
(IF(M$17&lt;1,"",TEXT(_xludf.MaxIFS('Wellness Responses'!$P$2:$P1000,'Wellness Responses'!$R$2:$R1000,#REF!,'Wellness Responses'!$P$2:$P1000,"&lt;"&amp;M$17),"MM/DD/YYYY"))))),
IF(#REF!=$E$3,
(IF(OR(M$17&lt;1,M$17=1,M$17=""),"",M$17-1))))</f>
        <v>#REF!</v>
      </c>
      <c r="M17" s="25" t="e">
        <f>IF(#REF!=$E$2,
(IF(
(IF(N$17&lt;1,"",_xludf.MaxIFS('Wellness Responses'!$P$2:$P1000,'Wellness Responses'!$R$2:$R1000,#REF!,'Wellness Responses'!$P$2:$P1000,"&lt;"&amp;N$17)))&lt;1,"",
(IF(N$17&lt;1,"",TEXT(_xludf.MaxIFS('Wellness Responses'!$P$2:$P1000,'Wellness Responses'!$R$2:$R1000,#REF!,'Wellness Responses'!$P$2:$P1000,"&lt;"&amp;N$17),"MM/DD/YYYY"))))),
IF(#REF!=$E$3,
(IF(OR(N$17&lt;1,N$17=1,N$17=""),"",N$17-1))))</f>
        <v>#REF!</v>
      </c>
      <c r="N17" s="25" t="e">
        <f>IF(#REF!=$E$2,
(IF(
(IF(O$17&lt;1,"",_xludf.MaxIFS('Wellness Responses'!$P$2:$P1000,'Wellness Responses'!$R$2:$R1000,#REF!,'Wellness Responses'!$P$2:$P1000,"&lt;"&amp;O$17)))&lt;1,"",
(IF(O$17&lt;1,"",TEXT(_xludf.MaxIFS('Wellness Responses'!$P$2:$P1000,'Wellness Responses'!$R$2:$R1000,#REF!,'Wellness Responses'!$P$2:$P1000,"&lt;"&amp;O$17),"MM/DD/YYYY"))))),
IF(#REF!=$E$3,
(IF(OR(O$17&lt;1,O$17=1,O$17=""),"",O$17-1))))</f>
        <v>#REF!</v>
      </c>
      <c r="O17" s="25" t="e">
        <f>IF(#REF!=$E$2,
(IF(
(IF(P$17&lt;1,"",_xludf.MaxIFS('Wellness Responses'!$P$2:$P1000,'Wellness Responses'!$R$2:$R1000,#REF!,'Wellness Responses'!$P$2:$P1000,"&lt;"&amp;P$17)))&lt;1,"",
(IF(P$17&lt;1,"",TEXT(_xludf.MaxIFS('Wellness Responses'!$P$2:$P1000,'Wellness Responses'!$R$2:$R1000,#REF!,'Wellness Responses'!$P$2:$P1000,"&lt;"&amp;P$17),"MM/DD/YYYY"))))),
IF(#REF!=$E$3,
(IF(OR(P$17&lt;1,P$17=1,P$17=""),"",P$17-1))))</f>
        <v>#REF!</v>
      </c>
      <c r="P17" s="25" t="e">
        <f>IF(#REF!=$E$2,
(IF(
(IF(Q$17&lt;1,"",_xludf.MaxIFS('Wellness Responses'!$P$2:$P1000,'Wellness Responses'!$R$2:$R1000,#REF!,'Wellness Responses'!$P$2:$P1000,"&lt;"&amp;Q$17)))&lt;1,"",
(IF(Q$17&lt;1,"",TEXT(_xludf.MaxIFS('Wellness Responses'!$P$2:$P1000,'Wellness Responses'!$R$2:$R1000,#REF!,'Wellness Responses'!$P$2:$P1000,"&lt;"&amp;Q$17),"MM/DD/YYYY"))))),
IF(#REF!=$E$3,
(IF(OR(Q$17&lt;1,Q$17=1,Q$17=""),"",Q$17-1))))</f>
        <v>#REF!</v>
      </c>
      <c r="Q17" s="25" t="e">
        <f>IF(#REF!=$E$2,
(IF(
(IF(R$17&lt;1,"",_xludf.MaxIFS('Wellness Responses'!$P$2:$P1000,'Wellness Responses'!$R$2:$R1000,#REF!,'Wellness Responses'!$P$2:$P1000,"&lt;"&amp;R$17)))&lt;1,"",
(IF(R$17&lt;1,"",TEXT(_xludf.MaxIFS('Wellness Responses'!$P$2:$P1000,'Wellness Responses'!$R$2:$R1000,#REF!,'Wellness Responses'!$P$2:$P1000,"&lt;"&amp;R$17),"MM/DD/YYYY"))))),
IF(#REF!=$E$3,
(IF(OR(R$17&lt;1,R$17=1,R$17=""),"",R$17-1))))</f>
        <v>#REF!</v>
      </c>
      <c r="R17" s="25" t="e">
        <f>IF(#REF!=$E$2,
(IF(
(IF(S$17&lt;1,"",_xludf.MaxIFS('Wellness Responses'!$P$2:$P1000,'Wellness Responses'!$R$2:$R1000,#REF!,'Wellness Responses'!$P$2:$P1000,"&lt;"&amp;S$17)))&lt;1,"",
(IF(S$17&lt;1,"",TEXT(_xludf.MaxIFS('Wellness Responses'!$P$2:$P1000,'Wellness Responses'!$R$2:$R1000,#REF!,'Wellness Responses'!$P$2:$P1000,"&lt;"&amp;S$17),"MM/DD/YYYY"))))),
IF(#REF!=$E$3,
(IF(OR(S$17&lt;1,S$17=1,S$17=""),"",S$17-1))))</f>
        <v>#REF!</v>
      </c>
      <c r="S17" s="25" t="e">
        <f>IF(#REF!=$E$2,
(IF(
(IF(T$17&lt;1,"",_xludf.MaxIFS('Wellness Responses'!$P$2:$P1000,'Wellness Responses'!$R$2:$R1000,#REF!,'Wellness Responses'!$P$2:$P1000,"&lt;"&amp;T$17)))&lt;1,"",
(IF(T$17&lt;1,"",TEXT(_xludf.MaxIFS('Wellness Responses'!$P$2:$P1000,'Wellness Responses'!$R$2:$R1000,#REF!,'Wellness Responses'!$P$2:$P1000,"&lt;"&amp;T$17),"MM/DD/YYYY"))))),
IF(#REF!=$E$3,
(IF(OR(T$17&lt;1,T$17=1,T$17=""),"",T$17-1))))</f>
        <v>#REF!</v>
      </c>
      <c r="T17" s="25" t="e">
        <f>IF(#REF!=$E$2,
(IF(
(IF(U$17&lt;1,"",_xludf.MaxIFS('Wellness Responses'!$P$2:$P1000,'Wellness Responses'!$R$2:$R1000,#REF!,'Wellness Responses'!$P$2:$P1000,"&lt;"&amp;U$17)))&lt;1,"",
(IF(U$17&lt;1,"",TEXT(_xludf.MaxIFS('Wellness Responses'!$P$2:$P1000,'Wellness Responses'!$R$2:$R1000,#REF!,'Wellness Responses'!$P$2:$P1000,"&lt;"&amp;U$17),"MM/DD/YYYY"))))),
IF(#REF!=$E$3,
(IF(OR(U$17&lt;1,U$17=1,U$17=""),"",U$17-1))))</f>
        <v>#REF!</v>
      </c>
      <c r="U17" s="25" t="e">
        <f>IF(#REF!=$E$2,
(IF(
(IF(V$17&lt;1,"",_xludf.MaxIFS('Wellness Responses'!$P$2:$P1000,'Wellness Responses'!$R$2:$R1000,#REF!,'Wellness Responses'!$P$2:$P1000,"&lt;"&amp;V$17)))&lt;1,"",
(IF(V$17&lt;1,"",TEXT(_xludf.MaxIFS('Wellness Responses'!$P$2:$P1000,'Wellness Responses'!$R$2:$R1000,#REF!,'Wellness Responses'!$P$2:$P1000,"&lt;"&amp;V$17),"MM/DD/YYYY"))))),
IF(#REF!=$E$3,
(IF(OR(V$17&lt;1,V$17=1,V$17=""),"",V$17-1))))</f>
        <v>#REF!</v>
      </c>
      <c r="V17" s="25" t="e">
        <f>IF(#REF!=$E$2,
(IF(
(IF(W$17&lt;1,"",_xludf.MaxIFS('Wellness Responses'!$P$2:$P1000,'Wellness Responses'!$R$2:$R1000,#REF!,'Wellness Responses'!$P$2:$P1000,"&lt;"&amp;W$17)))&lt;1,"",
(IF(W$17&lt;1,"",TEXT(_xludf.MaxIFS('Wellness Responses'!$P$2:$P1000,'Wellness Responses'!$R$2:$R1000,#REF!,'Wellness Responses'!$P$2:$P1000,"&lt;"&amp;W$17),"MM/DD/YYYY"))))),
IF(#REF!=$E$3,
(IF(OR(W$17&lt;1,W$17=1,W$17=""),"",W$17-1))))</f>
        <v>#REF!</v>
      </c>
      <c r="W17" s="25" t="e">
        <f>IF(#REF!=$E$2,
(IF(
(IF(X$17&lt;1,"",_xludf.MaxIFS('Wellness Responses'!$P$2:$P1000,'Wellness Responses'!$R$2:$R1000,#REF!,'Wellness Responses'!$P$2:$P1000,"&lt;"&amp;X$17)))&lt;1,"",
(IF(X$17&lt;1,"",TEXT(_xludf.MaxIFS('Wellness Responses'!$P$2:$P1000,'Wellness Responses'!$R$2:$R1000,#REF!,'Wellness Responses'!$P$2:$P1000,"&lt;"&amp;X$17),"MM/DD/YYYY"))))),
IF(#REF!=$E$3,
(IF(OR(X$17&lt;1,X$17=1,X$17=""),"",X$17-1))))</f>
        <v>#REF!</v>
      </c>
      <c r="X17" s="25" t="e">
        <f>IF(#REF!=$E$2,
(IF(
(IF(Y$17&lt;1,"",_xludf.MaxIFS('Wellness Responses'!$P$2:$P1000,'Wellness Responses'!$R$2:$R1000,#REF!,'Wellness Responses'!$P$2:$P1000,"&lt;"&amp;Y$17)))&lt;1,"",
(IF(Y$17&lt;1,"",TEXT(_xludf.MaxIFS('Wellness Responses'!$P$2:$P1000,'Wellness Responses'!$R$2:$R1000,#REF!,'Wellness Responses'!$P$2:$P1000,"&lt;"&amp;Y$17),"MM/DD/YYYY"))))),
IF(#REF!=$E$3,
(IF(OR(Y$17&lt;1,Y$17=1,Y$17=""),"",Y$17-1))))</f>
        <v>#REF!</v>
      </c>
      <c r="Y17" s="25" t="e">
        <f>IF(#REF!=$E$2,
(IF(
(IF(Z$17&lt;1,"",_xludf.MaxIFS('Wellness Responses'!$P$2:$P1000,'Wellness Responses'!$R$2:$R1000,#REF!,'Wellness Responses'!$P$2:$P1000,"&lt;"&amp;Z$17)))&lt;1,"",
(IF(Z$17&lt;1,"",TEXT(_xludf.MaxIFS('Wellness Responses'!$P$2:$P1000,'Wellness Responses'!$R$2:$R1000,#REF!,'Wellness Responses'!$P$2:$P1000,"&lt;"&amp;Z$17),"MM/DD/YYYY"))))),
IF(#REF!=$E$3,
(IF(OR(Z$17&lt;1,Z$17=1,Z$17=""),"",Z$17-1))))</f>
        <v>#REF!</v>
      </c>
      <c r="Z17" s="25" t="e">
        <f>IF(#REF!=$E$2,
(IF(
(IF(AA$17&lt;1,"",_xludf.MaxIFS('Wellness Responses'!$P$2:$P1000,'Wellness Responses'!$R$2:$R1000,#REF!,'Wellness Responses'!$P$2:$P1000,"&lt;"&amp;AA$17)))&lt;1,"",
(IF(AA$17&lt;1,"",TEXT(_xludf.MaxIFS('Wellness Responses'!$P$2:$P1000,'Wellness Responses'!$R$2:$R1000,#REF!,'Wellness Responses'!$P$2:$P1000,"&lt;"&amp;AA$17),"MM/DD/YYYY"))))),
IF(#REF!=$E$3,
(IF(OR(AA$17&lt;1,AA$17=1,AA$17=""),"",AA$17-1))))</f>
        <v>#REF!</v>
      </c>
      <c r="AA17" s="25" t="e">
        <f>IF(#REF!=$E$2,
(IF(
(IF(AB$17&lt;1,"",_xludf.MaxIFS('Wellness Responses'!$P$2:$P1000,'Wellness Responses'!$R$2:$R1000,#REF!,'Wellness Responses'!$P$2:$P1000,"&lt;"&amp;AB$17)))&lt;1,"",
(IF(AB$17&lt;1,"",TEXT(_xludf.MaxIFS('Wellness Responses'!$P$2:$P1000,'Wellness Responses'!$R$2:$R1000,#REF!,'Wellness Responses'!$P$2:$P1000,"&lt;"&amp;AB$17),"MM/DD/YYYY"))))),
IF(#REF!=$E$3,
(IF(OR(AB$17&lt;1,AB$17=1,AB$17=""),"",AB$17-1))))</f>
        <v>#REF!</v>
      </c>
      <c r="AB17" s="25" t="e">
        <f>IF(#REF!=$E$2,
(IF(
(IF(AC$17&lt;1,"",_xludf.MaxIFS('Wellness Responses'!$P$2:$P1000,'Wellness Responses'!$R$2:$R1000,#REF!,'Wellness Responses'!$P$2:$P1000,"&lt;"&amp;AC$17)))&lt;1,"",
(IF(AC$17&lt;1,"",TEXT(_xludf.MaxIFS('Wellness Responses'!$P$2:$P1000,'Wellness Responses'!$R$2:$R1000,#REF!,'Wellness Responses'!$P$2:$P1000,"&lt;"&amp;AC$17),"MM/DD/YYYY"))))),
IF(#REF!=$E$3,
(IF(OR(AC$17&lt;1,AC$17=1,AC$17=""),"",AC$17-1))))</f>
        <v>#REF!</v>
      </c>
      <c r="AC17" s="25" t="e">
        <f>IF(#REF!=$E$2,
(IF(
(IF(AD$17&lt;1,"",_xludf.MaxIFS('Wellness Responses'!$P$2:$P1000,'Wellness Responses'!$R$2:$R1000,#REF!,'Wellness Responses'!$P$2:$P1000,"&lt;"&amp;AD$17)))&lt;1,"",
(IF(AD$17&lt;1,"",TEXT(_xludf.MaxIFS('Wellness Responses'!$P$2:$P1000,'Wellness Responses'!$R$2:$R1000,#REF!,'Wellness Responses'!$P$2:$P1000,"&lt;"&amp;AD$17),"MM/DD/YYYY"))))),
IF(#REF!=$E$3,
(IF(OR(AD$17&lt;1,AD$17=1,AD$17=""),"",AD$17-1))))</f>
        <v>#REF!</v>
      </c>
      <c r="AD17" s="25" t="e">
        <f>IF(#REF!=$E$2,
(IF(
(IF(AE$17&lt;1,"",_xludf.MaxIFS('Wellness Responses'!$P$2:$P1000,'Wellness Responses'!$R$2:$R1000,#REF!,'Wellness Responses'!$P$2:$P1000,"&lt;"&amp;AE$17)))&lt;1,"",
(IF(AE$17&lt;1,"",TEXT(_xludf.MaxIFS('Wellness Responses'!$P$2:$P1000,'Wellness Responses'!$R$2:$R1000,#REF!,'Wellness Responses'!$P$2:$P1000,"&lt;"&amp;AE$17),"MM/DD/YYYY"))))),
IF(#REF!=$E$3,
(IF(OR(AE$17&lt;1,AE$17=1,AE$17=""),"",AE$17-1))))</f>
        <v>#REF!</v>
      </c>
      <c r="AE17" s="25" t="e">
        <f>IF(#REF!=$E$2,
(IF(
(IF(AF$17&lt;1,"",_xludf.MaxIFS('Wellness Responses'!$P$2:$P1000,'Wellness Responses'!$R$2:$R1000,#REF!,'Wellness Responses'!$P$2:$P1000,"&lt;"&amp;AF$17)))&lt;1,"",
(IF(AF$17&lt;1,"",TEXT(_xludf.MaxIFS('Wellness Responses'!$P$2:$P1000,'Wellness Responses'!$R$2:$R1000,#REF!,'Wellness Responses'!$P$2:$P1000,"&lt;"&amp;AF$17),"MM/DD/YYYY"))))),
IF(#REF!=$E$3,
(IF(OR(AF$17&lt;1,AF$17=1,AF$17=""),"",AF$17-1))))</f>
        <v>#REF!</v>
      </c>
      <c r="AF17" s="25" t="e">
        <f>IF(#REF!=$E$2,
(IF(
(IF(AG$17&lt;1,"",_xludf.MaxIFS('Wellness Responses'!$P$2:$P1000,'Wellness Responses'!$R$2:$R1000,#REF!,'Wellness Responses'!$P$2:$P1000,"&lt;"&amp;AG$17)))&lt;1,"",
(IF(AG$17&lt;1,"",TEXT(_xludf.MaxIFS('Wellness Responses'!$P$2:$P1000,'Wellness Responses'!$R$2:$R1000,#REF!,'Wellness Responses'!$P$2:$P1000,"&lt;"&amp;AG$17),"MM/DD/YYYY"))))),
IF(#REF!=$E$3,
(IF(OR(AG$17&lt;1,AG$17=1,AG$17=""),"",AG$17-1))))</f>
        <v>#REF!</v>
      </c>
      <c r="AG17" s="25" t="e">
        <f>IF(#REF!=$E$2,
(IF(
(IF(AH$17&lt;1,"",_xludf.MaxIFS('Wellness Responses'!$P$2:$P1000,'Wellness Responses'!$R$2:$R1000,#REF!,'Wellness Responses'!$P$2:$P1000,"&lt;"&amp;AH$17)))&lt;1,"",
(IF(AH$17&lt;1,"",TEXT(_xludf.MaxIFS('Wellness Responses'!$P$2:$P1000,'Wellness Responses'!$R$2:$R1000,#REF!,'Wellness Responses'!$P$2:$P1000,"&lt;"&amp;AH$17),"MM/DD/YYYY"))))),
IF(#REF!=$E$3,
(IF(OR(AH$17&lt;1,AH$17=1,AH$17=""),"",AH$17-1))))</f>
        <v>#REF!</v>
      </c>
      <c r="AH17" s="25" t="e">
        <f>IF(#REF!=$E$2,
(IF(
(IF(AI$17&lt;1,"",_xludf.MaxIFS('Wellness Responses'!$P$2:$P1000,'Wellness Responses'!$R$2:$R1000,#REF!,'Wellness Responses'!$P$2:$P1000,"&lt;"&amp;AI$17)))&lt;1,"",
(IF(AI$17&lt;1,"",TEXT(_xludf.MaxIFS('Wellness Responses'!$P$2:$P1000,'Wellness Responses'!$R$2:$R1000,#REF!,'Wellness Responses'!$P$2:$P1000,"&lt;"&amp;AI$17),"MM/DD/YYYY"))))),
IF(#REF!=$E$3,
(IF(OR(AI$17&lt;1,AI$17=1,AI$17=""),"",AI$17-1))))</f>
        <v>#REF!</v>
      </c>
      <c r="AI17" s="25" t="e">
        <f>IF(#REF!=$E$2,
(IF(
(IF(AJ$17&lt;1,"",_xludf.MaxIFS('Wellness Responses'!$P$2:$P1000,'Wellness Responses'!$R$2:$R1000,#REF!,'Wellness Responses'!$P$2:$P1000,"&lt;"&amp;AJ$17)))&lt;1,"",
(IF(AJ$17&lt;1,"",TEXT(_xludf.MaxIFS('Wellness Responses'!$P$2:$P1000,'Wellness Responses'!$R$2:$R1000,#REF!,'Wellness Responses'!$P$2:$P1000,"&lt;"&amp;AJ$17),"MM/DD/YYYY"))))),
IF(#REF!=$E$3,
(IF(OR(AJ$17&lt;1,AJ$17=1,AJ$17=""),"",AJ$17-1))))</f>
        <v>#REF!</v>
      </c>
      <c r="AJ17" s="26" t="e">
        <f t="array" ref="AJ17">IF(#REF!=$E$2,TEXT(#REF!,"MM/DD/YYYY"),
IF(#REF!=$E$3,INDEX('Wellness Responses'!$O$2:$O1000,MATCH(#REF!,'Wellness Responses'!$P$2:$P1000,0),"")))</f>
        <v>#REF!</v>
      </c>
    </row>
    <row r="18" spans="1:36" ht="15.75" customHeight="1" x14ac:dyDescent="0.25">
      <c r="A18" s="18">
        <f ca="1">IFERROR(__xludf.DUMMYFUNCTION("""COMPUTED_VALUE"""),44952)</f>
        <v>44952</v>
      </c>
      <c r="C18" s="19"/>
      <c r="D18" s="7"/>
      <c r="H18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18" s="16">
        <v>0.58333333330000003</v>
      </c>
      <c r="J18" s="16">
        <v>0.64705882349999999</v>
      </c>
      <c r="K18" s="16">
        <v>0.70833333330000003</v>
      </c>
      <c r="L18" s="16">
        <v>0.78125</v>
      </c>
      <c r="M18" s="16">
        <v>0.64236111110000005</v>
      </c>
      <c r="N18" s="16">
        <v>0.6875</v>
      </c>
      <c r="O18" s="16">
        <v>0.58455882349999999</v>
      </c>
      <c r="P18" s="16">
        <v>0.59895833330000003</v>
      </c>
      <c r="Q18" s="16">
        <v>0.60416666669999997</v>
      </c>
      <c r="R18" s="16">
        <v>0.75</v>
      </c>
      <c r="S18" s="16">
        <v>0.875</v>
      </c>
      <c r="T18" s="16">
        <v>0.6953125</v>
      </c>
      <c r="U18" s="16">
        <v>0.63888888889999995</v>
      </c>
      <c r="V18" s="16">
        <v>0.58455882349999999</v>
      </c>
      <c r="W18" s="16">
        <v>0.6730769231</v>
      </c>
      <c r="X18" s="16">
        <v>0.6755952381</v>
      </c>
      <c r="Y18" s="16">
        <v>0.66666666669999997</v>
      </c>
      <c r="Z18" s="16">
        <v>0.72916666669999997</v>
      </c>
      <c r="AA18" s="16">
        <v>0.65555555560000001</v>
      </c>
      <c r="AB18" s="16">
        <v>0.69345238099999995</v>
      </c>
      <c r="AC18" s="16">
        <v>0.5865384615</v>
      </c>
      <c r="AD18" s="16">
        <v>0.61458333330000003</v>
      </c>
      <c r="AE18" s="16">
        <v>0.65625</v>
      </c>
      <c r="AF18" s="16">
        <v>0.70138888889999995</v>
      </c>
      <c r="AG18" s="16">
        <v>0.65277777780000001</v>
      </c>
      <c r="AH18" s="16">
        <v>0.66025641030000004</v>
      </c>
      <c r="AI18" s="16">
        <v>0.68589743589999996</v>
      </c>
      <c r="AJ18" s="17">
        <v>0.6328125</v>
      </c>
    </row>
    <row r="19" spans="1:36" ht="15.75" customHeight="1" x14ac:dyDescent="0.25">
      <c r="A19" s="18">
        <f ca="1">IFERROR(__xludf.DUMMYFUNCTION("""COMPUTED_VALUE"""),44953)</f>
        <v>44953</v>
      </c>
      <c r="C19" s="19"/>
      <c r="D19" s="7"/>
      <c r="H19" s="27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19" s="28" t="str">
        <f>IFERROR(
IF(#REF!=$E$2,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IF(AND(#REF!=$E$6,#REF!=$F$15),AVERAGEIFS(#REF!,#REF!,I$17,#REF!,#REF!))))))))))))))),
IF(#REF!=$E$3,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IF(AND(#REF!=$E$6,#REF!=$F$15),AVERAGEIFS(#REF!,#REF!,I$17,#REF!,#REF!))))))))))))))))),"")</f>
        <v/>
      </c>
      <c r="J19" s="28" t="str">
        <f>IFERROR(
IF(#REF!=$E$2,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IF(AND(#REF!=$E$6,#REF!=$F$15),AVERAGEIFS(#REF!,#REF!,J$17,#REF!,#REF!))))))))))))))),
IF(#REF!=$E$3,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IF(AND(#REF!=$E$6,#REF!=$F$15),AVERAGEIFS(#REF!,#REF!,J$17,#REF!,#REF!))))))))))))))))),"")</f>
        <v/>
      </c>
      <c r="K19" s="28" t="str">
        <f>IFERROR(
IF(#REF!=$E$2,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IF(AND(#REF!=$E$6,#REF!=$F$15),AVERAGEIFS(#REF!,#REF!,K$17,#REF!,#REF!))))))))))))))),
IF(#REF!=$E$3,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IF(AND(#REF!=$E$6,#REF!=$F$15),AVERAGEIFS(#REF!,#REF!,K$17,#REF!,#REF!))))))))))))))))),"")</f>
        <v/>
      </c>
      <c r="L19" s="28" t="str">
        <f>IFERROR(
IF(#REF!=$E$2,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IF(AND(#REF!=$E$6,#REF!=$F$15),AVERAGEIFS(#REF!,#REF!,L$17,#REF!,#REF!))))))))))))))),
IF(#REF!=$E$3,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IF(AND(#REF!=$E$6,#REF!=$F$15),AVERAGEIFS(#REF!,#REF!,L$17,#REF!,#REF!))))))))))))))))),"")</f>
        <v/>
      </c>
      <c r="M19" s="28" t="str">
        <f>IFERROR(
IF(#REF!=$E$2,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IF(AND(#REF!=$E$6,#REF!=$F$15),AVERAGEIFS(#REF!,#REF!,M$17,#REF!,#REF!))))))))))))))),
IF(#REF!=$E$3,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IF(AND(#REF!=$E$6,#REF!=$F$15),AVERAGEIFS(#REF!,#REF!,M$17,#REF!,#REF!))))))))))))))))),"")</f>
        <v/>
      </c>
      <c r="N19" s="28" t="str">
        <f>IFERROR(
IF(#REF!=$E$2,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IF(AND(#REF!=$E$6,#REF!=$F$15),AVERAGEIFS(#REF!,#REF!,N$17,#REF!,#REF!))))))))))))))),
IF(#REF!=$E$3,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IF(AND(#REF!=$E$6,#REF!=$F$15),AVERAGEIFS(#REF!,#REF!,N$17,#REF!,#REF!))))))))))))))))),"")</f>
        <v/>
      </c>
      <c r="O19" s="28" t="str">
        <f>IFERROR(
IF(#REF!=$E$2,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IF(AND(#REF!=$E$6,#REF!=$F$15),AVERAGEIFS(#REF!,#REF!,O$17,#REF!,#REF!))))))))))))))),
IF(#REF!=$E$3,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IF(AND(#REF!=$E$6,#REF!=$F$15),AVERAGEIFS(#REF!,#REF!,O$17,#REF!,#REF!))))))))))))))))),"")</f>
        <v/>
      </c>
      <c r="P19" s="28" t="str">
        <f>IFERROR(
IF(#REF!=$E$2,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IF(AND(#REF!=$E$6,#REF!=$F$15),AVERAGEIFS(#REF!,#REF!,P$17,#REF!,#REF!))))))))))))))),
IF(#REF!=$E$3,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IF(AND(#REF!=$E$6,#REF!=$F$15),AVERAGEIFS(#REF!,#REF!,P$17,#REF!,#REF!))))))))))))))))),"")</f>
        <v/>
      </c>
      <c r="Q19" s="28" t="str">
        <f>IFERROR(
IF(#REF!=$E$2,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IF(AND(#REF!=$E$6,#REF!=$F$15),AVERAGEIFS(#REF!,#REF!,Q$17,#REF!,#REF!))))))))))))))),
IF(#REF!=$E$3,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IF(AND(#REF!=$E$6,#REF!=$F$15),AVERAGEIFS(#REF!,#REF!,Q$17,#REF!,#REF!))))))))))))))))),"")</f>
        <v/>
      </c>
      <c r="R19" s="28" t="str">
        <f>IFERROR(
IF(#REF!=$E$2,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IF(AND(#REF!=$E$6,#REF!=$F$15),AVERAGEIFS(#REF!,#REF!,R$17,#REF!,#REF!))))))))))))))),
IF(#REF!=$E$3,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IF(AND(#REF!=$E$6,#REF!=$F$15),AVERAGEIFS(#REF!,#REF!,R$17,#REF!,#REF!))))))))))))))))),"")</f>
        <v/>
      </c>
      <c r="S19" s="28" t="str">
        <f>IFERROR(
IF(#REF!=$E$2,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IF(AND(#REF!=$E$6,#REF!=$F$15),AVERAGEIFS(#REF!,#REF!,S$17,#REF!,#REF!))))))))))))))),
IF(#REF!=$E$3,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IF(AND(#REF!=$E$6,#REF!=$F$15),AVERAGEIFS(#REF!,#REF!,S$17,#REF!,#REF!))))))))))))))))),"")</f>
        <v/>
      </c>
      <c r="T19" s="28" t="str">
        <f>IFERROR(
IF(#REF!=$E$2,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IF(AND(#REF!=$E$6,#REF!=$F$15),AVERAGEIFS(#REF!,#REF!,T$17,#REF!,#REF!))))))))))))))),
IF(#REF!=$E$3,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IF(AND(#REF!=$E$6,#REF!=$F$15),AVERAGEIFS(#REF!,#REF!,T$17,#REF!,#REF!))))))))))))))))),"")</f>
        <v/>
      </c>
      <c r="U19" s="28" t="str">
        <f>IFERROR(
IF(#REF!=$E$2,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IF(AND(#REF!=$E$6,#REF!=$F$15),AVERAGEIFS(#REF!,#REF!,U$17,#REF!,#REF!))))))))))))))),
IF(#REF!=$E$3,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IF(AND(#REF!=$E$6,#REF!=$F$15),AVERAGEIFS(#REF!,#REF!,U$17,#REF!,#REF!))))))))))))))))),"")</f>
        <v/>
      </c>
      <c r="V19" s="28" t="str">
        <f>IFERROR(
IF(#REF!=$E$2,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IF(AND(#REF!=$E$6,#REF!=$F$15),AVERAGEIFS(#REF!,#REF!,V$17,#REF!,#REF!))))))))))))))),
IF(#REF!=$E$3,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IF(AND(#REF!=$E$6,#REF!=$F$15),AVERAGEIFS(#REF!,#REF!,V$17,#REF!,#REF!))))))))))))))))),"")</f>
        <v/>
      </c>
      <c r="W19" s="28" t="str">
        <f>IFERROR(
IF(#REF!=$E$2,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IF(AND(#REF!=$E$6,#REF!=$F$15),AVERAGEIFS(#REF!,#REF!,W$17,#REF!,#REF!))))))))))))))),
IF(#REF!=$E$3,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IF(AND(#REF!=$E$6,#REF!=$F$15),AVERAGEIFS(#REF!,#REF!,W$17,#REF!,#REF!))))))))))))))))),"")</f>
        <v/>
      </c>
      <c r="X19" s="28" t="str">
        <f>IFERROR(
IF(#REF!=$E$2,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IF(AND(#REF!=$E$6,#REF!=$F$15),AVERAGEIFS(#REF!,#REF!,X$17,#REF!,#REF!))))))))))))))),
IF(#REF!=$E$3,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IF(AND(#REF!=$E$6,#REF!=$F$15),AVERAGEIFS(#REF!,#REF!,X$17,#REF!,#REF!))))))))))))))))),"")</f>
        <v/>
      </c>
      <c r="Y19" s="28" t="str">
        <f>IFERROR(
IF(#REF!=$E$2,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IF(AND(#REF!=$E$6,#REF!=$F$15),AVERAGEIFS(#REF!,#REF!,Y$17,#REF!,#REF!))))))))))))))),
IF(#REF!=$E$3,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IF(AND(#REF!=$E$6,#REF!=$F$15),AVERAGEIFS(#REF!,#REF!,Y$17,#REF!,#REF!))))))))))))))))),"")</f>
        <v/>
      </c>
      <c r="Z19" s="28" t="str">
        <f>IFERROR(
IF(#REF!=$E$2,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IF(AND(#REF!=$E$6,#REF!=$F$15),AVERAGEIFS(#REF!,#REF!,Z$17,#REF!,#REF!))))))))))))))),
IF(#REF!=$E$3,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IF(AND(#REF!=$E$6,#REF!=$F$15),AVERAGEIFS(#REF!,#REF!,Z$17,#REF!,#REF!))))))))))))))))),"")</f>
        <v/>
      </c>
      <c r="AA19" s="28" t="str">
        <f>IFERROR(
IF(#REF!=$E$2,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IF(AND(#REF!=$E$6,#REF!=$F$15),AVERAGEIFS(#REF!,#REF!,AA$17,#REF!,#REF!))))))))))))))),
IF(#REF!=$E$3,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IF(AND(#REF!=$E$6,#REF!=$F$15),AVERAGEIFS(#REF!,#REF!,AA$17,#REF!,#REF!))))))))))))))))),"")</f>
        <v/>
      </c>
      <c r="AB19" s="28" t="str">
        <f>IFERROR(
IF(#REF!=$E$2,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IF(AND(#REF!=$E$6,#REF!=$F$15),AVERAGEIFS(#REF!,#REF!,AB$17,#REF!,#REF!))))))))))))))),
IF(#REF!=$E$3,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IF(AND(#REF!=$E$6,#REF!=$F$15),AVERAGEIFS(#REF!,#REF!,AB$17,#REF!,#REF!))))))))))))))))),"")</f>
        <v/>
      </c>
      <c r="AC19" s="28" t="str">
        <f>IFERROR(
IF(#REF!=$E$2,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IF(AND(#REF!=$E$6,#REF!=$F$15),AVERAGEIFS(#REF!,#REF!,AC$17,#REF!,#REF!))))))))))))))),
IF(#REF!=$E$3,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IF(AND(#REF!=$E$6,#REF!=$F$15),AVERAGEIFS(#REF!,#REF!,AC$17,#REF!,#REF!))))))))))))))))),"")</f>
        <v/>
      </c>
      <c r="AD19" s="28" t="str">
        <f>IFERROR(
IF(#REF!=$E$2,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IF(AND(#REF!=$E$6,#REF!=$F$15),AVERAGEIFS(#REF!,#REF!,AD$17,#REF!,#REF!))))))))))))))),
IF(#REF!=$E$3,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IF(AND(#REF!=$E$6,#REF!=$F$15),AVERAGEIFS(#REF!,#REF!,AD$17,#REF!,#REF!))))))))))))))))),"")</f>
        <v/>
      </c>
      <c r="AE19" s="28" t="str">
        <f>IFERROR(
IF(#REF!=$E$2,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IF(AND(#REF!=$E$6,#REF!=$F$15),AVERAGEIFS(#REF!,#REF!,AE$17,#REF!,#REF!))))))))))))))),
IF(#REF!=$E$3,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IF(AND(#REF!=$E$6,#REF!=$F$15),AVERAGEIFS(#REF!,#REF!,AE$17,#REF!,#REF!))))))))))))))))),"")</f>
        <v/>
      </c>
      <c r="AF19" s="28" t="str">
        <f>IFERROR(
IF(#REF!=$E$2,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IF(AND(#REF!=$E$6,#REF!=$F$15),AVERAGEIFS(#REF!,#REF!,AF$17,#REF!,#REF!))))))))))))))),
IF(#REF!=$E$3,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IF(AND(#REF!=$E$6,#REF!=$F$15),AVERAGEIFS(#REF!,#REF!,AF$17,#REF!,#REF!))))))))))))))))),"")</f>
        <v/>
      </c>
      <c r="AG19" s="28" t="str">
        <f>IFERROR(
IF(#REF!=$E$2,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IF(AND(#REF!=$E$6,#REF!=$F$15),AVERAGEIFS(#REF!,#REF!,AG$17,#REF!,#REF!))))))))))))))),
IF(#REF!=$E$3,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IF(AND(#REF!=$E$6,#REF!=$F$15),AVERAGEIFS(#REF!,#REF!,AG$17,#REF!,#REF!))))))))))))))))),"")</f>
        <v/>
      </c>
      <c r="AH19" s="28" t="str">
        <f>IFERROR(
IF(#REF!=$E$2,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IF(AND(#REF!=$E$6,#REF!=$F$15),AVERAGEIFS(#REF!,#REF!,AH$17,#REF!,#REF!))))))))))))))),
IF(#REF!=$E$3,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IF(AND(#REF!=$E$6,#REF!=$F$15),AVERAGEIFS(#REF!,#REF!,AH$17,#REF!,#REF!))))))))))))))))),"")</f>
        <v/>
      </c>
      <c r="AI19" s="16" t="str">
        <f>IFERROR(
IF(#REF!=$E$2,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IF(AND(#REF!=$E$6,#REF!=$F$15),AVERAGEIFS(#REF!,#REF!,AI$17,#REF!,#REF!))))))))))))))),
IF(#REF!=$E$3,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IF(AND(#REF!=$E$6,#REF!=$F$15),AVERAGEIFS(#REF!,#REF!,AI$17,#REF!,#REF!))))))))))))))))),"")</f>
        <v/>
      </c>
      <c r="AJ19" s="17">
        <f>IFERROR(
IF(#REF!=$E$2,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IF(AND(#REF!=$E$6,#REF!=$F$15),AVERAGEIFS(#REF!,#REF!,AJ$17,#REF!,#REF!))))))))))))))),
IF(#REF!=$E$3,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IF(AND(#REF!=$E$6,#REF!=$F$15),AVERAGEIFS(#REF!,#REF!,AJ$17,#REF!,#REF!))))))))))))))))),0)</f>
        <v>0</v>
      </c>
    </row>
    <row r="20" spans="1:36" ht="15.75" customHeight="1" x14ac:dyDescent="0.25">
      <c r="A20" s="18">
        <f ca="1">IFERROR(__xludf.DUMMYFUNCTION("""COMPUTED_VALUE"""),44954)</f>
        <v>44954</v>
      </c>
      <c r="C20" s="19"/>
      <c r="D20" s="7"/>
      <c r="H20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20" s="16">
        <v>7.25</v>
      </c>
      <c r="J20" s="16">
        <v>7.2352941179999997</v>
      </c>
      <c r="K20" s="16">
        <v>8.6666666669999994</v>
      </c>
      <c r="L20" s="16">
        <v>8</v>
      </c>
      <c r="M20" s="16">
        <v>7.0555555559999998</v>
      </c>
      <c r="N20" s="16">
        <v>7.230769231</v>
      </c>
      <c r="O20" s="16">
        <v>7.1176470590000003</v>
      </c>
      <c r="P20" s="16">
        <v>6.3333333329999997</v>
      </c>
      <c r="Q20" s="16">
        <v>8</v>
      </c>
      <c r="R20" s="16">
        <v>8.5</v>
      </c>
      <c r="S20" s="16">
        <v>8</v>
      </c>
      <c r="T20" s="16">
        <v>7.75</v>
      </c>
      <c r="U20" s="16">
        <v>6.5555555559999998</v>
      </c>
      <c r="V20" s="16">
        <v>7</v>
      </c>
      <c r="W20" s="16">
        <v>7.153846154</v>
      </c>
      <c r="X20" s="16">
        <v>8.3571428569999995</v>
      </c>
      <c r="Y20" s="16">
        <v>8.6666666669999994</v>
      </c>
      <c r="Z20" s="16">
        <v>8.5</v>
      </c>
      <c r="AA20" s="16">
        <v>7.8666666669999996</v>
      </c>
      <c r="AB20" s="16">
        <v>7.2857142860000002</v>
      </c>
      <c r="AC20" s="16">
        <v>7.076923077</v>
      </c>
      <c r="AD20" s="16">
        <v>7.25</v>
      </c>
      <c r="AE20" s="16">
        <v>7.75</v>
      </c>
      <c r="AF20" s="16">
        <v>8.5</v>
      </c>
      <c r="AG20" s="16">
        <v>6.6666666670000003</v>
      </c>
      <c r="AH20" s="16">
        <v>6.692307692</v>
      </c>
      <c r="AI20" s="16">
        <v>7.846153846</v>
      </c>
      <c r="AJ20" s="17">
        <v>7.1875</v>
      </c>
    </row>
    <row r="21" spans="1:36" ht="15.75" customHeight="1" x14ac:dyDescent="0.25">
      <c r="A21" s="18">
        <f ca="1">IFERROR(__xludf.DUMMYFUNCTION("""COMPUTED_VALUE"""),44955)</f>
        <v>44955</v>
      </c>
      <c r="C21" s="19"/>
      <c r="D21" s="7"/>
      <c r="H21" s="29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21" s="30" t="str">
        <f>IFERROR(
IF(#REF!=$E$2,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IF(AND(#REF!=$E$6,#REF!=$F$15),AVERAGEIFS(#REF!,#REF!,I$17,#REF!,#REF!))))))))))))))),
IF(#REF!=$E$3,
(IF(OR(#REF!=$F$2,#REF!=$F$3,#REF!=$F$4,#REF!=$F$5,#REF!=$F$6,#REF!=$F$7,#REF!=$F$8,#REF!=$F$9,#REF!=$F$10,#REF!=$F$11),"",
IF(AND(#REF!="Team",#REF!=$F$12),AVERAGEIFS(#REF!,#REF!,I$17),
IF(AND(#REF!=$E$5,#REF!=$F$12),AVERAGEIFS(#REF!,#REF!,I$17,#REF!,#REF!),
IF(AND(#REF!=$E$6,#REF!=$F$12),AVERAGEIFS(#REF!,#REF!,I$17,#REF!,#REF!),
IF(AND(#REF!="Team",#REF!=$F$13),AVERAGEIFS(#REF!,#REF!,I$17),
IF(AND(#REF!=$E$5,#REF!=$F$13),AVERAGEIFS(#REF!,#REF!,I$17,#REF!,#REF!),
IF(AND(#REF!=$E$6,#REF!=$F$13),AVERAGEIFS(#REF!,#REF!,I$17,#REF!,#REF!),
IF(AND(#REF!="Team",#REF!=$F$14),AVERAGEIFS(#REF!,#REF!,I$17),
IF(AND(#REF!=$E$5,#REF!=$F$14),AVERAGEIFS(#REF!,#REF!,I$17,#REF!,#REF!),
IF(AND(#REF!=$E$6,#REF!=$F$14),AVERAGEIFS(#REF!,#REF!,I$17,#REF!,#REF!),
IF(AND(#REF!="Team",#REF!=$F$15),AVERAGEIFS(#REF!,#REF!,I$17),
IF(AND(#REF!=$E$5,#REF!=$F$15),AVERAGEIFS(#REF!,#REF!,I$17,#REF!,#REF!),
IF(AND(#REF!=$E$6,#REF!=$F$15),AVERAGEIFS(#REF!,#REF!,I$17,#REF!,#REF!))))))))))))))))),"")</f>
        <v/>
      </c>
      <c r="J21" s="30" t="str">
        <f>IFERROR(
IF(#REF!=$E$2,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IF(AND(#REF!=$E$6,#REF!=$F$15),AVERAGEIFS(#REF!,#REF!,J$17,#REF!,#REF!))))))))))))))),
IF(#REF!=$E$3,
(IF(OR(#REF!=$F$2,#REF!=$F$3,#REF!=$F$4,#REF!=$F$5,#REF!=$F$6,#REF!=$F$7,#REF!=$F$8,#REF!=$F$9,#REF!=$F$10,#REF!=$F$11),"",
IF(AND(#REF!="Team",#REF!=$F$12),AVERAGEIFS(#REF!,#REF!,J$17),
IF(AND(#REF!=$E$5,#REF!=$F$12),AVERAGEIFS(#REF!,#REF!,J$17,#REF!,#REF!),
IF(AND(#REF!=$E$6,#REF!=$F$12),AVERAGEIFS(#REF!,#REF!,J$17,#REF!,#REF!),
IF(AND(#REF!="Team",#REF!=$F$13),AVERAGEIFS(#REF!,#REF!,J$17),
IF(AND(#REF!=$E$5,#REF!=$F$13),AVERAGEIFS(#REF!,#REF!,J$17,#REF!,#REF!),
IF(AND(#REF!=$E$6,#REF!=$F$13),AVERAGEIFS(#REF!,#REF!,J$17,#REF!,#REF!),
IF(AND(#REF!="Team",#REF!=$F$14),AVERAGEIFS(#REF!,#REF!,J$17),
IF(AND(#REF!=$E$5,#REF!=$F$14),AVERAGEIFS(#REF!,#REF!,J$17,#REF!,#REF!),
IF(AND(#REF!=$E$6,#REF!=$F$14),AVERAGEIFS(#REF!,#REF!,J$17,#REF!,#REF!),
IF(AND(#REF!="Team",#REF!=$F$15),AVERAGEIFS(#REF!,#REF!,J$17),
IF(AND(#REF!=$E$5,#REF!=$F$15),AVERAGEIFS(#REF!,#REF!,J$17,#REF!,#REF!),
IF(AND(#REF!=$E$6,#REF!=$F$15),AVERAGEIFS(#REF!,#REF!,J$17,#REF!,#REF!))))))))))))))))),"")</f>
        <v/>
      </c>
      <c r="K21" s="30" t="str">
        <f>IFERROR(
IF(#REF!=$E$2,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IF(AND(#REF!=$E$6,#REF!=$F$15),AVERAGEIFS(#REF!,#REF!,K$17,#REF!,#REF!))))))))))))))),
IF(#REF!=$E$3,
(IF(OR(#REF!=$F$2,#REF!=$F$3,#REF!=$F$4,#REF!=$F$5,#REF!=$F$6,#REF!=$F$7,#REF!=$F$8,#REF!=$F$9,#REF!=$F$10,#REF!=$F$11),"",
IF(AND(#REF!="Team",#REF!=$F$12),AVERAGEIFS(#REF!,#REF!,K$17),
IF(AND(#REF!=$E$5,#REF!=$F$12),AVERAGEIFS(#REF!,#REF!,K$17,#REF!,#REF!),
IF(AND(#REF!=$E$6,#REF!=$F$12),AVERAGEIFS(#REF!,#REF!,K$17,#REF!,#REF!),
IF(AND(#REF!="Team",#REF!=$F$13),AVERAGEIFS(#REF!,#REF!,K$17),
IF(AND(#REF!=$E$5,#REF!=$F$13),AVERAGEIFS(#REF!,#REF!,K$17,#REF!,#REF!),
IF(AND(#REF!=$E$6,#REF!=$F$13),AVERAGEIFS(#REF!,#REF!,K$17,#REF!,#REF!),
IF(AND(#REF!="Team",#REF!=$F$14),AVERAGEIFS(#REF!,#REF!,K$17),
IF(AND(#REF!=$E$5,#REF!=$F$14),AVERAGEIFS(#REF!,#REF!,K$17,#REF!,#REF!),
IF(AND(#REF!=$E$6,#REF!=$F$14),AVERAGEIFS(#REF!,#REF!,K$17,#REF!,#REF!),
IF(AND(#REF!="Team",#REF!=$F$15),AVERAGEIFS(#REF!,#REF!,K$17),
IF(AND(#REF!=$E$5,#REF!=$F$15),AVERAGEIFS(#REF!,#REF!,K$17,#REF!,#REF!),
IF(AND(#REF!=$E$6,#REF!=$F$15),AVERAGEIFS(#REF!,#REF!,K$17,#REF!,#REF!))))))))))))))))),"")</f>
        <v/>
      </c>
      <c r="L21" s="30" t="str">
        <f>IFERROR(
IF(#REF!=$E$2,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IF(AND(#REF!=$E$6,#REF!=$F$15),AVERAGEIFS(#REF!,#REF!,L$17,#REF!,#REF!))))))))))))))),
IF(#REF!=$E$3,
(IF(OR(#REF!=$F$2,#REF!=$F$3,#REF!=$F$4,#REF!=$F$5,#REF!=$F$6,#REF!=$F$7,#REF!=$F$8,#REF!=$F$9,#REF!=$F$10,#REF!=$F$11),"",
IF(AND(#REF!="Team",#REF!=$F$12),AVERAGEIFS(#REF!,#REF!,L$17),
IF(AND(#REF!=$E$5,#REF!=$F$12),AVERAGEIFS(#REF!,#REF!,L$17,#REF!,#REF!),
IF(AND(#REF!=$E$6,#REF!=$F$12),AVERAGEIFS(#REF!,#REF!,L$17,#REF!,#REF!),
IF(AND(#REF!="Team",#REF!=$F$13),AVERAGEIFS(#REF!,#REF!,L$17),
IF(AND(#REF!=$E$5,#REF!=$F$13),AVERAGEIFS(#REF!,#REF!,L$17,#REF!,#REF!),
IF(AND(#REF!=$E$6,#REF!=$F$13),AVERAGEIFS(#REF!,#REF!,L$17,#REF!,#REF!),
IF(AND(#REF!="Team",#REF!=$F$14),AVERAGEIFS(#REF!,#REF!,L$17),
IF(AND(#REF!=$E$5,#REF!=$F$14),AVERAGEIFS(#REF!,#REF!,L$17,#REF!,#REF!),
IF(AND(#REF!=$E$6,#REF!=$F$14),AVERAGEIFS(#REF!,#REF!,L$17,#REF!,#REF!),
IF(AND(#REF!="Team",#REF!=$F$15),AVERAGEIFS(#REF!,#REF!,L$17),
IF(AND(#REF!=$E$5,#REF!=$F$15),AVERAGEIFS(#REF!,#REF!,L$17,#REF!,#REF!),
IF(AND(#REF!=$E$6,#REF!=$F$15),AVERAGEIFS(#REF!,#REF!,L$17,#REF!,#REF!))))))))))))))))),"")</f>
        <v/>
      </c>
      <c r="M21" s="30" t="str">
        <f>IFERROR(
IF(#REF!=$E$2,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IF(AND(#REF!=$E$6,#REF!=$F$15),AVERAGEIFS(#REF!,#REF!,M$17,#REF!,#REF!))))))))))))))),
IF(#REF!=$E$3,
(IF(OR(#REF!=$F$2,#REF!=$F$3,#REF!=$F$4,#REF!=$F$5,#REF!=$F$6,#REF!=$F$7,#REF!=$F$8,#REF!=$F$9,#REF!=$F$10,#REF!=$F$11),"",
IF(AND(#REF!="Team",#REF!=$F$12),AVERAGEIFS(#REF!,#REF!,M$17),
IF(AND(#REF!=$E$5,#REF!=$F$12),AVERAGEIFS(#REF!,#REF!,M$17,#REF!,#REF!),
IF(AND(#REF!=$E$6,#REF!=$F$12),AVERAGEIFS(#REF!,#REF!,M$17,#REF!,#REF!),
IF(AND(#REF!="Team",#REF!=$F$13),AVERAGEIFS(#REF!,#REF!,M$17),
IF(AND(#REF!=$E$5,#REF!=$F$13),AVERAGEIFS(#REF!,#REF!,M$17,#REF!,#REF!),
IF(AND(#REF!=$E$6,#REF!=$F$13),AVERAGEIFS(#REF!,#REF!,M$17,#REF!,#REF!),
IF(AND(#REF!="Team",#REF!=$F$14),AVERAGEIFS(#REF!,#REF!,M$17),
IF(AND(#REF!=$E$5,#REF!=$F$14),AVERAGEIFS(#REF!,#REF!,M$17,#REF!,#REF!),
IF(AND(#REF!=$E$6,#REF!=$F$14),AVERAGEIFS(#REF!,#REF!,M$17,#REF!,#REF!),
IF(AND(#REF!="Team",#REF!=$F$15),AVERAGEIFS(#REF!,#REF!,M$17),
IF(AND(#REF!=$E$5,#REF!=$F$15),AVERAGEIFS(#REF!,#REF!,M$17,#REF!,#REF!),
IF(AND(#REF!=$E$6,#REF!=$F$15),AVERAGEIFS(#REF!,#REF!,M$17,#REF!,#REF!))))))))))))))))),"")</f>
        <v/>
      </c>
      <c r="N21" s="30" t="str">
        <f>IFERROR(
IF(#REF!=$E$2,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IF(AND(#REF!=$E$6,#REF!=$F$15),AVERAGEIFS(#REF!,#REF!,N$17,#REF!,#REF!))))))))))))))),
IF(#REF!=$E$3,
(IF(OR(#REF!=$F$2,#REF!=$F$3,#REF!=$F$4,#REF!=$F$5,#REF!=$F$6,#REF!=$F$7,#REF!=$F$8,#REF!=$F$9,#REF!=$F$10,#REF!=$F$11),"",
IF(AND(#REF!="Team",#REF!=$F$12),AVERAGEIFS(#REF!,#REF!,N$17),
IF(AND(#REF!=$E$5,#REF!=$F$12),AVERAGEIFS(#REF!,#REF!,N$17,#REF!,#REF!),
IF(AND(#REF!=$E$6,#REF!=$F$12),AVERAGEIFS(#REF!,#REF!,N$17,#REF!,#REF!),
IF(AND(#REF!="Team",#REF!=$F$13),AVERAGEIFS(#REF!,#REF!,N$17),
IF(AND(#REF!=$E$5,#REF!=$F$13),AVERAGEIFS(#REF!,#REF!,N$17,#REF!,#REF!),
IF(AND(#REF!=$E$6,#REF!=$F$13),AVERAGEIFS(#REF!,#REF!,N$17,#REF!,#REF!),
IF(AND(#REF!="Team",#REF!=$F$14),AVERAGEIFS(#REF!,#REF!,N$17),
IF(AND(#REF!=$E$5,#REF!=$F$14),AVERAGEIFS(#REF!,#REF!,N$17,#REF!,#REF!),
IF(AND(#REF!=$E$6,#REF!=$F$14),AVERAGEIFS(#REF!,#REF!,N$17,#REF!,#REF!),
IF(AND(#REF!="Team",#REF!=$F$15),AVERAGEIFS(#REF!,#REF!,N$17),
IF(AND(#REF!=$E$5,#REF!=$F$15),AVERAGEIFS(#REF!,#REF!,N$17,#REF!,#REF!),
IF(AND(#REF!=$E$6,#REF!=$F$15),AVERAGEIFS(#REF!,#REF!,N$17,#REF!,#REF!))))))))))))))))),"")</f>
        <v/>
      </c>
      <c r="O21" s="30" t="str">
        <f>IFERROR(
IF(#REF!=$E$2,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IF(AND(#REF!=$E$6,#REF!=$F$15),AVERAGEIFS(#REF!,#REF!,O$17,#REF!,#REF!))))))))))))))),
IF(#REF!=$E$3,
(IF(OR(#REF!=$F$2,#REF!=$F$3,#REF!=$F$4,#REF!=$F$5,#REF!=$F$6,#REF!=$F$7,#REF!=$F$8,#REF!=$F$9,#REF!=$F$10,#REF!=$F$11),"",
IF(AND(#REF!="Team",#REF!=$F$12),AVERAGEIFS(#REF!,#REF!,O$17),
IF(AND(#REF!=$E$5,#REF!=$F$12),AVERAGEIFS(#REF!,#REF!,O$17,#REF!,#REF!),
IF(AND(#REF!=$E$6,#REF!=$F$12),AVERAGEIFS(#REF!,#REF!,O$17,#REF!,#REF!),
IF(AND(#REF!="Team",#REF!=$F$13),AVERAGEIFS(#REF!,#REF!,O$17),
IF(AND(#REF!=$E$5,#REF!=$F$13),AVERAGEIFS(#REF!,#REF!,O$17,#REF!,#REF!),
IF(AND(#REF!=$E$6,#REF!=$F$13),AVERAGEIFS(#REF!,#REF!,O$17,#REF!,#REF!),
IF(AND(#REF!="Team",#REF!=$F$14),AVERAGEIFS(#REF!,#REF!,O$17),
IF(AND(#REF!=$E$5,#REF!=$F$14),AVERAGEIFS(#REF!,#REF!,O$17,#REF!,#REF!),
IF(AND(#REF!=$E$6,#REF!=$F$14),AVERAGEIFS(#REF!,#REF!,O$17,#REF!,#REF!),
IF(AND(#REF!="Team",#REF!=$F$15),AVERAGEIFS(#REF!,#REF!,O$17),
IF(AND(#REF!=$E$5,#REF!=$F$15),AVERAGEIFS(#REF!,#REF!,O$17,#REF!,#REF!),
IF(AND(#REF!=$E$6,#REF!=$F$15),AVERAGEIFS(#REF!,#REF!,O$17,#REF!,#REF!))))))))))))))))),"")</f>
        <v/>
      </c>
      <c r="P21" s="30" t="str">
        <f>IFERROR(
IF(#REF!=$E$2,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IF(AND(#REF!=$E$6,#REF!=$F$15),AVERAGEIFS(#REF!,#REF!,P$17,#REF!,#REF!))))))))))))))),
IF(#REF!=$E$3,
(IF(OR(#REF!=$F$2,#REF!=$F$3,#REF!=$F$4,#REF!=$F$5,#REF!=$F$6,#REF!=$F$7,#REF!=$F$8,#REF!=$F$9,#REF!=$F$10,#REF!=$F$11),"",
IF(AND(#REF!="Team",#REF!=$F$12),AVERAGEIFS(#REF!,#REF!,P$17),
IF(AND(#REF!=$E$5,#REF!=$F$12),AVERAGEIFS(#REF!,#REF!,P$17,#REF!,#REF!),
IF(AND(#REF!=$E$6,#REF!=$F$12),AVERAGEIFS(#REF!,#REF!,P$17,#REF!,#REF!),
IF(AND(#REF!="Team",#REF!=$F$13),AVERAGEIFS(#REF!,#REF!,P$17),
IF(AND(#REF!=$E$5,#REF!=$F$13),AVERAGEIFS(#REF!,#REF!,P$17,#REF!,#REF!),
IF(AND(#REF!=$E$6,#REF!=$F$13),AVERAGEIFS(#REF!,#REF!,P$17,#REF!,#REF!),
IF(AND(#REF!="Team",#REF!=$F$14),AVERAGEIFS(#REF!,#REF!,P$17),
IF(AND(#REF!=$E$5,#REF!=$F$14),AVERAGEIFS(#REF!,#REF!,P$17,#REF!,#REF!),
IF(AND(#REF!=$E$6,#REF!=$F$14),AVERAGEIFS(#REF!,#REF!,P$17,#REF!,#REF!),
IF(AND(#REF!="Team",#REF!=$F$15),AVERAGEIFS(#REF!,#REF!,P$17),
IF(AND(#REF!=$E$5,#REF!=$F$15),AVERAGEIFS(#REF!,#REF!,P$17,#REF!,#REF!),
IF(AND(#REF!=$E$6,#REF!=$F$15),AVERAGEIFS(#REF!,#REF!,P$17,#REF!,#REF!))))))))))))))))),"")</f>
        <v/>
      </c>
      <c r="Q21" s="30" t="str">
        <f>IFERROR(
IF(#REF!=$E$2,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IF(AND(#REF!=$E$6,#REF!=$F$15),AVERAGEIFS(#REF!,#REF!,Q$17,#REF!,#REF!))))))))))))))),
IF(#REF!=$E$3,
(IF(OR(#REF!=$F$2,#REF!=$F$3,#REF!=$F$4,#REF!=$F$5,#REF!=$F$6,#REF!=$F$7,#REF!=$F$8,#REF!=$F$9,#REF!=$F$10,#REF!=$F$11),"",
IF(AND(#REF!="Team",#REF!=$F$12),AVERAGEIFS(#REF!,#REF!,Q$17),
IF(AND(#REF!=$E$5,#REF!=$F$12),AVERAGEIFS(#REF!,#REF!,Q$17,#REF!,#REF!),
IF(AND(#REF!=$E$6,#REF!=$F$12),AVERAGEIFS(#REF!,#REF!,Q$17,#REF!,#REF!),
IF(AND(#REF!="Team",#REF!=$F$13),AVERAGEIFS(#REF!,#REF!,Q$17),
IF(AND(#REF!=$E$5,#REF!=$F$13),AVERAGEIFS(#REF!,#REF!,Q$17,#REF!,#REF!),
IF(AND(#REF!=$E$6,#REF!=$F$13),AVERAGEIFS(#REF!,#REF!,Q$17,#REF!,#REF!),
IF(AND(#REF!="Team",#REF!=$F$14),AVERAGEIFS(#REF!,#REF!,Q$17),
IF(AND(#REF!=$E$5,#REF!=$F$14),AVERAGEIFS(#REF!,#REF!,Q$17,#REF!,#REF!),
IF(AND(#REF!=$E$6,#REF!=$F$14),AVERAGEIFS(#REF!,#REF!,Q$17,#REF!,#REF!),
IF(AND(#REF!="Team",#REF!=$F$15),AVERAGEIFS(#REF!,#REF!,Q$17),
IF(AND(#REF!=$E$5,#REF!=$F$15),AVERAGEIFS(#REF!,#REF!,Q$17,#REF!,#REF!),
IF(AND(#REF!=$E$6,#REF!=$F$15),AVERAGEIFS(#REF!,#REF!,Q$17,#REF!,#REF!))))))))))))))))),"")</f>
        <v/>
      </c>
      <c r="R21" s="30" t="str">
        <f>IFERROR(
IF(#REF!=$E$2,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IF(AND(#REF!=$E$6,#REF!=$F$15),AVERAGEIFS(#REF!,#REF!,R$17,#REF!,#REF!))))))))))))))),
IF(#REF!=$E$3,
(IF(OR(#REF!=$F$2,#REF!=$F$3,#REF!=$F$4,#REF!=$F$5,#REF!=$F$6,#REF!=$F$7,#REF!=$F$8,#REF!=$F$9,#REF!=$F$10,#REF!=$F$11),"",
IF(AND(#REF!="Team",#REF!=$F$12),AVERAGEIFS(#REF!,#REF!,R$17),
IF(AND(#REF!=$E$5,#REF!=$F$12),AVERAGEIFS(#REF!,#REF!,R$17,#REF!,#REF!),
IF(AND(#REF!=$E$6,#REF!=$F$12),AVERAGEIFS(#REF!,#REF!,R$17,#REF!,#REF!),
IF(AND(#REF!="Team",#REF!=$F$13),AVERAGEIFS(#REF!,#REF!,R$17),
IF(AND(#REF!=$E$5,#REF!=$F$13),AVERAGEIFS(#REF!,#REF!,R$17,#REF!,#REF!),
IF(AND(#REF!=$E$6,#REF!=$F$13),AVERAGEIFS(#REF!,#REF!,R$17,#REF!,#REF!),
IF(AND(#REF!="Team",#REF!=$F$14),AVERAGEIFS(#REF!,#REF!,R$17),
IF(AND(#REF!=$E$5,#REF!=$F$14),AVERAGEIFS(#REF!,#REF!,R$17,#REF!,#REF!),
IF(AND(#REF!=$E$6,#REF!=$F$14),AVERAGEIFS(#REF!,#REF!,R$17,#REF!,#REF!),
IF(AND(#REF!="Team",#REF!=$F$15),AVERAGEIFS(#REF!,#REF!,R$17),
IF(AND(#REF!=$E$5,#REF!=$F$15),AVERAGEIFS(#REF!,#REF!,R$17,#REF!,#REF!),
IF(AND(#REF!=$E$6,#REF!=$F$15),AVERAGEIFS(#REF!,#REF!,R$17,#REF!,#REF!))))))))))))))))),"")</f>
        <v/>
      </c>
      <c r="S21" s="30" t="str">
        <f>IFERROR(
IF(#REF!=$E$2,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IF(AND(#REF!=$E$6,#REF!=$F$15),AVERAGEIFS(#REF!,#REF!,S$17,#REF!,#REF!))))))))))))))),
IF(#REF!=$E$3,
(IF(OR(#REF!=$F$2,#REF!=$F$3,#REF!=$F$4,#REF!=$F$5,#REF!=$F$6,#REF!=$F$7,#REF!=$F$8,#REF!=$F$9,#REF!=$F$10,#REF!=$F$11),"",
IF(AND(#REF!="Team",#REF!=$F$12),AVERAGEIFS(#REF!,#REF!,S$17),
IF(AND(#REF!=$E$5,#REF!=$F$12),AVERAGEIFS(#REF!,#REF!,S$17,#REF!,#REF!),
IF(AND(#REF!=$E$6,#REF!=$F$12),AVERAGEIFS(#REF!,#REF!,S$17,#REF!,#REF!),
IF(AND(#REF!="Team",#REF!=$F$13),AVERAGEIFS(#REF!,#REF!,S$17),
IF(AND(#REF!=$E$5,#REF!=$F$13),AVERAGEIFS(#REF!,#REF!,S$17,#REF!,#REF!),
IF(AND(#REF!=$E$6,#REF!=$F$13),AVERAGEIFS(#REF!,#REF!,S$17,#REF!,#REF!),
IF(AND(#REF!="Team",#REF!=$F$14),AVERAGEIFS(#REF!,#REF!,S$17),
IF(AND(#REF!=$E$5,#REF!=$F$14),AVERAGEIFS(#REF!,#REF!,S$17,#REF!,#REF!),
IF(AND(#REF!=$E$6,#REF!=$F$14),AVERAGEIFS(#REF!,#REF!,S$17,#REF!,#REF!),
IF(AND(#REF!="Team",#REF!=$F$15),AVERAGEIFS(#REF!,#REF!,S$17),
IF(AND(#REF!=$E$5,#REF!=$F$15),AVERAGEIFS(#REF!,#REF!,S$17,#REF!,#REF!),
IF(AND(#REF!=$E$6,#REF!=$F$15),AVERAGEIFS(#REF!,#REF!,S$17,#REF!,#REF!))))))))))))))))),"")</f>
        <v/>
      </c>
      <c r="T21" s="30" t="str">
        <f>IFERROR(
IF(#REF!=$E$2,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IF(AND(#REF!=$E$6,#REF!=$F$15),AVERAGEIFS(#REF!,#REF!,T$17,#REF!,#REF!))))))))))))))),
IF(#REF!=$E$3,
(IF(OR(#REF!=$F$2,#REF!=$F$3,#REF!=$F$4,#REF!=$F$5,#REF!=$F$6,#REF!=$F$7,#REF!=$F$8,#REF!=$F$9,#REF!=$F$10,#REF!=$F$11),"",
IF(AND(#REF!="Team",#REF!=$F$12),AVERAGEIFS(#REF!,#REF!,T$17),
IF(AND(#REF!=$E$5,#REF!=$F$12),AVERAGEIFS(#REF!,#REF!,T$17,#REF!,#REF!),
IF(AND(#REF!=$E$6,#REF!=$F$12),AVERAGEIFS(#REF!,#REF!,T$17,#REF!,#REF!),
IF(AND(#REF!="Team",#REF!=$F$13),AVERAGEIFS(#REF!,#REF!,T$17),
IF(AND(#REF!=$E$5,#REF!=$F$13),AVERAGEIFS(#REF!,#REF!,T$17,#REF!,#REF!),
IF(AND(#REF!=$E$6,#REF!=$F$13),AVERAGEIFS(#REF!,#REF!,T$17,#REF!,#REF!),
IF(AND(#REF!="Team",#REF!=$F$14),AVERAGEIFS(#REF!,#REF!,T$17),
IF(AND(#REF!=$E$5,#REF!=$F$14),AVERAGEIFS(#REF!,#REF!,T$17,#REF!,#REF!),
IF(AND(#REF!=$E$6,#REF!=$F$14),AVERAGEIFS(#REF!,#REF!,T$17,#REF!,#REF!),
IF(AND(#REF!="Team",#REF!=$F$15),AVERAGEIFS(#REF!,#REF!,T$17),
IF(AND(#REF!=$E$5,#REF!=$F$15),AVERAGEIFS(#REF!,#REF!,T$17,#REF!,#REF!),
IF(AND(#REF!=$E$6,#REF!=$F$15),AVERAGEIFS(#REF!,#REF!,T$17,#REF!,#REF!))))))))))))))))),"")</f>
        <v/>
      </c>
      <c r="U21" s="30" t="str">
        <f>IFERROR(
IF(#REF!=$E$2,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IF(AND(#REF!=$E$6,#REF!=$F$15),AVERAGEIFS(#REF!,#REF!,U$17,#REF!,#REF!))))))))))))))),
IF(#REF!=$E$3,
(IF(OR(#REF!=$F$2,#REF!=$F$3,#REF!=$F$4,#REF!=$F$5,#REF!=$F$6,#REF!=$F$7,#REF!=$F$8,#REF!=$F$9,#REF!=$F$10,#REF!=$F$11),"",
IF(AND(#REF!="Team",#REF!=$F$12),AVERAGEIFS(#REF!,#REF!,U$17),
IF(AND(#REF!=$E$5,#REF!=$F$12),AVERAGEIFS(#REF!,#REF!,U$17,#REF!,#REF!),
IF(AND(#REF!=$E$6,#REF!=$F$12),AVERAGEIFS(#REF!,#REF!,U$17,#REF!,#REF!),
IF(AND(#REF!="Team",#REF!=$F$13),AVERAGEIFS(#REF!,#REF!,U$17),
IF(AND(#REF!=$E$5,#REF!=$F$13),AVERAGEIFS(#REF!,#REF!,U$17,#REF!,#REF!),
IF(AND(#REF!=$E$6,#REF!=$F$13),AVERAGEIFS(#REF!,#REF!,U$17,#REF!,#REF!),
IF(AND(#REF!="Team",#REF!=$F$14),AVERAGEIFS(#REF!,#REF!,U$17),
IF(AND(#REF!=$E$5,#REF!=$F$14),AVERAGEIFS(#REF!,#REF!,U$17,#REF!,#REF!),
IF(AND(#REF!=$E$6,#REF!=$F$14),AVERAGEIFS(#REF!,#REF!,U$17,#REF!,#REF!),
IF(AND(#REF!="Team",#REF!=$F$15),AVERAGEIFS(#REF!,#REF!,U$17),
IF(AND(#REF!=$E$5,#REF!=$F$15),AVERAGEIFS(#REF!,#REF!,U$17,#REF!,#REF!),
IF(AND(#REF!=$E$6,#REF!=$F$15),AVERAGEIFS(#REF!,#REF!,U$17,#REF!,#REF!))))))))))))))))),"")</f>
        <v/>
      </c>
      <c r="V21" s="30" t="str">
        <f>IFERROR(
IF(#REF!=$E$2,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IF(AND(#REF!=$E$6,#REF!=$F$15),AVERAGEIFS(#REF!,#REF!,V$17,#REF!,#REF!))))))))))))))),
IF(#REF!=$E$3,
(IF(OR(#REF!=$F$2,#REF!=$F$3,#REF!=$F$4,#REF!=$F$5,#REF!=$F$6,#REF!=$F$7,#REF!=$F$8,#REF!=$F$9,#REF!=$F$10,#REF!=$F$11),"",
IF(AND(#REF!="Team",#REF!=$F$12),AVERAGEIFS(#REF!,#REF!,V$17),
IF(AND(#REF!=$E$5,#REF!=$F$12),AVERAGEIFS(#REF!,#REF!,V$17,#REF!,#REF!),
IF(AND(#REF!=$E$6,#REF!=$F$12),AVERAGEIFS(#REF!,#REF!,V$17,#REF!,#REF!),
IF(AND(#REF!="Team",#REF!=$F$13),AVERAGEIFS(#REF!,#REF!,V$17),
IF(AND(#REF!=$E$5,#REF!=$F$13),AVERAGEIFS(#REF!,#REF!,V$17,#REF!,#REF!),
IF(AND(#REF!=$E$6,#REF!=$F$13),AVERAGEIFS(#REF!,#REF!,V$17,#REF!,#REF!),
IF(AND(#REF!="Team",#REF!=$F$14),AVERAGEIFS(#REF!,#REF!,V$17),
IF(AND(#REF!=$E$5,#REF!=$F$14),AVERAGEIFS(#REF!,#REF!,V$17,#REF!,#REF!),
IF(AND(#REF!=$E$6,#REF!=$F$14),AVERAGEIFS(#REF!,#REF!,V$17,#REF!,#REF!),
IF(AND(#REF!="Team",#REF!=$F$15),AVERAGEIFS(#REF!,#REF!,V$17),
IF(AND(#REF!=$E$5,#REF!=$F$15),AVERAGEIFS(#REF!,#REF!,V$17,#REF!,#REF!),
IF(AND(#REF!=$E$6,#REF!=$F$15),AVERAGEIFS(#REF!,#REF!,V$17,#REF!,#REF!))))))))))))))))),"")</f>
        <v/>
      </c>
      <c r="W21" s="30" t="str">
        <f>IFERROR(
IF(#REF!=$E$2,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IF(AND(#REF!=$E$6,#REF!=$F$15),AVERAGEIFS(#REF!,#REF!,W$17,#REF!,#REF!))))))))))))))),
IF(#REF!=$E$3,
(IF(OR(#REF!=$F$2,#REF!=$F$3,#REF!=$F$4,#REF!=$F$5,#REF!=$F$6,#REF!=$F$7,#REF!=$F$8,#REF!=$F$9,#REF!=$F$10,#REF!=$F$11),"",
IF(AND(#REF!="Team",#REF!=$F$12),AVERAGEIFS(#REF!,#REF!,W$17),
IF(AND(#REF!=$E$5,#REF!=$F$12),AVERAGEIFS(#REF!,#REF!,W$17,#REF!,#REF!),
IF(AND(#REF!=$E$6,#REF!=$F$12),AVERAGEIFS(#REF!,#REF!,W$17,#REF!,#REF!),
IF(AND(#REF!="Team",#REF!=$F$13),AVERAGEIFS(#REF!,#REF!,W$17),
IF(AND(#REF!=$E$5,#REF!=$F$13),AVERAGEIFS(#REF!,#REF!,W$17,#REF!,#REF!),
IF(AND(#REF!=$E$6,#REF!=$F$13),AVERAGEIFS(#REF!,#REF!,W$17,#REF!,#REF!),
IF(AND(#REF!="Team",#REF!=$F$14),AVERAGEIFS(#REF!,#REF!,W$17),
IF(AND(#REF!=$E$5,#REF!=$F$14),AVERAGEIFS(#REF!,#REF!,W$17,#REF!,#REF!),
IF(AND(#REF!=$E$6,#REF!=$F$14),AVERAGEIFS(#REF!,#REF!,W$17,#REF!,#REF!),
IF(AND(#REF!="Team",#REF!=$F$15),AVERAGEIFS(#REF!,#REF!,W$17),
IF(AND(#REF!=$E$5,#REF!=$F$15),AVERAGEIFS(#REF!,#REF!,W$17,#REF!,#REF!),
IF(AND(#REF!=$E$6,#REF!=$F$15),AVERAGEIFS(#REF!,#REF!,W$17,#REF!,#REF!))))))))))))))))),"")</f>
        <v/>
      </c>
      <c r="X21" s="30" t="str">
        <f>IFERROR(
IF(#REF!=$E$2,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IF(AND(#REF!=$E$6,#REF!=$F$15),AVERAGEIFS(#REF!,#REF!,X$17,#REF!,#REF!))))))))))))))),
IF(#REF!=$E$3,
(IF(OR(#REF!=$F$2,#REF!=$F$3,#REF!=$F$4,#REF!=$F$5,#REF!=$F$6,#REF!=$F$7,#REF!=$F$8,#REF!=$F$9,#REF!=$F$10,#REF!=$F$11),"",
IF(AND(#REF!="Team",#REF!=$F$12),AVERAGEIFS(#REF!,#REF!,X$17),
IF(AND(#REF!=$E$5,#REF!=$F$12),AVERAGEIFS(#REF!,#REF!,X$17,#REF!,#REF!),
IF(AND(#REF!=$E$6,#REF!=$F$12),AVERAGEIFS(#REF!,#REF!,X$17,#REF!,#REF!),
IF(AND(#REF!="Team",#REF!=$F$13),AVERAGEIFS(#REF!,#REF!,X$17),
IF(AND(#REF!=$E$5,#REF!=$F$13),AVERAGEIFS(#REF!,#REF!,X$17,#REF!,#REF!),
IF(AND(#REF!=$E$6,#REF!=$F$13),AVERAGEIFS(#REF!,#REF!,X$17,#REF!,#REF!),
IF(AND(#REF!="Team",#REF!=$F$14),AVERAGEIFS(#REF!,#REF!,X$17),
IF(AND(#REF!=$E$5,#REF!=$F$14),AVERAGEIFS(#REF!,#REF!,X$17,#REF!,#REF!),
IF(AND(#REF!=$E$6,#REF!=$F$14),AVERAGEIFS(#REF!,#REF!,X$17,#REF!,#REF!),
IF(AND(#REF!="Team",#REF!=$F$15),AVERAGEIFS(#REF!,#REF!,X$17),
IF(AND(#REF!=$E$5,#REF!=$F$15),AVERAGEIFS(#REF!,#REF!,X$17,#REF!,#REF!),
IF(AND(#REF!=$E$6,#REF!=$F$15),AVERAGEIFS(#REF!,#REF!,X$17,#REF!,#REF!))))))))))))))))),"")</f>
        <v/>
      </c>
      <c r="Y21" s="30" t="str">
        <f>IFERROR(
IF(#REF!=$E$2,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IF(AND(#REF!=$E$6,#REF!=$F$15),AVERAGEIFS(#REF!,#REF!,Y$17,#REF!,#REF!))))))))))))))),
IF(#REF!=$E$3,
(IF(OR(#REF!=$F$2,#REF!=$F$3,#REF!=$F$4,#REF!=$F$5,#REF!=$F$6,#REF!=$F$7,#REF!=$F$8,#REF!=$F$9,#REF!=$F$10,#REF!=$F$11),"",
IF(AND(#REF!="Team",#REF!=$F$12),AVERAGEIFS(#REF!,#REF!,Y$17),
IF(AND(#REF!=$E$5,#REF!=$F$12),AVERAGEIFS(#REF!,#REF!,Y$17,#REF!,#REF!),
IF(AND(#REF!=$E$6,#REF!=$F$12),AVERAGEIFS(#REF!,#REF!,Y$17,#REF!,#REF!),
IF(AND(#REF!="Team",#REF!=$F$13),AVERAGEIFS(#REF!,#REF!,Y$17),
IF(AND(#REF!=$E$5,#REF!=$F$13),AVERAGEIFS(#REF!,#REF!,Y$17,#REF!,#REF!),
IF(AND(#REF!=$E$6,#REF!=$F$13),AVERAGEIFS(#REF!,#REF!,Y$17,#REF!,#REF!),
IF(AND(#REF!="Team",#REF!=$F$14),AVERAGEIFS(#REF!,#REF!,Y$17),
IF(AND(#REF!=$E$5,#REF!=$F$14),AVERAGEIFS(#REF!,#REF!,Y$17,#REF!,#REF!),
IF(AND(#REF!=$E$6,#REF!=$F$14),AVERAGEIFS(#REF!,#REF!,Y$17,#REF!,#REF!),
IF(AND(#REF!="Team",#REF!=$F$15),AVERAGEIFS(#REF!,#REF!,Y$17),
IF(AND(#REF!=$E$5,#REF!=$F$15),AVERAGEIFS(#REF!,#REF!,Y$17,#REF!,#REF!),
IF(AND(#REF!=$E$6,#REF!=$F$15),AVERAGEIFS(#REF!,#REF!,Y$17,#REF!,#REF!))))))))))))))))),"")</f>
        <v/>
      </c>
      <c r="Z21" s="30" t="str">
        <f>IFERROR(
IF(#REF!=$E$2,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IF(AND(#REF!=$E$6,#REF!=$F$15),AVERAGEIFS(#REF!,#REF!,Z$17,#REF!,#REF!))))))))))))))),
IF(#REF!=$E$3,
(IF(OR(#REF!=$F$2,#REF!=$F$3,#REF!=$F$4,#REF!=$F$5,#REF!=$F$6,#REF!=$F$7,#REF!=$F$8,#REF!=$F$9,#REF!=$F$10,#REF!=$F$11),"",
IF(AND(#REF!="Team",#REF!=$F$12),AVERAGEIFS(#REF!,#REF!,Z$17),
IF(AND(#REF!=$E$5,#REF!=$F$12),AVERAGEIFS(#REF!,#REF!,Z$17,#REF!,#REF!),
IF(AND(#REF!=$E$6,#REF!=$F$12),AVERAGEIFS(#REF!,#REF!,Z$17,#REF!,#REF!),
IF(AND(#REF!="Team",#REF!=$F$13),AVERAGEIFS(#REF!,#REF!,Z$17),
IF(AND(#REF!=$E$5,#REF!=$F$13),AVERAGEIFS(#REF!,#REF!,Z$17,#REF!,#REF!),
IF(AND(#REF!=$E$6,#REF!=$F$13),AVERAGEIFS(#REF!,#REF!,Z$17,#REF!,#REF!),
IF(AND(#REF!="Team",#REF!=$F$14),AVERAGEIFS(#REF!,#REF!,Z$17),
IF(AND(#REF!=$E$5,#REF!=$F$14),AVERAGEIFS(#REF!,#REF!,Z$17,#REF!,#REF!),
IF(AND(#REF!=$E$6,#REF!=$F$14),AVERAGEIFS(#REF!,#REF!,Z$17,#REF!,#REF!),
IF(AND(#REF!="Team",#REF!=$F$15),AVERAGEIFS(#REF!,#REF!,Z$17),
IF(AND(#REF!=$E$5,#REF!=$F$15),AVERAGEIFS(#REF!,#REF!,Z$17,#REF!,#REF!),
IF(AND(#REF!=$E$6,#REF!=$F$15),AVERAGEIFS(#REF!,#REF!,Z$17,#REF!,#REF!))))))))))))))))),"")</f>
        <v/>
      </c>
      <c r="AA21" s="30" t="str">
        <f>IFERROR(
IF(#REF!=$E$2,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IF(AND(#REF!=$E$6,#REF!=$F$15),AVERAGEIFS(#REF!,#REF!,AA$17,#REF!,#REF!))))))))))))))),
IF(#REF!=$E$3,
(IF(OR(#REF!=$F$2,#REF!=$F$3,#REF!=$F$4,#REF!=$F$5,#REF!=$F$6,#REF!=$F$7,#REF!=$F$8,#REF!=$F$9,#REF!=$F$10,#REF!=$F$11),"",
IF(AND(#REF!="Team",#REF!=$F$12),AVERAGEIFS(#REF!,#REF!,AA$17),
IF(AND(#REF!=$E$5,#REF!=$F$12),AVERAGEIFS(#REF!,#REF!,AA$17,#REF!,#REF!),
IF(AND(#REF!=$E$6,#REF!=$F$12),AVERAGEIFS(#REF!,#REF!,AA$17,#REF!,#REF!),
IF(AND(#REF!="Team",#REF!=$F$13),AVERAGEIFS(#REF!,#REF!,AA$17),
IF(AND(#REF!=$E$5,#REF!=$F$13),AVERAGEIFS(#REF!,#REF!,AA$17,#REF!,#REF!),
IF(AND(#REF!=$E$6,#REF!=$F$13),AVERAGEIFS(#REF!,#REF!,AA$17,#REF!,#REF!),
IF(AND(#REF!="Team",#REF!=$F$14),AVERAGEIFS(#REF!,#REF!,AA$17),
IF(AND(#REF!=$E$5,#REF!=$F$14),AVERAGEIFS(#REF!,#REF!,AA$17,#REF!,#REF!),
IF(AND(#REF!=$E$6,#REF!=$F$14),AVERAGEIFS(#REF!,#REF!,AA$17,#REF!,#REF!),
IF(AND(#REF!="Team",#REF!=$F$15),AVERAGEIFS(#REF!,#REF!,AA$17),
IF(AND(#REF!=$E$5,#REF!=$F$15),AVERAGEIFS(#REF!,#REF!,AA$17,#REF!,#REF!),
IF(AND(#REF!=$E$6,#REF!=$F$15),AVERAGEIFS(#REF!,#REF!,AA$17,#REF!,#REF!))))))))))))))))),"")</f>
        <v/>
      </c>
      <c r="AB21" s="30" t="str">
        <f>IFERROR(
IF(#REF!=$E$2,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IF(AND(#REF!=$E$6,#REF!=$F$15),AVERAGEIFS(#REF!,#REF!,AB$17,#REF!,#REF!))))))))))))))),
IF(#REF!=$E$3,
(IF(OR(#REF!=$F$2,#REF!=$F$3,#REF!=$F$4,#REF!=$F$5,#REF!=$F$6,#REF!=$F$7,#REF!=$F$8,#REF!=$F$9,#REF!=$F$10,#REF!=$F$11),"",
IF(AND(#REF!="Team",#REF!=$F$12),AVERAGEIFS(#REF!,#REF!,AB$17),
IF(AND(#REF!=$E$5,#REF!=$F$12),AVERAGEIFS(#REF!,#REF!,AB$17,#REF!,#REF!),
IF(AND(#REF!=$E$6,#REF!=$F$12),AVERAGEIFS(#REF!,#REF!,AB$17,#REF!,#REF!),
IF(AND(#REF!="Team",#REF!=$F$13),AVERAGEIFS(#REF!,#REF!,AB$17),
IF(AND(#REF!=$E$5,#REF!=$F$13),AVERAGEIFS(#REF!,#REF!,AB$17,#REF!,#REF!),
IF(AND(#REF!=$E$6,#REF!=$F$13),AVERAGEIFS(#REF!,#REF!,AB$17,#REF!,#REF!),
IF(AND(#REF!="Team",#REF!=$F$14),AVERAGEIFS(#REF!,#REF!,AB$17),
IF(AND(#REF!=$E$5,#REF!=$F$14),AVERAGEIFS(#REF!,#REF!,AB$17,#REF!,#REF!),
IF(AND(#REF!=$E$6,#REF!=$F$14),AVERAGEIFS(#REF!,#REF!,AB$17,#REF!,#REF!),
IF(AND(#REF!="Team",#REF!=$F$15),AVERAGEIFS(#REF!,#REF!,AB$17),
IF(AND(#REF!=$E$5,#REF!=$F$15),AVERAGEIFS(#REF!,#REF!,AB$17,#REF!,#REF!),
IF(AND(#REF!=$E$6,#REF!=$F$15),AVERAGEIFS(#REF!,#REF!,AB$17,#REF!,#REF!))))))))))))))))),"")</f>
        <v/>
      </c>
      <c r="AC21" s="30" t="str">
        <f>IFERROR(
IF(#REF!=$E$2,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IF(AND(#REF!=$E$6,#REF!=$F$15),AVERAGEIFS(#REF!,#REF!,AC$17,#REF!,#REF!))))))))))))))),
IF(#REF!=$E$3,
(IF(OR(#REF!=$F$2,#REF!=$F$3,#REF!=$F$4,#REF!=$F$5,#REF!=$F$6,#REF!=$F$7,#REF!=$F$8,#REF!=$F$9,#REF!=$F$10,#REF!=$F$11),"",
IF(AND(#REF!="Team",#REF!=$F$12),AVERAGEIFS(#REF!,#REF!,AC$17),
IF(AND(#REF!=$E$5,#REF!=$F$12),AVERAGEIFS(#REF!,#REF!,AC$17,#REF!,#REF!),
IF(AND(#REF!=$E$6,#REF!=$F$12),AVERAGEIFS(#REF!,#REF!,AC$17,#REF!,#REF!),
IF(AND(#REF!="Team",#REF!=$F$13),AVERAGEIFS(#REF!,#REF!,AC$17),
IF(AND(#REF!=$E$5,#REF!=$F$13),AVERAGEIFS(#REF!,#REF!,AC$17,#REF!,#REF!),
IF(AND(#REF!=$E$6,#REF!=$F$13),AVERAGEIFS(#REF!,#REF!,AC$17,#REF!,#REF!),
IF(AND(#REF!="Team",#REF!=$F$14),AVERAGEIFS(#REF!,#REF!,AC$17),
IF(AND(#REF!=$E$5,#REF!=$F$14),AVERAGEIFS(#REF!,#REF!,AC$17,#REF!,#REF!),
IF(AND(#REF!=$E$6,#REF!=$F$14),AVERAGEIFS(#REF!,#REF!,AC$17,#REF!,#REF!),
IF(AND(#REF!="Team",#REF!=$F$15),AVERAGEIFS(#REF!,#REF!,AC$17),
IF(AND(#REF!=$E$5,#REF!=$F$15),AVERAGEIFS(#REF!,#REF!,AC$17,#REF!,#REF!),
IF(AND(#REF!=$E$6,#REF!=$F$15),AVERAGEIFS(#REF!,#REF!,AC$17,#REF!,#REF!))))))))))))))))),"")</f>
        <v/>
      </c>
      <c r="AD21" s="30" t="str">
        <f>IFERROR(
IF(#REF!=$E$2,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IF(AND(#REF!=$E$6,#REF!=$F$15),AVERAGEIFS(#REF!,#REF!,AD$17,#REF!,#REF!))))))))))))))),
IF(#REF!=$E$3,
(IF(OR(#REF!=$F$2,#REF!=$F$3,#REF!=$F$4,#REF!=$F$5,#REF!=$F$6,#REF!=$F$7,#REF!=$F$8,#REF!=$F$9,#REF!=$F$10,#REF!=$F$11),"",
IF(AND(#REF!="Team",#REF!=$F$12),AVERAGEIFS(#REF!,#REF!,AD$17),
IF(AND(#REF!=$E$5,#REF!=$F$12),AVERAGEIFS(#REF!,#REF!,AD$17,#REF!,#REF!),
IF(AND(#REF!=$E$6,#REF!=$F$12),AVERAGEIFS(#REF!,#REF!,AD$17,#REF!,#REF!),
IF(AND(#REF!="Team",#REF!=$F$13),AVERAGEIFS(#REF!,#REF!,AD$17),
IF(AND(#REF!=$E$5,#REF!=$F$13),AVERAGEIFS(#REF!,#REF!,AD$17,#REF!,#REF!),
IF(AND(#REF!=$E$6,#REF!=$F$13),AVERAGEIFS(#REF!,#REF!,AD$17,#REF!,#REF!),
IF(AND(#REF!="Team",#REF!=$F$14),AVERAGEIFS(#REF!,#REF!,AD$17),
IF(AND(#REF!=$E$5,#REF!=$F$14),AVERAGEIFS(#REF!,#REF!,AD$17,#REF!,#REF!),
IF(AND(#REF!=$E$6,#REF!=$F$14),AVERAGEIFS(#REF!,#REF!,AD$17,#REF!,#REF!),
IF(AND(#REF!="Team",#REF!=$F$15),AVERAGEIFS(#REF!,#REF!,AD$17),
IF(AND(#REF!=$E$5,#REF!=$F$15),AVERAGEIFS(#REF!,#REF!,AD$17,#REF!,#REF!),
IF(AND(#REF!=$E$6,#REF!=$F$15),AVERAGEIFS(#REF!,#REF!,AD$17,#REF!,#REF!))))))))))))))))),"")</f>
        <v/>
      </c>
      <c r="AE21" s="30" t="str">
        <f>IFERROR(
IF(#REF!=$E$2,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IF(AND(#REF!=$E$6,#REF!=$F$15),AVERAGEIFS(#REF!,#REF!,AE$17,#REF!,#REF!))))))))))))))),
IF(#REF!=$E$3,
(IF(OR(#REF!=$F$2,#REF!=$F$3,#REF!=$F$4,#REF!=$F$5,#REF!=$F$6,#REF!=$F$7,#REF!=$F$8,#REF!=$F$9,#REF!=$F$10,#REF!=$F$11),"",
IF(AND(#REF!="Team",#REF!=$F$12),AVERAGEIFS(#REF!,#REF!,AE$17),
IF(AND(#REF!=$E$5,#REF!=$F$12),AVERAGEIFS(#REF!,#REF!,AE$17,#REF!,#REF!),
IF(AND(#REF!=$E$6,#REF!=$F$12),AVERAGEIFS(#REF!,#REF!,AE$17,#REF!,#REF!),
IF(AND(#REF!="Team",#REF!=$F$13),AVERAGEIFS(#REF!,#REF!,AE$17),
IF(AND(#REF!=$E$5,#REF!=$F$13),AVERAGEIFS(#REF!,#REF!,AE$17,#REF!,#REF!),
IF(AND(#REF!=$E$6,#REF!=$F$13),AVERAGEIFS(#REF!,#REF!,AE$17,#REF!,#REF!),
IF(AND(#REF!="Team",#REF!=$F$14),AVERAGEIFS(#REF!,#REF!,AE$17),
IF(AND(#REF!=$E$5,#REF!=$F$14),AVERAGEIFS(#REF!,#REF!,AE$17,#REF!,#REF!),
IF(AND(#REF!=$E$6,#REF!=$F$14),AVERAGEIFS(#REF!,#REF!,AE$17,#REF!,#REF!),
IF(AND(#REF!="Team",#REF!=$F$15),AVERAGEIFS(#REF!,#REF!,AE$17),
IF(AND(#REF!=$E$5,#REF!=$F$15),AVERAGEIFS(#REF!,#REF!,AE$17,#REF!,#REF!),
IF(AND(#REF!=$E$6,#REF!=$F$15),AVERAGEIFS(#REF!,#REF!,AE$17,#REF!,#REF!))))))))))))))))),"")</f>
        <v/>
      </c>
      <c r="AF21" s="30" t="str">
        <f>IFERROR(
IF(#REF!=$E$2,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IF(AND(#REF!=$E$6,#REF!=$F$15),AVERAGEIFS(#REF!,#REF!,AF$17,#REF!,#REF!))))))))))))))),
IF(#REF!=$E$3,
(IF(OR(#REF!=$F$2,#REF!=$F$3,#REF!=$F$4,#REF!=$F$5,#REF!=$F$6,#REF!=$F$7,#REF!=$F$8,#REF!=$F$9,#REF!=$F$10,#REF!=$F$11),"",
IF(AND(#REF!="Team",#REF!=$F$12),AVERAGEIFS(#REF!,#REF!,AF$17),
IF(AND(#REF!=$E$5,#REF!=$F$12),AVERAGEIFS(#REF!,#REF!,AF$17,#REF!,#REF!),
IF(AND(#REF!=$E$6,#REF!=$F$12),AVERAGEIFS(#REF!,#REF!,AF$17,#REF!,#REF!),
IF(AND(#REF!="Team",#REF!=$F$13),AVERAGEIFS(#REF!,#REF!,AF$17),
IF(AND(#REF!=$E$5,#REF!=$F$13),AVERAGEIFS(#REF!,#REF!,AF$17,#REF!,#REF!),
IF(AND(#REF!=$E$6,#REF!=$F$13),AVERAGEIFS(#REF!,#REF!,AF$17,#REF!,#REF!),
IF(AND(#REF!="Team",#REF!=$F$14),AVERAGEIFS(#REF!,#REF!,AF$17),
IF(AND(#REF!=$E$5,#REF!=$F$14),AVERAGEIFS(#REF!,#REF!,AF$17,#REF!,#REF!),
IF(AND(#REF!=$E$6,#REF!=$F$14),AVERAGEIFS(#REF!,#REF!,AF$17,#REF!,#REF!),
IF(AND(#REF!="Team",#REF!=$F$15),AVERAGEIFS(#REF!,#REF!,AF$17),
IF(AND(#REF!=$E$5,#REF!=$F$15),AVERAGEIFS(#REF!,#REF!,AF$17,#REF!,#REF!),
IF(AND(#REF!=$E$6,#REF!=$F$15),AVERAGEIFS(#REF!,#REF!,AF$17,#REF!,#REF!))))))))))))))))),"")</f>
        <v/>
      </c>
      <c r="AG21" s="30" t="str">
        <f>IFERROR(
IF(#REF!=$E$2,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IF(AND(#REF!=$E$6,#REF!=$F$15),AVERAGEIFS(#REF!,#REF!,AG$17,#REF!,#REF!))))))))))))))),
IF(#REF!=$E$3,
(IF(OR(#REF!=$F$2,#REF!=$F$3,#REF!=$F$4,#REF!=$F$5,#REF!=$F$6,#REF!=$F$7,#REF!=$F$8,#REF!=$F$9,#REF!=$F$10,#REF!=$F$11),"",
IF(AND(#REF!="Team",#REF!=$F$12),AVERAGEIFS(#REF!,#REF!,AG$17),
IF(AND(#REF!=$E$5,#REF!=$F$12),AVERAGEIFS(#REF!,#REF!,AG$17,#REF!,#REF!),
IF(AND(#REF!=$E$6,#REF!=$F$12),AVERAGEIFS(#REF!,#REF!,AG$17,#REF!,#REF!),
IF(AND(#REF!="Team",#REF!=$F$13),AVERAGEIFS(#REF!,#REF!,AG$17),
IF(AND(#REF!=$E$5,#REF!=$F$13),AVERAGEIFS(#REF!,#REF!,AG$17,#REF!,#REF!),
IF(AND(#REF!=$E$6,#REF!=$F$13),AVERAGEIFS(#REF!,#REF!,AG$17,#REF!,#REF!),
IF(AND(#REF!="Team",#REF!=$F$14),AVERAGEIFS(#REF!,#REF!,AG$17),
IF(AND(#REF!=$E$5,#REF!=$F$14),AVERAGEIFS(#REF!,#REF!,AG$17,#REF!,#REF!),
IF(AND(#REF!=$E$6,#REF!=$F$14),AVERAGEIFS(#REF!,#REF!,AG$17,#REF!,#REF!),
IF(AND(#REF!="Team",#REF!=$F$15),AVERAGEIFS(#REF!,#REF!,AG$17),
IF(AND(#REF!=$E$5,#REF!=$F$15),AVERAGEIFS(#REF!,#REF!,AG$17,#REF!,#REF!),
IF(AND(#REF!=$E$6,#REF!=$F$15),AVERAGEIFS(#REF!,#REF!,AG$17,#REF!,#REF!))))))))))))))))),"")</f>
        <v/>
      </c>
      <c r="AH21" s="30" t="str">
        <f>IFERROR(
IF(#REF!=$E$2,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IF(AND(#REF!=$E$6,#REF!=$F$15),AVERAGEIFS(#REF!,#REF!,AH$17,#REF!,#REF!))))))))))))))),
IF(#REF!=$E$3,
(IF(OR(#REF!=$F$2,#REF!=$F$3,#REF!=$F$4,#REF!=$F$5,#REF!=$F$6,#REF!=$F$7,#REF!=$F$8,#REF!=$F$9,#REF!=$F$10,#REF!=$F$11),"",
IF(AND(#REF!="Team",#REF!=$F$12),AVERAGEIFS(#REF!,#REF!,AH$17),
IF(AND(#REF!=$E$5,#REF!=$F$12),AVERAGEIFS(#REF!,#REF!,AH$17,#REF!,#REF!),
IF(AND(#REF!=$E$6,#REF!=$F$12),AVERAGEIFS(#REF!,#REF!,AH$17,#REF!,#REF!),
IF(AND(#REF!="Team",#REF!=$F$13),AVERAGEIFS(#REF!,#REF!,AH$17),
IF(AND(#REF!=$E$5,#REF!=$F$13),AVERAGEIFS(#REF!,#REF!,AH$17,#REF!,#REF!),
IF(AND(#REF!=$E$6,#REF!=$F$13),AVERAGEIFS(#REF!,#REF!,AH$17,#REF!,#REF!),
IF(AND(#REF!="Team",#REF!=$F$14),AVERAGEIFS(#REF!,#REF!,AH$17),
IF(AND(#REF!=$E$5,#REF!=$F$14),AVERAGEIFS(#REF!,#REF!,AH$17,#REF!,#REF!),
IF(AND(#REF!=$E$6,#REF!=$F$14),AVERAGEIFS(#REF!,#REF!,AH$17,#REF!,#REF!),
IF(AND(#REF!="Team",#REF!=$F$15),AVERAGEIFS(#REF!,#REF!,AH$17),
IF(AND(#REF!=$E$5,#REF!=$F$15),AVERAGEIFS(#REF!,#REF!,AH$17,#REF!,#REF!),
IF(AND(#REF!=$E$6,#REF!=$F$15),AVERAGEIFS(#REF!,#REF!,AH$17,#REF!,#REF!))))))))))))))))),"")</f>
        <v/>
      </c>
      <c r="AI21" s="31" t="str">
        <f>IFERROR(
IF(#REF!=$E$2,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IF(AND(#REF!=$E$6,#REF!=$F$15),AVERAGEIFS(#REF!,#REF!,AI$17,#REF!,#REF!))))))))))))))),
IF(#REF!=$E$3,
(IF(OR(#REF!=$F$2,#REF!=$F$3,#REF!=$F$4,#REF!=$F$5,#REF!=$F$6,#REF!=$F$7,#REF!=$F$8,#REF!=$F$9,#REF!=$F$10,#REF!=$F$11),"",
IF(AND(#REF!="Team",#REF!=$F$12),AVERAGEIFS(#REF!,#REF!,AI$17),
IF(AND(#REF!=$E$5,#REF!=$F$12),AVERAGEIFS(#REF!,#REF!,AI$17,#REF!,#REF!),
IF(AND(#REF!=$E$6,#REF!=$F$12),AVERAGEIFS(#REF!,#REF!,AI$17,#REF!,#REF!),
IF(AND(#REF!="Team",#REF!=$F$13),AVERAGEIFS(#REF!,#REF!,AI$17),
IF(AND(#REF!=$E$5,#REF!=$F$13),AVERAGEIFS(#REF!,#REF!,AI$17,#REF!,#REF!),
IF(AND(#REF!=$E$6,#REF!=$F$13),AVERAGEIFS(#REF!,#REF!,AI$17,#REF!,#REF!),
IF(AND(#REF!="Team",#REF!=$F$14),AVERAGEIFS(#REF!,#REF!,AI$17),
IF(AND(#REF!=$E$5,#REF!=$F$14),AVERAGEIFS(#REF!,#REF!,AI$17,#REF!,#REF!),
IF(AND(#REF!=$E$6,#REF!=$F$14),AVERAGEIFS(#REF!,#REF!,AI$17,#REF!,#REF!),
IF(AND(#REF!="Team",#REF!=$F$15),AVERAGEIFS(#REF!,#REF!,AI$17),
IF(AND(#REF!=$E$5,#REF!=$F$15),AVERAGEIFS(#REF!,#REF!,AI$17,#REF!,#REF!),
IF(AND(#REF!=$E$6,#REF!=$F$15),AVERAGEIFS(#REF!,#REF!,AI$17,#REF!,#REF!))))))))))))))))),"")</f>
        <v/>
      </c>
      <c r="AJ21" s="32">
        <f>IFERROR(
IF(#REF!=$E$2,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IF(AND(#REF!=$E$6,#REF!=$F$15),AVERAGEIFS(#REF!,#REF!,AJ$17,#REF!,#REF!))))))))))))))),
IF(#REF!=$E$3,
(IF(OR(#REF!=$F$2,#REF!=$F$3,#REF!=$F$4,#REF!=$F$5,#REF!=$F$6,#REF!=$F$7,#REF!=$F$8,#REF!=$F$9,#REF!=$F$10,#REF!=$F$11),0,
IF(AND(#REF!="Team",#REF!=$F$12),AVERAGEIFS(#REF!,#REF!,AJ$17),
IF(AND(#REF!=$E$5,#REF!=$F$12),AVERAGEIFS(#REF!,#REF!,AJ$17,#REF!,#REF!),
IF(AND(#REF!=$E$6,#REF!=$F$12),AVERAGEIFS(#REF!,#REF!,AJ$17,#REF!,#REF!),
IF(AND(#REF!="Team",#REF!=$F$13),AVERAGEIFS(#REF!,#REF!,AJ$17),
IF(AND(#REF!=$E$5,#REF!=$F$13),AVERAGEIFS(#REF!,#REF!,AJ$17,#REF!,#REF!),
IF(AND(#REF!=$E$6,#REF!=$F$13),AVERAGEIFS(#REF!,#REF!,AJ$17,#REF!,#REF!),
IF(AND(#REF!="Team",#REF!=$F$14),AVERAGEIFS(#REF!,#REF!,AJ$17),
IF(AND(#REF!=$E$5,#REF!=$F$14),AVERAGEIFS(#REF!,#REF!,AJ$17,#REF!,#REF!),
IF(AND(#REF!=$E$6,#REF!=$F$14),AVERAGEIFS(#REF!,#REF!,AJ$17,#REF!,#REF!),
IF(AND(#REF!="Team",#REF!=$F$15),AVERAGEIFS(#REF!,#REF!,AJ$17),
IF(AND(#REF!=$E$5,#REF!=$F$15),AVERAGEIFS(#REF!,#REF!,AJ$17,#REF!,#REF!),
IF(AND(#REF!=$E$6,#REF!=$F$15),AVERAGEIFS(#REF!,#REF!,AJ$17,#REF!,#REF!))))))))))))))))),0)</f>
        <v>0</v>
      </c>
    </row>
    <row r="22" spans="1:36" ht="12.5" x14ac:dyDescent="0.25">
      <c r="A22" s="18">
        <f ca="1">IFERROR(__xludf.DUMMYFUNCTION("""COMPUTED_VALUE"""),44956)</f>
        <v>44956</v>
      </c>
      <c r="C22" s="19"/>
      <c r="D22" s="7"/>
    </row>
    <row r="23" spans="1:36" ht="12.5" x14ac:dyDescent="0.25">
      <c r="A23" s="18">
        <f ca="1">IFERROR(__xludf.DUMMYFUNCTION("""COMPUTED_VALUE"""),44957)</f>
        <v>44957</v>
      </c>
      <c r="C23" s="19"/>
      <c r="D23" s="7"/>
      <c r="H23" s="87" t="s">
        <v>63</v>
      </c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9"/>
    </row>
    <row r="24" spans="1:36" ht="12.5" x14ac:dyDescent="0.25">
      <c r="A24" s="18">
        <f ca="1">IFERROR(__xludf.DUMMYFUNCTION("""COMPUTED_VALUE"""),44958)</f>
        <v>44958</v>
      </c>
      <c r="C24" s="19"/>
      <c r="D24" s="7"/>
      <c r="H24" s="90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/>
      <c r="AG24" s="91"/>
      <c r="AH24" s="91"/>
      <c r="AI24" s="91"/>
      <c r="AJ24" s="92"/>
    </row>
    <row r="25" spans="1:36" ht="14" x14ac:dyDescent="0.25">
      <c r="A25" s="18">
        <f ca="1">IFERROR(__xludf.DUMMYFUNCTION("""COMPUTED_VALUE"""),44959)</f>
        <v>44959</v>
      </c>
      <c r="C25" s="19"/>
      <c r="D25" s="7"/>
      <c r="H25" s="12" t="s">
        <v>47</v>
      </c>
      <c r="I25" s="25" t="e">
        <f>IF(#REF!=$E$2,
(IF(
(IF(J$25&lt;1,"",_xludf.MaxIFS('Wellness Responses'!$P$2:$P1000,'Wellness Responses'!$R$2:$R1000,#REF!,'Wellness Responses'!$P$2:$P1000,"&lt;"&amp;J$25)))&lt;1,"",
(IF(J$25&lt;1,"",TEXT(_xludf.MaxIFS('Wellness Responses'!$P$2:$P1000,'Wellness Responses'!$R$2:$R1000,#REF!,'Wellness Responses'!$P$2:$P1000,"&lt;"&amp;J$25),"MM/DD/YYYY"))))),
IF(#REF!=$E$3,
(IF(OR(J$25&lt;1,J$25=1,J$25=""),"",J$25-1))))</f>
        <v>#REF!</v>
      </c>
      <c r="J25" s="25" t="e">
        <f>IF(#REF!=$E$2,
(IF(
(IF(K$25&lt;1,"",_xludf.MaxIFS('Wellness Responses'!$P$2:$P1000,'Wellness Responses'!$R$2:$R1000,#REF!,'Wellness Responses'!$P$2:$P1000,"&lt;"&amp;K$25)))&lt;1,"",
(IF(K$25&lt;1,"",TEXT(_xludf.MaxIFS('Wellness Responses'!$P$2:$P1000,'Wellness Responses'!$R$2:$R1000,#REF!,'Wellness Responses'!$P$2:$P1000,"&lt;"&amp;K$25),"MM/DD/YYYY"))))),
IF(#REF!=$E$3,
(IF(OR(K$25&lt;1,K$25=1,K$25=""),"",K$25-1))))</f>
        <v>#REF!</v>
      </c>
      <c r="K25" s="25" t="e">
        <f>IF(#REF!=$E$2,
(IF(
(IF(L$25&lt;1,"",_xludf.MaxIFS('Wellness Responses'!$P$2:$P1000,'Wellness Responses'!$R$2:$R1000,#REF!,'Wellness Responses'!$P$2:$P1000,"&lt;"&amp;L$25)))&lt;1,"",
(IF(L$25&lt;1,"",TEXT(_xludf.MaxIFS('Wellness Responses'!$P$2:$P1000,'Wellness Responses'!$R$2:$R1000,#REF!,'Wellness Responses'!$P$2:$P1000,"&lt;"&amp;L$25),"MM/DD/YYYY"))))),
IF(#REF!=$E$3,
(IF(OR(L$25&lt;1,L$25=1,L$25=""),"",L$25-1))))</f>
        <v>#REF!</v>
      </c>
      <c r="L25" s="25" t="e">
        <f>IF(#REF!=$E$2,
(IF(
(IF(M$25&lt;1,"",_xludf.MaxIFS('Wellness Responses'!$P$2:$P1000,'Wellness Responses'!$R$2:$R1000,#REF!,'Wellness Responses'!$P$2:$P1000,"&lt;"&amp;M$25)))&lt;1,"",
(IF(M$25&lt;1,"",TEXT(_xludf.MaxIFS('Wellness Responses'!$P$2:$P1000,'Wellness Responses'!$R$2:$R1000,#REF!,'Wellness Responses'!$P$2:$P1000,"&lt;"&amp;M$25),"MM/DD/YYYY"))))),
IF(#REF!=$E$3,
(IF(OR(M$25&lt;1,M$25=1,M$25=""),"",M$25-1))))</f>
        <v>#REF!</v>
      </c>
      <c r="M25" s="25" t="e">
        <f>IF(#REF!=$E$2,
(IF(
(IF(N$25&lt;1,"",_xludf.MaxIFS('Wellness Responses'!$P$2:$P1000,'Wellness Responses'!$R$2:$R1000,#REF!,'Wellness Responses'!$P$2:$P1000,"&lt;"&amp;N$25)))&lt;1,"",
(IF(N$25&lt;1,"",TEXT(_xludf.MaxIFS('Wellness Responses'!$P$2:$P1000,'Wellness Responses'!$R$2:$R1000,#REF!,'Wellness Responses'!$P$2:$P1000,"&lt;"&amp;N$25),"MM/DD/YYYY"))))),
IF(#REF!=$E$3,
(IF(OR(N$25&lt;1,N$25=1,N$25=""),"",N$25-1))))</f>
        <v>#REF!</v>
      </c>
      <c r="N25" s="25" t="e">
        <f>IF(#REF!=$E$2,
(IF(
(IF(O$25&lt;1,"",_xludf.MaxIFS('Wellness Responses'!$P$2:$P1000,'Wellness Responses'!$R$2:$R1000,#REF!,'Wellness Responses'!$P$2:$P1000,"&lt;"&amp;O$25)))&lt;1,"",
(IF(O$25&lt;1,"",TEXT(_xludf.MaxIFS('Wellness Responses'!$P$2:$P1000,'Wellness Responses'!$R$2:$R1000,#REF!,'Wellness Responses'!$P$2:$P1000,"&lt;"&amp;O$25),"MM/DD/YYYY"))))),
IF(#REF!=$E$3,
(IF(OR(O$25&lt;1,O$25=1,O$25=""),"",O$25-1))))</f>
        <v>#REF!</v>
      </c>
      <c r="O25" s="25" t="e">
        <f>IF(#REF!=$E$2,
(IF(
(IF(P$25&lt;1,"",_xludf.MaxIFS('Wellness Responses'!$P$2:$P1000,'Wellness Responses'!$R$2:$R1000,#REF!,'Wellness Responses'!$P$2:$P1000,"&lt;"&amp;P$25)))&lt;1,"",
(IF(P$25&lt;1,"",TEXT(_xludf.MaxIFS('Wellness Responses'!$P$2:$P1000,'Wellness Responses'!$R$2:$R1000,#REF!,'Wellness Responses'!$P$2:$P1000,"&lt;"&amp;P$25),"MM/DD/YYYY"))))),
IF(#REF!=$E$3,
(IF(OR(P$25&lt;1,P$25=1,P$25=""),"",P$25-1))))</f>
        <v>#REF!</v>
      </c>
      <c r="P25" s="25" t="e">
        <f>IF(#REF!=$E$2,
(IF(
(IF(Q$25&lt;1,"",_xludf.MaxIFS('Wellness Responses'!$P$2:$P1000,'Wellness Responses'!$R$2:$R1000,#REF!,'Wellness Responses'!$P$2:$P1000,"&lt;"&amp;Q$25)))&lt;1,"",
(IF(Q$25&lt;1,"",TEXT(_xludf.MaxIFS('Wellness Responses'!$P$2:$P1000,'Wellness Responses'!$R$2:$R1000,#REF!,'Wellness Responses'!$P$2:$P1000,"&lt;"&amp;Q$25),"MM/DD/YYYY"))))),
IF(#REF!=$E$3,
(IF(OR(Q$25&lt;1,Q$25=1,Q$25=""),"",Q$25-1))))</f>
        <v>#REF!</v>
      </c>
      <c r="Q25" s="25" t="e">
        <f>IF(#REF!=$E$2,
(IF(
(IF(R$25&lt;1,"",_xludf.MaxIFS('Wellness Responses'!$P$2:$P1000,'Wellness Responses'!$R$2:$R1000,#REF!,'Wellness Responses'!$P$2:$P1000,"&lt;"&amp;R$25)))&lt;1,"",
(IF(R$25&lt;1,"",TEXT(_xludf.MaxIFS('Wellness Responses'!$P$2:$P1000,'Wellness Responses'!$R$2:$R1000,#REF!,'Wellness Responses'!$P$2:$P1000,"&lt;"&amp;R$25),"MM/DD/YYYY"))))),
IF(#REF!=$E$3,
(IF(OR(R$25&lt;1,R$25=1,R$25=""),"",R$25-1))))</f>
        <v>#REF!</v>
      </c>
      <c r="R25" s="25" t="e">
        <f>IF(#REF!=$E$2,
(IF(
(IF(S$25&lt;1,"",_xludf.MaxIFS('Wellness Responses'!$P$2:$P1000,'Wellness Responses'!$R$2:$R1000,#REF!,'Wellness Responses'!$P$2:$P1000,"&lt;"&amp;S$25)))&lt;1,"",
(IF(S$25&lt;1,"",TEXT(_xludf.MaxIFS('Wellness Responses'!$P$2:$P1000,'Wellness Responses'!$R$2:$R1000,#REF!,'Wellness Responses'!$P$2:$P1000,"&lt;"&amp;S$25),"MM/DD/YYYY"))))),
IF(#REF!=$E$3,
(IF(OR(S$25&lt;1,S$25=1,S$25=""),"",S$25-1))))</f>
        <v>#REF!</v>
      </c>
      <c r="S25" s="25" t="e">
        <f>IF(#REF!=$E$2,
(IF(
(IF(T$25&lt;1,"",_xludf.MaxIFS('Wellness Responses'!$P$2:$P1000,'Wellness Responses'!$R$2:$R1000,#REF!,'Wellness Responses'!$P$2:$P1000,"&lt;"&amp;T$25)))&lt;1,"",
(IF(T$25&lt;1,"",TEXT(_xludf.MaxIFS('Wellness Responses'!$P$2:$P1000,'Wellness Responses'!$R$2:$R1000,#REF!,'Wellness Responses'!$P$2:$P1000,"&lt;"&amp;T$25),"MM/DD/YYYY"))))),
IF(#REF!=$E$3,
(IF(OR(T$25&lt;1,T$25=1,T$25=""),"",T$25-1))))</f>
        <v>#REF!</v>
      </c>
      <c r="T25" s="25" t="e">
        <f>IF(#REF!=$E$2,
(IF(
(IF(U$25&lt;1,"",_xludf.MaxIFS('Wellness Responses'!$P$2:$P1000,'Wellness Responses'!$R$2:$R1000,#REF!,'Wellness Responses'!$P$2:$P1000,"&lt;"&amp;U$25)))&lt;1,"",
(IF(U$25&lt;1,"",TEXT(_xludf.MaxIFS('Wellness Responses'!$P$2:$P1000,'Wellness Responses'!$R$2:$R1000,#REF!,'Wellness Responses'!$P$2:$P1000,"&lt;"&amp;U$25),"MM/DD/YYYY"))))),
IF(#REF!=$E$3,
(IF(OR(U$25&lt;1,U$25=1,U$25=""),"",U$25-1))))</f>
        <v>#REF!</v>
      </c>
      <c r="U25" s="25" t="e">
        <f>IF(#REF!=$E$2,
(IF(
(IF(V$25&lt;1,"",_xludf.MaxIFS('Wellness Responses'!$P$2:$P1000,'Wellness Responses'!$R$2:$R1000,#REF!,'Wellness Responses'!$P$2:$P1000,"&lt;"&amp;V$25)))&lt;1,"",
(IF(V$25&lt;1,"",TEXT(_xludf.MaxIFS('Wellness Responses'!$P$2:$P1000,'Wellness Responses'!$R$2:$R1000,#REF!,'Wellness Responses'!$P$2:$P1000,"&lt;"&amp;V$25),"MM/DD/YYYY"))))),
IF(#REF!=$E$3,
(IF(OR(V$25&lt;1,V$25=1,V$25=""),"",V$25-1))))</f>
        <v>#REF!</v>
      </c>
      <c r="V25" s="25" t="e">
        <f>IF(#REF!=$E$2,
(IF(
(IF(W$25&lt;1,"",_xludf.MaxIFS('Wellness Responses'!$P$2:$P1000,'Wellness Responses'!$R$2:$R1000,#REF!,'Wellness Responses'!$P$2:$P1000,"&lt;"&amp;W$25)))&lt;1,"",
(IF(W$25&lt;1,"",TEXT(_xludf.MaxIFS('Wellness Responses'!$P$2:$P1000,'Wellness Responses'!$R$2:$R1000,#REF!,'Wellness Responses'!$P$2:$P1000,"&lt;"&amp;W$25),"MM/DD/YYYY"))))),
IF(#REF!=$E$3,
(IF(OR(W$25&lt;1,W$25=1,W$25=""),"",W$25-1))))</f>
        <v>#REF!</v>
      </c>
      <c r="W25" s="25" t="e">
        <f>IF(#REF!=$E$2,
(IF(
(IF(X$25&lt;1,"",_xludf.MaxIFS('Wellness Responses'!$P$2:$P1000,'Wellness Responses'!$R$2:$R1000,#REF!,'Wellness Responses'!$P$2:$P1000,"&lt;"&amp;X$25)))&lt;1,"",
(IF(X$25&lt;1,"",TEXT(_xludf.MaxIFS('Wellness Responses'!$P$2:$P1000,'Wellness Responses'!$R$2:$R1000,#REF!,'Wellness Responses'!$P$2:$P1000,"&lt;"&amp;X$25),"MM/DD/YYYY"))))),
IF(#REF!=$E$3,
(IF(OR(X$25&lt;1,X$25=1,X$25=""),"",X$25-1))))</f>
        <v>#REF!</v>
      </c>
      <c r="X25" s="25" t="e">
        <f>IF(#REF!=$E$2,
(IF(
(IF(Y$25&lt;1,"",_xludf.MaxIFS('Wellness Responses'!$P$2:$P1000,'Wellness Responses'!$R$2:$R1000,#REF!,'Wellness Responses'!$P$2:$P1000,"&lt;"&amp;Y$25)))&lt;1,"",
(IF(Y$25&lt;1,"",TEXT(_xludf.MaxIFS('Wellness Responses'!$P$2:$P1000,'Wellness Responses'!$R$2:$R1000,#REF!,'Wellness Responses'!$P$2:$P1000,"&lt;"&amp;Y$25),"MM/DD/YYYY"))))),
IF(#REF!=$E$3,
(IF(OR(Y$25&lt;1,Y$25=1,Y$25=""),"",Y$25-1))))</f>
        <v>#REF!</v>
      </c>
      <c r="Y25" s="25" t="e">
        <f>IF(#REF!=$E$2,
(IF(
(IF(Z$25&lt;1,"",_xludf.MaxIFS('Wellness Responses'!$P$2:$P1000,'Wellness Responses'!$R$2:$R1000,#REF!,'Wellness Responses'!$P$2:$P1000,"&lt;"&amp;Z$25)))&lt;1,"",
(IF(Z$25&lt;1,"",TEXT(_xludf.MaxIFS('Wellness Responses'!$P$2:$P1000,'Wellness Responses'!$R$2:$R1000,#REF!,'Wellness Responses'!$P$2:$P1000,"&lt;"&amp;Z$25),"MM/DD/YYYY"))))),
IF(#REF!=$E$3,
(IF(OR(Z$25&lt;1,Z$25=1,Z$25=""),"",Z$25-1))))</f>
        <v>#REF!</v>
      </c>
      <c r="Z25" s="25" t="e">
        <f>IF(#REF!=$E$2,
(IF(
(IF(AA$25&lt;1,"",_xludf.MaxIFS('Wellness Responses'!$P$2:$P1000,'Wellness Responses'!$R$2:$R1000,#REF!,'Wellness Responses'!$P$2:$P1000,"&lt;"&amp;AA$25)))&lt;1,"",
(IF(AA$25&lt;1,"",TEXT(_xludf.MaxIFS('Wellness Responses'!$P$2:$P1000,'Wellness Responses'!$R$2:$R1000,#REF!,'Wellness Responses'!$P$2:$P1000,"&lt;"&amp;AA$25),"MM/DD/YYYY"))))),
IF(#REF!=$E$3,
(IF(OR(AA$25&lt;1,AA$25=1,AA$25=""),"",AA$25-1))))</f>
        <v>#REF!</v>
      </c>
      <c r="AA25" s="25" t="e">
        <f>IF(#REF!=$E$2,
(IF(
(IF(AB$25&lt;1,"",_xludf.MaxIFS('Wellness Responses'!$P$2:$P1000,'Wellness Responses'!$R$2:$R1000,#REF!,'Wellness Responses'!$P$2:$P1000,"&lt;"&amp;AB$25)))&lt;1,"",
(IF(AB$25&lt;1,"",TEXT(_xludf.MaxIFS('Wellness Responses'!$P$2:$P1000,'Wellness Responses'!$R$2:$R1000,#REF!,'Wellness Responses'!$P$2:$P1000,"&lt;"&amp;AB$25),"MM/DD/YYYY"))))),
IF(#REF!=$E$3,
(IF(OR(AB$25&lt;1,AB$25=1,AB$25=""),"",AB$25-1))))</f>
        <v>#REF!</v>
      </c>
      <c r="AB25" s="25" t="e">
        <f>IF(#REF!=$E$2,
(IF(
(IF(AC$25&lt;1,"",_xludf.MaxIFS('Wellness Responses'!$P$2:$P1000,'Wellness Responses'!$R$2:$R1000,#REF!,'Wellness Responses'!$P$2:$P1000,"&lt;"&amp;AC$25)))&lt;1,"",
(IF(AC$25&lt;1,"",TEXT(_xludf.MaxIFS('Wellness Responses'!$P$2:$P1000,'Wellness Responses'!$R$2:$R1000,#REF!,'Wellness Responses'!$P$2:$P1000,"&lt;"&amp;AC$25),"MM/DD/YYYY"))))),
IF(#REF!=$E$3,
(IF(OR(AC$25&lt;1,AC$25=1,AC$25=""),"",AC$25-1))))</f>
        <v>#REF!</v>
      </c>
      <c r="AC25" s="25" t="e">
        <f>IF(#REF!=$E$2,
(IF(
(IF(AD$25&lt;1,"",_xludf.MaxIFS('Wellness Responses'!$P$2:$P1000,'Wellness Responses'!$R$2:$R1000,#REF!,'Wellness Responses'!$P$2:$P1000,"&lt;"&amp;AD$25)))&lt;1,"",
(IF(AD$25&lt;1,"",TEXT(_xludf.MaxIFS('Wellness Responses'!$P$2:$P1000,'Wellness Responses'!$R$2:$R1000,#REF!,'Wellness Responses'!$P$2:$P1000,"&lt;"&amp;AD$25),"MM/DD/YYYY"))))),
IF(#REF!=$E$3,
(IF(OR(AD$25&lt;1,AD$25=1,AD$25=""),"",AD$25-1))))</f>
        <v>#REF!</v>
      </c>
      <c r="AD25" s="25" t="e">
        <f>IF(#REF!=$E$2,
(IF(
(IF(AE$25&lt;1,"",_xludf.MaxIFS('Wellness Responses'!$P$2:$P1000,'Wellness Responses'!$R$2:$R1000,#REF!,'Wellness Responses'!$P$2:$P1000,"&lt;"&amp;AE$25)))&lt;1,"",
(IF(AE$25&lt;1,"",TEXT(_xludf.MaxIFS('Wellness Responses'!$P$2:$P1000,'Wellness Responses'!$R$2:$R1000,#REF!,'Wellness Responses'!$P$2:$P1000,"&lt;"&amp;AE$25),"MM/DD/YYYY"))))),
IF(#REF!=$E$3,
(IF(OR(AE$25&lt;1,AE$25=1,AE$25=""),"",AE$25-1))))</f>
        <v>#REF!</v>
      </c>
      <c r="AE25" s="25" t="e">
        <f>IF(#REF!=$E$2,
(IF(
(IF(AF$25&lt;1,"",_xludf.MaxIFS('Wellness Responses'!$P$2:$P1000,'Wellness Responses'!$R$2:$R1000,#REF!,'Wellness Responses'!$P$2:$P1000,"&lt;"&amp;AF$25)))&lt;1,"",
(IF(AF$25&lt;1,"",TEXT(_xludf.MaxIFS('Wellness Responses'!$P$2:$P1000,'Wellness Responses'!$R$2:$R1000,#REF!,'Wellness Responses'!$P$2:$P1000,"&lt;"&amp;AF$25),"MM/DD/YYYY"))))),
IF(#REF!=$E$3,
(IF(OR(AF$25&lt;1,AF$25=1,AF$25=""),"",AF$25-1))))</f>
        <v>#REF!</v>
      </c>
      <c r="AF25" s="25" t="e">
        <f>IF(#REF!=$E$2,
(IF(
(IF(AG$25&lt;1,"",_xludf.MaxIFS('Wellness Responses'!$P$2:$P1000,'Wellness Responses'!$R$2:$R1000,#REF!,'Wellness Responses'!$P$2:$P1000,"&lt;"&amp;AG$25)))&lt;1,"",
(IF(AG$25&lt;1,"",TEXT(_xludf.MaxIFS('Wellness Responses'!$P$2:$P1000,'Wellness Responses'!$R$2:$R1000,#REF!,'Wellness Responses'!$P$2:$P1000,"&lt;"&amp;AG$25),"MM/DD/YYYY"))))),
IF(#REF!=$E$3,
(IF(OR(AG$25&lt;1,AG$25=1,AG$25=""),"",AG$25-1))))</f>
        <v>#REF!</v>
      </c>
      <c r="AG25" s="25" t="e">
        <f>IF(#REF!=$E$2,
(IF(
(IF(AH$25&lt;1,"",_xludf.MaxIFS('Wellness Responses'!$P$2:$P1000,'Wellness Responses'!$R$2:$R1000,#REF!,'Wellness Responses'!$P$2:$P1000,"&lt;"&amp;AH$25)))&lt;1,"",
(IF(AH$25&lt;1,"",TEXT(_xludf.MaxIFS('Wellness Responses'!$P$2:$P1000,'Wellness Responses'!$R$2:$R1000,#REF!,'Wellness Responses'!$P$2:$P1000,"&lt;"&amp;AH$25),"MM/DD/YYYY"))))),
IF(#REF!=$E$3,
(IF(OR(AH$25&lt;1,AH$25=1,AH$25=""),"",AH$25-1))))</f>
        <v>#REF!</v>
      </c>
      <c r="AH25" s="25" t="e">
        <f>IF(#REF!=$E$2,
(IF(
(IF(AI$25&lt;1,"",_xludf.MaxIFS('Wellness Responses'!$P$2:$P1000,'Wellness Responses'!$R$2:$R1000,#REF!,'Wellness Responses'!$P$2:$P1000,"&lt;"&amp;AI$25)))&lt;1,"",
(IF(AI$25&lt;1,"",TEXT(_xludf.MaxIFS('Wellness Responses'!$P$2:$P1000,'Wellness Responses'!$R$2:$R1000,#REF!,'Wellness Responses'!$P$2:$P1000,"&lt;"&amp;AI$25),"MM/DD/YYYY"))))),
IF(#REF!=$E$3,
(IF(OR(AI$25&lt;1,AI$25=1,AI$25=""),"",AI$25-1))))</f>
        <v>#REF!</v>
      </c>
      <c r="AI25" s="25" t="e">
        <f>IF(#REF!=$E$2,
(IF(
(IF(AJ$25&lt;1,"",_xludf.MaxIFS('Wellness Responses'!$P$2:$P1000,'Wellness Responses'!$R$2:$R1000,#REF!,'Wellness Responses'!$P$2:$P1000,"&lt;"&amp;AJ$25)))&lt;1,"",
(IF(AJ$25&lt;1,"",TEXT(_xludf.MaxIFS('Wellness Responses'!$P$2:$P1000,'Wellness Responses'!$R$2:$R1000,#REF!,'Wellness Responses'!$P$2:$P1000,"&lt;"&amp;AJ$25),"MM/DD/YYYY"))))),
IF(#REF!=$E$3,
(IF(OR(AJ$25&lt;1,AJ$25=1,AJ$25=""),"",AJ$25-1))))</f>
        <v>#REF!</v>
      </c>
      <c r="AJ25" s="26" t="e">
        <f t="array" ref="AJ25">IF(#REF!=$E$2,TEXT(#REF!,"MM/DD/YYYY"),
IF(#REF!=$E$3,INDEX('Wellness Responses'!$O$2:$O1000,MATCH(#REF!,'Wellness Responses'!$P$2:$P1000,0),"")))</f>
        <v>#REF!</v>
      </c>
    </row>
    <row r="26" spans="1:36" ht="14" x14ac:dyDescent="0.25">
      <c r="A26" s="18">
        <f ca="1">IFERROR(__xludf.DUMMYFUNCTION("""COMPUTED_VALUE"""),44960)</f>
        <v>44960</v>
      </c>
      <c r="C26" s="19"/>
      <c r="D26" s="7"/>
      <c r="H26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26" s="16">
        <v>0.58333333330000003</v>
      </c>
      <c r="J26" s="16">
        <v>0.64705882349999999</v>
      </c>
      <c r="K26" s="16">
        <v>0.70833333330000003</v>
      </c>
      <c r="L26" s="16">
        <v>0.78125</v>
      </c>
      <c r="M26" s="16">
        <v>0.64236111110000005</v>
      </c>
      <c r="N26" s="16">
        <v>0.6875</v>
      </c>
      <c r="O26" s="16">
        <v>0.58455882349999999</v>
      </c>
      <c r="P26" s="16">
        <v>0.59895833330000003</v>
      </c>
      <c r="Q26" s="16">
        <v>0.60416666669999997</v>
      </c>
      <c r="R26" s="16">
        <v>0.75</v>
      </c>
      <c r="S26" s="16">
        <v>0.875</v>
      </c>
      <c r="T26" s="16">
        <v>0.6953125</v>
      </c>
      <c r="U26" s="16">
        <v>0.63888888889999995</v>
      </c>
      <c r="V26" s="16">
        <v>0.58455882349999999</v>
      </c>
      <c r="W26" s="16">
        <v>0.6730769231</v>
      </c>
      <c r="X26" s="16">
        <v>0.6755952381</v>
      </c>
      <c r="Y26" s="16">
        <v>0.66666666669999997</v>
      </c>
      <c r="Z26" s="16">
        <v>0.72916666669999997</v>
      </c>
      <c r="AA26" s="16">
        <v>0.65555555560000001</v>
      </c>
      <c r="AB26" s="16">
        <v>0.69345238099999995</v>
      </c>
      <c r="AC26" s="16">
        <v>0.5865384615</v>
      </c>
      <c r="AD26" s="16">
        <v>0.61458333330000003</v>
      </c>
      <c r="AE26" s="16">
        <v>0.65625</v>
      </c>
      <c r="AF26" s="16">
        <v>0.70138888889999995</v>
      </c>
      <c r="AG26" s="16">
        <v>0.65277777780000001</v>
      </c>
      <c r="AH26" s="16">
        <v>0.66025641030000004</v>
      </c>
      <c r="AI26" s="16">
        <v>0.68589743589999996</v>
      </c>
      <c r="AJ26" s="17">
        <v>0.6328125</v>
      </c>
    </row>
    <row r="27" spans="1:36" ht="12.5" x14ac:dyDescent="0.25">
      <c r="A27" s="18">
        <f ca="1">IFERROR(__xludf.DUMMYFUNCTION("""COMPUTED_VALUE"""),44961)</f>
        <v>44961</v>
      </c>
      <c r="C27" s="19"/>
      <c r="D27" s="7"/>
      <c r="H27" s="27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27" s="28" t="str">
        <f>IFERROR(
IF(#REF!=$E$2,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IF(AND(#REF!=$E$6,#REF!=$F$15),AVERAGEIFS(#REF!,#REF!,I$25,#REF!,#REF!))))))))))))))),
IF(#REF!=$E$3,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IF(AND(#REF!=$E$6,#REF!=$F$15),AVERAGEIFS(#REF!,#REF!,I$25,#REF!,#REF!))))))))))))))))),"")</f>
        <v/>
      </c>
      <c r="J27" s="28" t="str">
        <f>IFERROR(
IF(#REF!=$E$2,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IF(AND(#REF!=$E$6,#REF!=$F$15),AVERAGEIFS(#REF!,#REF!,J$25,#REF!,#REF!))))))))))))))),
IF(#REF!=$E$3,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IF(AND(#REF!=$E$6,#REF!=$F$15),AVERAGEIFS(#REF!,#REF!,J$25,#REF!,#REF!))))))))))))))))),"")</f>
        <v/>
      </c>
      <c r="K27" s="28" t="str">
        <f>IFERROR(
IF(#REF!=$E$2,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IF(AND(#REF!=$E$6,#REF!=$F$15),AVERAGEIFS(#REF!,#REF!,K$25,#REF!,#REF!))))))))))))))),
IF(#REF!=$E$3,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IF(AND(#REF!=$E$6,#REF!=$F$15),AVERAGEIFS(#REF!,#REF!,K$25,#REF!,#REF!))))))))))))))))),"")</f>
        <v/>
      </c>
      <c r="L27" s="28" t="str">
        <f>IFERROR(
IF(#REF!=$E$2,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IF(AND(#REF!=$E$6,#REF!=$F$15),AVERAGEIFS(#REF!,#REF!,L$25,#REF!,#REF!))))))))))))))),
IF(#REF!=$E$3,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IF(AND(#REF!=$E$6,#REF!=$F$15),AVERAGEIFS(#REF!,#REF!,L$25,#REF!,#REF!))))))))))))))))),"")</f>
        <v/>
      </c>
      <c r="M27" s="28" t="str">
        <f>IFERROR(
IF(#REF!=$E$2,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IF(AND(#REF!=$E$6,#REF!=$F$15),AVERAGEIFS(#REF!,#REF!,M$25,#REF!,#REF!))))))))))))))),
IF(#REF!=$E$3,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IF(AND(#REF!=$E$6,#REF!=$F$15),AVERAGEIFS(#REF!,#REF!,M$25,#REF!,#REF!))))))))))))))))),"")</f>
        <v/>
      </c>
      <c r="N27" s="28" t="str">
        <f>IFERROR(
IF(#REF!=$E$2,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IF(AND(#REF!=$E$6,#REF!=$F$15),AVERAGEIFS(#REF!,#REF!,N$25,#REF!,#REF!))))))))))))))),
IF(#REF!=$E$3,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IF(AND(#REF!=$E$6,#REF!=$F$15),AVERAGEIFS(#REF!,#REF!,N$25,#REF!,#REF!))))))))))))))))),"")</f>
        <v/>
      </c>
      <c r="O27" s="28" t="str">
        <f>IFERROR(
IF(#REF!=$E$2,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IF(AND(#REF!=$E$6,#REF!=$F$15),AVERAGEIFS(#REF!,#REF!,O$25,#REF!,#REF!))))))))))))))),
IF(#REF!=$E$3,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IF(AND(#REF!=$E$6,#REF!=$F$15),AVERAGEIFS(#REF!,#REF!,O$25,#REF!,#REF!))))))))))))))))),"")</f>
        <v/>
      </c>
      <c r="P27" s="28" t="str">
        <f>IFERROR(
IF(#REF!=$E$2,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IF(AND(#REF!=$E$6,#REF!=$F$15),AVERAGEIFS(#REF!,#REF!,P$25,#REF!,#REF!))))))))))))))),
IF(#REF!=$E$3,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IF(AND(#REF!=$E$6,#REF!=$F$15),AVERAGEIFS(#REF!,#REF!,P$25,#REF!,#REF!))))))))))))))))),"")</f>
        <v/>
      </c>
      <c r="Q27" s="28" t="str">
        <f>IFERROR(
IF(#REF!=$E$2,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IF(AND(#REF!=$E$6,#REF!=$F$15),AVERAGEIFS(#REF!,#REF!,Q$25,#REF!,#REF!))))))))))))))),
IF(#REF!=$E$3,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IF(AND(#REF!=$E$6,#REF!=$F$15),AVERAGEIFS(#REF!,#REF!,Q$25,#REF!,#REF!))))))))))))))))),"")</f>
        <v/>
      </c>
      <c r="R27" s="28" t="str">
        <f>IFERROR(
IF(#REF!=$E$2,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IF(AND(#REF!=$E$6,#REF!=$F$15),AVERAGEIFS(#REF!,#REF!,R$25,#REF!,#REF!))))))))))))))),
IF(#REF!=$E$3,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IF(AND(#REF!=$E$6,#REF!=$F$15),AVERAGEIFS(#REF!,#REF!,R$25,#REF!,#REF!))))))))))))))))),"")</f>
        <v/>
      </c>
      <c r="S27" s="28" t="str">
        <f>IFERROR(
IF(#REF!=$E$2,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IF(AND(#REF!=$E$6,#REF!=$F$15),AVERAGEIFS(#REF!,#REF!,S$25,#REF!,#REF!))))))))))))))),
IF(#REF!=$E$3,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IF(AND(#REF!=$E$6,#REF!=$F$15),AVERAGEIFS(#REF!,#REF!,S$25,#REF!,#REF!))))))))))))))))),"")</f>
        <v/>
      </c>
      <c r="T27" s="28" t="str">
        <f>IFERROR(
IF(#REF!=$E$2,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IF(AND(#REF!=$E$6,#REF!=$F$15),AVERAGEIFS(#REF!,#REF!,T$25,#REF!,#REF!))))))))))))))),
IF(#REF!=$E$3,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IF(AND(#REF!=$E$6,#REF!=$F$15),AVERAGEIFS(#REF!,#REF!,T$25,#REF!,#REF!))))))))))))))))),"")</f>
        <v/>
      </c>
      <c r="U27" s="28" t="str">
        <f>IFERROR(
IF(#REF!=$E$2,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IF(AND(#REF!=$E$6,#REF!=$F$15),AVERAGEIFS(#REF!,#REF!,U$25,#REF!,#REF!))))))))))))))),
IF(#REF!=$E$3,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IF(AND(#REF!=$E$6,#REF!=$F$15),AVERAGEIFS(#REF!,#REF!,U$25,#REF!,#REF!))))))))))))))))),"")</f>
        <v/>
      </c>
      <c r="V27" s="28" t="str">
        <f>IFERROR(
IF(#REF!=$E$2,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IF(AND(#REF!=$E$6,#REF!=$F$15),AVERAGEIFS(#REF!,#REF!,V$25,#REF!,#REF!))))))))))))))),
IF(#REF!=$E$3,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IF(AND(#REF!=$E$6,#REF!=$F$15),AVERAGEIFS(#REF!,#REF!,V$25,#REF!,#REF!))))))))))))))))),"")</f>
        <v/>
      </c>
      <c r="W27" s="28" t="str">
        <f>IFERROR(
IF(#REF!=$E$2,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IF(AND(#REF!=$E$6,#REF!=$F$15),AVERAGEIFS(#REF!,#REF!,W$25,#REF!,#REF!))))))))))))))),
IF(#REF!=$E$3,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IF(AND(#REF!=$E$6,#REF!=$F$15),AVERAGEIFS(#REF!,#REF!,W$25,#REF!,#REF!))))))))))))))))),"")</f>
        <v/>
      </c>
      <c r="X27" s="28" t="str">
        <f>IFERROR(
IF(#REF!=$E$2,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IF(AND(#REF!=$E$6,#REF!=$F$15),AVERAGEIFS(#REF!,#REF!,X$25,#REF!,#REF!))))))))))))))),
IF(#REF!=$E$3,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IF(AND(#REF!=$E$6,#REF!=$F$15),AVERAGEIFS(#REF!,#REF!,X$25,#REF!,#REF!))))))))))))))))),"")</f>
        <v/>
      </c>
      <c r="Y27" s="28" t="str">
        <f>IFERROR(
IF(#REF!=$E$2,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IF(AND(#REF!=$E$6,#REF!=$F$15),AVERAGEIFS(#REF!,#REF!,Y$25,#REF!,#REF!))))))))))))))),
IF(#REF!=$E$3,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IF(AND(#REF!=$E$6,#REF!=$F$15),AVERAGEIFS(#REF!,#REF!,Y$25,#REF!,#REF!))))))))))))))))),"")</f>
        <v/>
      </c>
      <c r="Z27" s="28" t="str">
        <f>IFERROR(
IF(#REF!=$E$2,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IF(AND(#REF!=$E$6,#REF!=$F$15),AVERAGEIFS(#REF!,#REF!,Z$25,#REF!,#REF!))))))))))))))),
IF(#REF!=$E$3,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IF(AND(#REF!=$E$6,#REF!=$F$15),AVERAGEIFS(#REF!,#REF!,Z$25,#REF!,#REF!))))))))))))))))),"")</f>
        <v/>
      </c>
      <c r="AA27" s="28" t="str">
        <f>IFERROR(
IF(#REF!=$E$2,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IF(AND(#REF!=$E$6,#REF!=$F$15),AVERAGEIFS(#REF!,#REF!,AA$25,#REF!,#REF!))))))))))))))),
IF(#REF!=$E$3,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IF(AND(#REF!=$E$6,#REF!=$F$15),AVERAGEIFS(#REF!,#REF!,AA$25,#REF!,#REF!))))))))))))))))),"")</f>
        <v/>
      </c>
      <c r="AB27" s="28" t="str">
        <f>IFERROR(
IF(#REF!=$E$2,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IF(AND(#REF!=$E$6,#REF!=$F$15),AVERAGEIFS(#REF!,#REF!,AB$25,#REF!,#REF!))))))))))))))),
IF(#REF!=$E$3,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IF(AND(#REF!=$E$6,#REF!=$F$15),AVERAGEIFS(#REF!,#REF!,AB$25,#REF!,#REF!))))))))))))))))),"")</f>
        <v/>
      </c>
      <c r="AC27" s="28" t="str">
        <f>IFERROR(
IF(#REF!=$E$2,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IF(AND(#REF!=$E$6,#REF!=$F$15),AVERAGEIFS(#REF!,#REF!,AC$25,#REF!,#REF!))))))))))))))),
IF(#REF!=$E$3,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IF(AND(#REF!=$E$6,#REF!=$F$15),AVERAGEIFS(#REF!,#REF!,AC$25,#REF!,#REF!))))))))))))))))),"")</f>
        <v/>
      </c>
      <c r="AD27" s="28" t="str">
        <f>IFERROR(
IF(#REF!=$E$2,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IF(AND(#REF!=$E$6,#REF!=$F$15),AVERAGEIFS(#REF!,#REF!,AD$25,#REF!,#REF!))))))))))))))),
IF(#REF!=$E$3,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IF(AND(#REF!=$E$6,#REF!=$F$15),AVERAGEIFS(#REF!,#REF!,AD$25,#REF!,#REF!))))))))))))))))),"")</f>
        <v/>
      </c>
      <c r="AE27" s="28" t="str">
        <f>IFERROR(
IF(#REF!=$E$2,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IF(AND(#REF!=$E$6,#REF!=$F$15),AVERAGEIFS(#REF!,#REF!,AE$25,#REF!,#REF!))))))))))))))),
IF(#REF!=$E$3,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IF(AND(#REF!=$E$6,#REF!=$F$15),AVERAGEIFS(#REF!,#REF!,AE$25,#REF!,#REF!))))))))))))))))),"")</f>
        <v/>
      </c>
      <c r="AF27" s="28" t="str">
        <f>IFERROR(
IF(#REF!=$E$2,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IF(AND(#REF!=$E$6,#REF!=$F$15),AVERAGEIFS(#REF!,#REF!,AF$25,#REF!,#REF!))))))))))))))),
IF(#REF!=$E$3,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IF(AND(#REF!=$E$6,#REF!=$F$15),AVERAGEIFS(#REF!,#REF!,AF$25,#REF!,#REF!))))))))))))))))),"")</f>
        <v/>
      </c>
      <c r="AG27" s="28" t="str">
        <f>IFERROR(
IF(#REF!=$E$2,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IF(AND(#REF!=$E$6,#REF!=$F$15),AVERAGEIFS(#REF!,#REF!,AG$25,#REF!,#REF!))))))))))))))),
IF(#REF!=$E$3,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IF(AND(#REF!=$E$6,#REF!=$F$15),AVERAGEIFS(#REF!,#REF!,AG$25,#REF!,#REF!))))))))))))))))),"")</f>
        <v/>
      </c>
      <c r="AH27" s="28" t="str">
        <f>IFERROR(
IF(#REF!=$E$2,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IF(AND(#REF!=$E$6,#REF!=$F$15),AVERAGEIFS(#REF!,#REF!,AH$25,#REF!,#REF!))))))))))))))),
IF(#REF!=$E$3,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IF(AND(#REF!=$E$6,#REF!=$F$15),AVERAGEIFS(#REF!,#REF!,AH$25,#REF!,#REF!))))))))))))))))),"")</f>
        <v/>
      </c>
      <c r="AI27" s="16" t="str">
        <f>IFERROR(
IF(#REF!=$E$2,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IF(AND(#REF!=$E$6,#REF!=$F$15),AVERAGEIFS(#REF!,#REF!,AI$25,#REF!,#REF!))))))))))))))),
IF(#REF!=$E$3,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IF(AND(#REF!=$E$6,#REF!=$F$15),AVERAGEIFS(#REF!,#REF!,AI$25,#REF!,#REF!))))))))))))))))),"")</f>
        <v/>
      </c>
      <c r="AJ27" s="17">
        <f>IFERROR(
IF(#REF!=$E$2,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IF(AND(#REF!=$E$6,#REF!=$F$15),AVERAGEIFS(#REF!,#REF!,AJ$25,#REF!,#REF!))))))))))))))),
IF(#REF!=$E$3,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IF(AND(#REF!=$E$6,#REF!=$F$15),AVERAGEIFS(#REF!,#REF!,AJ$25,#REF!,#REF!))))))))))))))))),0)</f>
        <v>0</v>
      </c>
    </row>
    <row r="28" spans="1:36" ht="14" x14ac:dyDescent="0.25">
      <c r="A28" s="18">
        <f ca="1">IFERROR(__xludf.DUMMYFUNCTION("""COMPUTED_VALUE"""),44962)</f>
        <v>44962</v>
      </c>
      <c r="C28" s="19"/>
      <c r="D28" s="7"/>
      <c r="H28" s="12" t="e">
        <f>IF(#REF!=$F$2,$F$2,
IF(#REF!=$F$3,$F$3,
IF(#REF!=$F$4,$F$4,
IF(#REF!=$F$5,$F$5,
IF(#REF!=$F$6,$F$6,
IF(#REF!=$F$7,$F$7,
IF(#REF!=$F$8,$F$8,
IF(#REF!=$F$9,$F$9,
IF(#REF!=$F$10,$F$10,
IF(#REF!=$F$11,$F$11,
IF(#REF!=$F$12,"Prac Session RPE",
IF(#REF!=$F$13,"Prac Chest RPE",
IF(#REF!=$F$14,"Prac Muscle RPE",
IF(#REF!=$F$15,"Prac Technical RPE",""))))))))))))))</f>
        <v>#REF!</v>
      </c>
      <c r="I28" s="16">
        <v>5.6666666670000003</v>
      </c>
      <c r="J28" s="16">
        <v>5.5882352940000004</v>
      </c>
      <c r="K28" s="16">
        <v>6</v>
      </c>
      <c r="L28" s="16">
        <v>7</v>
      </c>
      <c r="M28" s="16">
        <v>7.3888888890000004</v>
      </c>
      <c r="N28" s="16">
        <v>6.692307692</v>
      </c>
      <c r="O28" s="16">
        <v>5.4705882350000001</v>
      </c>
      <c r="P28" s="16">
        <v>5</v>
      </c>
      <c r="Q28" s="16">
        <v>6.3333333329999997</v>
      </c>
      <c r="R28" s="16">
        <v>6</v>
      </c>
      <c r="S28" s="16">
        <v>8</v>
      </c>
      <c r="T28" s="16">
        <v>7.75</v>
      </c>
      <c r="U28" s="16">
        <v>6.2222222220000001</v>
      </c>
      <c r="V28" s="16">
        <v>6.5294117649999999</v>
      </c>
      <c r="W28" s="16">
        <v>6.076923077</v>
      </c>
      <c r="X28" s="16">
        <v>6.0714285710000002</v>
      </c>
      <c r="Y28" s="16">
        <v>5.6666666670000003</v>
      </c>
      <c r="Z28" s="16">
        <v>8</v>
      </c>
      <c r="AA28" s="16">
        <v>7.6</v>
      </c>
      <c r="AB28" s="16">
        <v>6.7142857139999998</v>
      </c>
      <c r="AC28" s="16">
        <v>5.923076923</v>
      </c>
      <c r="AD28" s="16">
        <v>4.6666666670000003</v>
      </c>
      <c r="AE28" s="16">
        <v>4.4166666670000003</v>
      </c>
      <c r="AF28" s="16">
        <v>5.3333333329999997</v>
      </c>
      <c r="AG28" s="16">
        <v>6.3333333329999997</v>
      </c>
      <c r="AH28" s="16">
        <v>7.846153846</v>
      </c>
      <c r="AI28" s="16">
        <v>7</v>
      </c>
      <c r="AJ28" s="17">
        <v>5.0625</v>
      </c>
    </row>
    <row r="29" spans="1:36" ht="12.5" x14ac:dyDescent="0.25">
      <c r="A29" s="18">
        <f ca="1">IFERROR(__xludf.DUMMYFUNCTION("""COMPUTED_VALUE"""),44963)</f>
        <v>44963</v>
      </c>
      <c r="C29" s="19"/>
      <c r="D29" s="7"/>
      <c r="H29" s="29" t="e">
        <f>IF(OR(#REF!=$F$2,#REF!=$F$3,#REF!=$F$4,#REF!=$F$5,#REF!=$F$6,#REF!=$F$7,#REF!=$F$8,#REF!=$F$9,#REF!=$F$10,#REF!=$F$11),"",
IF(#REF!=$F$12,"Comp Session RPE",
IF(#REF!=$F$13,"Comp Chest RPE",
IF(#REF!=$F$14,"Comp Muscle RPE",
IF(#REF!=$F$15,"Comp Technical RPE","")))))</f>
        <v>#REF!</v>
      </c>
      <c r="I29" s="30" t="str">
        <f>IFERROR(
IF(#REF!=$E$2,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IF(AND(#REF!=$E$6,#REF!=$F$15),AVERAGEIFS(#REF!,#REF!,I$25,#REF!,#REF!))))))))))))))),
IF(#REF!=$E$3,
(IF(OR(#REF!=$F$2,#REF!=$F$3,#REF!=$F$4,#REF!=$F$5,#REF!=$F$6,#REF!=$F$7,#REF!=$F$8,#REF!=$F$9,#REF!=$F$10,#REF!=$F$11),"",
IF(AND(#REF!="Team",#REF!=$F$12),AVERAGEIFS(#REF!,#REF!,I$25),
IF(AND(#REF!=$E$5,#REF!=$F$12),AVERAGEIFS(#REF!,#REF!,I$25,#REF!,#REF!),
IF(AND(#REF!=$E$6,#REF!=$F$12),AVERAGEIFS(#REF!,#REF!,I$25,#REF!,#REF!),
IF(AND(#REF!="Team",#REF!=$F$13),AVERAGEIFS(#REF!,#REF!,I$25),
IF(AND(#REF!=$E$5,#REF!=$F$13),AVERAGEIFS(#REF!,#REF!,I$25,#REF!,#REF!),
IF(AND(#REF!=$E$6,#REF!=$F$13),AVERAGEIFS(#REF!,#REF!,I$25,#REF!,#REF!),
IF(AND(#REF!="Team",#REF!=$F$14),AVERAGEIFS(#REF!,#REF!,I$25),
IF(AND(#REF!=$E$5,#REF!=$F$14),AVERAGEIFS(#REF!,#REF!,I$25,#REF!,#REF!),
IF(AND(#REF!=$E$6,#REF!=$F$14),AVERAGEIFS(#REF!,#REF!,I$25,#REF!,#REF!),
IF(AND(#REF!="Team",#REF!=$F$15),AVERAGEIFS(#REF!,#REF!,I$25),
IF(AND(#REF!=$E$5,#REF!=$F$15),AVERAGEIFS(#REF!,#REF!,I$25,#REF!,#REF!),
IF(AND(#REF!=$E$6,#REF!=$F$15),AVERAGEIFS(#REF!,#REF!,I$25,#REF!,#REF!))))))))))))))))),"")</f>
        <v/>
      </c>
      <c r="J29" s="30" t="str">
        <f>IFERROR(
IF(#REF!=$E$2,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IF(AND(#REF!=$E$6,#REF!=$F$15),AVERAGEIFS(#REF!,#REF!,J$25,#REF!,#REF!))))))))))))))),
IF(#REF!=$E$3,
(IF(OR(#REF!=$F$2,#REF!=$F$3,#REF!=$F$4,#REF!=$F$5,#REF!=$F$6,#REF!=$F$7,#REF!=$F$8,#REF!=$F$9,#REF!=$F$10,#REF!=$F$11),"",
IF(AND(#REF!="Team",#REF!=$F$12),AVERAGEIFS(#REF!,#REF!,J$25),
IF(AND(#REF!=$E$5,#REF!=$F$12),AVERAGEIFS(#REF!,#REF!,J$25,#REF!,#REF!),
IF(AND(#REF!=$E$6,#REF!=$F$12),AVERAGEIFS(#REF!,#REF!,J$25,#REF!,#REF!),
IF(AND(#REF!="Team",#REF!=$F$13),AVERAGEIFS(#REF!,#REF!,J$25),
IF(AND(#REF!=$E$5,#REF!=$F$13),AVERAGEIFS(#REF!,#REF!,J$25,#REF!,#REF!),
IF(AND(#REF!=$E$6,#REF!=$F$13),AVERAGEIFS(#REF!,#REF!,J$25,#REF!,#REF!),
IF(AND(#REF!="Team",#REF!=$F$14),AVERAGEIFS(#REF!,#REF!,J$25),
IF(AND(#REF!=$E$5,#REF!=$F$14),AVERAGEIFS(#REF!,#REF!,J$25,#REF!,#REF!),
IF(AND(#REF!=$E$6,#REF!=$F$14),AVERAGEIFS(#REF!,#REF!,J$25,#REF!,#REF!),
IF(AND(#REF!="Team",#REF!=$F$15),AVERAGEIFS(#REF!,#REF!,J$25),
IF(AND(#REF!=$E$5,#REF!=$F$15),AVERAGEIFS(#REF!,#REF!,J$25,#REF!,#REF!),
IF(AND(#REF!=$E$6,#REF!=$F$15),AVERAGEIFS(#REF!,#REF!,J$25,#REF!,#REF!))))))))))))))))),"")</f>
        <v/>
      </c>
      <c r="K29" s="30" t="str">
        <f>IFERROR(
IF(#REF!=$E$2,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IF(AND(#REF!=$E$6,#REF!=$F$15),AVERAGEIFS(#REF!,#REF!,K$25,#REF!,#REF!))))))))))))))),
IF(#REF!=$E$3,
(IF(OR(#REF!=$F$2,#REF!=$F$3,#REF!=$F$4,#REF!=$F$5,#REF!=$F$6,#REF!=$F$7,#REF!=$F$8,#REF!=$F$9,#REF!=$F$10,#REF!=$F$11),"",
IF(AND(#REF!="Team",#REF!=$F$12),AVERAGEIFS(#REF!,#REF!,K$25),
IF(AND(#REF!=$E$5,#REF!=$F$12),AVERAGEIFS(#REF!,#REF!,K$25,#REF!,#REF!),
IF(AND(#REF!=$E$6,#REF!=$F$12),AVERAGEIFS(#REF!,#REF!,K$25,#REF!,#REF!),
IF(AND(#REF!="Team",#REF!=$F$13),AVERAGEIFS(#REF!,#REF!,K$25),
IF(AND(#REF!=$E$5,#REF!=$F$13),AVERAGEIFS(#REF!,#REF!,K$25,#REF!,#REF!),
IF(AND(#REF!=$E$6,#REF!=$F$13),AVERAGEIFS(#REF!,#REF!,K$25,#REF!,#REF!),
IF(AND(#REF!="Team",#REF!=$F$14),AVERAGEIFS(#REF!,#REF!,K$25),
IF(AND(#REF!=$E$5,#REF!=$F$14),AVERAGEIFS(#REF!,#REF!,K$25,#REF!,#REF!),
IF(AND(#REF!=$E$6,#REF!=$F$14),AVERAGEIFS(#REF!,#REF!,K$25,#REF!,#REF!),
IF(AND(#REF!="Team",#REF!=$F$15),AVERAGEIFS(#REF!,#REF!,K$25),
IF(AND(#REF!=$E$5,#REF!=$F$15),AVERAGEIFS(#REF!,#REF!,K$25,#REF!,#REF!),
IF(AND(#REF!=$E$6,#REF!=$F$15),AVERAGEIFS(#REF!,#REF!,K$25,#REF!,#REF!))))))))))))))))),"")</f>
        <v/>
      </c>
      <c r="L29" s="30" t="str">
        <f>IFERROR(
IF(#REF!=$E$2,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IF(AND(#REF!=$E$6,#REF!=$F$15),AVERAGEIFS(#REF!,#REF!,L$25,#REF!,#REF!))))))))))))))),
IF(#REF!=$E$3,
(IF(OR(#REF!=$F$2,#REF!=$F$3,#REF!=$F$4,#REF!=$F$5,#REF!=$F$6,#REF!=$F$7,#REF!=$F$8,#REF!=$F$9,#REF!=$F$10,#REF!=$F$11),"",
IF(AND(#REF!="Team",#REF!=$F$12),AVERAGEIFS(#REF!,#REF!,L$25),
IF(AND(#REF!=$E$5,#REF!=$F$12),AVERAGEIFS(#REF!,#REF!,L$25,#REF!,#REF!),
IF(AND(#REF!=$E$6,#REF!=$F$12),AVERAGEIFS(#REF!,#REF!,L$25,#REF!,#REF!),
IF(AND(#REF!="Team",#REF!=$F$13),AVERAGEIFS(#REF!,#REF!,L$25),
IF(AND(#REF!=$E$5,#REF!=$F$13),AVERAGEIFS(#REF!,#REF!,L$25,#REF!,#REF!),
IF(AND(#REF!=$E$6,#REF!=$F$13),AVERAGEIFS(#REF!,#REF!,L$25,#REF!,#REF!),
IF(AND(#REF!="Team",#REF!=$F$14),AVERAGEIFS(#REF!,#REF!,L$25),
IF(AND(#REF!=$E$5,#REF!=$F$14),AVERAGEIFS(#REF!,#REF!,L$25,#REF!,#REF!),
IF(AND(#REF!=$E$6,#REF!=$F$14),AVERAGEIFS(#REF!,#REF!,L$25,#REF!,#REF!),
IF(AND(#REF!="Team",#REF!=$F$15),AVERAGEIFS(#REF!,#REF!,L$25),
IF(AND(#REF!=$E$5,#REF!=$F$15),AVERAGEIFS(#REF!,#REF!,L$25,#REF!,#REF!),
IF(AND(#REF!=$E$6,#REF!=$F$15),AVERAGEIFS(#REF!,#REF!,L$25,#REF!,#REF!))))))))))))))))),"")</f>
        <v/>
      </c>
      <c r="M29" s="30" t="str">
        <f>IFERROR(
IF(#REF!=$E$2,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IF(AND(#REF!=$E$6,#REF!=$F$15),AVERAGEIFS(#REF!,#REF!,M$25,#REF!,#REF!))))))))))))))),
IF(#REF!=$E$3,
(IF(OR(#REF!=$F$2,#REF!=$F$3,#REF!=$F$4,#REF!=$F$5,#REF!=$F$6,#REF!=$F$7,#REF!=$F$8,#REF!=$F$9,#REF!=$F$10,#REF!=$F$11),"",
IF(AND(#REF!="Team",#REF!=$F$12),AVERAGEIFS(#REF!,#REF!,M$25),
IF(AND(#REF!=$E$5,#REF!=$F$12),AVERAGEIFS(#REF!,#REF!,M$25,#REF!,#REF!),
IF(AND(#REF!=$E$6,#REF!=$F$12),AVERAGEIFS(#REF!,#REF!,M$25,#REF!,#REF!),
IF(AND(#REF!="Team",#REF!=$F$13),AVERAGEIFS(#REF!,#REF!,M$25),
IF(AND(#REF!=$E$5,#REF!=$F$13),AVERAGEIFS(#REF!,#REF!,M$25,#REF!,#REF!),
IF(AND(#REF!=$E$6,#REF!=$F$13),AVERAGEIFS(#REF!,#REF!,M$25,#REF!,#REF!),
IF(AND(#REF!="Team",#REF!=$F$14),AVERAGEIFS(#REF!,#REF!,M$25),
IF(AND(#REF!=$E$5,#REF!=$F$14),AVERAGEIFS(#REF!,#REF!,M$25,#REF!,#REF!),
IF(AND(#REF!=$E$6,#REF!=$F$14),AVERAGEIFS(#REF!,#REF!,M$25,#REF!,#REF!),
IF(AND(#REF!="Team",#REF!=$F$15),AVERAGEIFS(#REF!,#REF!,M$25),
IF(AND(#REF!=$E$5,#REF!=$F$15),AVERAGEIFS(#REF!,#REF!,M$25,#REF!,#REF!),
IF(AND(#REF!=$E$6,#REF!=$F$15),AVERAGEIFS(#REF!,#REF!,M$25,#REF!,#REF!))))))))))))))))),"")</f>
        <v/>
      </c>
      <c r="N29" s="30" t="str">
        <f>IFERROR(
IF(#REF!=$E$2,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IF(AND(#REF!=$E$6,#REF!=$F$15),AVERAGEIFS(#REF!,#REF!,N$25,#REF!,#REF!))))))))))))))),
IF(#REF!=$E$3,
(IF(OR(#REF!=$F$2,#REF!=$F$3,#REF!=$F$4,#REF!=$F$5,#REF!=$F$6,#REF!=$F$7,#REF!=$F$8,#REF!=$F$9,#REF!=$F$10,#REF!=$F$11),"",
IF(AND(#REF!="Team",#REF!=$F$12),AVERAGEIFS(#REF!,#REF!,N$25),
IF(AND(#REF!=$E$5,#REF!=$F$12),AVERAGEIFS(#REF!,#REF!,N$25,#REF!,#REF!),
IF(AND(#REF!=$E$6,#REF!=$F$12),AVERAGEIFS(#REF!,#REF!,N$25,#REF!,#REF!),
IF(AND(#REF!="Team",#REF!=$F$13),AVERAGEIFS(#REF!,#REF!,N$25),
IF(AND(#REF!=$E$5,#REF!=$F$13),AVERAGEIFS(#REF!,#REF!,N$25,#REF!,#REF!),
IF(AND(#REF!=$E$6,#REF!=$F$13),AVERAGEIFS(#REF!,#REF!,N$25,#REF!,#REF!),
IF(AND(#REF!="Team",#REF!=$F$14),AVERAGEIFS(#REF!,#REF!,N$25),
IF(AND(#REF!=$E$5,#REF!=$F$14),AVERAGEIFS(#REF!,#REF!,N$25,#REF!,#REF!),
IF(AND(#REF!=$E$6,#REF!=$F$14),AVERAGEIFS(#REF!,#REF!,N$25,#REF!,#REF!),
IF(AND(#REF!="Team",#REF!=$F$15),AVERAGEIFS(#REF!,#REF!,N$25),
IF(AND(#REF!=$E$5,#REF!=$F$15),AVERAGEIFS(#REF!,#REF!,N$25,#REF!,#REF!),
IF(AND(#REF!=$E$6,#REF!=$F$15),AVERAGEIFS(#REF!,#REF!,N$25,#REF!,#REF!))))))))))))))))),"")</f>
        <v/>
      </c>
      <c r="O29" s="30" t="str">
        <f>IFERROR(
IF(#REF!=$E$2,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IF(AND(#REF!=$E$6,#REF!=$F$15),AVERAGEIFS(#REF!,#REF!,O$25,#REF!,#REF!))))))))))))))),
IF(#REF!=$E$3,
(IF(OR(#REF!=$F$2,#REF!=$F$3,#REF!=$F$4,#REF!=$F$5,#REF!=$F$6,#REF!=$F$7,#REF!=$F$8,#REF!=$F$9,#REF!=$F$10,#REF!=$F$11),"",
IF(AND(#REF!="Team",#REF!=$F$12),AVERAGEIFS(#REF!,#REF!,O$25),
IF(AND(#REF!=$E$5,#REF!=$F$12),AVERAGEIFS(#REF!,#REF!,O$25,#REF!,#REF!),
IF(AND(#REF!=$E$6,#REF!=$F$12),AVERAGEIFS(#REF!,#REF!,O$25,#REF!,#REF!),
IF(AND(#REF!="Team",#REF!=$F$13),AVERAGEIFS(#REF!,#REF!,O$25),
IF(AND(#REF!=$E$5,#REF!=$F$13),AVERAGEIFS(#REF!,#REF!,O$25,#REF!,#REF!),
IF(AND(#REF!=$E$6,#REF!=$F$13),AVERAGEIFS(#REF!,#REF!,O$25,#REF!,#REF!),
IF(AND(#REF!="Team",#REF!=$F$14),AVERAGEIFS(#REF!,#REF!,O$25),
IF(AND(#REF!=$E$5,#REF!=$F$14),AVERAGEIFS(#REF!,#REF!,O$25,#REF!,#REF!),
IF(AND(#REF!=$E$6,#REF!=$F$14),AVERAGEIFS(#REF!,#REF!,O$25,#REF!,#REF!),
IF(AND(#REF!="Team",#REF!=$F$15),AVERAGEIFS(#REF!,#REF!,O$25),
IF(AND(#REF!=$E$5,#REF!=$F$15),AVERAGEIFS(#REF!,#REF!,O$25,#REF!,#REF!),
IF(AND(#REF!=$E$6,#REF!=$F$15),AVERAGEIFS(#REF!,#REF!,O$25,#REF!,#REF!))))))))))))))))),"")</f>
        <v/>
      </c>
      <c r="P29" s="30" t="str">
        <f>IFERROR(
IF(#REF!=$E$2,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IF(AND(#REF!=$E$6,#REF!=$F$15),AVERAGEIFS(#REF!,#REF!,P$25,#REF!,#REF!))))))))))))))),
IF(#REF!=$E$3,
(IF(OR(#REF!=$F$2,#REF!=$F$3,#REF!=$F$4,#REF!=$F$5,#REF!=$F$6,#REF!=$F$7,#REF!=$F$8,#REF!=$F$9,#REF!=$F$10,#REF!=$F$11),"",
IF(AND(#REF!="Team",#REF!=$F$12),AVERAGEIFS(#REF!,#REF!,P$25),
IF(AND(#REF!=$E$5,#REF!=$F$12),AVERAGEIFS(#REF!,#REF!,P$25,#REF!,#REF!),
IF(AND(#REF!=$E$6,#REF!=$F$12),AVERAGEIFS(#REF!,#REF!,P$25,#REF!,#REF!),
IF(AND(#REF!="Team",#REF!=$F$13),AVERAGEIFS(#REF!,#REF!,P$25),
IF(AND(#REF!=$E$5,#REF!=$F$13),AVERAGEIFS(#REF!,#REF!,P$25,#REF!,#REF!),
IF(AND(#REF!=$E$6,#REF!=$F$13),AVERAGEIFS(#REF!,#REF!,P$25,#REF!,#REF!),
IF(AND(#REF!="Team",#REF!=$F$14),AVERAGEIFS(#REF!,#REF!,P$25),
IF(AND(#REF!=$E$5,#REF!=$F$14),AVERAGEIFS(#REF!,#REF!,P$25,#REF!,#REF!),
IF(AND(#REF!=$E$6,#REF!=$F$14),AVERAGEIFS(#REF!,#REF!,P$25,#REF!,#REF!),
IF(AND(#REF!="Team",#REF!=$F$15),AVERAGEIFS(#REF!,#REF!,P$25),
IF(AND(#REF!=$E$5,#REF!=$F$15),AVERAGEIFS(#REF!,#REF!,P$25,#REF!,#REF!),
IF(AND(#REF!=$E$6,#REF!=$F$15),AVERAGEIFS(#REF!,#REF!,P$25,#REF!,#REF!))))))))))))))))),"")</f>
        <v/>
      </c>
      <c r="Q29" s="30" t="str">
        <f>IFERROR(
IF(#REF!=$E$2,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IF(AND(#REF!=$E$6,#REF!=$F$15),AVERAGEIFS(#REF!,#REF!,Q$25,#REF!,#REF!))))))))))))))),
IF(#REF!=$E$3,
(IF(OR(#REF!=$F$2,#REF!=$F$3,#REF!=$F$4,#REF!=$F$5,#REF!=$F$6,#REF!=$F$7,#REF!=$F$8,#REF!=$F$9,#REF!=$F$10,#REF!=$F$11),"",
IF(AND(#REF!="Team",#REF!=$F$12),AVERAGEIFS(#REF!,#REF!,Q$25),
IF(AND(#REF!=$E$5,#REF!=$F$12),AVERAGEIFS(#REF!,#REF!,Q$25,#REF!,#REF!),
IF(AND(#REF!=$E$6,#REF!=$F$12),AVERAGEIFS(#REF!,#REF!,Q$25,#REF!,#REF!),
IF(AND(#REF!="Team",#REF!=$F$13),AVERAGEIFS(#REF!,#REF!,Q$25),
IF(AND(#REF!=$E$5,#REF!=$F$13),AVERAGEIFS(#REF!,#REF!,Q$25,#REF!,#REF!),
IF(AND(#REF!=$E$6,#REF!=$F$13),AVERAGEIFS(#REF!,#REF!,Q$25,#REF!,#REF!),
IF(AND(#REF!="Team",#REF!=$F$14),AVERAGEIFS(#REF!,#REF!,Q$25),
IF(AND(#REF!=$E$5,#REF!=$F$14),AVERAGEIFS(#REF!,#REF!,Q$25,#REF!,#REF!),
IF(AND(#REF!=$E$6,#REF!=$F$14),AVERAGEIFS(#REF!,#REF!,Q$25,#REF!,#REF!),
IF(AND(#REF!="Team",#REF!=$F$15),AVERAGEIFS(#REF!,#REF!,Q$25),
IF(AND(#REF!=$E$5,#REF!=$F$15),AVERAGEIFS(#REF!,#REF!,Q$25,#REF!,#REF!),
IF(AND(#REF!=$E$6,#REF!=$F$15),AVERAGEIFS(#REF!,#REF!,Q$25,#REF!,#REF!))))))))))))))))),"")</f>
        <v/>
      </c>
      <c r="R29" s="30" t="str">
        <f>IFERROR(
IF(#REF!=$E$2,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IF(AND(#REF!=$E$6,#REF!=$F$15),AVERAGEIFS(#REF!,#REF!,R$25,#REF!,#REF!))))))))))))))),
IF(#REF!=$E$3,
(IF(OR(#REF!=$F$2,#REF!=$F$3,#REF!=$F$4,#REF!=$F$5,#REF!=$F$6,#REF!=$F$7,#REF!=$F$8,#REF!=$F$9,#REF!=$F$10,#REF!=$F$11),"",
IF(AND(#REF!="Team",#REF!=$F$12),AVERAGEIFS(#REF!,#REF!,R$25),
IF(AND(#REF!=$E$5,#REF!=$F$12),AVERAGEIFS(#REF!,#REF!,R$25,#REF!,#REF!),
IF(AND(#REF!=$E$6,#REF!=$F$12),AVERAGEIFS(#REF!,#REF!,R$25,#REF!,#REF!),
IF(AND(#REF!="Team",#REF!=$F$13),AVERAGEIFS(#REF!,#REF!,R$25),
IF(AND(#REF!=$E$5,#REF!=$F$13),AVERAGEIFS(#REF!,#REF!,R$25,#REF!,#REF!),
IF(AND(#REF!=$E$6,#REF!=$F$13),AVERAGEIFS(#REF!,#REF!,R$25,#REF!,#REF!),
IF(AND(#REF!="Team",#REF!=$F$14),AVERAGEIFS(#REF!,#REF!,R$25),
IF(AND(#REF!=$E$5,#REF!=$F$14),AVERAGEIFS(#REF!,#REF!,R$25,#REF!,#REF!),
IF(AND(#REF!=$E$6,#REF!=$F$14),AVERAGEIFS(#REF!,#REF!,R$25,#REF!,#REF!),
IF(AND(#REF!="Team",#REF!=$F$15),AVERAGEIFS(#REF!,#REF!,R$25),
IF(AND(#REF!=$E$5,#REF!=$F$15),AVERAGEIFS(#REF!,#REF!,R$25,#REF!,#REF!),
IF(AND(#REF!=$E$6,#REF!=$F$15),AVERAGEIFS(#REF!,#REF!,R$25,#REF!,#REF!))))))))))))))))),"")</f>
        <v/>
      </c>
      <c r="S29" s="30" t="str">
        <f>IFERROR(
IF(#REF!=$E$2,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IF(AND(#REF!=$E$6,#REF!=$F$15),AVERAGEIFS(#REF!,#REF!,S$25,#REF!,#REF!))))))))))))))),
IF(#REF!=$E$3,
(IF(OR(#REF!=$F$2,#REF!=$F$3,#REF!=$F$4,#REF!=$F$5,#REF!=$F$6,#REF!=$F$7,#REF!=$F$8,#REF!=$F$9,#REF!=$F$10,#REF!=$F$11),"",
IF(AND(#REF!="Team",#REF!=$F$12),AVERAGEIFS(#REF!,#REF!,S$25),
IF(AND(#REF!=$E$5,#REF!=$F$12),AVERAGEIFS(#REF!,#REF!,S$25,#REF!,#REF!),
IF(AND(#REF!=$E$6,#REF!=$F$12),AVERAGEIFS(#REF!,#REF!,S$25,#REF!,#REF!),
IF(AND(#REF!="Team",#REF!=$F$13),AVERAGEIFS(#REF!,#REF!,S$25),
IF(AND(#REF!=$E$5,#REF!=$F$13),AVERAGEIFS(#REF!,#REF!,S$25,#REF!,#REF!),
IF(AND(#REF!=$E$6,#REF!=$F$13),AVERAGEIFS(#REF!,#REF!,S$25,#REF!,#REF!),
IF(AND(#REF!="Team",#REF!=$F$14),AVERAGEIFS(#REF!,#REF!,S$25),
IF(AND(#REF!=$E$5,#REF!=$F$14),AVERAGEIFS(#REF!,#REF!,S$25,#REF!,#REF!),
IF(AND(#REF!=$E$6,#REF!=$F$14),AVERAGEIFS(#REF!,#REF!,S$25,#REF!,#REF!),
IF(AND(#REF!="Team",#REF!=$F$15),AVERAGEIFS(#REF!,#REF!,S$25),
IF(AND(#REF!=$E$5,#REF!=$F$15),AVERAGEIFS(#REF!,#REF!,S$25,#REF!,#REF!),
IF(AND(#REF!=$E$6,#REF!=$F$15),AVERAGEIFS(#REF!,#REF!,S$25,#REF!,#REF!))))))))))))))))),"")</f>
        <v/>
      </c>
      <c r="T29" s="30" t="str">
        <f>IFERROR(
IF(#REF!=$E$2,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IF(AND(#REF!=$E$6,#REF!=$F$15),AVERAGEIFS(#REF!,#REF!,T$25,#REF!,#REF!))))))))))))))),
IF(#REF!=$E$3,
(IF(OR(#REF!=$F$2,#REF!=$F$3,#REF!=$F$4,#REF!=$F$5,#REF!=$F$6,#REF!=$F$7,#REF!=$F$8,#REF!=$F$9,#REF!=$F$10,#REF!=$F$11),"",
IF(AND(#REF!="Team",#REF!=$F$12),AVERAGEIFS(#REF!,#REF!,T$25),
IF(AND(#REF!=$E$5,#REF!=$F$12),AVERAGEIFS(#REF!,#REF!,T$25,#REF!,#REF!),
IF(AND(#REF!=$E$6,#REF!=$F$12),AVERAGEIFS(#REF!,#REF!,T$25,#REF!,#REF!),
IF(AND(#REF!="Team",#REF!=$F$13),AVERAGEIFS(#REF!,#REF!,T$25),
IF(AND(#REF!=$E$5,#REF!=$F$13),AVERAGEIFS(#REF!,#REF!,T$25,#REF!,#REF!),
IF(AND(#REF!=$E$6,#REF!=$F$13),AVERAGEIFS(#REF!,#REF!,T$25,#REF!,#REF!),
IF(AND(#REF!="Team",#REF!=$F$14),AVERAGEIFS(#REF!,#REF!,T$25),
IF(AND(#REF!=$E$5,#REF!=$F$14),AVERAGEIFS(#REF!,#REF!,T$25,#REF!,#REF!),
IF(AND(#REF!=$E$6,#REF!=$F$14),AVERAGEIFS(#REF!,#REF!,T$25,#REF!,#REF!),
IF(AND(#REF!="Team",#REF!=$F$15),AVERAGEIFS(#REF!,#REF!,T$25),
IF(AND(#REF!=$E$5,#REF!=$F$15),AVERAGEIFS(#REF!,#REF!,T$25,#REF!,#REF!),
IF(AND(#REF!=$E$6,#REF!=$F$15),AVERAGEIFS(#REF!,#REF!,T$25,#REF!,#REF!))))))))))))))))),"")</f>
        <v/>
      </c>
      <c r="U29" s="30" t="str">
        <f>IFERROR(
IF(#REF!=$E$2,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IF(AND(#REF!=$E$6,#REF!=$F$15),AVERAGEIFS(#REF!,#REF!,U$25,#REF!,#REF!))))))))))))))),
IF(#REF!=$E$3,
(IF(OR(#REF!=$F$2,#REF!=$F$3,#REF!=$F$4,#REF!=$F$5,#REF!=$F$6,#REF!=$F$7,#REF!=$F$8,#REF!=$F$9,#REF!=$F$10,#REF!=$F$11),"",
IF(AND(#REF!="Team",#REF!=$F$12),AVERAGEIFS(#REF!,#REF!,U$25),
IF(AND(#REF!=$E$5,#REF!=$F$12),AVERAGEIFS(#REF!,#REF!,U$25,#REF!,#REF!),
IF(AND(#REF!=$E$6,#REF!=$F$12),AVERAGEIFS(#REF!,#REF!,U$25,#REF!,#REF!),
IF(AND(#REF!="Team",#REF!=$F$13),AVERAGEIFS(#REF!,#REF!,U$25),
IF(AND(#REF!=$E$5,#REF!=$F$13),AVERAGEIFS(#REF!,#REF!,U$25,#REF!,#REF!),
IF(AND(#REF!=$E$6,#REF!=$F$13),AVERAGEIFS(#REF!,#REF!,U$25,#REF!,#REF!),
IF(AND(#REF!="Team",#REF!=$F$14),AVERAGEIFS(#REF!,#REF!,U$25),
IF(AND(#REF!=$E$5,#REF!=$F$14),AVERAGEIFS(#REF!,#REF!,U$25,#REF!,#REF!),
IF(AND(#REF!=$E$6,#REF!=$F$14),AVERAGEIFS(#REF!,#REF!,U$25,#REF!,#REF!),
IF(AND(#REF!="Team",#REF!=$F$15),AVERAGEIFS(#REF!,#REF!,U$25),
IF(AND(#REF!=$E$5,#REF!=$F$15),AVERAGEIFS(#REF!,#REF!,U$25,#REF!,#REF!),
IF(AND(#REF!=$E$6,#REF!=$F$15),AVERAGEIFS(#REF!,#REF!,U$25,#REF!,#REF!))))))))))))))))),"")</f>
        <v/>
      </c>
      <c r="V29" s="30" t="str">
        <f>IFERROR(
IF(#REF!=$E$2,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IF(AND(#REF!=$E$6,#REF!=$F$15),AVERAGEIFS(#REF!,#REF!,V$25,#REF!,#REF!))))))))))))))),
IF(#REF!=$E$3,
(IF(OR(#REF!=$F$2,#REF!=$F$3,#REF!=$F$4,#REF!=$F$5,#REF!=$F$6,#REF!=$F$7,#REF!=$F$8,#REF!=$F$9,#REF!=$F$10,#REF!=$F$11),"",
IF(AND(#REF!="Team",#REF!=$F$12),AVERAGEIFS(#REF!,#REF!,V$25),
IF(AND(#REF!=$E$5,#REF!=$F$12),AVERAGEIFS(#REF!,#REF!,V$25,#REF!,#REF!),
IF(AND(#REF!=$E$6,#REF!=$F$12),AVERAGEIFS(#REF!,#REF!,V$25,#REF!,#REF!),
IF(AND(#REF!="Team",#REF!=$F$13),AVERAGEIFS(#REF!,#REF!,V$25),
IF(AND(#REF!=$E$5,#REF!=$F$13),AVERAGEIFS(#REF!,#REF!,V$25,#REF!,#REF!),
IF(AND(#REF!=$E$6,#REF!=$F$13),AVERAGEIFS(#REF!,#REF!,V$25,#REF!,#REF!),
IF(AND(#REF!="Team",#REF!=$F$14),AVERAGEIFS(#REF!,#REF!,V$25),
IF(AND(#REF!=$E$5,#REF!=$F$14),AVERAGEIFS(#REF!,#REF!,V$25,#REF!,#REF!),
IF(AND(#REF!=$E$6,#REF!=$F$14),AVERAGEIFS(#REF!,#REF!,V$25,#REF!,#REF!),
IF(AND(#REF!="Team",#REF!=$F$15),AVERAGEIFS(#REF!,#REF!,V$25),
IF(AND(#REF!=$E$5,#REF!=$F$15),AVERAGEIFS(#REF!,#REF!,V$25,#REF!,#REF!),
IF(AND(#REF!=$E$6,#REF!=$F$15),AVERAGEIFS(#REF!,#REF!,V$25,#REF!,#REF!))))))))))))))))),"")</f>
        <v/>
      </c>
      <c r="W29" s="30" t="str">
        <f>IFERROR(
IF(#REF!=$E$2,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IF(AND(#REF!=$E$6,#REF!=$F$15),AVERAGEIFS(#REF!,#REF!,W$25,#REF!,#REF!))))))))))))))),
IF(#REF!=$E$3,
(IF(OR(#REF!=$F$2,#REF!=$F$3,#REF!=$F$4,#REF!=$F$5,#REF!=$F$6,#REF!=$F$7,#REF!=$F$8,#REF!=$F$9,#REF!=$F$10,#REF!=$F$11),"",
IF(AND(#REF!="Team",#REF!=$F$12),AVERAGEIFS(#REF!,#REF!,W$25),
IF(AND(#REF!=$E$5,#REF!=$F$12),AVERAGEIFS(#REF!,#REF!,W$25,#REF!,#REF!),
IF(AND(#REF!=$E$6,#REF!=$F$12),AVERAGEIFS(#REF!,#REF!,W$25,#REF!,#REF!),
IF(AND(#REF!="Team",#REF!=$F$13),AVERAGEIFS(#REF!,#REF!,W$25),
IF(AND(#REF!=$E$5,#REF!=$F$13),AVERAGEIFS(#REF!,#REF!,W$25,#REF!,#REF!),
IF(AND(#REF!=$E$6,#REF!=$F$13),AVERAGEIFS(#REF!,#REF!,W$25,#REF!,#REF!),
IF(AND(#REF!="Team",#REF!=$F$14),AVERAGEIFS(#REF!,#REF!,W$25),
IF(AND(#REF!=$E$5,#REF!=$F$14),AVERAGEIFS(#REF!,#REF!,W$25,#REF!,#REF!),
IF(AND(#REF!=$E$6,#REF!=$F$14),AVERAGEIFS(#REF!,#REF!,W$25,#REF!,#REF!),
IF(AND(#REF!="Team",#REF!=$F$15),AVERAGEIFS(#REF!,#REF!,W$25),
IF(AND(#REF!=$E$5,#REF!=$F$15),AVERAGEIFS(#REF!,#REF!,W$25,#REF!,#REF!),
IF(AND(#REF!=$E$6,#REF!=$F$15),AVERAGEIFS(#REF!,#REF!,W$25,#REF!,#REF!))))))))))))))))),"")</f>
        <v/>
      </c>
      <c r="X29" s="30" t="str">
        <f>IFERROR(
IF(#REF!=$E$2,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IF(AND(#REF!=$E$6,#REF!=$F$15),AVERAGEIFS(#REF!,#REF!,X$25,#REF!,#REF!))))))))))))))),
IF(#REF!=$E$3,
(IF(OR(#REF!=$F$2,#REF!=$F$3,#REF!=$F$4,#REF!=$F$5,#REF!=$F$6,#REF!=$F$7,#REF!=$F$8,#REF!=$F$9,#REF!=$F$10,#REF!=$F$11),"",
IF(AND(#REF!="Team",#REF!=$F$12),AVERAGEIFS(#REF!,#REF!,X$25),
IF(AND(#REF!=$E$5,#REF!=$F$12),AVERAGEIFS(#REF!,#REF!,X$25,#REF!,#REF!),
IF(AND(#REF!=$E$6,#REF!=$F$12),AVERAGEIFS(#REF!,#REF!,X$25,#REF!,#REF!),
IF(AND(#REF!="Team",#REF!=$F$13),AVERAGEIFS(#REF!,#REF!,X$25),
IF(AND(#REF!=$E$5,#REF!=$F$13),AVERAGEIFS(#REF!,#REF!,X$25,#REF!,#REF!),
IF(AND(#REF!=$E$6,#REF!=$F$13),AVERAGEIFS(#REF!,#REF!,X$25,#REF!,#REF!),
IF(AND(#REF!="Team",#REF!=$F$14),AVERAGEIFS(#REF!,#REF!,X$25),
IF(AND(#REF!=$E$5,#REF!=$F$14),AVERAGEIFS(#REF!,#REF!,X$25,#REF!,#REF!),
IF(AND(#REF!=$E$6,#REF!=$F$14),AVERAGEIFS(#REF!,#REF!,X$25,#REF!,#REF!),
IF(AND(#REF!="Team",#REF!=$F$15),AVERAGEIFS(#REF!,#REF!,X$25),
IF(AND(#REF!=$E$5,#REF!=$F$15),AVERAGEIFS(#REF!,#REF!,X$25,#REF!,#REF!),
IF(AND(#REF!=$E$6,#REF!=$F$15),AVERAGEIFS(#REF!,#REF!,X$25,#REF!,#REF!))))))))))))))))),"")</f>
        <v/>
      </c>
      <c r="Y29" s="30" t="str">
        <f>IFERROR(
IF(#REF!=$E$2,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IF(AND(#REF!=$E$6,#REF!=$F$15),AVERAGEIFS(#REF!,#REF!,Y$25,#REF!,#REF!))))))))))))))),
IF(#REF!=$E$3,
(IF(OR(#REF!=$F$2,#REF!=$F$3,#REF!=$F$4,#REF!=$F$5,#REF!=$F$6,#REF!=$F$7,#REF!=$F$8,#REF!=$F$9,#REF!=$F$10,#REF!=$F$11),"",
IF(AND(#REF!="Team",#REF!=$F$12),AVERAGEIFS(#REF!,#REF!,Y$25),
IF(AND(#REF!=$E$5,#REF!=$F$12),AVERAGEIFS(#REF!,#REF!,Y$25,#REF!,#REF!),
IF(AND(#REF!=$E$6,#REF!=$F$12),AVERAGEIFS(#REF!,#REF!,Y$25,#REF!,#REF!),
IF(AND(#REF!="Team",#REF!=$F$13),AVERAGEIFS(#REF!,#REF!,Y$25),
IF(AND(#REF!=$E$5,#REF!=$F$13),AVERAGEIFS(#REF!,#REF!,Y$25,#REF!,#REF!),
IF(AND(#REF!=$E$6,#REF!=$F$13),AVERAGEIFS(#REF!,#REF!,Y$25,#REF!,#REF!),
IF(AND(#REF!="Team",#REF!=$F$14),AVERAGEIFS(#REF!,#REF!,Y$25),
IF(AND(#REF!=$E$5,#REF!=$F$14),AVERAGEIFS(#REF!,#REF!,Y$25,#REF!,#REF!),
IF(AND(#REF!=$E$6,#REF!=$F$14),AVERAGEIFS(#REF!,#REF!,Y$25,#REF!,#REF!),
IF(AND(#REF!="Team",#REF!=$F$15),AVERAGEIFS(#REF!,#REF!,Y$25),
IF(AND(#REF!=$E$5,#REF!=$F$15),AVERAGEIFS(#REF!,#REF!,Y$25,#REF!,#REF!),
IF(AND(#REF!=$E$6,#REF!=$F$15),AVERAGEIFS(#REF!,#REF!,Y$25,#REF!,#REF!))))))))))))))))),"")</f>
        <v/>
      </c>
      <c r="Z29" s="30" t="str">
        <f>IFERROR(
IF(#REF!=$E$2,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IF(AND(#REF!=$E$6,#REF!=$F$15),AVERAGEIFS(#REF!,#REF!,Z$25,#REF!,#REF!))))))))))))))),
IF(#REF!=$E$3,
(IF(OR(#REF!=$F$2,#REF!=$F$3,#REF!=$F$4,#REF!=$F$5,#REF!=$F$6,#REF!=$F$7,#REF!=$F$8,#REF!=$F$9,#REF!=$F$10,#REF!=$F$11),"",
IF(AND(#REF!="Team",#REF!=$F$12),AVERAGEIFS(#REF!,#REF!,Z$25),
IF(AND(#REF!=$E$5,#REF!=$F$12),AVERAGEIFS(#REF!,#REF!,Z$25,#REF!,#REF!),
IF(AND(#REF!=$E$6,#REF!=$F$12),AVERAGEIFS(#REF!,#REF!,Z$25,#REF!,#REF!),
IF(AND(#REF!="Team",#REF!=$F$13),AVERAGEIFS(#REF!,#REF!,Z$25),
IF(AND(#REF!=$E$5,#REF!=$F$13),AVERAGEIFS(#REF!,#REF!,Z$25,#REF!,#REF!),
IF(AND(#REF!=$E$6,#REF!=$F$13),AVERAGEIFS(#REF!,#REF!,Z$25,#REF!,#REF!),
IF(AND(#REF!="Team",#REF!=$F$14),AVERAGEIFS(#REF!,#REF!,Z$25),
IF(AND(#REF!=$E$5,#REF!=$F$14),AVERAGEIFS(#REF!,#REF!,Z$25,#REF!,#REF!),
IF(AND(#REF!=$E$6,#REF!=$F$14),AVERAGEIFS(#REF!,#REF!,Z$25,#REF!,#REF!),
IF(AND(#REF!="Team",#REF!=$F$15),AVERAGEIFS(#REF!,#REF!,Z$25),
IF(AND(#REF!=$E$5,#REF!=$F$15),AVERAGEIFS(#REF!,#REF!,Z$25,#REF!,#REF!),
IF(AND(#REF!=$E$6,#REF!=$F$15),AVERAGEIFS(#REF!,#REF!,Z$25,#REF!,#REF!))))))))))))))))),"")</f>
        <v/>
      </c>
      <c r="AA29" s="30" t="str">
        <f>IFERROR(
IF(#REF!=$E$2,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IF(AND(#REF!=$E$6,#REF!=$F$15),AVERAGEIFS(#REF!,#REF!,AA$25,#REF!,#REF!))))))))))))))),
IF(#REF!=$E$3,
(IF(OR(#REF!=$F$2,#REF!=$F$3,#REF!=$F$4,#REF!=$F$5,#REF!=$F$6,#REF!=$F$7,#REF!=$F$8,#REF!=$F$9,#REF!=$F$10,#REF!=$F$11),"",
IF(AND(#REF!="Team",#REF!=$F$12),AVERAGEIFS(#REF!,#REF!,AA$25),
IF(AND(#REF!=$E$5,#REF!=$F$12),AVERAGEIFS(#REF!,#REF!,AA$25,#REF!,#REF!),
IF(AND(#REF!=$E$6,#REF!=$F$12),AVERAGEIFS(#REF!,#REF!,AA$25,#REF!,#REF!),
IF(AND(#REF!="Team",#REF!=$F$13),AVERAGEIFS(#REF!,#REF!,AA$25),
IF(AND(#REF!=$E$5,#REF!=$F$13),AVERAGEIFS(#REF!,#REF!,AA$25,#REF!,#REF!),
IF(AND(#REF!=$E$6,#REF!=$F$13),AVERAGEIFS(#REF!,#REF!,AA$25,#REF!,#REF!),
IF(AND(#REF!="Team",#REF!=$F$14),AVERAGEIFS(#REF!,#REF!,AA$25),
IF(AND(#REF!=$E$5,#REF!=$F$14),AVERAGEIFS(#REF!,#REF!,AA$25,#REF!,#REF!),
IF(AND(#REF!=$E$6,#REF!=$F$14),AVERAGEIFS(#REF!,#REF!,AA$25,#REF!,#REF!),
IF(AND(#REF!="Team",#REF!=$F$15),AVERAGEIFS(#REF!,#REF!,AA$25),
IF(AND(#REF!=$E$5,#REF!=$F$15),AVERAGEIFS(#REF!,#REF!,AA$25,#REF!,#REF!),
IF(AND(#REF!=$E$6,#REF!=$F$15),AVERAGEIFS(#REF!,#REF!,AA$25,#REF!,#REF!))))))))))))))))),"")</f>
        <v/>
      </c>
      <c r="AB29" s="30" t="str">
        <f>IFERROR(
IF(#REF!=$E$2,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IF(AND(#REF!=$E$6,#REF!=$F$15),AVERAGEIFS(#REF!,#REF!,AB$25,#REF!,#REF!))))))))))))))),
IF(#REF!=$E$3,
(IF(OR(#REF!=$F$2,#REF!=$F$3,#REF!=$F$4,#REF!=$F$5,#REF!=$F$6,#REF!=$F$7,#REF!=$F$8,#REF!=$F$9,#REF!=$F$10,#REF!=$F$11),"",
IF(AND(#REF!="Team",#REF!=$F$12),AVERAGEIFS(#REF!,#REF!,AB$25),
IF(AND(#REF!=$E$5,#REF!=$F$12),AVERAGEIFS(#REF!,#REF!,AB$25,#REF!,#REF!),
IF(AND(#REF!=$E$6,#REF!=$F$12),AVERAGEIFS(#REF!,#REF!,AB$25,#REF!,#REF!),
IF(AND(#REF!="Team",#REF!=$F$13),AVERAGEIFS(#REF!,#REF!,AB$25),
IF(AND(#REF!=$E$5,#REF!=$F$13),AVERAGEIFS(#REF!,#REF!,AB$25,#REF!,#REF!),
IF(AND(#REF!=$E$6,#REF!=$F$13),AVERAGEIFS(#REF!,#REF!,AB$25,#REF!,#REF!),
IF(AND(#REF!="Team",#REF!=$F$14),AVERAGEIFS(#REF!,#REF!,AB$25),
IF(AND(#REF!=$E$5,#REF!=$F$14),AVERAGEIFS(#REF!,#REF!,AB$25,#REF!,#REF!),
IF(AND(#REF!=$E$6,#REF!=$F$14),AVERAGEIFS(#REF!,#REF!,AB$25,#REF!,#REF!),
IF(AND(#REF!="Team",#REF!=$F$15),AVERAGEIFS(#REF!,#REF!,AB$25),
IF(AND(#REF!=$E$5,#REF!=$F$15),AVERAGEIFS(#REF!,#REF!,AB$25,#REF!,#REF!),
IF(AND(#REF!=$E$6,#REF!=$F$15),AVERAGEIFS(#REF!,#REF!,AB$25,#REF!,#REF!))))))))))))))))),"")</f>
        <v/>
      </c>
      <c r="AC29" s="30" t="str">
        <f>IFERROR(
IF(#REF!=$E$2,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IF(AND(#REF!=$E$6,#REF!=$F$15),AVERAGEIFS(#REF!,#REF!,AC$25,#REF!,#REF!))))))))))))))),
IF(#REF!=$E$3,
(IF(OR(#REF!=$F$2,#REF!=$F$3,#REF!=$F$4,#REF!=$F$5,#REF!=$F$6,#REF!=$F$7,#REF!=$F$8,#REF!=$F$9,#REF!=$F$10,#REF!=$F$11),"",
IF(AND(#REF!="Team",#REF!=$F$12),AVERAGEIFS(#REF!,#REF!,AC$25),
IF(AND(#REF!=$E$5,#REF!=$F$12),AVERAGEIFS(#REF!,#REF!,AC$25,#REF!,#REF!),
IF(AND(#REF!=$E$6,#REF!=$F$12),AVERAGEIFS(#REF!,#REF!,AC$25,#REF!,#REF!),
IF(AND(#REF!="Team",#REF!=$F$13),AVERAGEIFS(#REF!,#REF!,AC$25),
IF(AND(#REF!=$E$5,#REF!=$F$13),AVERAGEIFS(#REF!,#REF!,AC$25,#REF!,#REF!),
IF(AND(#REF!=$E$6,#REF!=$F$13),AVERAGEIFS(#REF!,#REF!,AC$25,#REF!,#REF!),
IF(AND(#REF!="Team",#REF!=$F$14),AVERAGEIFS(#REF!,#REF!,AC$25),
IF(AND(#REF!=$E$5,#REF!=$F$14),AVERAGEIFS(#REF!,#REF!,AC$25,#REF!,#REF!),
IF(AND(#REF!=$E$6,#REF!=$F$14),AVERAGEIFS(#REF!,#REF!,AC$25,#REF!,#REF!),
IF(AND(#REF!="Team",#REF!=$F$15),AVERAGEIFS(#REF!,#REF!,AC$25),
IF(AND(#REF!=$E$5,#REF!=$F$15),AVERAGEIFS(#REF!,#REF!,AC$25,#REF!,#REF!),
IF(AND(#REF!=$E$6,#REF!=$F$15),AVERAGEIFS(#REF!,#REF!,AC$25,#REF!,#REF!))))))))))))))))),"")</f>
        <v/>
      </c>
      <c r="AD29" s="30" t="str">
        <f>IFERROR(
IF(#REF!=$E$2,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IF(AND(#REF!=$E$6,#REF!=$F$15),AVERAGEIFS(#REF!,#REF!,AD$25,#REF!,#REF!))))))))))))))),
IF(#REF!=$E$3,
(IF(OR(#REF!=$F$2,#REF!=$F$3,#REF!=$F$4,#REF!=$F$5,#REF!=$F$6,#REF!=$F$7,#REF!=$F$8,#REF!=$F$9,#REF!=$F$10,#REF!=$F$11),"",
IF(AND(#REF!="Team",#REF!=$F$12),AVERAGEIFS(#REF!,#REF!,AD$25),
IF(AND(#REF!=$E$5,#REF!=$F$12),AVERAGEIFS(#REF!,#REF!,AD$25,#REF!,#REF!),
IF(AND(#REF!=$E$6,#REF!=$F$12),AVERAGEIFS(#REF!,#REF!,AD$25,#REF!,#REF!),
IF(AND(#REF!="Team",#REF!=$F$13),AVERAGEIFS(#REF!,#REF!,AD$25),
IF(AND(#REF!=$E$5,#REF!=$F$13),AVERAGEIFS(#REF!,#REF!,AD$25,#REF!,#REF!),
IF(AND(#REF!=$E$6,#REF!=$F$13),AVERAGEIFS(#REF!,#REF!,AD$25,#REF!,#REF!),
IF(AND(#REF!="Team",#REF!=$F$14),AVERAGEIFS(#REF!,#REF!,AD$25),
IF(AND(#REF!=$E$5,#REF!=$F$14),AVERAGEIFS(#REF!,#REF!,AD$25,#REF!,#REF!),
IF(AND(#REF!=$E$6,#REF!=$F$14),AVERAGEIFS(#REF!,#REF!,AD$25,#REF!,#REF!),
IF(AND(#REF!="Team",#REF!=$F$15),AVERAGEIFS(#REF!,#REF!,AD$25),
IF(AND(#REF!=$E$5,#REF!=$F$15),AVERAGEIFS(#REF!,#REF!,AD$25,#REF!,#REF!),
IF(AND(#REF!=$E$6,#REF!=$F$15),AVERAGEIFS(#REF!,#REF!,AD$25,#REF!,#REF!))))))))))))))))),"")</f>
        <v/>
      </c>
      <c r="AE29" s="30" t="str">
        <f>IFERROR(
IF(#REF!=$E$2,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IF(AND(#REF!=$E$6,#REF!=$F$15),AVERAGEIFS(#REF!,#REF!,AE$25,#REF!,#REF!))))))))))))))),
IF(#REF!=$E$3,
(IF(OR(#REF!=$F$2,#REF!=$F$3,#REF!=$F$4,#REF!=$F$5,#REF!=$F$6,#REF!=$F$7,#REF!=$F$8,#REF!=$F$9,#REF!=$F$10,#REF!=$F$11),"",
IF(AND(#REF!="Team",#REF!=$F$12),AVERAGEIFS(#REF!,#REF!,AE$25),
IF(AND(#REF!=$E$5,#REF!=$F$12),AVERAGEIFS(#REF!,#REF!,AE$25,#REF!,#REF!),
IF(AND(#REF!=$E$6,#REF!=$F$12),AVERAGEIFS(#REF!,#REF!,AE$25,#REF!,#REF!),
IF(AND(#REF!="Team",#REF!=$F$13),AVERAGEIFS(#REF!,#REF!,AE$25),
IF(AND(#REF!=$E$5,#REF!=$F$13),AVERAGEIFS(#REF!,#REF!,AE$25,#REF!,#REF!),
IF(AND(#REF!=$E$6,#REF!=$F$13),AVERAGEIFS(#REF!,#REF!,AE$25,#REF!,#REF!),
IF(AND(#REF!="Team",#REF!=$F$14),AVERAGEIFS(#REF!,#REF!,AE$25),
IF(AND(#REF!=$E$5,#REF!=$F$14),AVERAGEIFS(#REF!,#REF!,AE$25,#REF!,#REF!),
IF(AND(#REF!=$E$6,#REF!=$F$14),AVERAGEIFS(#REF!,#REF!,AE$25,#REF!,#REF!),
IF(AND(#REF!="Team",#REF!=$F$15),AVERAGEIFS(#REF!,#REF!,AE$25),
IF(AND(#REF!=$E$5,#REF!=$F$15),AVERAGEIFS(#REF!,#REF!,AE$25,#REF!,#REF!),
IF(AND(#REF!=$E$6,#REF!=$F$15),AVERAGEIFS(#REF!,#REF!,AE$25,#REF!,#REF!))))))))))))))))),"")</f>
        <v/>
      </c>
      <c r="AF29" s="30" t="str">
        <f>IFERROR(
IF(#REF!=$E$2,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IF(AND(#REF!=$E$6,#REF!=$F$15),AVERAGEIFS(#REF!,#REF!,AF$25,#REF!,#REF!))))))))))))))),
IF(#REF!=$E$3,
(IF(OR(#REF!=$F$2,#REF!=$F$3,#REF!=$F$4,#REF!=$F$5,#REF!=$F$6,#REF!=$F$7,#REF!=$F$8,#REF!=$F$9,#REF!=$F$10,#REF!=$F$11),"",
IF(AND(#REF!="Team",#REF!=$F$12),AVERAGEIFS(#REF!,#REF!,AF$25),
IF(AND(#REF!=$E$5,#REF!=$F$12),AVERAGEIFS(#REF!,#REF!,AF$25,#REF!,#REF!),
IF(AND(#REF!=$E$6,#REF!=$F$12),AVERAGEIFS(#REF!,#REF!,AF$25,#REF!,#REF!),
IF(AND(#REF!="Team",#REF!=$F$13),AVERAGEIFS(#REF!,#REF!,AF$25),
IF(AND(#REF!=$E$5,#REF!=$F$13),AVERAGEIFS(#REF!,#REF!,AF$25,#REF!,#REF!),
IF(AND(#REF!=$E$6,#REF!=$F$13),AVERAGEIFS(#REF!,#REF!,AF$25,#REF!,#REF!),
IF(AND(#REF!="Team",#REF!=$F$14),AVERAGEIFS(#REF!,#REF!,AF$25),
IF(AND(#REF!=$E$5,#REF!=$F$14),AVERAGEIFS(#REF!,#REF!,AF$25,#REF!,#REF!),
IF(AND(#REF!=$E$6,#REF!=$F$14),AVERAGEIFS(#REF!,#REF!,AF$25,#REF!,#REF!),
IF(AND(#REF!="Team",#REF!=$F$15),AVERAGEIFS(#REF!,#REF!,AF$25),
IF(AND(#REF!=$E$5,#REF!=$F$15),AVERAGEIFS(#REF!,#REF!,AF$25,#REF!,#REF!),
IF(AND(#REF!=$E$6,#REF!=$F$15),AVERAGEIFS(#REF!,#REF!,AF$25,#REF!,#REF!))))))))))))))))),"")</f>
        <v/>
      </c>
      <c r="AG29" s="30" t="str">
        <f>IFERROR(
IF(#REF!=$E$2,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IF(AND(#REF!=$E$6,#REF!=$F$15),AVERAGEIFS(#REF!,#REF!,AG$25,#REF!,#REF!))))))))))))))),
IF(#REF!=$E$3,
(IF(OR(#REF!=$F$2,#REF!=$F$3,#REF!=$F$4,#REF!=$F$5,#REF!=$F$6,#REF!=$F$7,#REF!=$F$8,#REF!=$F$9,#REF!=$F$10,#REF!=$F$11),"",
IF(AND(#REF!="Team",#REF!=$F$12),AVERAGEIFS(#REF!,#REF!,AG$25),
IF(AND(#REF!=$E$5,#REF!=$F$12),AVERAGEIFS(#REF!,#REF!,AG$25,#REF!,#REF!),
IF(AND(#REF!=$E$6,#REF!=$F$12),AVERAGEIFS(#REF!,#REF!,AG$25,#REF!,#REF!),
IF(AND(#REF!="Team",#REF!=$F$13),AVERAGEIFS(#REF!,#REF!,AG$25),
IF(AND(#REF!=$E$5,#REF!=$F$13),AVERAGEIFS(#REF!,#REF!,AG$25,#REF!,#REF!),
IF(AND(#REF!=$E$6,#REF!=$F$13),AVERAGEIFS(#REF!,#REF!,AG$25,#REF!,#REF!),
IF(AND(#REF!="Team",#REF!=$F$14),AVERAGEIFS(#REF!,#REF!,AG$25),
IF(AND(#REF!=$E$5,#REF!=$F$14),AVERAGEIFS(#REF!,#REF!,AG$25,#REF!,#REF!),
IF(AND(#REF!=$E$6,#REF!=$F$14),AVERAGEIFS(#REF!,#REF!,AG$25,#REF!,#REF!),
IF(AND(#REF!="Team",#REF!=$F$15),AVERAGEIFS(#REF!,#REF!,AG$25),
IF(AND(#REF!=$E$5,#REF!=$F$15),AVERAGEIFS(#REF!,#REF!,AG$25,#REF!,#REF!),
IF(AND(#REF!=$E$6,#REF!=$F$15),AVERAGEIFS(#REF!,#REF!,AG$25,#REF!,#REF!))))))))))))))))),"")</f>
        <v/>
      </c>
      <c r="AH29" s="30" t="str">
        <f>IFERROR(
IF(#REF!=$E$2,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IF(AND(#REF!=$E$6,#REF!=$F$15),AVERAGEIFS(#REF!,#REF!,AH$25,#REF!,#REF!))))))))))))))),
IF(#REF!=$E$3,
(IF(OR(#REF!=$F$2,#REF!=$F$3,#REF!=$F$4,#REF!=$F$5,#REF!=$F$6,#REF!=$F$7,#REF!=$F$8,#REF!=$F$9,#REF!=$F$10,#REF!=$F$11),"",
IF(AND(#REF!="Team",#REF!=$F$12),AVERAGEIFS(#REF!,#REF!,AH$25),
IF(AND(#REF!=$E$5,#REF!=$F$12),AVERAGEIFS(#REF!,#REF!,AH$25,#REF!,#REF!),
IF(AND(#REF!=$E$6,#REF!=$F$12),AVERAGEIFS(#REF!,#REF!,AH$25,#REF!,#REF!),
IF(AND(#REF!="Team",#REF!=$F$13),AVERAGEIFS(#REF!,#REF!,AH$25),
IF(AND(#REF!=$E$5,#REF!=$F$13),AVERAGEIFS(#REF!,#REF!,AH$25,#REF!,#REF!),
IF(AND(#REF!=$E$6,#REF!=$F$13),AVERAGEIFS(#REF!,#REF!,AH$25,#REF!,#REF!),
IF(AND(#REF!="Team",#REF!=$F$14),AVERAGEIFS(#REF!,#REF!,AH$25),
IF(AND(#REF!=$E$5,#REF!=$F$14),AVERAGEIFS(#REF!,#REF!,AH$25,#REF!,#REF!),
IF(AND(#REF!=$E$6,#REF!=$F$14),AVERAGEIFS(#REF!,#REF!,AH$25,#REF!,#REF!),
IF(AND(#REF!="Team",#REF!=$F$15),AVERAGEIFS(#REF!,#REF!,AH$25),
IF(AND(#REF!=$E$5,#REF!=$F$15),AVERAGEIFS(#REF!,#REF!,AH$25,#REF!,#REF!),
IF(AND(#REF!=$E$6,#REF!=$F$15),AVERAGEIFS(#REF!,#REF!,AH$25,#REF!,#REF!))))))))))))))))),"")</f>
        <v/>
      </c>
      <c r="AI29" s="31" t="str">
        <f>IFERROR(
IF(#REF!=$E$2,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IF(AND(#REF!=$E$6,#REF!=$F$15),AVERAGEIFS(#REF!,#REF!,AI$25,#REF!,#REF!))))))))))))))),
IF(#REF!=$E$3,
(IF(OR(#REF!=$F$2,#REF!=$F$3,#REF!=$F$4,#REF!=$F$5,#REF!=$F$6,#REF!=$F$7,#REF!=$F$8,#REF!=$F$9,#REF!=$F$10,#REF!=$F$11),"",
IF(AND(#REF!="Team",#REF!=$F$12),AVERAGEIFS(#REF!,#REF!,AI$25),
IF(AND(#REF!=$E$5,#REF!=$F$12),AVERAGEIFS(#REF!,#REF!,AI$25,#REF!,#REF!),
IF(AND(#REF!=$E$6,#REF!=$F$12),AVERAGEIFS(#REF!,#REF!,AI$25,#REF!,#REF!),
IF(AND(#REF!="Team",#REF!=$F$13),AVERAGEIFS(#REF!,#REF!,AI$25),
IF(AND(#REF!=$E$5,#REF!=$F$13),AVERAGEIFS(#REF!,#REF!,AI$25,#REF!,#REF!),
IF(AND(#REF!=$E$6,#REF!=$F$13),AVERAGEIFS(#REF!,#REF!,AI$25,#REF!,#REF!),
IF(AND(#REF!="Team",#REF!=$F$14),AVERAGEIFS(#REF!,#REF!,AI$25),
IF(AND(#REF!=$E$5,#REF!=$F$14),AVERAGEIFS(#REF!,#REF!,AI$25,#REF!,#REF!),
IF(AND(#REF!=$E$6,#REF!=$F$14),AVERAGEIFS(#REF!,#REF!,AI$25,#REF!,#REF!),
IF(AND(#REF!="Team",#REF!=$F$15),AVERAGEIFS(#REF!,#REF!,AI$25),
IF(AND(#REF!=$E$5,#REF!=$F$15),AVERAGEIFS(#REF!,#REF!,AI$25,#REF!,#REF!),
IF(AND(#REF!=$E$6,#REF!=$F$15),AVERAGEIFS(#REF!,#REF!,AI$25,#REF!,#REF!))))))))))))))))),"")</f>
        <v/>
      </c>
      <c r="AJ29" s="32">
        <f>IFERROR(
IF(#REF!=$E$2,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IF(AND(#REF!=$E$6,#REF!=$F$15),AVERAGEIFS(#REF!,#REF!,AJ$25,#REF!,#REF!))))))))))))))),
IF(#REF!=$E$3,
(IF(OR(#REF!=$F$2,#REF!=$F$3,#REF!=$F$4,#REF!=$F$5,#REF!=$F$6,#REF!=$F$7,#REF!=$F$8,#REF!=$F$9,#REF!=$F$10,#REF!=$F$11),0,
IF(AND(#REF!="Team",#REF!=$F$12),AVERAGEIFS(#REF!,#REF!,AJ$25),
IF(AND(#REF!=$E$5,#REF!=$F$12),AVERAGEIFS(#REF!,#REF!,AJ$25,#REF!,#REF!),
IF(AND(#REF!=$E$6,#REF!=$F$12),AVERAGEIFS(#REF!,#REF!,AJ$25,#REF!,#REF!),
IF(AND(#REF!="Team",#REF!=$F$13),AVERAGEIFS(#REF!,#REF!,AJ$25),
IF(AND(#REF!=$E$5,#REF!=$F$13),AVERAGEIFS(#REF!,#REF!,AJ$25,#REF!,#REF!),
IF(AND(#REF!=$E$6,#REF!=$F$13),AVERAGEIFS(#REF!,#REF!,AJ$25,#REF!,#REF!),
IF(AND(#REF!="Team",#REF!=$F$14),AVERAGEIFS(#REF!,#REF!,AJ$25),
IF(AND(#REF!=$E$5,#REF!=$F$14),AVERAGEIFS(#REF!,#REF!,AJ$25,#REF!,#REF!),
IF(AND(#REF!=$E$6,#REF!=$F$14),AVERAGEIFS(#REF!,#REF!,AJ$25,#REF!,#REF!),
IF(AND(#REF!="Team",#REF!=$F$15),AVERAGEIFS(#REF!,#REF!,AJ$25),
IF(AND(#REF!=$E$5,#REF!=$F$15),AVERAGEIFS(#REF!,#REF!,AJ$25,#REF!,#REF!),
IF(AND(#REF!=$E$6,#REF!=$F$15),AVERAGEIFS(#REF!,#REF!,AJ$25,#REF!,#REF!))))))))))))))))),0)</f>
        <v>0</v>
      </c>
    </row>
    <row r="30" spans="1:36" ht="12.5" x14ac:dyDescent="0.25">
      <c r="A30" s="18">
        <f ca="1">IFERROR(__xludf.DUMMYFUNCTION("""COMPUTED_VALUE"""),44964)</f>
        <v>44964</v>
      </c>
      <c r="C30" s="19"/>
      <c r="D30" s="7"/>
    </row>
    <row r="31" spans="1:36" ht="12.5" x14ac:dyDescent="0.25">
      <c r="A31" s="18">
        <f ca="1">IFERROR(__xludf.DUMMYFUNCTION("""COMPUTED_VALUE"""),44965)</f>
        <v>44965</v>
      </c>
      <c r="C31" s="19"/>
      <c r="D31" s="7"/>
    </row>
    <row r="32" spans="1:36" ht="12.5" x14ac:dyDescent="0.25">
      <c r="A32" s="18">
        <f ca="1">IFERROR(__xludf.DUMMYFUNCTION("""COMPUTED_VALUE"""),44966)</f>
        <v>44966</v>
      </c>
      <c r="C32" s="19"/>
      <c r="D32" s="7"/>
    </row>
    <row r="33" spans="1:4" ht="12.5" x14ac:dyDescent="0.25">
      <c r="A33" s="18">
        <f ca="1">IFERROR(__xludf.DUMMYFUNCTION("""COMPUTED_VALUE"""),44967)</f>
        <v>44967</v>
      </c>
      <c r="C33" s="19"/>
      <c r="D33" s="7"/>
    </row>
    <row r="34" spans="1:4" ht="12.5" x14ac:dyDescent="0.25">
      <c r="A34" s="18">
        <f ca="1">IFERROR(__xludf.DUMMYFUNCTION("""COMPUTED_VALUE"""),44968)</f>
        <v>44968</v>
      </c>
      <c r="C34" s="19"/>
      <c r="D34" s="7"/>
    </row>
    <row r="35" spans="1:4" ht="12.5" x14ac:dyDescent="0.25">
      <c r="A35" s="18">
        <f ca="1">IFERROR(__xludf.DUMMYFUNCTION("""COMPUTED_VALUE"""),44969)</f>
        <v>44969</v>
      </c>
      <c r="C35" s="19"/>
      <c r="D35" s="7"/>
    </row>
    <row r="36" spans="1:4" ht="12.5" x14ac:dyDescent="0.25">
      <c r="A36" s="18">
        <f ca="1">IFERROR(__xludf.DUMMYFUNCTION("""COMPUTED_VALUE"""),44970)</f>
        <v>44970</v>
      </c>
      <c r="C36" s="19"/>
      <c r="D36" s="7"/>
    </row>
    <row r="37" spans="1:4" ht="12.5" x14ac:dyDescent="0.25">
      <c r="A37" s="18">
        <f ca="1">IFERROR(__xludf.DUMMYFUNCTION("""COMPUTED_VALUE"""),44971)</f>
        <v>44971</v>
      </c>
      <c r="C37" s="19"/>
      <c r="D37" s="7"/>
    </row>
    <row r="38" spans="1:4" ht="12.5" x14ac:dyDescent="0.25">
      <c r="A38" s="18">
        <f ca="1">IFERROR(__xludf.DUMMYFUNCTION("""COMPUTED_VALUE"""),44972)</f>
        <v>44972</v>
      </c>
      <c r="C38" s="19"/>
      <c r="D38" s="7"/>
    </row>
    <row r="39" spans="1:4" ht="12.5" x14ac:dyDescent="0.25">
      <c r="A39" s="18">
        <f ca="1">IFERROR(__xludf.DUMMYFUNCTION("""COMPUTED_VALUE"""),44973)</f>
        <v>44973</v>
      </c>
      <c r="C39" s="19"/>
      <c r="D39" s="7"/>
    </row>
    <row r="40" spans="1:4" ht="12.5" x14ac:dyDescent="0.25">
      <c r="A40" s="18">
        <f ca="1">IFERROR(__xludf.DUMMYFUNCTION("""COMPUTED_VALUE"""),44974)</f>
        <v>44974</v>
      </c>
      <c r="C40" s="19"/>
      <c r="D40" s="7"/>
    </row>
    <row r="41" spans="1:4" ht="12.5" x14ac:dyDescent="0.25">
      <c r="C41" s="19"/>
      <c r="D41" s="7"/>
    </row>
    <row r="42" spans="1:4" ht="12.5" x14ac:dyDescent="0.25">
      <c r="C42" s="19"/>
      <c r="D42" s="7"/>
    </row>
    <row r="43" spans="1:4" ht="12.5" x14ac:dyDescent="0.25">
      <c r="C43" s="19"/>
      <c r="D43" s="7"/>
    </row>
    <row r="44" spans="1:4" ht="12.5" x14ac:dyDescent="0.25">
      <c r="C44" s="19"/>
      <c r="D44" s="7"/>
    </row>
    <row r="45" spans="1:4" ht="12.5" x14ac:dyDescent="0.25">
      <c r="C45" s="19"/>
      <c r="D45" s="7"/>
    </row>
    <row r="46" spans="1:4" ht="12.5" x14ac:dyDescent="0.25">
      <c r="C46" s="19"/>
      <c r="D46" s="7"/>
    </row>
    <row r="47" spans="1:4" ht="12.5" x14ac:dyDescent="0.25">
      <c r="C47" s="19"/>
      <c r="D47" s="7"/>
    </row>
    <row r="48" spans="1:4" ht="12.5" x14ac:dyDescent="0.25">
      <c r="C48" s="19"/>
      <c r="D48" s="7"/>
    </row>
    <row r="49" spans="3:4" ht="12.5" x14ac:dyDescent="0.25">
      <c r="C49" s="19"/>
      <c r="D49" s="7"/>
    </row>
    <row r="50" spans="3:4" ht="12.5" x14ac:dyDescent="0.25">
      <c r="C50" s="19"/>
      <c r="D50" s="7"/>
    </row>
    <row r="51" spans="3:4" ht="12.5" x14ac:dyDescent="0.25">
      <c r="C51" s="19"/>
      <c r="D51" s="7"/>
    </row>
    <row r="52" spans="3:4" ht="12.5" x14ac:dyDescent="0.25">
      <c r="C52" s="19"/>
      <c r="D52" s="7"/>
    </row>
  </sheetData>
  <mergeCells count="4">
    <mergeCell ref="H1:AJ2"/>
    <mergeCell ref="H7:AJ8"/>
    <mergeCell ref="H15:AJ16"/>
    <mergeCell ref="H23:AJ2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J1000"/>
  <sheetViews>
    <sheetView workbookViewId="0"/>
  </sheetViews>
  <sheetFormatPr defaultColWidth="12.54296875" defaultRowHeight="15.75" customHeight="1" x14ac:dyDescent="0.25"/>
  <cols>
    <col min="1" max="1" width="11.54296875" customWidth="1"/>
    <col min="2" max="2" width="14.453125" customWidth="1"/>
    <col min="3" max="5" width="19.453125" customWidth="1"/>
    <col min="6" max="6" width="24.54296875" customWidth="1"/>
    <col min="8" max="8" width="30.81640625" customWidth="1"/>
  </cols>
  <sheetData>
    <row r="1" spans="1:36" ht="15.75" customHeight="1" x14ac:dyDescent="0.3">
      <c r="A1" s="33" t="s">
        <v>41</v>
      </c>
      <c r="B1" s="3" t="s">
        <v>42</v>
      </c>
      <c r="C1" s="4" t="s">
        <v>1</v>
      </c>
      <c r="D1" s="3" t="s">
        <v>43</v>
      </c>
      <c r="E1" s="5" t="s">
        <v>35</v>
      </c>
      <c r="F1" s="5" t="s">
        <v>44</v>
      </c>
      <c r="H1" s="87" t="s">
        <v>45</v>
      </c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9"/>
    </row>
    <row r="2" spans="1:36" ht="15.75" customHeight="1" x14ac:dyDescent="0.25">
      <c r="A2" s="34">
        <f ca="1">IFERROR(__xludf.DUMMYFUNCTION("unique(filter('Wellness Responses'!$O$2:$O1000,'Wellness Responses'!$Q$2:$Q1000='Player Profile'!$V$5))"),44780)</f>
        <v>44780</v>
      </c>
      <c r="B2" s="7" t="str">
        <f ca="1">IFERROR(__xludf.DUMMYFUNCTION("unique('Wellness Responses'!$Q$2:$Q1000)"),"In-Season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8" t="s">
        <v>36</v>
      </c>
      <c r="F2" s="8" t="s">
        <v>32</v>
      </c>
      <c r="H2" s="90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2"/>
    </row>
    <row r="3" spans="1:36" ht="15.75" customHeight="1" x14ac:dyDescent="0.25">
      <c r="A3" s="34">
        <f ca="1">IFERROR(__xludf.DUMMYFUNCTION("""COMPUTED_VALUE"""),44781)</f>
        <v>44781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10" t="s">
        <v>46</v>
      </c>
      <c r="F3" s="8" t="s">
        <v>39</v>
      </c>
      <c r="H3" s="12" t="s">
        <v>47</v>
      </c>
      <c r="I3" s="13" t="e">
        <f>IF(
(IF(J$3&lt;1,"",_xludf.MaxIFS('Wellness Responses'!$P$2:$P1000,'Wellness Responses'!$R$2:$R1000,#REF!,'Wellness Responses'!$P$2:$P1000,"&lt;"&amp;J$3)))&lt;1,"",
(IF(J$3&lt;1,"",_xludf.MaxIFS('Wellness Responses'!$P$2:$P1000,'Wellness Responses'!$R$2:$R1000,#REF!,'Wellness Responses'!$P$2:$P1000,"&lt;"&amp;J$3))))</f>
        <v>#REF!</v>
      </c>
      <c r="J3" s="14" t="e">
        <f>IF(
(IF(K$3&lt;1,"",_xludf.MaxIFS('Wellness Responses'!$P$2:$P1000,'Wellness Responses'!$R$2:$R1000,#REF!,'Wellness Responses'!$P$2:$P1000,"&lt;"&amp;K$3)))&lt;1,"",
(IF(K$3&lt;1,"",_xludf.MaxIFS('Wellness Responses'!$P$2:$P1000,'Wellness Responses'!$R$2:$R1000,#REF!,'Wellness Responses'!$P$2:$P1000,"&lt;"&amp;K$3))))</f>
        <v>#REF!</v>
      </c>
      <c r="K3" s="14" t="e">
        <f>IF(
(IF(L$3&lt;1,"",_xludf.MaxIFS('Wellness Responses'!$P$2:$P1000,'Wellness Responses'!$R$2:$R1000,#REF!,'Wellness Responses'!$P$2:$P1000,"&lt;"&amp;L$3)))&lt;1,"",
(IF(L$3&lt;1,"",_xludf.MaxIFS('Wellness Responses'!$P$2:$P1000,'Wellness Responses'!$R$2:$R1000,#REF!,'Wellness Responses'!$P$2:$P1000,"&lt;"&amp;L$3))))</f>
        <v>#REF!</v>
      </c>
      <c r="L3" s="14" t="e">
        <f>IF(
(IF(M$3&lt;1,"",_xludf.MaxIFS('Wellness Responses'!$P$2:$P1000,'Wellness Responses'!$R$2:$R1000,#REF!,'Wellness Responses'!$P$2:$P1000,"&lt;"&amp;M$3)))&lt;1,"",
(IF(M$3&lt;1,"",_xludf.MaxIFS('Wellness Responses'!$P$2:$P1000,'Wellness Responses'!$R$2:$R1000,#REF!,'Wellness Responses'!$P$2:$P1000,"&lt;"&amp;M$3))))</f>
        <v>#REF!</v>
      </c>
      <c r="M3" s="14" t="e">
        <f>IF(
(IF(N$3&lt;1,"",_xludf.MaxIFS('Wellness Responses'!$P$2:$P1000,'Wellness Responses'!$R$2:$R1000,#REF!,'Wellness Responses'!$P$2:$P1000,"&lt;"&amp;N$3)))&lt;1,"",
(IF(N$3&lt;1,"",_xludf.MaxIFS('Wellness Responses'!$P$2:$P1000,'Wellness Responses'!$R$2:$R1000,#REF!,'Wellness Responses'!$P$2:$P1000,"&lt;"&amp;N$3))))</f>
        <v>#REF!</v>
      </c>
      <c r="N3" s="14" t="e">
        <f>IF(
(IF(O$3&lt;1,"",_xludf.MaxIFS('Wellness Responses'!$P$2:$P1000,'Wellness Responses'!$R$2:$R1000,#REF!,'Wellness Responses'!$P$2:$P1000,"&lt;"&amp;O$3)))&lt;1,"",
(IF(O$3&lt;1,"",_xludf.MaxIFS('Wellness Responses'!$P$2:$P1000,'Wellness Responses'!$R$2:$R1000,#REF!,'Wellness Responses'!$P$2:$P1000,"&lt;"&amp;O$3))))</f>
        <v>#REF!</v>
      </c>
      <c r="O3" s="14" t="e">
        <f>IF(
(IF(P$3&lt;1,"",_xludf.MaxIFS('Wellness Responses'!$P$2:$P1000,'Wellness Responses'!$R$2:$R1000,#REF!,'Wellness Responses'!$P$2:$P1000,"&lt;"&amp;P$3)))&lt;1,"",
(IF(P$3&lt;1,"",_xludf.MaxIFS('Wellness Responses'!$P$2:$P1000,'Wellness Responses'!$R$2:$R1000,#REF!,'Wellness Responses'!$P$2:$P1000,"&lt;"&amp;P$3))))</f>
        <v>#REF!</v>
      </c>
      <c r="P3" s="14" t="e">
        <f>IF(
(IF(Q$3&lt;1,"",_xludf.MaxIFS('Wellness Responses'!$P$2:$P1000,'Wellness Responses'!$R$2:$R1000,#REF!,'Wellness Responses'!$P$2:$P1000,"&lt;"&amp;Q$3)))&lt;1,"",
(IF(Q$3&lt;1,"",_xludf.MaxIFS('Wellness Responses'!$P$2:$P1000,'Wellness Responses'!$R$2:$R1000,#REF!,'Wellness Responses'!$P$2:$P1000,"&lt;"&amp;Q$3))))</f>
        <v>#REF!</v>
      </c>
      <c r="Q3" s="14" t="e">
        <f>IF(
(IF(R$3&lt;1,"",_xludf.MaxIFS('Wellness Responses'!$P$2:$P1000,'Wellness Responses'!$R$2:$R1000,#REF!,'Wellness Responses'!$P$2:$P1000,"&lt;"&amp;R$3)))&lt;1,"",
(IF(R$3&lt;1,"",_xludf.MaxIFS('Wellness Responses'!$P$2:$P1000,'Wellness Responses'!$R$2:$R1000,#REF!,'Wellness Responses'!$P$2:$P1000,"&lt;"&amp;R$3))))</f>
        <v>#REF!</v>
      </c>
      <c r="R3" s="14" t="e">
        <f>IF(
(IF(S$3&lt;1,"",_xludf.MaxIFS('Wellness Responses'!$P$2:$P1000,'Wellness Responses'!$R$2:$R1000,#REF!,'Wellness Responses'!$P$2:$P1000,"&lt;"&amp;S$3)))&lt;1,"",
(IF(S$3&lt;1,"",_xludf.MaxIFS('Wellness Responses'!$P$2:$P1000,'Wellness Responses'!$R$2:$R1000,#REF!,'Wellness Responses'!$P$2:$P1000,"&lt;"&amp;S$3))))</f>
        <v>#REF!</v>
      </c>
      <c r="S3" s="14" t="e">
        <f>IF(
(IF(T$3&lt;1,"",_xludf.MaxIFS('Wellness Responses'!$P$2:$P1000,'Wellness Responses'!$R$2:$R1000,#REF!,'Wellness Responses'!$P$2:$P1000,"&lt;"&amp;T$3)))&lt;1,"",
(IF(T$3&lt;1,"",_xludf.MaxIFS('Wellness Responses'!$P$2:$P1000,'Wellness Responses'!$R$2:$R1000,#REF!,'Wellness Responses'!$P$2:$P1000,"&lt;"&amp;T$3))))</f>
        <v>#REF!</v>
      </c>
      <c r="T3" s="14" t="e">
        <f>IF(
(IF(U$3&lt;1,"",_xludf.MaxIFS('Wellness Responses'!$P$2:$P1000,'Wellness Responses'!$R$2:$R1000,#REF!,'Wellness Responses'!$P$2:$P1000,"&lt;"&amp;U$3)))&lt;1,"",
(IF(U$3&lt;1,"",_xludf.MaxIFS('Wellness Responses'!$P$2:$P1000,'Wellness Responses'!$R$2:$R1000,#REF!,'Wellness Responses'!$P$2:$P1000,"&lt;"&amp;U$3))))</f>
        <v>#REF!</v>
      </c>
      <c r="U3" s="14" t="e">
        <f>IF(
(IF(V$3&lt;1,"",_xludf.MaxIFS('Wellness Responses'!$P$2:$P1000,'Wellness Responses'!$R$2:$R1000,#REF!,'Wellness Responses'!$P$2:$P1000,"&lt;"&amp;V$3)))&lt;1,"",
(IF(V$3&lt;1,"",_xludf.MaxIFS('Wellness Responses'!$P$2:$P1000,'Wellness Responses'!$R$2:$R1000,#REF!,'Wellness Responses'!$P$2:$P1000,"&lt;"&amp;V$3))))</f>
        <v>#REF!</v>
      </c>
      <c r="V3" s="14" t="e">
        <f>IF(
(IF(W$3&lt;1,"",_xludf.MaxIFS('Wellness Responses'!$P$2:$P1000,'Wellness Responses'!$R$2:$R1000,#REF!,'Wellness Responses'!$P$2:$P1000,"&lt;"&amp;W$3)))&lt;1,"",
(IF(W$3&lt;1,"",_xludf.MaxIFS('Wellness Responses'!$P$2:$P1000,'Wellness Responses'!$R$2:$R1000,#REF!,'Wellness Responses'!$P$2:$P1000,"&lt;"&amp;W$3))))</f>
        <v>#REF!</v>
      </c>
      <c r="W3" s="14" t="e">
        <f>IF(
(IF(X$3&lt;1,"",_xludf.MaxIFS('Wellness Responses'!$P$2:$P1000,'Wellness Responses'!$R$2:$R1000,#REF!,'Wellness Responses'!$P$2:$P1000,"&lt;"&amp;X$3)))&lt;1,"",
(IF(X$3&lt;1,"",_xludf.MaxIFS('Wellness Responses'!$P$2:$P1000,'Wellness Responses'!$R$2:$R1000,#REF!,'Wellness Responses'!$P$2:$P1000,"&lt;"&amp;X$3))))</f>
        <v>#REF!</v>
      </c>
      <c r="X3" s="14" t="e">
        <f>IF(
(IF(Y$3&lt;1,"",_xludf.MaxIFS('Wellness Responses'!$P$2:$P1000,'Wellness Responses'!$R$2:$R1000,#REF!,'Wellness Responses'!$P$2:$P1000,"&lt;"&amp;Y$3)))&lt;1,"",
(IF(Y$3&lt;1,"",_xludf.MaxIFS('Wellness Responses'!$P$2:$P1000,'Wellness Responses'!$R$2:$R1000,#REF!,'Wellness Responses'!$P$2:$P1000,"&lt;"&amp;Y$3))))</f>
        <v>#REF!</v>
      </c>
      <c r="Y3" s="14" t="e">
        <f>IF(
(IF(Z$3&lt;1,"",_xludf.MaxIFS('Wellness Responses'!$P$2:$P1000,'Wellness Responses'!$R$2:$R1000,#REF!,'Wellness Responses'!$P$2:$P1000,"&lt;"&amp;Z$3)))&lt;1,"",
(IF(Z$3&lt;1,"",_xludf.MaxIFS('Wellness Responses'!$P$2:$P1000,'Wellness Responses'!$R$2:$R1000,#REF!,'Wellness Responses'!$P$2:$P1000,"&lt;"&amp;Z$3))))</f>
        <v>#REF!</v>
      </c>
      <c r="Z3" s="14" t="e">
        <f>IF(
(IF(AA$3&lt;1,"",_xludf.MaxIFS('Wellness Responses'!$P$2:$P1000,'Wellness Responses'!$R$2:$R1000,#REF!,'Wellness Responses'!$P$2:$P1000,"&lt;"&amp;AA$3)))&lt;1,"",
(IF(AA$3&lt;1,"",_xludf.MaxIFS('Wellness Responses'!$P$2:$P1000,'Wellness Responses'!$R$2:$R1000,#REF!,'Wellness Responses'!$P$2:$P1000,"&lt;"&amp;AA$3))))</f>
        <v>#REF!</v>
      </c>
      <c r="AA3" s="14" t="e">
        <f>IF(
(IF(AB$3&lt;1,"",_xludf.MaxIFS('Wellness Responses'!$P$2:$P1000,'Wellness Responses'!$R$2:$R1000,#REF!,'Wellness Responses'!$P$2:$P1000,"&lt;"&amp;AB$3)))&lt;1,"",
(IF(AB$3&lt;1,"",_xludf.MaxIFS('Wellness Responses'!$P$2:$P1000,'Wellness Responses'!$R$2:$R1000,#REF!,'Wellness Responses'!$P$2:$P1000,"&lt;"&amp;AB$3))))</f>
        <v>#REF!</v>
      </c>
      <c r="AB3" s="14" t="e">
        <f>IF(
(IF(AC$3&lt;1,"",_xludf.MaxIFS('Wellness Responses'!$P$2:$P1000,'Wellness Responses'!$R$2:$R1000,#REF!,'Wellness Responses'!$P$2:$P1000,"&lt;"&amp;AC$3)))&lt;1,"",
(IF(AC$3&lt;1,"",_xludf.MaxIFS('Wellness Responses'!$P$2:$P1000,'Wellness Responses'!$R$2:$R1000,#REF!,'Wellness Responses'!$P$2:$P1000,"&lt;"&amp;AC$3))))</f>
        <v>#REF!</v>
      </c>
      <c r="AC3" s="14" t="e">
        <f>IF(
(IF(AD$3&lt;1,"",_xludf.MaxIFS('Wellness Responses'!$P$2:$P1000,'Wellness Responses'!$R$2:$R1000,#REF!,'Wellness Responses'!$P$2:$P1000,"&lt;"&amp;AD$3)))&lt;1,"",
(IF(AD$3&lt;1,"",_xludf.MaxIFS('Wellness Responses'!$P$2:$P1000,'Wellness Responses'!$R$2:$R1000,#REF!,'Wellness Responses'!$P$2:$P1000,"&lt;"&amp;AD$3))))</f>
        <v>#REF!</v>
      </c>
      <c r="AD3" s="14" t="e">
        <f>IF(
(IF(AE$3&lt;1,"",_xludf.MaxIFS('Wellness Responses'!$P$2:$P1000,'Wellness Responses'!$R$2:$R1000,#REF!,'Wellness Responses'!$P$2:$P1000,"&lt;"&amp;AE$3)))&lt;1,"",
(IF(AE$3&lt;1,"",_xludf.MaxIFS('Wellness Responses'!$P$2:$P1000,'Wellness Responses'!$R$2:$R1000,#REF!,'Wellness Responses'!$P$2:$P1000,"&lt;"&amp;AE$3))))</f>
        <v>#REF!</v>
      </c>
      <c r="AE3" s="14" t="e">
        <f>IF(
(IF(AF$3&lt;1,"",_xludf.MaxIFS('Wellness Responses'!$P$2:$P1000,'Wellness Responses'!$R$2:$R1000,#REF!,'Wellness Responses'!$P$2:$P1000,"&lt;"&amp;AF$3)))&lt;1,"",
(IF(AF$3&lt;1,"",_xludf.MaxIFS('Wellness Responses'!$P$2:$P1000,'Wellness Responses'!$R$2:$R1000,#REF!,'Wellness Responses'!$P$2:$P1000,"&lt;"&amp;AF$3))))</f>
        <v>#REF!</v>
      </c>
      <c r="AF3" s="14" t="e">
        <f>IF(
(IF(AG$3&lt;1,"",_xludf.MaxIFS('Wellness Responses'!$P$2:$P1000,'Wellness Responses'!$R$2:$R1000,#REF!,'Wellness Responses'!$P$2:$P1000,"&lt;"&amp;AG$3)))&lt;1,"",
(IF(AG$3&lt;1,"",_xludf.MaxIFS('Wellness Responses'!$P$2:$P1000,'Wellness Responses'!$R$2:$R1000,#REF!,'Wellness Responses'!$P$2:$P1000,"&lt;"&amp;AG$3))))</f>
        <v>#REF!</v>
      </c>
      <c r="AG3" s="14" t="e">
        <f>IF(
(IF(AH$3&lt;1,"",_xludf.MaxIFS('Wellness Responses'!$P$2:$P1000,'Wellness Responses'!$R$2:$R1000,#REF!,'Wellness Responses'!$P$2:$P1000,"&lt;"&amp;AH$3)))&lt;1,"",
(IF(AH$3&lt;1,"",_xludf.MaxIFS('Wellness Responses'!$P$2:$P1000,'Wellness Responses'!$R$2:$R1000,#REF!,'Wellness Responses'!$P$2:$P1000,"&lt;"&amp;AH$3))))</f>
        <v>#REF!</v>
      </c>
      <c r="AH3" s="14" t="e">
        <f>IF(
(IF(AI$3&lt;1,"",_xludf.MaxIFS('Wellness Responses'!$P$2:$P1000,'Wellness Responses'!$R$2:$R1000,#REF!,'Wellness Responses'!$P$2:$P1000,"&lt;"&amp;AI$3)))&lt;1,"",
(IF(AI$3&lt;1,"",_xludf.MaxIFS('Wellness Responses'!$P$2:$P1000,'Wellness Responses'!$R$2:$R1000,#REF!,'Wellness Responses'!$P$2:$P1000,"&lt;"&amp;AI$3))))</f>
        <v>#REF!</v>
      </c>
      <c r="AI3" s="14" t="e">
        <f>IF(
(IF(AJ$3&lt;1,"",_xludf.MaxIFS('Wellness Responses'!$P$2:$P1000,'Wellness Responses'!$R$2:$R1000,#REF!,'Wellness Responses'!$P$2:$P1000,"&lt;"&amp;AJ$3)))&lt;1,"",
(IF(AJ$3&lt;1,"",_xludf.MaxIFS('Wellness Responses'!$P$2:$P1000,'Wellness Responses'!$R$2:$R1000,#REF!,'Wellness Responses'!$P$2:$P1000,"&lt;"&amp;AJ$3))))</f>
        <v>#REF!</v>
      </c>
      <c r="AJ3" s="14" t="e">
        <f>#REF!</f>
        <v>#REF!</v>
      </c>
    </row>
    <row r="4" spans="1:36" ht="15.75" customHeight="1" x14ac:dyDescent="0.25">
      <c r="A4" s="34">
        <f ca="1">IFERROR(__xludf.DUMMYFUNCTION("""COMPUTED_VALUE"""),44782)</f>
        <v>44782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5"/>
      <c r="F4" s="8" t="s">
        <v>53</v>
      </c>
      <c r="H4" s="12" t="s">
        <v>75</v>
      </c>
      <c r="I4" s="16" t="str">
        <f>IFERROR(AVERAGEIFS(#REF!,#REF!,I$3,#REF!,3,#REF!,#REF!),"")</f>
        <v/>
      </c>
      <c r="J4" s="16" t="str">
        <f>IFERROR(AVERAGEIFS(#REF!,#REF!,J$3,#REF!,3,#REF!,#REF!),"")</f>
        <v/>
      </c>
      <c r="K4" s="16" t="str">
        <f>IFERROR(AVERAGEIFS(#REF!,#REF!,K$3,#REF!,3,#REF!,#REF!),"")</f>
        <v/>
      </c>
      <c r="L4" s="16" t="str">
        <f>IFERROR(AVERAGEIFS(#REF!,#REF!,L$3,#REF!,3,#REF!,#REF!),"")</f>
        <v/>
      </c>
      <c r="M4" s="16" t="str">
        <f>IFERROR(AVERAGEIFS(#REF!,#REF!,M$3,#REF!,3,#REF!,#REF!),"")</f>
        <v/>
      </c>
      <c r="N4" s="16" t="str">
        <f>IFERROR(AVERAGEIFS(#REF!,#REF!,N$3,#REF!,3,#REF!,#REF!),"")</f>
        <v/>
      </c>
      <c r="O4" s="16" t="str">
        <f>IFERROR(AVERAGEIFS(#REF!,#REF!,O$3,#REF!,3,#REF!,#REF!),"")</f>
        <v/>
      </c>
      <c r="P4" s="16" t="str">
        <f>IFERROR(AVERAGEIFS(#REF!,#REF!,P$3,#REF!,3,#REF!,#REF!),"")</f>
        <v/>
      </c>
      <c r="Q4" s="16" t="str">
        <f>IFERROR(AVERAGEIFS(#REF!,#REF!,Q$3,#REF!,3,#REF!,#REF!),"")</f>
        <v/>
      </c>
      <c r="R4" s="16" t="str">
        <f>IFERROR(AVERAGEIFS(#REF!,#REF!,R$3,#REF!,3,#REF!,#REF!),"")</f>
        <v/>
      </c>
      <c r="S4" s="16" t="str">
        <f>IFERROR(AVERAGEIFS(#REF!,#REF!,S$3,#REF!,3,#REF!,#REF!),"")</f>
        <v/>
      </c>
      <c r="T4" s="16" t="str">
        <f>IFERROR(AVERAGEIFS(#REF!,#REF!,T$3,#REF!,3,#REF!,#REF!),"")</f>
        <v/>
      </c>
      <c r="U4" s="16" t="str">
        <f>IFERROR(AVERAGEIFS(#REF!,#REF!,U$3,#REF!,3,#REF!,#REF!),"")</f>
        <v/>
      </c>
      <c r="V4" s="16" t="str">
        <f>IFERROR(AVERAGEIFS(#REF!,#REF!,V$3,#REF!,3,#REF!,#REF!),"")</f>
        <v/>
      </c>
      <c r="W4" s="16" t="str">
        <f>IFERROR(AVERAGEIFS(#REF!,#REF!,W$3,#REF!,3,#REF!,#REF!),"")</f>
        <v/>
      </c>
      <c r="X4" s="16" t="str">
        <f>IFERROR(AVERAGEIFS(#REF!,#REF!,X$3,#REF!,3,#REF!,#REF!),"")</f>
        <v/>
      </c>
      <c r="Y4" s="16" t="str">
        <f>IFERROR(AVERAGEIFS(#REF!,#REF!,Y$3,#REF!,3,#REF!,#REF!),"")</f>
        <v/>
      </c>
      <c r="Z4" s="16" t="str">
        <f>IFERROR(AVERAGEIFS(#REF!,#REF!,Z$3,#REF!,3,#REF!,#REF!),"")</f>
        <v/>
      </c>
      <c r="AA4" s="16" t="str">
        <f>IFERROR(AVERAGEIFS(#REF!,#REF!,AA$3,#REF!,3,#REF!,#REF!),"")</f>
        <v/>
      </c>
      <c r="AB4" s="16" t="str">
        <f>IFERROR(AVERAGEIFS(#REF!,#REF!,AB$3,#REF!,3,#REF!,#REF!),"")</f>
        <v/>
      </c>
      <c r="AC4" s="16" t="str">
        <f>IFERROR(AVERAGEIFS(#REF!,#REF!,AC$3,#REF!,3,#REF!,#REF!),"")</f>
        <v/>
      </c>
      <c r="AD4" s="16" t="str">
        <f>IFERROR(AVERAGEIFS(#REF!,#REF!,AD$3,#REF!,3,#REF!,#REF!),"")</f>
        <v/>
      </c>
      <c r="AE4" s="16" t="str">
        <f>IFERROR(AVERAGEIFS(#REF!,#REF!,AE$3,#REF!,3,#REF!,#REF!),"")</f>
        <v/>
      </c>
      <c r="AF4" s="16" t="str">
        <f>IFERROR(AVERAGEIFS(#REF!,#REF!,AF$3,#REF!,3,#REF!,#REF!),"")</f>
        <v/>
      </c>
      <c r="AG4" s="16" t="str">
        <f>IFERROR(AVERAGEIFS(#REF!,#REF!,AG$3,#REF!,3,#REF!,#REF!),"")</f>
        <v/>
      </c>
      <c r="AH4" s="16" t="str">
        <f>IFERROR(AVERAGEIFS(#REF!,#REF!,AH$3,#REF!,3,#REF!,#REF!),"")</f>
        <v/>
      </c>
      <c r="AI4" s="16" t="str">
        <f>IFERROR(AVERAGEIFS(#REF!,#REF!,AI$3,#REF!,3,#REF!,#REF!),"")</f>
        <v/>
      </c>
      <c r="AJ4" s="17">
        <f>IFERROR(AVERAGEIFS(#REF!,#REF!,AJ$3,#REF!,3,#REF!,#REF!),0)</f>
        <v>0</v>
      </c>
    </row>
    <row r="5" spans="1:36" ht="15.75" customHeight="1" x14ac:dyDescent="0.25">
      <c r="A5" s="13">
        <f ca="1">IFERROR(__xludf.DUMMYFUNCTION("""COMPUTED_VALUE"""),44783)</f>
        <v>44783</v>
      </c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20"/>
      <c r="F5" s="36" t="s">
        <v>55</v>
      </c>
      <c r="H5" s="37" t="s">
        <v>76</v>
      </c>
      <c r="I5" s="38" t="str">
        <f>IFERROR(AVERAGEIFS(#REF!,#REF!,I$3,#REF!,2,#REF!,#REF!),"")</f>
        <v/>
      </c>
      <c r="J5" s="38" t="str">
        <f>IFERROR(AVERAGEIFS(#REF!,#REF!,J$3,#REF!,2,#REF!,#REF!),"")</f>
        <v/>
      </c>
      <c r="K5" s="38" t="str">
        <f>IFERROR(AVERAGEIFS(#REF!,#REF!,K$3,#REF!,2,#REF!,#REF!),"")</f>
        <v/>
      </c>
      <c r="L5" s="38" t="str">
        <f>IFERROR(AVERAGEIFS(#REF!,#REF!,L$3,#REF!,2,#REF!,#REF!),"")</f>
        <v/>
      </c>
      <c r="M5" s="38" t="str">
        <f>IFERROR(AVERAGEIFS(#REF!,#REF!,M$3,#REF!,2,#REF!,#REF!),"")</f>
        <v/>
      </c>
      <c r="N5" s="38" t="str">
        <f>IFERROR(AVERAGEIFS(#REF!,#REF!,N$3,#REF!,2,#REF!,#REF!),"")</f>
        <v/>
      </c>
      <c r="O5" s="38" t="str">
        <f>IFERROR(AVERAGEIFS(#REF!,#REF!,O$3,#REF!,2,#REF!,#REF!),"")</f>
        <v/>
      </c>
      <c r="P5" s="38" t="str">
        <f>IFERROR(AVERAGEIFS(#REF!,#REF!,P$3,#REF!,2,#REF!,#REF!),"")</f>
        <v/>
      </c>
      <c r="Q5" s="38" t="str">
        <f>IFERROR(AVERAGEIFS(#REF!,#REF!,Q$3,#REF!,2,#REF!,#REF!),"")</f>
        <v/>
      </c>
      <c r="R5" s="38" t="str">
        <f>IFERROR(AVERAGEIFS(#REF!,#REF!,R$3,#REF!,2,#REF!,#REF!),"")</f>
        <v/>
      </c>
      <c r="S5" s="38" t="str">
        <f>IFERROR(AVERAGEIFS(#REF!,#REF!,S$3,#REF!,2,#REF!,#REF!),"")</f>
        <v/>
      </c>
      <c r="T5" s="38" t="str">
        <f>IFERROR(AVERAGEIFS(#REF!,#REF!,T$3,#REF!,2,#REF!,#REF!),"")</f>
        <v/>
      </c>
      <c r="U5" s="38" t="str">
        <f>IFERROR(AVERAGEIFS(#REF!,#REF!,U$3,#REF!,2,#REF!,#REF!),"")</f>
        <v/>
      </c>
      <c r="V5" s="38" t="str">
        <f>IFERROR(AVERAGEIFS(#REF!,#REF!,V$3,#REF!,2,#REF!,#REF!),"")</f>
        <v/>
      </c>
      <c r="W5" s="38" t="str">
        <f>IFERROR(AVERAGEIFS(#REF!,#REF!,W$3,#REF!,2,#REF!,#REF!),"")</f>
        <v/>
      </c>
      <c r="X5" s="38" t="str">
        <f>IFERROR(AVERAGEIFS(#REF!,#REF!,X$3,#REF!,2,#REF!,#REF!),"")</f>
        <v/>
      </c>
      <c r="Y5" s="38" t="str">
        <f>IFERROR(AVERAGEIFS(#REF!,#REF!,Y$3,#REF!,2,#REF!,#REF!),"")</f>
        <v/>
      </c>
      <c r="Z5" s="38" t="str">
        <f>IFERROR(AVERAGEIFS(#REF!,#REF!,Z$3,#REF!,2,#REF!,#REF!),"")</f>
        <v/>
      </c>
      <c r="AA5" s="38" t="str">
        <f>IFERROR(AVERAGEIFS(#REF!,#REF!,AA$3,#REF!,2,#REF!,#REF!),"")</f>
        <v/>
      </c>
      <c r="AB5" s="38" t="str">
        <f>IFERROR(AVERAGEIFS(#REF!,#REF!,AB$3,#REF!,2,#REF!,#REF!),"")</f>
        <v/>
      </c>
      <c r="AC5" s="38" t="str">
        <f>IFERROR(AVERAGEIFS(#REF!,#REF!,AC$3,#REF!,2,#REF!,#REF!),"")</f>
        <v/>
      </c>
      <c r="AD5" s="38" t="str">
        <f>IFERROR(AVERAGEIFS(#REF!,#REF!,AD$3,#REF!,2,#REF!,#REF!),"")</f>
        <v/>
      </c>
      <c r="AE5" s="38" t="str">
        <f>IFERROR(AVERAGEIFS(#REF!,#REF!,AE$3,#REF!,2,#REF!,#REF!),"")</f>
        <v/>
      </c>
      <c r="AF5" s="38" t="str">
        <f>IFERROR(AVERAGEIFS(#REF!,#REF!,AF$3,#REF!,2,#REF!,#REF!),"")</f>
        <v/>
      </c>
      <c r="AG5" s="38" t="str">
        <f>IFERROR(AVERAGEIFS(#REF!,#REF!,AG$3,#REF!,2,#REF!,#REF!),"")</f>
        <v/>
      </c>
      <c r="AH5" s="38" t="str">
        <f>IFERROR(AVERAGEIFS(#REF!,#REF!,AH$3,#REF!,2,#REF!,#REF!),"")</f>
        <v/>
      </c>
      <c r="AI5" s="38" t="str">
        <f>IFERROR(AVERAGEIFS(#REF!,#REF!,AI$3,#REF!,2,#REF!,#REF!),"")</f>
        <v/>
      </c>
      <c r="AJ5" s="39">
        <f>IFERROR(AVERAGEIFS(#REF!,#REF!,AJ$3,#REF!,2,#REF!,#REF!),0)</f>
        <v>0</v>
      </c>
    </row>
    <row r="6" spans="1:36" ht="15.75" customHeight="1" x14ac:dyDescent="0.25">
      <c r="A6" s="13">
        <f ca="1">IFERROR(__xludf.DUMMYFUNCTION("""COMPUTED_VALUE"""),44784)</f>
        <v>44784</v>
      </c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24"/>
      <c r="F6" s="36" t="s">
        <v>40</v>
      </c>
      <c r="H6" s="37" t="s">
        <v>77</v>
      </c>
      <c r="I6" s="38" t="str">
        <f>IFERROR(AVERAGEIFS(#REF!,#REF!,I$3,#REF!,1,#REF!,#REF!),"")</f>
        <v/>
      </c>
      <c r="J6" s="38" t="str">
        <f>IFERROR(AVERAGEIFS(#REF!,#REF!,J$3,#REF!,1,#REF!,#REF!),"")</f>
        <v/>
      </c>
      <c r="K6" s="38" t="str">
        <f>IFERROR(AVERAGEIFS(#REF!,#REF!,K$3,#REF!,1,#REF!,#REF!),"")</f>
        <v/>
      </c>
      <c r="L6" s="38" t="str">
        <f>IFERROR(AVERAGEIFS(#REF!,#REF!,L$3,#REF!,1,#REF!,#REF!),"")</f>
        <v/>
      </c>
      <c r="M6" s="38" t="str">
        <f>IFERROR(AVERAGEIFS(#REF!,#REF!,M$3,#REF!,1,#REF!,#REF!),"")</f>
        <v/>
      </c>
      <c r="N6" s="38" t="str">
        <f>IFERROR(AVERAGEIFS(#REF!,#REF!,N$3,#REF!,1,#REF!,#REF!),"")</f>
        <v/>
      </c>
      <c r="O6" s="38" t="str">
        <f>IFERROR(AVERAGEIFS(#REF!,#REF!,O$3,#REF!,1,#REF!,#REF!),"")</f>
        <v/>
      </c>
      <c r="P6" s="38" t="str">
        <f>IFERROR(AVERAGEIFS(#REF!,#REF!,P$3,#REF!,1,#REF!,#REF!),"")</f>
        <v/>
      </c>
      <c r="Q6" s="38" t="str">
        <f>IFERROR(AVERAGEIFS(#REF!,#REF!,Q$3,#REF!,1,#REF!,#REF!),"")</f>
        <v/>
      </c>
      <c r="R6" s="38" t="str">
        <f>IFERROR(AVERAGEIFS(#REF!,#REF!,R$3,#REF!,1,#REF!,#REF!),"")</f>
        <v/>
      </c>
      <c r="S6" s="38" t="str">
        <f>IFERROR(AVERAGEIFS(#REF!,#REF!,S$3,#REF!,1,#REF!,#REF!),"")</f>
        <v/>
      </c>
      <c r="T6" s="38" t="str">
        <f>IFERROR(AVERAGEIFS(#REF!,#REF!,T$3,#REF!,1,#REF!,#REF!),"")</f>
        <v/>
      </c>
      <c r="U6" s="38" t="str">
        <f>IFERROR(AVERAGEIFS(#REF!,#REF!,U$3,#REF!,1,#REF!,#REF!),"")</f>
        <v/>
      </c>
      <c r="V6" s="38" t="str">
        <f>IFERROR(AVERAGEIFS(#REF!,#REF!,V$3,#REF!,1,#REF!,#REF!),"")</f>
        <v/>
      </c>
      <c r="W6" s="38" t="str">
        <f>IFERROR(AVERAGEIFS(#REF!,#REF!,W$3,#REF!,1,#REF!,#REF!),"")</f>
        <v/>
      </c>
      <c r="X6" s="38" t="str">
        <f>IFERROR(AVERAGEIFS(#REF!,#REF!,X$3,#REF!,1,#REF!,#REF!),"")</f>
        <v/>
      </c>
      <c r="Y6" s="38" t="str">
        <f>IFERROR(AVERAGEIFS(#REF!,#REF!,Y$3,#REF!,1,#REF!,#REF!),"")</f>
        <v/>
      </c>
      <c r="Z6" s="38" t="str">
        <f>IFERROR(AVERAGEIFS(#REF!,#REF!,Z$3,#REF!,1,#REF!,#REF!),"")</f>
        <v/>
      </c>
      <c r="AA6" s="38" t="str">
        <f>IFERROR(AVERAGEIFS(#REF!,#REF!,AA$3,#REF!,1,#REF!,#REF!),"")</f>
        <v/>
      </c>
      <c r="AB6" s="38" t="str">
        <f>IFERROR(AVERAGEIFS(#REF!,#REF!,AB$3,#REF!,1,#REF!,#REF!),"")</f>
        <v/>
      </c>
      <c r="AC6" s="38" t="str">
        <f>IFERROR(AVERAGEIFS(#REF!,#REF!,AC$3,#REF!,1,#REF!,#REF!),"")</f>
        <v/>
      </c>
      <c r="AD6" s="38" t="str">
        <f>IFERROR(AVERAGEIFS(#REF!,#REF!,AD$3,#REF!,1,#REF!,#REF!),"")</f>
        <v/>
      </c>
      <c r="AE6" s="38" t="str">
        <f>IFERROR(AVERAGEIFS(#REF!,#REF!,AE$3,#REF!,1,#REF!,#REF!),"")</f>
        <v/>
      </c>
      <c r="AF6" s="38" t="str">
        <f>IFERROR(AVERAGEIFS(#REF!,#REF!,AF$3,#REF!,1,#REF!,#REF!),"")</f>
        <v/>
      </c>
      <c r="AG6" s="38" t="str">
        <f>IFERROR(AVERAGEIFS(#REF!,#REF!,AG$3,#REF!,1,#REF!,#REF!),"")</f>
        <v/>
      </c>
      <c r="AH6" s="38" t="str">
        <f>IFERROR(AVERAGEIFS(#REF!,#REF!,AH$3,#REF!,1,#REF!,#REF!),"")</f>
        <v/>
      </c>
      <c r="AI6" s="38" t="str">
        <f>IFERROR(AVERAGEIFS(#REF!,#REF!,AI$3,#REF!,1,#REF!,#REF!),"")</f>
        <v/>
      </c>
      <c r="AJ6" s="39">
        <f>IFERROR(AVERAGEIFS(#REF!,#REF!,AJ$3,#REF!,1,#REF!,#REF!),0)</f>
        <v>0</v>
      </c>
    </row>
    <row r="7" spans="1:36" ht="15.75" customHeight="1" x14ac:dyDescent="0.25">
      <c r="A7" s="13">
        <f ca="1">IFERROR(__xludf.DUMMYFUNCTION("""COMPUTED_VALUE"""),44785)</f>
        <v>44785</v>
      </c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F7" s="8" t="s">
        <v>56</v>
      </c>
      <c r="H7" s="21" t="s">
        <v>52</v>
      </c>
      <c r="I7" s="40" t="str">
        <f>IFERROR(AVERAGEIFS(#REF!,#REF!,I$3,#REF!,#REF!),"")</f>
        <v/>
      </c>
      <c r="J7" s="40" t="str">
        <f>IFERROR(AVERAGEIFS(#REF!,#REF!,J$3,#REF!,#REF!),"")</f>
        <v/>
      </c>
      <c r="K7" s="40" t="str">
        <f>IFERROR(AVERAGEIFS(#REF!,#REF!,K$3,#REF!,#REF!),"")</f>
        <v/>
      </c>
      <c r="L7" s="40" t="str">
        <f>IFERROR(AVERAGEIFS(#REF!,#REF!,L$3,#REF!,#REF!),"")</f>
        <v/>
      </c>
      <c r="M7" s="40" t="str">
        <f>IFERROR(AVERAGEIFS(#REF!,#REF!,M$3,#REF!,#REF!),"")</f>
        <v/>
      </c>
      <c r="N7" s="40" t="str">
        <f>IFERROR(AVERAGEIFS(#REF!,#REF!,N$3,#REF!,#REF!),"")</f>
        <v/>
      </c>
      <c r="O7" s="40" t="str">
        <f>IFERROR(AVERAGEIFS(#REF!,#REF!,O$3,#REF!,#REF!),"")</f>
        <v/>
      </c>
      <c r="P7" s="40" t="str">
        <f>IFERROR(AVERAGEIFS(#REF!,#REF!,P$3,#REF!,#REF!),"")</f>
        <v/>
      </c>
      <c r="Q7" s="40" t="str">
        <f>IFERROR(AVERAGEIFS(#REF!,#REF!,Q$3,#REF!,#REF!),"")</f>
        <v/>
      </c>
      <c r="R7" s="40" t="str">
        <f>IFERROR(AVERAGEIFS(#REF!,#REF!,R$3,#REF!,#REF!),"")</f>
        <v/>
      </c>
      <c r="S7" s="40" t="str">
        <f>IFERROR(AVERAGEIFS(#REF!,#REF!,S$3,#REF!,#REF!),"")</f>
        <v/>
      </c>
      <c r="T7" s="40" t="str">
        <f>IFERROR(AVERAGEIFS(#REF!,#REF!,T$3,#REF!,#REF!),"")</f>
        <v/>
      </c>
      <c r="U7" s="40" t="str">
        <f>IFERROR(AVERAGEIFS(#REF!,#REF!,U$3,#REF!,#REF!),"")</f>
        <v/>
      </c>
      <c r="V7" s="40" t="str">
        <f>IFERROR(AVERAGEIFS(#REF!,#REF!,V$3,#REF!,#REF!),"")</f>
        <v/>
      </c>
      <c r="W7" s="40" t="str">
        <f>IFERROR(AVERAGEIFS(#REF!,#REF!,W$3,#REF!,#REF!),"")</f>
        <v/>
      </c>
      <c r="X7" s="40" t="str">
        <f>IFERROR(AVERAGEIFS(#REF!,#REF!,X$3,#REF!,#REF!),"")</f>
        <v/>
      </c>
      <c r="Y7" s="40" t="str">
        <f>IFERROR(AVERAGEIFS(#REF!,#REF!,Y$3,#REF!,#REF!),"")</f>
        <v/>
      </c>
      <c r="Z7" s="40" t="str">
        <f>IFERROR(AVERAGEIFS(#REF!,#REF!,Z$3,#REF!,#REF!),"")</f>
        <v/>
      </c>
      <c r="AA7" s="40" t="str">
        <f>IFERROR(AVERAGEIFS(#REF!,#REF!,AA$3,#REF!,#REF!),"")</f>
        <v/>
      </c>
      <c r="AB7" s="40" t="str">
        <f>IFERROR(AVERAGEIFS(#REF!,#REF!,AB$3,#REF!,#REF!),"")</f>
        <v/>
      </c>
      <c r="AC7" s="40" t="str">
        <f>IFERROR(AVERAGEIFS(#REF!,#REF!,AC$3,#REF!,#REF!),"")</f>
        <v/>
      </c>
      <c r="AD7" s="40" t="str">
        <f>IFERROR(AVERAGEIFS(#REF!,#REF!,AD$3,#REF!,#REF!),"")</f>
        <v/>
      </c>
      <c r="AE7" s="40" t="str">
        <f>IFERROR(AVERAGEIFS(#REF!,#REF!,AE$3,#REF!,#REF!),"")</f>
        <v/>
      </c>
      <c r="AF7" s="40" t="str">
        <f>IFERROR(AVERAGEIFS(#REF!,#REF!,AF$3,#REF!,#REF!),"")</f>
        <v/>
      </c>
      <c r="AG7" s="40" t="str">
        <f>IFERROR(AVERAGEIFS(#REF!,#REF!,AG$3,#REF!,#REF!),"")</f>
        <v/>
      </c>
      <c r="AH7" s="40" t="str">
        <f>IFERROR(AVERAGEIFS(#REF!,#REF!,AH$3,#REF!,#REF!),"")</f>
        <v/>
      </c>
      <c r="AI7" s="40" t="str">
        <f>IFERROR(AVERAGEIFS(#REF!,#REF!,AI$3,#REF!,#REF!),"")</f>
        <v/>
      </c>
      <c r="AJ7" s="41" t="str">
        <f>IFERROR(AVERAGEIFS(#REF!,#REF!,AJ$3,#REF!,#REF!),"")</f>
        <v/>
      </c>
    </row>
    <row r="8" spans="1:36" ht="15.75" customHeight="1" x14ac:dyDescent="0.25">
      <c r="A8" s="13">
        <f ca="1">IFERROR(__xludf.DUMMYFUNCTION("""COMPUTED_VALUE"""),44786)</f>
        <v>44786</v>
      </c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F8" s="8" t="s">
        <v>57</v>
      </c>
    </row>
    <row r="9" spans="1:36" ht="15.75" customHeight="1" x14ac:dyDescent="0.25">
      <c r="A9" s="13">
        <f ca="1">IFERROR(__xludf.DUMMYFUNCTION("""COMPUTED_VALUE"""),44787)</f>
        <v>44787</v>
      </c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F9" s="8" t="s">
        <v>58</v>
      </c>
      <c r="H9" s="87" t="s">
        <v>54</v>
      </c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9"/>
    </row>
    <row r="10" spans="1:36" ht="15.75" customHeight="1" x14ac:dyDescent="0.25">
      <c r="A10" s="13">
        <f ca="1">IFERROR(__xludf.DUMMYFUNCTION("""COMPUTED_VALUE"""),44788)</f>
        <v>44788</v>
      </c>
      <c r="C10" s="19"/>
      <c r="D10" s="7"/>
      <c r="F10" s="8" t="s">
        <v>59</v>
      </c>
      <c r="H10" s="90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  <c r="AA10" s="91"/>
      <c r="AB10" s="91"/>
      <c r="AC10" s="91"/>
      <c r="AD10" s="91"/>
      <c r="AE10" s="91"/>
      <c r="AF10" s="91"/>
      <c r="AG10" s="91"/>
      <c r="AH10" s="91"/>
      <c r="AI10" s="91"/>
      <c r="AJ10" s="92"/>
    </row>
    <row r="11" spans="1:36" ht="15.75" customHeight="1" x14ac:dyDescent="0.25">
      <c r="A11" s="13">
        <f ca="1">IFERROR(__xludf.DUMMYFUNCTION("""COMPUTED_VALUE"""),44789)</f>
        <v>44789</v>
      </c>
      <c r="C11" s="19" t="str">
        <f ca="1">IFERROR(__xludf.DUMMYFUNCTION("unique(Roster!$D$3:$D$42)"),"FWD")</f>
        <v>FWD</v>
      </c>
      <c r="D11" s="7"/>
      <c r="F11" s="8" t="s">
        <v>60</v>
      </c>
      <c r="H11" s="12" t="s">
        <v>47</v>
      </c>
      <c r="I11" s="25" t="e">
        <f>IF(#REF!=$E$2,
(IF(
(IF(J$11&lt;1,"",_xludf.MaxIFS('Wellness Responses'!$P$2:$P1000,'Wellness Responses'!$R$2:$R1000,#REF!,'Wellness Responses'!$P$2:$P1000,"&lt;"&amp;J$11)))&lt;1,"",
(IF(J$11&lt;1,"",TEXT(_xludf.MaxIFS('Wellness Responses'!$P$2:$P1000,'Wellness Responses'!$R$2:$R1000,#REF!,'Wellness Responses'!$P$2:$P1000,"&lt;"&amp;J$11),"MM/DD/YYYY"))))),
IF(#REF!=$E$3,
(IF(OR(J$11&lt;1,J$11=1,J$11=""),"",J$11-1))))</f>
        <v>#REF!</v>
      </c>
      <c r="J11" s="25" t="e">
        <f>IF(#REF!=$E$2,
(IF(
(IF(K$11&lt;1,"",_xludf.MaxIFS('Wellness Responses'!$P$2:$P1000,'Wellness Responses'!$R$2:$R1000,#REF!,'Wellness Responses'!$P$2:$P1000,"&lt;"&amp;K$11)))&lt;1,"",
(IF(K$11&lt;1,"",TEXT(_xludf.MaxIFS('Wellness Responses'!$P$2:$P1000,'Wellness Responses'!$R$2:$R1000,#REF!,'Wellness Responses'!$P$2:$P1000,"&lt;"&amp;K$11),"MM/DD/YYYY"))))),
IF(#REF!=$E$3,
(IF(OR(K$11&lt;1,K$11=1,K$11=""),"",K$11-1))))</f>
        <v>#REF!</v>
      </c>
      <c r="K11" s="25" t="e">
        <f>IF(#REF!=$E$2,
(IF(
(IF(L$11&lt;1,"",_xludf.MaxIFS('Wellness Responses'!$P$2:$P1000,'Wellness Responses'!$R$2:$R1000,#REF!,'Wellness Responses'!$P$2:$P1000,"&lt;"&amp;L$11)))&lt;1,"",
(IF(L$11&lt;1,"",TEXT(_xludf.MaxIFS('Wellness Responses'!$P$2:$P1000,'Wellness Responses'!$R$2:$R1000,#REF!,'Wellness Responses'!$P$2:$P1000,"&lt;"&amp;L$11),"MM/DD/YYYY"))))),
IF(#REF!=$E$3,
(IF(OR(L$11&lt;1,L$11=1,L$11=""),"",L$11-1))))</f>
        <v>#REF!</v>
      </c>
      <c r="L11" s="25" t="e">
        <f>IF(#REF!=$E$2,
(IF(
(IF(M$11&lt;1,"",_xludf.MaxIFS('Wellness Responses'!$P$2:$P1000,'Wellness Responses'!$R$2:$R1000,#REF!,'Wellness Responses'!$P$2:$P1000,"&lt;"&amp;M$11)))&lt;1,"",
(IF(M$11&lt;1,"",TEXT(_xludf.MaxIFS('Wellness Responses'!$P$2:$P1000,'Wellness Responses'!$R$2:$R1000,#REF!,'Wellness Responses'!$P$2:$P1000,"&lt;"&amp;M$11),"MM/DD/YYYY"))))),
IF(#REF!=$E$3,
(IF(OR(M$11&lt;1,M$11=1,M$11=""),"",M$11-1))))</f>
        <v>#REF!</v>
      </c>
      <c r="M11" s="25" t="e">
        <f>IF(#REF!=$E$2,
(IF(
(IF(N$11&lt;1,"",_xludf.MaxIFS('Wellness Responses'!$P$2:$P1000,'Wellness Responses'!$R$2:$R1000,#REF!,'Wellness Responses'!$P$2:$P1000,"&lt;"&amp;N$11)))&lt;1,"",
(IF(N$11&lt;1,"",TEXT(_xludf.MaxIFS('Wellness Responses'!$P$2:$P1000,'Wellness Responses'!$R$2:$R1000,#REF!,'Wellness Responses'!$P$2:$P1000,"&lt;"&amp;N$11),"MM/DD/YYYY"))))),
IF(#REF!=$E$3,
(IF(OR(N$11&lt;1,N$11=1,N$11=""),"",N$11-1))))</f>
        <v>#REF!</v>
      </c>
      <c r="N11" s="25" t="e">
        <f>IF(#REF!=$E$2,
(IF(
(IF(O$11&lt;1,"",_xludf.MaxIFS('Wellness Responses'!$P$2:$P1000,'Wellness Responses'!$R$2:$R1000,#REF!,'Wellness Responses'!$P$2:$P1000,"&lt;"&amp;O$11)))&lt;1,"",
(IF(O$11&lt;1,"",TEXT(_xludf.MaxIFS('Wellness Responses'!$P$2:$P1000,'Wellness Responses'!$R$2:$R1000,#REF!,'Wellness Responses'!$P$2:$P1000,"&lt;"&amp;O$11),"MM/DD/YYYY"))))),
IF(#REF!=$E$3,
(IF(OR(O$11&lt;1,O$11=1,O$11=""),"",O$11-1))))</f>
        <v>#REF!</v>
      </c>
      <c r="O11" s="25" t="e">
        <f>IF(#REF!=$E$2,
(IF(
(IF(P$11&lt;1,"",_xludf.MaxIFS('Wellness Responses'!$P$2:$P1000,'Wellness Responses'!$R$2:$R1000,#REF!,'Wellness Responses'!$P$2:$P1000,"&lt;"&amp;P$11)))&lt;1,"",
(IF(P$11&lt;1,"",TEXT(_xludf.MaxIFS('Wellness Responses'!$P$2:$P1000,'Wellness Responses'!$R$2:$R1000,#REF!,'Wellness Responses'!$P$2:$P1000,"&lt;"&amp;P$11),"MM/DD/YYYY"))))),
IF(#REF!=$E$3,
(IF(OR(P$11&lt;1,P$11=1,P$11=""),"",P$11-1))))</f>
        <v>#REF!</v>
      </c>
      <c r="P11" s="25" t="e">
        <f>IF(#REF!=$E$2,
(IF(
(IF(Q$11&lt;1,"",_xludf.MaxIFS('Wellness Responses'!$P$2:$P1000,'Wellness Responses'!$R$2:$R1000,#REF!,'Wellness Responses'!$P$2:$P1000,"&lt;"&amp;Q$11)))&lt;1,"",
(IF(Q$11&lt;1,"",TEXT(_xludf.MaxIFS('Wellness Responses'!$P$2:$P1000,'Wellness Responses'!$R$2:$R1000,#REF!,'Wellness Responses'!$P$2:$P1000,"&lt;"&amp;Q$11),"MM/DD/YYYY"))))),
IF(#REF!=$E$3,
(IF(OR(Q$11&lt;1,Q$11=1,Q$11=""),"",Q$11-1))))</f>
        <v>#REF!</v>
      </c>
      <c r="Q11" s="25" t="e">
        <f>IF(#REF!=$E$2,
(IF(
(IF(R$11&lt;1,"",_xludf.MaxIFS('Wellness Responses'!$P$2:$P1000,'Wellness Responses'!$R$2:$R1000,#REF!,'Wellness Responses'!$P$2:$P1000,"&lt;"&amp;R$11)))&lt;1,"",
(IF(R$11&lt;1,"",TEXT(_xludf.MaxIFS('Wellness Responses'!$P$2:$P1000,'Wellness Responses'!$R$2:$R1000,#REF!,'Wellness Responses'!$P$2:$P1000,"&lt;"&amp;R$11),"MM/DD/YYYY"))))),
IF(#REF!=$E$3,
(IF(OR(R$11&lt;1,R$11=1,R$11=""),"",R$11-1))))</f>
        <v>#REF!</v>
      </c>
      <c r="R11" s="25" t="e">
        <f>IF(#REF!=$E$2,
(IF(
(IF(S$11&lt;1,"",_xludf.MaxIFS('Wellness Responses'!$P$2:$P1000,'Wellness Responses'!$R$2:$R1000,#REF!,'Wellness Responses'!$P$2:$P1000,"&lt;"&amp;S$11)))&lt;1,"",
(IF(S$11&lt;1,"",TEXT(_xludf.MaxIFS('Wellness Responses'!$P$2:$P1000,'Wellness Responses'!$R$2:$R1000,#REF!,'Wellness Responses'!$P$2:$P1000,"&lt;"&amp;S$11),"MM/DD/YYYY"))))),
IF(#REF!=$E$3,
(IF(OR(S$11&lt;1,S$11=1,S$11=""),"",S$11-1))))</f>
        <v>#REF!</v>
      </c>
      <c r="S11" s="25" t="e">
        <f>IF(#REF!=$E$2,
(IF(
(IF(T$11&lt;1,"",_xludf.MaxIFS('Wellness Responses'!$P$2:$P1000,'Wellness Responses'!$R$2:$R1000,#REF!,'Wellness Responses'!$P$2:$P1000,"&lt;"&amp;T$11)))&lt;1,"",
(IF(T$11&lt;1,"",TEXT(_xludf.MaxIFS('Wellness Responses'!$P$2:$P1000,'Wellness Responses'!$R$2:$R1000,#REF!,'Wellness Responses'!$P$2:$P1000,"&lt;"&amp;T$11),"MM/DD/YYYY"))))),
IF(#REF!=$E$3,
(IF(OR(T$11&lt;1,T$11=1,T$11=""),"",T$11-1))))</f>
        <v>#REF!</v>
      </c>
      <c r="T11" s="25" t="e">
        <f>IF(#REF!=$E$2,
(IF(
(IF(U$11&lt;1,"",_xludf.MaxIFS('Wellness Responses'!$P$2:$P1000,'Wellness Responses'!$R$2:$R1000,#REF!,'Wellness Responses'!$P$2:$P1000,"&lt;"&amp;U$11)))&lt;1,"",
(IF(U$11&lt;1,"",TEXT(_xludf.MaxIFS('Wellness Responses'!$P$2:$P1000,'Wellness Responses'!$R$2:$R1000,#REF!,'Wellness Responses'!$P$2:$P1000,"&lt;"&amp;U$11),"MM/DD/YYYY"))))),
IF(#REF!=$E$3,
(IF(OR(U$11&lt;1,U$11=1,U$11=""),"",U$11-1))))</f>
        <v>#REF!</v>
      </c>
      <c r="U11" s="25" t="e">
        <f>IF(#REF!=$E$2,
(IF(
(IF(V$11&lt;1,"",_xludf.MaxIFS('Wellness Responses'!$P$2:$P1000,'Wellness Responses'!$R$2:$R1000,#REF!,'Wellness Responses'!$P$2:$P1000,"&lt;"&amp;V$11)))&lt;1,"",
(IF(V$11&lt;1,"",TEXT(_xludf.MaxIFS('Wellness Responses'!$P$2:$P1000,'Wellness Responses'!$R$2:$R1000,#REF!,'Wellness Responses'!$P$2:$P1000,"&lt;"&amp;V$11),"MM/DD/YYYY"))))),
IF(#REF!=$E$3,
(IF(OR(V$11&lt;1,V$11=1,V$11=""),"",V$11-1))))</f>
        <v>#REF!</v>
      </c>
      <c r="V11" s="25" t="e">
        <f>IF(#REF!=$E$2,
(IF(
(IF(W$11&lt;1,"",_xludf.MaxIFS('Wellness Responses'!$P$2:$P1000,'Wellness Responses'!$R$2:$R1000,#REF!,'Wellness Responses'!$P$2:$P1000,"&lt;"&amp;W$11)))&lt;1,"",
(IF(W$11&lt;1,"",TEXT(_xludf.MaxIFS('Wellness Responses'!$P$2:$P1000,'Wellness Responses'!$R$2:$R1000,#REF!,'Wellness Responses'!$P$2:$P1000,"&lt;"&amp;W$11),"MM/DD/YYYY"))))),
IF(#REF!=$E$3,
(IF(OR(W$11&lt;1,W$11=1,W$11=""),"",W$11-1))))</f>
        <v>#REF!</v>
      </c>
      <c r="W11" s="25" t="e">
        <f>IF(#REF!=$E$2,
(IF(
(IF(X$11&lt;1,"",_xludf.MaxIFS('Wellness Responses'!$P$2:$P1000,'Wellness Responses'!$R$2:$R1000,#REF!,'Wellness Responses'!$P$2:$P1000,"&lt;"&amp;X$11)))&lt;1,"",
(IF(X$11&lt;1,"",TEXT(_xludf.MaxIFS('Wellness Responses'!$P$2:$P1000,'Wellness Responses'!$R$2:$R1000,#REF!,'Wellness Responses'!$P$2:$P1000,"&lt;"&amp;X$11),"MM/DD/YYYY"))))),
IF(#REF!=$E$3,
(IF(OR(X$11&lt;1,X$11=1,X$11=""),"",X$11-1))))</f>
        <v>#REF!</v>
      </c>
      <c r="X11" s="25" t="e">
        <f>IF(#REF!=$E$2,
(IF(
(IF(Y$11&lt;1,"",_xludf.MaxIFS('Wellness Responses'!$P$2:$P1000,'Wellness Responses'!$R$2:$R1000,#REF!,'Wellness Responses'!$P$2:$P1000,"&lt;"&amp;Y$11)))&lt;1,"",
(IF(Y$11&lt;1,"",TEXT(_xludf.MaxIFS('Wellness Responses'!$P$2:$P1000,'Wellness Responses'!$R$2:$R1000,#REF!,'Wellness Responses'!$P$2:$P1000,"&lt;"&amp;Y$11),"MM/DD/YYYY"))))),
IF(#REF!=$E$3,
(IF(OR(Y$11&lt;1,Y$11=1,Y$11=""),"",Y$11-1))))</f>
        <v>#REF!</v>
      </c>
      <c r="Y11" s="25" t="e">
        <f>IF(#REF!=$E$2,
(IF(
(IF(Z$11&lt;1,"",_xludf.MaxIFS('Wellness Responses'!$P$2:$P1000,'Wellness Responses'!$R$2:$R1000,#REF!,'Wellness Responses'!$P$2:$P1000,"&lt;"&amp;Z$11)))&lt;1,"",
(IF(Z$11&lt;1,"",TEXT(_xludf.MaxIFS('Wellness Responses'!$P$2:$P1000,'Wellness Responses'!$R$2:$R1000,#REF!,'Wellness Responses'!$P$2:$P1000,"&lt;"&amp;Z$11),"MM/DD/YYYY"))))),
IF(#REF!=$E$3,
(IF(OR(Z$11&lt;1,Z$11=1,Z$11=""),"",Z$11-1))))</f>
        <v>#REF!</v>
      </c>
      <c r="Z11" s="25" t="e">
        <f>IF(#REF!=$E$2,
(IF(
(IF(AA$11&lt;1,"",_xludf.MaxIFS('Wellness Responses'!$P$2:$P1000,'Wellness Responses'!$R$2:$R1000,#REF!,'Wellness Responses'!$P$2:$P1000,"&lt;"&amp;AA$11)))&lt;1,"",
(IF(AA$11&lt;1,"",TEXT(_xludf.MaxIFS('Wellness Responses'!$P$2:$P1000,'Wellness Responses'!$R$2:$R1000,#REF!,'Wellness Responses'!$P$2:$P1000,"&lt;"&amp;AA$11),"MM/DD/YYYY"))))),
IF(#REF!=$E$3,
(IF(OR(AA$11&lt;1,AA$11=1,AA$11=""),"",AA$11-1))))</f>
        <v>#REF!</v>
      </c>
      <c r="AA11" s="25" t="e">
        <f>IF(#REF!=$E$2,
(IF(
(IF(AB$11&lt;1,"",_xludf.MaxIFS('Wellness Responses'!$P$2:$P1000,'Wellness Responses'!$R$2:$R1000,#REF!,'Wellness Responses'!$P$2:$P1000,"&lt;"&amp;AB$11)))&lt;1,"",
(IF(AB$11&lt;1,"",TEXT(_xludf.MaxIFS('Wellness Responses'!$P$2:$P1000,'Wellness Responses'!$R$2:$R1000,#REF!,'Wellness Responses'!$P$2:$P1000,"&lt;"&amp;AB$11),"MM/DD/YYYY"))))),
IF(#REF!=$E$3,
(IF(OR(AB$11&lt;1,AB$11=1,AB$11=""),"",AB$11-1))))</f>
        <v>#REF!</v>
      </c>
      <c r="AB11" s="25" t="e">
        <f>IF(#REF!=$E$2,
(IF(
(IF(AC$11&lt;1,"",_xludf.MaxIFS('Wellness Responses'!$P$2:$P1000,'Wellness Responses'!$R$2:$R1000,#REF!,'Wellness Responses'!$P$2:$P1000,"&lt;"&amp;AC$11)))&lt;1,"",
(IF(AC$11&lt;1,"",TEXT(_xludf.MaxIFS('Wellness Responses'!$P$2:$P1000,'Wellness Responses'!$R$2:$R1000,#REF!,'Wellness Responses'!$P$2:$P1000,"&lt;"&amp;AC$11),"MM/DD/YYYY"))))),
IF(#REF!=$E$3,
(IF(OR(AC$11&lt;1,AC$11=1,AC$11=""),"",AC$11-1))))</f>
        <v>#REF!</v>
      </c>
      <c r="AC11" s="25" t="e">
        <f>IF(#REF!=$E$2,
(IF(
(IF(AD$11&lt;1,"",_xludf.MaxIFS('Wellness Responses'!$P$2:$P1000,'Wellness Responses'!$R$2:$R1000,#REF!,'Wellness Responses'!$P$2:$P1000,"&lt;"&amp;AD$11)))&lt;1,"",
(IF(AD$11&lt;1,"",TEXT(_xludf.MaxIFS('Wellness Responses'!$P$2:$P1000,'Wellness Responses'!$R$2:$R1000,#REF!,'Wellness Responses'!$P$2:$P1000,"&lt;"&amp;AD$11),"MM/DD/YYYY"))))),
IF(#REF!=$E$3,
(IF(OR(AD$11&lt;1,AD$11=1,AD$11=""),"",AD$11-1))))</f>
        <v>#REF!</v>
      </c>
      <c r="AD11" s="25" t="e">
        <f>IF(#REF!=$E$2,
(IF(
(IF(AE$11&lt;1,"",_xludf.MaxIFS('Wellness Responses'!$P$2:$P1000,'Wellness Responses'!$R$2:$R1000,#REF!,'Wellness Responses'!$P$2:$P1000,"&lt;"&amp;AE$11)))&lt;1,"",
(IF(AE$11&lt;1,"",TEXT(_xludf.MaxIFS('Wellness Responses'!$P$2:$P1000,'Wellness Responses'!$R$2:$R1000,#REF!,'Wellness Responses'!$P$2:$P1000,"&lt;"&amp;AE$11),"MM/DD/YYYY"))))),
IF(#REF!=$E$3,
(IF(OR(AE$11&lt;1,AE$11=1,AE$11=""),"",AE$11-1))))</f>
        <v>#REF!</v>
      </c>
      <c r="AE11" s="25" t="e">
        <f>IF(#REF!=$E$2,
(IF(
(IF(AF$11&lt;1,"",_xludf.MaxIFS('Wellness Responses'!$P$2:$P1000,'Wellness Responses'!$R$2:$R1000,#REF!,'Wellness Responses'!$P$2:$P1000,"&lt;"&amp;AF$11)))&lt;1,"",
(IF(AF$11&lt;1,"",TEXT(_xludf.MaxIFS('Wellness Responses'!$P$2:$P1000,'Wellness Responses'!$R$2:$R1000,#REF!,'Wellness Responses'!$P$2:$P1000,"&lt;"&amp;AF$11),"MM/DD/YYYY"))))),
IF(#REF!=$E$3,
(IF(OR(AF$11&lt;1,AF$11=1,AF$11=""),"",AF$11-1))))</f>
        <v>#REF!</v>
      </c>
      <c r="AF11" s="25" t="e">
        <f>IF(#REF!=$E$2,
(IF(
(IF(AG$11&lt;1,"",_xludf.MaxIFS('Wellness Responses'!$P$2:$P1000,'Wellness Responses'!$R$2:$R1000,#REF!,'Wellness Responses'!$P$2:$P1000,"&lt;"&amp;AG$11)))&lt;1,"",
(IF(AG$11&lt;1,"",TEXT(_xludf.MaxIFS('Wellness Responses'!$P$2:$P1000,'Wellness Responses'!$R$2:$R1000,#REF!,'Wellness Responses'!$P$2:$P1000,"&lt;"&amp;AG$11),"MM/DD/YYYY"))))),
IF(#REF!=$E$3,
(IF(OR(AG$11&lt;1,AG$11=1,AG$11=""),"",AG$11-1))))</f>
        <v>#REF!</v>
      </c>
      <c r="AG11" s="25" t="e">
        <f>IF(#REF!=$E$2,
(IF(
(IF(AH$11&lt;1,"",_xludf.MaxIFS('Wellness Responses'!$P$2:$P1000,'Wellness Responses'!$R$2:$R1000,#REF!,'Wellness Responses'!$P$2:$P1000,"&lt;"&amp;AH$11)))&lt;1,"",
(IF(AH$11&lt;1,"",TEXT(_xludf.MaxIFS('Wellness Responses'!$P$2:$P1000,'Wellness Responses'!$R$2:$R1000,#REF!,'Wellness Responses'!$P$2:$P1000,"&lt;"&amp;AH$11),"MM/DD/YYYY"))))),
IF(#REF!=$E$3,
(IF(OR(AH$11&lt;1,AH$11=1,AH$11=""),"",AH$11-1))))</f>
        <v>#REF!</v>
      </c>
      <c r="AH11" s="25" t="e">
        <f>IF(#REF!=$E$2,
(IF(
(IF(AI$11&lt;1,"",_xludf.MaxIFS('Wellness Responses'!$P$2:$P1000,'Wellness Responses'!$R$2:$R1000,#REF!,'Wellness Responses'!$P$2:$P1000,"&lt;"&amp;AI$11)))&lt;1,"",
(IF(AI$11&lt;1,"",TEXT(_xludf.MaxIFS('Wellness Responses'!$P$2:$P1000,'Wellness Responses'!$R$2:$R1000,#REF!,'Wellness Responses'!$P$2:$P1000,"&lt;"&amp;AI$11),"MM/DD/YYYY"))))),
IF(#REF!=$E$3,
(IF(OR(AI$11&lt;1,AI$11=1,AI$11=""),"",AI$11-1))))</f>
        <v>#REF!</v>
      </c>
      <c r="AI11" s="25" t="e">
        <f>IF(#REF!=$E$2,
(IF(
(IF(AJ$11&lt;1,"",_xludf.MaxIFS('Wellness Responses'!$P$2:$P1000,'Wellness Responses'!$R$2:$R1000,#REF!,'Wellness Responses'!$P$2:$P1000,"&lt;"&amp;AJ$11)))&lt;1,"",
(IF(AJ$11&lt;1,"",TEXT(_xludf.MaxIFS('Wellness Responses'!$P$2:$P1000,'Wellness Responses'!$R$2:$R1000,#REF!,'Wellness Responses'!$P$2:$P1000,"&lt;"&amp;AJ$11),"MM/DD/YYYY"))))),
IF(#REF!=$E$3,
(IF(OR(AJ$11&lt;1,AJ$11=1,AJ$11=""),"",AJ$11-1))))</f>
        <v>#REF!</v>
      </c>
      <c r="AJ11" s="26" t="e">
        <f t="array" ref="AJ11">IF(#REF!=$E$2,TEXT(#REF!,"MM/DD/YYYY"),
IF(#REF!=$E$3,INDEX('Wellness Responses'!$O$2:$O1000,MATCH(#REF!,'Wellness Responses'!$P$2:$P1000,0),"")))</f>
        <v>#REF!</v>
      </c>
    </row>
    <row r="12" spans="1:36" ht="15.75" customHeight="1" x14ac:dyDescent="0.25">
      <c r="A12" s="13">
        <f ca="1">IFERROR(__xludf.DUMMYFUNCTION("""COMPUTED_VALUE"""),44790)</f>
        <v>44790</v>
      </c>
      <c r="C12" s="19" t="str">
        <f ca="1">IFERROR(__xludf.DUMMYFUNCTION("""COMPUTED_VALUE"""),"F/MID")</f>
        <v>F/MID</v>
      </c>
      <c r="D12" s="7"/>
      <c r="F12" s="10" t="s">
        <v>61</v>
      </c>
      <c r="H12" s="12" t="e">
        <f>IF(#REF!=$F$2,$F$2,
IF(#REF!=$F$3,$F$3,
IF(#REF!=$F$4,$F$4,
IF(#REF!=$F$5,$F$5,
IF(#REF!=$F$6,$F$6,
IF(#REF!=$F$7,$F$7,
IF(#REF!=$F$8,$F$8,
IF(#REF!=$F$9,"Prac Session RPE",
IF(#REF!=$F$10,"Prac Chest RPE",
IF(#REF!=$F$11,"Prac Muscle RPE",
IF(#REF!=$F$12,"Prac Technical RPE","")))))))))))</f>
        <v>#REF!</v>
      </c>
      <c r="I12" s="16" t="str">
        <f>IFERROR(
IF(AND(#REF!=$E$2,#REF!=$F$2),AVERAGEIFS('Wellness Responses'!$AT$2:$AT1000,'Wellness Responses'!$P$2:$P1000,I$11,'Wellness Responses'!$B$2:$B1000,#REF!),
IF(AND(#REF!=$E$2,#REF!=$F$3),AVERAGEIFS('Wellness Responses'!$E$2:$E1000,'Wellness Responses'!$P$2:$P1000,I$11,'Wellness Responses'!$B$2:$B1000,#REF!),
IF(AND(#REF!=$E$2,#REF!=$F$4),AVERAGEIFS('Wellness Responses'!$F$2:$F1000,'Wellness Responses'!$P$2:$P1000,I$11,'Wellness Responses'!$B$2:$B1000,#REF!),
IF(AND(#REF!=$E$2,#REF!=$F$5),AVERAGEIFS('Wellness Responses'!$G$2:$G1000,'Wellness Responses'!$P$2:$P1000,I$11,'Wellness Responses'!$B$2:$B1000,#REF!),
IF(AND(#REF!=$E$2,#REF!=$F$6),AVERAGEIFS('Wellness Responses'!$I$2:$I1000,'Wellness Responses'!$P$2:$P1000,I$11,'Wellness Responses'!$B$2:$B1000,#REF!),
IF(AND(#REF!=$E$2,#REF!=$F$7),AVERAGEIFS(#REF!,#REF!,I$11,#REF!,#REF!),
IF(AND(#REF!=$E$2,#REF!=$F$8),AVERAGEIFS(#REF!,#REF!,I$11,#REF!,#REF!),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IF(AND(#REF!=$E$3,#REF!=$F$2),AVERAGEIFS('Wellness Responses'!$AT$2:$AT1000,'Wellness Responses'!$O$2:$O1000,I$11,'Wellness Responses'!$B$2:$B1000,#REF!),
IF(AND(#REF!=$E$3,#REF!=$F$3),AVERAGEIFS('Wellness Responses'!$E$2:$E1000,'Wellness Responses'!$O$2:$O1000,I$11,'Wellness Responses'!$B$2:$B1000,#REF!),
IF(AND(#REF!=$E$3,#REF!=$F$4),AVERAGEIFS('Wellness Responses'!$F$2:$F1000,'Wellness Responses'!$O$2:$O1000,I$11,'Wellness Responses'!$B$2:$B1000,#REF!),
IF(AND(#REF!=$E$3,#REF!=$F$5),AVERAGEIFS('Wellness Responses'!$G$2:$G1000,'Wellness Responses'!$O$2:$O1000,I$11,'Wellness Responses'!$B$2:$B1000,#REF!),
IF(AND(#REF!=$E$3,#REF!=$F$6),AVERAGEIFS('Wellness Responses'!$I$2:$I1000,'Wellness Responses'!$O$2:$O1000,I$11,'Wellness Responses'!$B$2:$B1000,#REF!),
IF(AND(#REF!=$E$3,#REF!=$F$7),AVERAGEIFS(#REF!,#REF!,I$11,#REF!,#REF!),
IF(AND(#REF!=$E$3,#REF!=$F$8),AVERAGEIFS(#REF!,#REF!,I$11,#REF!,#REF!),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IF(AND(#REF!=$E$3,#REF!=$F$12),AVERAGEIFS(#REF!,#REF!,I$11,#REF!,#REF!))))))))))))))))))))))),"")</f>
        <v/>
      </c>
      <c r="J12" s="16" t="str">
        <f>IFERROR(
IF(AND(#REF!=$E$2,#REF!=$F$2),AVERAGEIFS('Wellness Responses'!$AT$2:$AT1000,'Wellness Responses'!$P$2:$P1000,J$11,'Wellness Responses'!$B$2:$B1000,#REF!),
IF(AND(#REF!=$E$2,#REF!=$F$3),AVERAGEIFS('Wellness Responses'!$E$2:$E1000,'Wellness Responses'!$P$2:$P1000,J$11,'Wellness Responses'!$B$2:$B1000,#REF!),
IF(AND(#REF!=$E$2,#REF!=$F$4),AVERAGEIFS('Wellness Responses'!$F$2:$F1000,'Wellness Responses'!$P$2:$P1000,J$11,'Wellness Responses'!$B$2:$B1000,#REF!),
IF(AND(#REF!=$E$2,#REF!=$F$5),AVERAGEIFS('Wellness Responses'!$G$2:$G1000,'Wellness Responses'!$P$2:$P1000,J$11,'Wellness Responses'!$B$2:$B1000,#REF!),
IF(AND(#REF!=$E$2,#REF!=$F$6),AVERAGEIFS('Wellness Responses'!$I$2:$I1000,'Wellness Responses'!$P$2:$P1000,J$11,'Wellness Responses'!$B$2:$B1000,#REF!),
IF(AND(#REF!=$E$2,#REF!=$F$7),AVERAGEIFS(#REF!,#REF!,J$11,#REF!,#REF!),
IF(AND(#REF!=$E$2,#REF!=$F$8),AVERAGEIFS(#REF!,#REF!,J$11,#REF!,#REF!),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IF(AND(#REF!=$E$3,#REF!=$F$2),AVERAGEIFS('Wellness Responses'!$AT$2:$AT1000,'Wellness Responses'!$O$2:$O1000,J$11,'Wellness Responses'!$B$2:$B1000,#REF!),
IF(AND(#REF!=$E$3,#REF!=$F$3),AVERAGEIFS('Wellness Responses'!$E$2:$E1000,'Wellness Responses'!$O$2:$O1000,J$11,'Wellness Responses'!$B$2:$B1000,#REF!),
IF(AND(#REF!=$E$3,#REF!=$F$4),AVERAGEIFS('Wellness Responses'!$F$2:$F1000,'Wellness Responses'!$O$2:$O1000,J$11,'Wellness Responses'!$B$2:$B1000,#REF!),
IF(AND(#REF!=$E$3,#REF!=$F$5),AVERAGEIFS('Wellness Responses'!$G$2:$G1000,'Wellness Responses'!$O$2:$O1000,J$11,'Wellness Responses'!$B$2:$B1000,#REF!),
IF(AND(#REF!=$E$3,#REF!=$F$6),AVERAGEIFS('Wellness Responses'!$I$2:$I1000,'Wellness Responses'!$O$2:$O1000,J$11,'Wellness Responses'!$B$2:$B1000,#REF!),
IF(AND(#REF!=$E$3,#REF!=$F$7),AVERAGEIFS(#REF!,#REF!,J$11,#REF!,#REF!),
IF(AND(#REF!=$E$3,#REF!=$F$8),AVERAGEIFS(#REF!,#REF!,J$11,#REF!,#REF!),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IF(AND(#REF!=$E$3,#REF!=$F$12),AVERAGEIFS(#REF!,#REF!,J$11,#REF!,#REF!))))))))))))))))))))))),"")</f>
        <v/>
      </c>
      <c r="K12" s="16" t="str">
        <f>IFERROR(
IF(AND(#REF!=$E$2,#REF!=$F$2),AVERAGEIFS('Wellness Responses'!$AT$2:$AT1000,'Wellness Responses'!$P$2:$P1000,K$11,'Wellness Responses'!$B$2:$B1000,#REF!),
IF(AND(#REF!=$E$2,#REF!=$F$3),AVERAGEIFS('Wellness Responses'!$E$2:$E1000,'Wellness Responses'!$P$2:$P1000,K$11,'Wellness Responses'!$B$2:$B1000,#REF!),
IF(AND(#REF!=$E$2,#REF!=$F$4),AVERAGEIFS('Wellness Responses'!$F$2:$F1000,'Wellness Responses'!$P$2:$P1000,K$11,'Wellness Responses'!$B$2:$B1000,#REF!),
IF(AND(#REF!=$E$2,#REF!=$F$5),AVERAGEIFS('Wellness Responses'!$G$2:$G1000,'Wellness Responses'!$P$2:$P1000,K$11,'Wellness Responses'!$B$2:$B1000,#REF!),
IF(AND(#REF!=$E$2,#REF!=$F$6),AVERAGEIFS('Wellness Responses'!$I$2:$I1000,'Wellness Responses'!$P$2:$P1000,K$11,'Wellness Responses'!$B$2:$B1000,#REF!),
IF(AND(#REF!=$E$2,#REF!=$F$7),AVERAGEIFS(#REF!,#REF!,K$11,#REF!,#REF!),
IF(AND(#REF!=$E$2,#REF!=$F$8),AVERAGEIFS(#REF!,#REF!,K$11,#REF!,#REF!),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IF(AND(#REF!=$E$3,#REF!=$F$2),AVERAGEIFS('Wellness Responses'!$AT$2:$AT1000,'Wellness Responses'!$O$2:$O1000,K$11,'Wellness Responses'!$B$2:$B1000,#REF!),
IF(AND(#REF!=$E$3,#REF!=$F$3),AVERAGEIFS('Wellness Responses'!$E$2:$E1000,'Wellness Responses'!$O$2:$O1000,K$11,'Wellness Responses'!$B$2:$B1000,#REF!),
IF(AND(#REF!=$E$3,#REF!=$F$4),AVERAGEIFS('Wellness Responses'!$F$2:$F1000,'Wellness Responses'!$O$2:$O1000,K$11,'Wellness Responses'!$B$2:$B1000,#REF!),
IF(AND(#REF!=$E$3,#REF!=$F$5),AVERAGEIFS('Wellness Responses'!$G$2:$G1000,'Wellness Responses'!$O$2:$O1000,K$11,'Wellness Responses'!$B$2:$B1000,#REF!),
IF(AND(#REF!=$E$3,#REF!=$F$6),AVERAGEIFS('Wellness Responses'!$I$2:$I1000,'Wellness Responses'!$O$2:$O1000,K$11,'Wellness Responses'!$B$2:$B1000,#REF!),
IF(AND(#REF!=$E$3,#REF!=$F$7),AVERAGEIFS(#REF!,#REF!,K$11,#REF!,#REF!),
IF(AND(#REF!=$E$3,#REF!=$F$8),AVERAGEIFS(#REF!,#REF!,K$11,#REF!,#REF!),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IF(AND(#REF!=$E$3,#REF!=$F$12),AVERAGEIFS(#REF!,#REF!,K$11,#REF!,#REF!))))))))))))))))))))))),"")</f>
        <v/>
      </c>
      <c r="L12" s="16" t="str">
        <f>IFERROR(
IF(AND(#REF!=$E$2,#REF!=$F$2),AVERAGEIFS('Wellness Responses'!$AT$2:$AT1000,'Wellness Responses'!$P$2:$P1000,L$11,'Wellness Responses'!$B$2:$B1000,#REF!),
IF(AND(#REF!=$E$2,#REF!=$F$3),AVERAGEIFS('Wellness Responses'!$E$2:$E1000,'Wellness Responses'!$P$2:$P1000,L$11,'Wellness Responses'!$B$2:$B1000,#REF!),
IF(AND(#REF!=$E$2,#REF!=$F$4),AVERAGEIFS('Wellness Responses'!$F$2:$F1000,'Wellness Responses'!$P$2:$P1000,L$11,'Wellness Responses'!$B$2:$B1000,#REF!),
IF(AND(#REF!=$E$2,#REF!=$F$5),AVERAGEIFS('Wellness Responses'!$G$2:$G1000,'Wellness Responses'!$P$2:$P1000,L$11,'Wellness Responses'!$B$2:$B1000,#REF!),
IF(AND(#REF!=$E$2,#REF!=$F$6),AVERAGEIFS('Wellness Responses'!$I$2:$I1000,'Wellness Responses'!$P$2:$P1000,L$11,'Wellness Responses'!$B$2:$B1000,#REF!),
IF(AND(#REF!=$E$2,#REF!=$F$7),AVERAGEIFS(#REF!,#REF!,L$11,#REF!,#REF!),
IF(AND(#REF!=$E$2,#REF!=$F$8),AVERAGEIFS(#REF!,#REF!,L$11,#REF!,#REF!),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IF(AND(#REF!=$E$3,#REF!=$F$2),AVERAGEIFS('Wellness Responses'!$AT$2:$AT1000,'Wellness Responses'!$O$2:$O1000,L$11,'Wellness Responses'!$B$2:$B1000,#REF!),
IF(AND(#REF!=$E$3,#REF!=$F$3),AVERAGEIFS('Wellness Responses'!$E$2:$E1000,'Wellness Responses'!$O$2:$O1000,L$11,'Wellness Responses'!$B$2:$B1000,#REF!),
IF(AND(#REF!=$E$3,#REF!=$F$4),AVERAGEIFS('Wellness Responses'!$F$2:$F1000,'Wellness Responses'!$O$2:$O1000,L$11,'Wellness Responses'!$B$2:$B1000,#REF!),
IF(AND(#REF!=$E$3,#REF!=$F$5),AVERAGEIFS('Wellness Responses'!$G$2:$G1000,'Wellness Responses'!$O$2:$O1000,L$11,'Wellness Responses'!$B$2:$B1000,#REF!),
IF(AND(#REF!=$E$3,#REF!=$F$6),AVERAGEIFS('Wellness Responses'!$I$2:$I1000,'Wellness Responses'!$O$2:$O1000,L$11,'Wellness Responses'!$B$2:$B1000,#REF!),
IF(AND(#REF!=$E$3,#REF!=$F$7),AVERAGEIFS(#REF!,#REF!,L$11,#REF!,#REF!),
IF(AND(#REF!=$E$3,#REF!=$F$8),AVERAGEIFS(#REF!,#REF!,L$11,#REF!,#REF!),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IF(AND(#REF!=$E$3,#REF!=$F$12),AVERAGEIFS(#REF!,#REF!,L$11,#REF!,#REF!))))))))))))))))))))))),"")</f>
        <v/>
      </c>
      <c r="M12" s="16" t="str">
        <f>IFERROR(
IF(AND(#REF!=$E$2,#REF!=$F$2),AVERAGEIFS('Wellness Responses'!$AT$2:$AT1000,'Wellness Responses'!$P$2:$P1000,M$11,'Wellness Responses'!$B$2:$B1000,#REF!),
IF(AND(#REF!=$E$2,#REF!=$F$3),AVERAGEIFS('Wellness Responses'!$E$2:$E1000,'Wellness Responses'!$P$2:$P1000,M$11,'Wellness Responses'!$B$2:$B1000,#REF!),
IF(AND(#REF!=$E$2,#REF!=$F$4),AVERAGEIFS('Wellness Responses'!$F$2:$F1000,'Wellness Responses'!$P$2:$P1000,M$11,'Wellness Responses'!$B$2:$B1000,#REF!),
IF(AND(#REF!=$E$2,#REF!=$F$5),AVERAGEIFS('Wellness Responses'!$G$2:$G1000,'Wellness Responses'!$P$2:$P1000,M$11,'Wellness Responses'!$B$2:$B1000,#REF!),
IF(AND(#REF!=$E$2,#REF!=$F$6),AVERAGEIFS('Wellness Responses'!$I$2:$I1000,'Wellness Responses'!$P$2:$P1000,M$11,'Wellness Responses'!$B$2:$B1000,#REF!),
IF(AND(#REF!=$E$2,#REF!=$F$7),AVERAGEIFS(#REF!,#REF!,M$11,#REF!,#REF!),
IF(AND(#REF!=$E$2,#REF!=$F$8),AVERAGEIFS(#REF!,#REF!,M$11,#REF!,#REF!),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IF(AND(#REF!=$E$3,#REF!=$F$2),AVERAGEIFS('Wellness Responses'!$AT$2:$AT1000,'Wellness Responses'!$O$2:$O1000,M$11,'Wellness Responses'!$B$2:$B1000,#REF!),
IF(AND(#REF!=$E$3,#REF!=$F$3),AVERAGEIFS('Wellness Responses'!$E$2:$E1000,'Wellness Responses'!$O$2:$O1000,M$11,'Wellness Responses'!$B$2:$B1000,#REF!),
IF(AND(#REF!=$E$3,#REF!=$F$4),AVERAGEIFS('Wellness Responses'!$F$2:$F1000,'Wellness Responses'!$O$2:$O1000,M$11,'Wellness Responses'!$B$2:$B1000,#REF!),
IF(AND(#REF!=$E$3,#REF!=$F$5),AVERAGEIFS('Wellness Responses'!$G$2:$G1000,'Wellness Responses'!$O$2:$O1000,M$11,'Wellness Responses'!$B$2:$B1000,#REF!),
IF(AND(#REF!=$E$3,#REF!=$F$6),AVERAGEIFS('Wellness Responses'!$I$2:$I1000,'Wellness Responses'!$O$2:$O1000,M$11,'Wellness Responses'!$B$2:$B1000,#REF!),
IF(AND(#REF!=$E$3,#REF!=$F$7),AVERAGEIFS(#REF!,#REF!,M$11,#REF!,#REF!),
IF(AND(#REF!=$E$3,#REF!=$F$8),AVERAGEIFS(#REF!,#REF!,M$11,#REF!,#REF!),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IF(AND(#REF!=$E$3,#REF!=$F$12),AVERAGEIFS(#REF!,#REF!,M$11,#REF!,#REF!))))))))))))))))))))))),"")</f>
        <v/>
      </c>
      <c r="N12" s="16" t="str">
        <f>IFERROR(
IF(AND(#REF!=$E$2,#REF!=$F$2),AVERAGEIFS('Wellness Responses'!$AT$2:$AT1000,'Wellness Responses'!$P$2:$P1000,N$11,'Wellness Responses'!$B$2:$B1000,#REF!),
IF(AND(#REF!=$E$2,#REF!=$F$3),AVERAGEIFS('Wellness Responses'!$E$2:$E1000,'Wellness Responses'!$P$2:$P1000,N$11,'Wellness Responses'!$B$2:$B1000,#REF!),
IF(AND(#REF!=$E$2,#REF!=$F$4),AVERAGEIFS('Wellness Responses'!$F$2:$F1000,'Wellness Responses'!$P$2:$P1000,N$11,'Wellness Responses'!$B$2:$B1000,#REF!),
IF(AND(#REF!=$E$2,#REF!=$F$5),AVERAGEIFS('Wellness Responses'!$G$2:$G1000,'Wellness Responses'!$P$2:$P1000,N$11,'Wellness Responses'!$B$2:$B1000,#REF!),
IF(AND(#REF!=$E$2,#REF!=$F$6),AVERAGEIFS('Wellness Responses'!$I$2:$I1000,'Wellness Responses'!$P$2:$P1000,N$11,'Wellness Responses'!$B$2:$B1000,#REF!),
IF(AND(#REF!=$E$2,#REF!=$F$7),AVERAGEIFS(#REF!,#REF!,N$11,#REF!,#REF!),
IF(AND(#REF!=$E$2,#REF!=$F$8),AVERAGEIFS(#REF!,#REF!,N$11,#REF!,#REF!),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IF(AND(#REF!=$E$3,#REF!=$F$2),AVERAGEIFS('Wellness Responses'!$AT$2:$AT1000,'Wellness Responses'!$O$2:$O1000,N$11,'Wellness Responses'!$B$2:$B1000,#REF!),
IF(AND(#REF!=$E$3,#REF!=$F$3),AVERAGEIFS('Wellness Responses'!$E$2:$E1000,'Wellness Responses'!$O$2:$O1000,N$11,'Wellness Responses'!$B$2:$B1000,#REF!),
IF(AND(#REF!=$E$3,#REF!=$F$4),AVERAGEIFS('Wellness Responses'!$F$2:$F1000,'Wellness Responses'!$O$2:$O1000,N$11,'Wellness Responses'!$B$2:$B1000,#REF!),
IF(AND(#REF!=$E$3,#REF!=$F$5),AVERAGEIFS('Wellness Responses'!$G$2:$G1000,'Wellness Responses'!$O$2:$O1000,N$11,'Wellness Responses'!$B$2:$B1000,#REF!),
IF(AND(#REF!=$E$3,#REF!=$F$6),AVERAGEIFS('Wellness Responses'!$I$2:$I1000,'Wellness Responses'!$O$2:$O1000,N$11,'Wellness Responses'!$B$2:$B1000,#REF!),
IF(AND(#REF!=$E$3,#REF!=$F$7),AVERAGEIFS(#REF!,#REF!,N$11,#REF!,#REF!),
IF(AND(#REF!=$E$3,#REF!=$F$8),AVERAGEIFS(#REF!,#REF!,N$11,#REF!,#REF!),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IF(AND(#REF!=$E$3,#REF!=$F$12),AVERAGEIFS(#REF!,#REF!,N$11,#REF!,#REF!))))))))))))))))))))))),"")</f>
        <v/>
      </c>
      <c r="O12" s="16" t="str">
        <f>IFERROR(
IF(AND(#REF!=$E$2,#REF!=$F$2),AVERAGEIFS('Wellness Responses'!$AT$2:$AT1000,'Wellness Responses'!$P$2:$P1000,O$11,'Wellness Responses'!$B$2:$B1000,#REF!),
IF(AND(#REF!=$E$2,#REF!=$F$3),AVERAGEIFS('Wellness Responses'!$E$2:$E1000,'Wellness Responses'!$P$2:$P1000,O$11,'Wellness Responses'!$B$2:$B1000,#REF!),
IF(AND(#REF!=$E$2,#REF!=$F$4),AVERAGEIFS('Wellness Responses'!$F$2:$F1000,'Wellness Responses'!$P$2:$P1000,O$11,'Wellness Responses'!$B$2:$B1000,#REF!),
IF(AND(#REF!=$E$2,#REF!=$F$5),AVERAGEIFS('Wellness Responses'!$G$2:$G1000,'Wellness Responses'!$P$2:$P1000,O$11,'Wellness Responses'!$B$2:$B1000,#REF!),
IF(AND(#REF!=$E$2,#REF!=$F$6),AVERAGEIFS('Wellness Responses'!$I$2:$I1000,'Wellness Responses'!$P$2:$P1000,O$11,'Wellness Responses'!$B$2:$B1000,#REF!),
IF(AND(#REF!=$E$2,#REF!=$F$7),AVERAGEIFS(#REF!,#REF!,O$11,#REF!,#REF!),
IF(AND(#REF!=$E$2,#REF!=$F$8),AVERAGEIFS(#REF!,#REF!,O$11,#REF!,#REF!),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IF(AND(#REF!=$E$3,#REF!=$F$2),AVERAGEIFS('Wellness Responses'!$AT$2:$AT1000,'Wellness Responses'!$O$2:$O1000,O$11,'Wellness Responses'!$B$2:$B1000,#REF!),
IF(AND(#REF!=$E$3,#REF!=$F$3),AVERAGEIFS('Wellness Responses'!$E$2:$E1000,'Wellness Responses'!$O$2:$O1000,O$11,'Wellness Responses'!$B$2:$B1000,#REF!),
IF(AND(#REF!=$E$3,#REF!=$F$4),AVERAGEIFS('Wellness Responses'!$F$2:$F1000,'Wellness Responses'!$O$2:$O1000,O$11,'Wellness Responses'!$B$2:$B1000,#REF!),
IF(AND(#REF!=$E$3,#REF!=$F$5),AVERAGEIFS('Wellness Responses'!$G$2:$G1000,'Wellness Responses'!$O$2:$O1000,O$11,'Wellness Responses'!$B$2:$B1000,#REF!),
IF(AND(#REF!=$E$3,#REF!=$F$6),AVERAGEIFS('Wellness Responses'!$I$2:$I1000,'Wellness Responses'!$O$2:$O1000,O$11,'Wellness Responses'!$B$2:$B1000,#REF!),
IF(AND(#REF!=$E$3,#REF!=$F$7),AVERAGEIFS(#REF!,#REF!,O$11,#REF!,#REF!),
IF(AND(#REF!=$E$3,#REF!=$F$8),AVERAGEIFS(#REF!,#REF!,O$11,#REF!,#REF!),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IF(AND(#REF!=$E$3,#REF!=$F$12),AVERAGEIFS(#REF!,#REF!,O$11,#REF!,#REF!))))))))))))))))))))))),"")</f>
        <v/>
      </c>
      <c r="P12" s="16" t="str">
        <f>IFERROR(
IF(AND(#REF!=$E$2,#REF!=$F$2),AVERAGEIFS('Wellness Responses'!$AT$2:$AT1000,'Wellness Responses'!$P$2:$P1000,P$11,'Wellness Responses'!$B$2:$B1000,#REF!),
IF(AND(#REF!=$E$2,#REF!=$F$3),AVERAGEIFS('Wellness Responses'!$E$2:$E1000,'Wellness Responses'!$P$2:$P1000,P$11,'Wellness Responses'!$B$2:$B1000,#REF!),
IF(AND(#REF!=$E$2,#REF!=$F$4),AVERAGEIFS('Wellness Responses'!$F$2:$F1000,'Wellness Responses'!$P$2:$P1000,P$11,'Wellness Responses'!$B$2:$B1000,#REF!),
IF(AND(#REF!=$E$2,#REF!=$F$5),AVERAGEIFS('Wellness Responses'!$G$2:$G1000,'Wellness Responses'!$P$2:$P1000,P$11,'Wellness Responses'!$B$2:$B1000,#REF!),
IF(AND(#REF!=$E$2,#REF!=$F$6),AVERAGEIFS('Wellness Responses'!$I$2:$I1000,'Wellness Responses'!$P$2:$P1000,P$11,'Wellness Responses'!$B$2:$B1000,#REF!),
IF(AND(#REF!=$E$2,#REF!=$F$7),AVERAGEIFS(#REF!,#REF!,P$11,#REF!,#REF!),
IF(AND(#REF!=$E$2,#REF!=$F$8),AVERAGEIFS(#REF!,#REF!,P$11,#REF!,#REF!),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IF(AND(#REF!=$E$3,#REF!=$F$2),AVERAGEIFS('Wellness Responses'!$AT$2:$AT1000,'Wellness Responses'!$O$2:$O1000,P$11,'Wellness Responses'!$B$2:$B1000,#REF!),
IF(AND(#REF!=$E$3,#REF!=$F$3),AVERAGEIFS('Wellness Responses'!$E$2:$E1000,'Wellness Responses'!$O$2:$O1000,P$11,'Wellness Responses'!$B$2:$B1000,#REF!),
IF(AND(#REF!=$E$3,#REF!=$F$4),AVERAGEIFS('Wellness Responses'!$F$2:$F1000,'Wellness Responses'!$O$2:$O1000,P$11,'Wellness Responses'!$B$2:$B1000,#REF!),
IF(AND(#REF!=$E$3,#REF!=$F$5),AVERAGEIFS('Wellness Responses'!$G$2:$G1000,'Wellness Responses'!$O$2:$O1000,P$11,'Wellness Responses'!$B$2:$B1000,#REF!),
IF(AND(#REF!=$E$3,#REF!=$F$6),AVERAGEIFS('Wellness Responses'!$I$2:$I1000,'Wellness Responses'!$O$2:$O1000,P$11,'Wellness Responses'!$B$2:$B1000,#REF!),
IF(AND(#REF!=$E$3,#REF!=$F$7),AVERAGEIFS(#REF!,#REF!,P$11,#REF!,#REF!),
IF(AND(#REF!=$E$3,#REF!=$F$8),AVERAGEIFS(#REF!,#REF!,P$11,#REF!,#REF!),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IF(AND(#REF!=$E$3,#REF!=$F$12),AVERAGEIFS(#REF!,#REF!,P$11,#REF!,#REF!))))))))))))))))))))))),"")</f>
        <v/>
      </c>
      <c r="Q12" s="16" t="str">
        <f>IFERROR(
IF(AND(#REF!=$E$2,#REF!=$F$2),AVERAGEIFS('Wellness Responses'!$AT$2:$AT1000,'Wellness Responses'!$P$2:$P1000,Q$11,'Wellness Responses'!$B$2:$B1000,#REF!),
IF(AND(#REF!=$E$2,#REF!=$F$3),AVERAGEIFS('Wellness Responses'!$E$2:$E1000,'Wellness Responses'!$P$2:$P1000,Q$11,'Wellness Responses'!$B$2:$B1000,#REF!),
IF(AND(#REF!=$E$2,#REF!=$F$4),AVERAGEIFS('Wellness Responses'!$F$2:$F1000,'Wellness Responses'!$P$2:$P1000,Q$11,'Wellness Responses'!$B$2:$B1000,#REF!),
IF(AND(#REF!=$E$2,#REF!=$F$5),AVERAGEIFS('Wellness Responses'!$G$2:$G1000,'Wellness Responses'!$P$2:$P1000,Q$11,'Wellness Responses'!$B$2:$B1000,#REF!),
IF(AND(#REF!=$E$2,#REF!=$F$6),AVERAGEIFS('Wellness Responses'!$I$2:$I1000,'Wellness Responses'!$P$2:$P1000,Q$11,'Wellness Responses'!$B$2:$B1000,#REF!),
IF(AND(#REF!=$E$2,#REF!=$F$7),AVERAGEIFS(#REF!,#REF!,Q$11,#REF!,#REF!),
IF(AND(#REF!=$E$2,#REF!=$F$8),AVERAGEIFS(#REF!,#REF!,Q$11,#REF!,#REF!),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IF(AND(#REF!=$E$3,#REF!=$F$2),AVERAGEIFS('Wellness Responses'!$AT$2:$AT1000,'Wellness Responses'!$O$2:$O1000,Q$11,'Wellness Responses'!$B$2:$B1000,#REF!),
IF(AND(#REF!=$E$3,#REF!=$F$3),AVERAGEIFS('Wellness Responses'!$E$2:$E1000,'Wellness Responses'!$O$2:$O1000,Q$11,'Wellness Responses'!$B$2:$B1000,#REF!),
IF(AND(#REF!=$E$3,#REF!=$F$4),AVERAGEIFS('Wellness Responses'!$F$2:$F1000,'Wellness Responses'!$O$2:$O1000,Q$11,'Wellness Responses'!$B$2:$B1000,#REF!),
IF(AND(#REF!=$E$3,#REF!=$F$5),AVERAGEIFS('Wellness Responses'!$G$2:$G1000,'Wellness Responses'!$O$2:$O1000,Q$11,'Wellness Responses'!$B$2:$B1000,#REF!),
IF(AND(#REF!=$E$3,#REF!=$F$6),AVERAGEIFS('Wellness Responses'!$I$2:$I1000,'Wellness Responses'!$O$2:$O1000,Q$11,'Wellness Responses'!$B$2:$B1000,#REF!),
IF(AND(#REF!=$E$3,#REF!=$F$7),AVERAGEIFS(#REF!,#REF!,Q$11,#REF!,#REF!),
IF(AND(#REF!=$E$3,#REF!=$F$8),AVERAGEIFS(#REF!,#REF!,Q$11,#REF!,#REF!),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IF(AND(#REF!=$E$3,#REF!=$F$12),AVERAGEIFS(#REF!,#REF!,Q$11,#REF!,#REF!))))))))))))))))))))))),"")</f>
        <v/>
      </c>
      <c r="R12" s="16" t="str">
        <f>IFERROR(
IF(AND(#REF!=$E$2,#REF!=$F$2),AVERAGEIFS('Wellness Responses'!$AT$2:$AT1000,'Wellness Responses'!$P$2:$P1000,R$11,'Wellness Responses'!$B$2:$B1000,#REF!),
IF(AND(#REF!=$E$2,#REF!=$F$3),AVERAGEIFS('Wellness Responses'!$E$2:$E1000,'Wellness Responses'!$P$2:$P1000,R$11,'Wellness Responses'!$B$2:$B1000,#REF!),
IF(AND(#REF!=$E$2,#REF!=$F$4),AVERAGEIFS('Wellness Responses'!$F$2:$F1000,'Wellness Responses'!$P$2:$P1000,R$11,'Wellness Responses'!$B$2:$B1000,#REF!),
IF(AND(#REF!=$E$2,#REF!=$F$5),AVERAGEIFS('Wellness Responses'!$G$2:$G1000,'Wellness Responses'!$P$2:$P1000,R$11,'Wellness Responses'!$B$2:$B1000,#REF!),
IF(AND(#REF!=$E$2,#REF!=$F$6),AVERAGEIFS('Wellness Responses'!$I$2:$I1000,'Wellness Responses'!$P$2:$P1000,R$11,'Wellness Responses'!$B$2:$B1000,#REF!),
IF(AND(#REF!=$E$2,#REF!=$F$7),AVERAGEIFS(#REF!,#REF!,R$11,#REF!,#REF!),
IF(AND(#REF!=$E$2,#REF!=$F$8),AVERAGEIFS(#REF!,#REF!,R$11,#REF!,#REF!),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IF(AND(#REF!=$E$3,#REF!=$F$2),AVERAGEIFS('Wellness Responses'!$AT$2:$AT1000,'Wellness Responses'!$O$2:$O1000,R$11,'Wellness Responses'!$B$2:$B1000,#REF!),
IF(AND(#REF!=$E$3,#REF!=$F$3),AVERAGEIFS('Wellness Responses'!$E$2:$E1000,'Wellness Responses'!$O$2:$O1000,R$11,'Wellness Responses'!$B$2:$B1000,#REF!),
IF(AND(#REF!=$E$3,#REF!=$F$4),AVERAGEIFS('Wellness Responses'!$F$2:$F1000,'Wellness Responses'!$O$2:$O1000,R$11,'Wellness Responses'!$B$2:$B1000,#REF!),
IF(AND(#REF!=$E$3,#REF!=$F$5),AVERAGEIFS('Wellness Responses'!$G$2:$G1000,'Wellness Responses'!$O$2:$O1000,R$11,'Wellness Responses'!$B$2:$B1000,#REF!),
IF(AND(#REF!=$E$3,#REF!=$F$6),AVERAGEIFS('Wellness Responses'!$I$2:$I1000,'Wellness Responses'!$O$2:$O1000,R$11,'Wellness Responses'!$B$2:$B1000,#REF!),
IF(AND(#REF!=$E$3,#REF!=$F$7),AVERAGEIFS(#REF!,#REF!,R$11,#REF!,#REF!),
IF(AND(#REF!=$E$3,#REF!=$F$8),AVERAGEIFS(#REF!,#REF!,R$11,#REF!,#REF!),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IF(AND(#REF!=$E$3,#REF!=$F$12),AVERAGEIFS(#REF!,#REF!,R$11,#REF!,#REF!))))))))))))))))))))))),"")</f>
        <v/>
      </c>
      <c r="S12" s="16" t="str">
        <f>IFERROR(
IF(AND(#REF!=$E$2,#REF!=$F$2),AVERAGEIFS('Wellness Responses'!$AT$2:$AT1000,'Wellness Responses'!$P$2:$P1000,S$11,'Wellness Responses'!$B$2:$B1000,#REF!),
IF(AND(#REF!=$E$2,#REF!=$F$3),AVERAGEIFS('Wellness Responses'!$E$2:$E1000,'Wellness Responses'!$P$2:$P1000,S$11,'Wellness Responses'!$B$2:$B1000,#REF!),
IF(AND(#REF!=$E$2,#REF!=$F$4),AVERAGEIFS('Wellness Responses'!$F$2:$F1000,'Wellness Responses'!$P$2:$P1000,S$11,'Wellness Responses'!$B$2:$B1000,#REF!),
IF(AND(#REF!=$E$2,#REF!=$F$5),AVERAGEIFS('Wellness Responses'!$G$2:$G1000,'Wellness Responses'!$P$2:$P1000,S$11,'Wellness Responses'!$B$2:$B1000,#REF!),
IF(AND(#REF!=$E$2,#REF!=$F$6),AVERAGEIFS('Wellness Responses'!$I$2:$I1000,'Wellness Responses'!$P$2:$P1000,S$11,'Wellness Responses'!$B$2:$B1000,#REF!),
IF(AND(#REF!=$E$2,#REF!=$F$7),AVERAGEIFS(#REF!,#REF!,S$11,#REF!,#REF!),
IF(AND(#REF!=$E$2,#REF!=$F$8),AVERAGEIFS(#REF!,#REF!,S$11,#REF!,#REF!),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IF(AND(#REF!=$E$3,#REF!=$F$2),AVERAGEIFS('Wellness Responses'!$AT$2:$AT1000,'Wellness Responses'!$O$2:$O1000,S$11,'Wellness Responses'!$B$2:$B1000,#REF!),
IF(AND(#REF!=$E$3,#REF!=$F$3),AVERAGEIFS('Wellness Responses'!$E$2:$E1000,'Wellness Responses'!$O$2:$O1000,S$11,'Wellness Responses'!$B$2:$B1000,#REF!),
IF(AND(#REF!=$E$3,#REF!=$F$4),AVERAGEIFS('Wellness Responses'!$F$2:$F1000,'Wellness Responses'!$O$2:$O1000,S$11,'Wellness Responses'!$B$2:$B1000,#REF!),
IF(AND(#REF!=$E$3,#REF!=$F$5),AVERAGEIFS('Wellness Responses'!$G$2:$G1000,'Wellness Responses'!$O$2:$O1000,S$11,'Wellness Responses'!$B$2:$B1000,#REF!),
IF(AND(#REF!=$E$3,#REF!=$F$6),AVERAGEIFS('Wellness Responses'!$I$2:$I1000,'Wellness Responses'!$O$2:$O1000,S$11,'Wellness Responses'!$B$2:$B1000,#REF!),
IF(AND(#REF!=$E$3,#REF!=$F$7),AVERAGEIFS(#REF!,#REF!,S$11,#REF!,#REF!),
IF(AND(#REF!=$E$3,#REF!=$F$8),AVERAGEIFS(#REF!,#REF!,S$11,#REF!,#REF!),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IF(AND(#REF!=$E$3,#REF!=$F$12),AVERAGEIFS(#REF!,#REF!,S$11,#REF!,#REF!))))))))))))))))))))))),"")</f>
        <v/>
      </c>
      <c r="T12" s="16" t="str">
        <f>IFERROR(
IF(AND(#REF!=$E$2,#REF!=$F$2),AVERAGEIFS('Wellness Responses'!$AT$2:$AT1000,'Wellness Responses'!$P$2:$P1000,T$11,'Wellness Responses'!$B$2:$B1000,#REF!),
IF(AND(#REF!=$E$2,#REF!=$F$3),AVERAGEIFS('Wellness Responses'!$E$2:$E1000,'Wellness Responses'!$P$2:$P1000,T$11,'Wellness Responses'!$B$2:$B1000,#REF!),
IF(AND(#REF!=$E$2,#REF!=$F$4),AVERAGEIFS('Wellness Responses'!$F$2:$F1000,'Wellness Responses'!$P$2:$P1000,T$11,'Wellness Responses'!$B$2:$B1000,#REF!),
IF(AND(#REF!=$E$2,#REF!=$F$5),AVERAGEIFS('Wellness Responses'!$G$2:$G1000,'Wellness Responses'!$P$2:$P1000,T$11,'Wellness Responses'!$B$2:$B1000,#REF!),
IF(AND(#REF!=$E$2,#REF!=$F$6),AVERAGEIFS('Wellness Responses'!$I$2:$I1000,'Wellness Responses'!$P$2:$P1000,T$11,'Wellness Responses'!$B$2:$B1000,#REF!),
IF(AND(#REF!=$E$2,#REF!=$F$7),AVERAGEIFS(#REF!,#REF!,T$11,#REF!,#REF!),
IF(AND(#REF!=$E$2,#REF!=$F$8),AVERAGEIFS(#REF!,#REF!,T$11,#REF!,#REF!),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IF(AND(#REF!=$E$3,#REF!=$F$2),AVERAGEIFS('Wellness Responses'!$AT$2:$AT1000,'Wellness Responses'!$O$2:$O1000,T$11,'Wellness Responses'!$B$2:$B1000,#REF!),
IF(AND(#REF!=$E$3,#REF!=$F$3),AVERAGEIFS('Wellness Responses'!$E$2:$E1000,'Wellness Responses'!$O$2:$O1000,T$11,'Wellness Responses'!$B$2:$B1000,#REF!),
IF(AND(#REF!=$E$3,#REF!=$F$4),AVERAGEIFS('Wellness Responses'!$F$2:$F1000,'Wellness Responses'!$O$2:$O1000,T$11,'Wellness Responses'!$B$2:$B1000,#REF!),
IF(AND(#REF!=$E$3,#REF!=$F$5),AVERAGEIFS('Wellness Responses'!$G$2:$G1000,'Wellness Responses'!$O$2:$O1000,T$11,'Wellness Responses'!$B$2:$B1000,#REF!),
IF(AND(#REF!=$E$3,#REF!=$F$6),AVERAGEIFS('Wellness Responses'!$I$2:$I1000,'Wellness Responses'!$O$2:$O1000,T$11,'Wellness Responses'!$B$2:$B1000,#REF!),
IF(AND(#REF!=$E$3,#REF!=$F$7),AVERAGEIFS(#REF!,#REF!,T$11,#REF!,#REF!),
IF(AND(#REF!=$E$3,#REF!=$F$8),AVERAGEIFS(#REF!,#REF!,T$11,#REF!,#REF!),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IF(AND(#REF!=$E$3,#REF!=$F$12),AVERAGEIFS(#REF!,#REF!,T$11,#REF!,#REF!))))))))))))))))))))))),"")</f>
        <v/>
      </c>
      <c r="U12" s="16" t="str">
        <f>IFERROR(
IF(AND(#REF!=$E$2,#REF!=$F$2),AVERAGEIFS('Wellness Responses'!$AT$2:$AT1000,'Wellness Responses'!$P$2:$P1000,U$11,'Wellness Responses'!$B$2:$B1000,#REF!),
IF(AND(#REF!=$E$2,#REF!=$F$3),AVERAGEIFS('Wellness Responses'!$E$2:$E1000,'Wellness Responses'!$P$2:$P1000,U$11,'Wellness Responses'!$B$2:$B1000,#REF!),
IF(AND(#REF!=$E$2,#REF!=$F$4),AVERAGEIFS('Wellness Responses'!$F$2:$F1000,'Wellness Responses'!$P$2:$P1000,U$11,'Wellness Responses'!$B$2:$B1000,#REF!),
IF(AND(#REF!=$E$2,#REF!=$F$5),AVERAGEIFS('Wellness Responses'!$G$2:$G1000,'Wellness Responses'!$P$2:$P1000,U$11,'Wellness Responses'!$B$2:$B1000,#REF!),
IF(AND(#REF!=$E$2,#REF!=$F$6),AVERAGEIFS('Wellness Responses'!$I$2:$I1000,'Wellness Responses'!$P$2:$P1000,U$11,'Wellness Responses'!$B$2:$B1000,#REF!),
IF(AND(#REF!=$E$2,#REF!=$F$7),AVERAGEIFS(#REF!,#REF!,U$11,#REF!,#REF!),
IF(AND(#REF!=$E$2,#REF!=$F$8),AVERAGEIFS(#REF!,#REF!,U$11,#REF!,#REF!),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IF(AND(#REF!=$E$3,#REF!=$F$2),AVERAGEIFS('Wellness Responses'!$AT$2:$AT1000,'Wellness Responses'!$O$2:$O1000,U$11,'Wellness Responses'!$B$2:$B1000,#REF!),
IF(AND(#REF!=$E$3,#REF!=$F$3),AVERAGEIFS('Wellness Responses'!$E$2:$E1000,'Wellness Responses'!$O$2:$O1000,U$11,'Wellness Responses'!$B$2:$B1000,#REF!),
IF(AND(#REF!=$E$3,#REF!=$F$4),AVERAGEIFS('Wellness Responses'!$F$2:$F1000,'Wellness Responses'!$O$2:$O1000,U$11,'Wellness Responses'!$B$2:$B1000,#REF!),
IF(AND(#REF!=$E$3,#REF!=$F$5),AVERAGEIFS('Wellness Responses'!$G$2:$G1000,'Wellness Responses'!$O$2:$O1000,U$11,'Wellness Responses'!$B$2:$B1000,#REF!),
IF(AND(#REF!=$E$3,#REF!=$F$6),AVERAGEIFS('Wellness Responses'!$I$2:$I1000,'Wellness Responses'!$O$2:$O1000,U$11,'Wellness Responses'!$B$2:$B1000,#REF!),
IF(AND(#REF!=$E$3,#REF!=$F$7),AVERAGEIFS(#REF!,#REF!,U$11,#REF!,#REF!),
IF(AND(#REF!=$E$3,#REF!=$F$8),AVERAGEIFS(#REF!,#REF!,U$11,#REF!,#REF!),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IF(AND(#REF!=$E$3,#REF!=$F$12),AVERAGEIFS(#REF!,#REF!,U$11,#REF!,#REF!))))))))))))))))))))))),"")</f>
        <v/>
      </c>
      <c r="V12" s="16" t="str">
        <f>IFERROR(
IF(AND(#REF!=$E$2,#REF!=$F$2),AVERAGEIFS('Wellness Responses'!$AT$2:$AT1000,'Wellness Responses'!$P$2:$P1000,V$11,'Wellness Responses'!$B$2:$B1000,#REF!),
IF(AND(#REF!=$E$2,#REF!=$F$3),AVERAGEIFS('Wellness Responses'!$E$2:$E1000,'Wellness Responses'!$P$2:$P1000,V$11,'Wellness Responses'!$B$2:$B1000,#REF!),
IF(AND(#REF!=$E$2,#REF!=$F$4),AVERAGEIFS('Wellness Responses'!$F$2:$F1000,'Wellness Responses'!$P$2:$P1000,V$11,'Wellness Responses'!$B$2:$B1000,#REF!),
IF(AND(#REF!=$E$2,#REF!=$F$5),AVERAGEIFS('Wellness Responses'!$G$2:$G1000,'Wellness Responses'!$P$2:$P1000,V$11,'Wellness Responses'!$B$2:$B1000,#REF!),
IF(AND(#REF!=$E$2,#REF!=$F$6),AVERAGEIFS('Wellness Responses'!$I$2:$I1000,'Wellness Responses'!$P$2:$P1000,V$11,'Wellness Responses'!$B$2:$B1000,#REF!),
IF(AND(#REF!=$E$2,#REF!=$F$7),AVERAGEIFS(#REF!,#REF!,V$11,#REF!,#REF!),
IF(AND(#REF!=$E$2,#REF!=$F$8),AVERAGEIFS(#REF!,#REF!,V$11,#REF!,#REF!),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IF(AND(#REF!=$E$3,#REF!=$F$2),AVERAGEIFS('Wellness Responses'!$AT$2:$AT1000,'Wellness Responses'!$O$2:$O1000,V$11,'Wellness Responses'!$B$2:$B1000,#REF!),
IF(AND(#REF!=$E$3,#REF!=$F$3),AVERAGEIFS('Wellness Responses'!$E$2:$E1000,'Wellness Responses'!$O$2:$O1000,V$11,'Wellness Responses'!$B$2:$B1000,#REF!),
IF(AND(#REF!=$E$3,#REF!=$F$4),AVERAGEIFS('Wellness Responses'!$F$2:$F1000,'Wellness Responses'!$O$2:$O1000,V$11,'Wellness Responses'!$B$2:$B1000,#REF!),
IF(AND(#REF!=$E$3,#REF!=$F$5),AVERAGEIFS('Wellness Responses'!$G$2:$G1000,'Wellness Responses'!$O$2:$O1000,V$11,'Wellness Responses'!$B$2:$B1000,#REF!),
IF(AND(#REF!=$E$3,#REF!=$F$6),AVERAGEIFS('Wellness Responses'!$I$2:$I1000,'Wellness Responses'!$O$2:$O1000,V$11,'Wellness Responses'!$B$2:$B1000,#REF!),
IF(AND(#REF!=$E$3,#REF!=$F$7),AVERAGEIFS(#REF!,#REF!,V$11,#REF!,#REF!),
IF(AND(#REF!=$E$3,#REF!=$F$8),AVERAGEIFS(#REF!,#REF!,V$11,#REF!,#REF!),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IF(AND(#REF!=$E$3,#REF!=$F$12),AVERAGEIFS(#REF!,#REF!,V$11,#REF!,#REF!))))))))))))))))))))))),"")</f>
        <v/>
      </c>
      <c r="W12" s="16" t="str">
        <f>IFERROR(
IF(AND(#REF!=$E$2,#REF!=$F$2),AVERAGEIFS('Wellness Responses'!$AT$2:$AT1000,'Wellness Responses'!$P$2:$P1000,W$11,'Wellness Responses'!$B$2:$B1000,#REF!),
IF(AND(#REF!=$E$2,#REF!=$F$3),AVERAGEIFS('Wellness Responses'!$E$2:$E1000,'Wellness Responses'!$P$2:$P1000,W$11,'Wellness Responses'!$B$2:$B1000,#REF!),
IF(AND(#REF!=$E$2,#REF!=$F$4),AVERAGEIFS('Wellness Responses'!$F$2:$F1000,'Wellness Responses'!$P$2:$P1000,W$11,'Wellness Responses'!$B$2:$B1000,#REF!),
IF(AND(#REF!=$E$2,#REF!=$F$5),AVERAGEIFS('Wellness Responses'!$G$2:$G1000,'Wellness Responses'!$P$2:$P1000,W$11,'Wellness Responses'!$B$2:$B1000,#REF!),
IF(AND(#REF!=$E$2,#REF!=$F$6),AVERAGEIFS('Wellness Responses'!$I$2:$I1000,'Wellness Responses'!$P$2:$P1000,W$11,'Wellness Responses'!$B$2:$B1000,#REF!),
IF(AND(#REF!=$E$2,#REF!=$F$7),AVERAGEIFS(#REF!,#REF!,W$11,#REF!,#REF!),
IF(AND(#REF!=$E$2,#REF!=$F$8),AVERAGEIFS(#REF!,#REF!,W$11,#REF!,#REF!),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IF(AND(#REF!=$E$3,#REF!=$F$2),AVERAGEIFS('Wellness Responses'!$AT$2:$AT1000,'Wellness Responses'!$O$2:$O1000,W$11,'Wellness Responses'!$B$2:$B1000,#REF!),
IF(AND(#REF!=$E$3,#REF!=$F$3),AVERAGEIFS('Wellness Responses'!$E$2:$E1000,'Wellness Responses'!$O$2:$O1000,W$11,'Wellness Responses'!$B$2:$B1000,#REF!),
IF(AND(#REF!=$E$3,#REF!=$F$4),AVERAGEIFS('Wellness Responses'!$F$2:$F1000,'Wellness Responses'!$O$2:$O1000,W$11,'Wellness Responses'!$B$2:$B1000,#REF!),
IF(AND(#REF!=$E$3,#REF!=$F$5),AVERAGEIFS('Wellness Responses'!$G$2:$G1000,'Wellness Responses'!$O$2:$O1000,W$11,'Wellness Responses'!$B$2:$B1000,#REF!),
IF(AND(#REF!=$E$3,#REF!=$F$6),AVERAGEIFS('Wellness Responses'!$I$2:$I1000,'Wellness Responses'!$O$2:$O1000,W$11,'Wellness Responses'!$B$2:$B1000,#REF!),
IF(AND(#REF!=$E$3,#REF!=$F$7),AVERAGEIFS(#REF!,#REF!,W$11,#REF!,#REF!),
IF(AND(#REF!=$E$3,#REF!=$F$8),AVERAGEIFS(#REF!,#REF!,W$11,#REF!,#REF!),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IF(AND(#REF!=$E$3,#REF!=$F$12),AVERAGEIFS(#REF!,#REF!,W$11,#REF!,#REF!))))))))))))))))))))))),"")</f>
        <v/>
      </c>
      <c r="X12" s="16" t="str">
        <f>IFERROR(
IF(AND(#REF!=$E$2,#REF!=$F$2),AVERAGEIFS('Wellness Responses'!$AT$2:$AT1000,'Wellness Responses'!$P$2:$P1000,X$11,'Wellness Responses'!$B$2:$B1000,#REF!),
IF(AND(#REF!=$E$2,#REF!=$F$3),AVERAGEIFS('Wellness Responses'!$E$2:$E1000,'Wellness Responses'!$P$2:$P1000,X$11,'Wellness Responses'!$B$2:$B1000,#REF!),
IF(AND(#REF!=$E$2,#REF!=$F$4),AVERAGEIFS('Wellness Responses'!$F$2:$F1000,'Wellness Responses'!$P$2:$P1000,X$11,'Wellness Responses'!$B$2:$B1000,#REF!),
IF(AND(#REF!=$E$2,#REF!=$F$5),AVERAGEIFS('Wellness Responses'!$G$2:$G1000,'Wellness Responses'!$P$2:$P1000,X$11,'Wellness Responses'!$B$2:$B1000,#REF!),
IF(AND(#REF!=$E$2,#REF!=$F$6),AVERAGEIFS('Wellness Responses'!$I$2:$I1000,'Wellness Responses'!$P$2:$P1000,X$11,'Wellness Responses'!$B$2:$B1000,#REF!),
IF(AND(#REF!=$E$2,#REF!=$F$7),AVERAGEIFS(#REF!,#REF!,X$11,#REF!,#REF!),
IF(AND(#REF!=$E$2,#REF!=$F$8),AVERAGEIFS(#REF!,#REF!,X$11,#REF!,#REF!),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IF(AND(#REF!=$E$3,#REF!=$F$2),AVERAGEIFS('Wellness Responses'!$AT$2:$AT1000,'Wellness Responses'!$O$2:$O1000,X$11,'Wellness Responses'!$B$2:$B1000,#REF!),
IF(AND(#REF!=$E$3,#REF!=$F$3),AVERAGEIFS('Wellness Responses'!$E$2:$E1000,'Wellness Responses'!$O$2:$O1000,X$11,'Wellness Responses'!$B$2:$B1000,#REF!),
IF(AND(#REF!=$E$3,#REF!=$F$4),AVERAGEIFS('Wellness Responses'!$F$2:$F1000,'Wellness Responses'!$O$2:$O1000,X$11,'Wellness Responses'!$B$2:$B1000,#REF!),
IF(AND(#REF!=$E$3,#REF!=$F$5),AVERAGEIFS('Wellness Responses'!$G$2:$G1000,'Wellness Responses'!$O$2:$O1000,X$11,'Wellness Responses'!$B$2:$B1000,#REF!),
IF(AND(#REF!=$E$3,#REF!=$F$6),AVERAGEIFS('Wellness Responses'!$I$2:$I1000,'Wellness Responses'!$O$2:$O1000,X$11,'Wellness Responses'!$B$2:$B1000,#REF!),
IF(AND(#REF!=$E$3,#REF!=$F$7),AVERAGEIFS(#REF!,#REF!,X$11,#REF!,#REF!),
IF(AND(#REF!=$E$3,#REF!=$F$8),AVERAGEIFS(#REF!,#REF!,X$11,#REF!,#REF!),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IF(AND(#REF!=$E$3,#REF!=$F$12),AVERAGEIFS(#REF!,#REF!,X$11,#REF!,#REF!))))))))))))))))))))))),"")</f>
        <v/>
      </c>
      <c r="Y12" s="16" t="str">
        <f>IFERROR(
IF(AND(#REF!=$E$2,#REF!=$F$2),AVERAGEIFS('Wellness Responses'!$AT$2:$AT1000,'Wellness Responses'!$P$2:$P1000,Y$11,'Wellness Responses'!$B$2:$B1000,#REF!),
IF(AND(#REF!=$E$2,#REF!=$F$3),AVERAGEIFS('Wellness Responses'!$E$2:$E1000,'Wellness Responses'!$P$2:$P1000,Y$11,'Wellness Responses'!$B$2:$B1000,#REF!),
IF(AND(#REF!=$E$2,#REF!=$F$4),AVERAGEIFS('Wellness Responses'!$F$2:$F1000,'Wellness Responses'!$P$2:$P1000,Y$11,'Wellness Responses'!$B$2:$B1000,#REF!),
IF(AND(#REF!=$E$2,#REF!=$F$5),AVERAGEIFS('Wellness Responses'!$G$2:$G1000,'Wellness Responses'!$P$2:$P1000,Y$11,'Wellness Responses'!$B$2:$B1000,#REF!),
IF(AND(#REF!=$E$2,#REF!=$F$6),AVERAGEIFS('Wellness Responses'!$I$2:$I1000,'Wellness Responses'!$P$2:$P1000,Y$11,'Wellness Responses'!$B$2:$B1000,#REF!),
IF(AND(#REF!=$E$2,#REF!=$F$7),AVERAGEIFS(#REF!,#REF!,Y$11,#REF!,#REF!),
IF(AND(#REF!=$E$2,#REF!=$F$8),AVERAGEIFS(#REF!,#REF!,Y$11,#REF!,#REF!),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IF(AND(#REF!=$E$3,#REF!=$F$2),AVERAGEIFS('Wellness Responses'!$AT$2:$AT1000,'Wellness Responses'!$O$2:$O1000,Y$11,'Wellness Responses'!$B$2:$B1000,#REF!),
IF(AND(#REF!=$E$3,#REF!=$F$3),AVERAGEIFS('Wellness Responses'!$E$2:$E1000,'Wellness Responses'!$O$2:$O1000,Y$11,'Wellness Responses'!$B$2:$B1000,#REF!),
IF(AND(#REF!=$E$3,#REF!=$F$4),AVERAGEIFS('Wellness Responses'!$F$2:$F1000,'Wellness Responses'!$O$2:$O1000,Y$11,'Wellness Responses'!$B$2:$B1000,#REF!),
IF(AND(#REF!=$E$3,#REF!=$F$5),AVERAGEIFS('Wellness Responses'!$G$2:$G1000,'Wellness Responses'!$O$2:$O1000,Y$11,'Wellness Responses'!$B$2:$B1000,#REF!),
IF(AND(#REF!=$E$3,#REF!=$F$6),AVERAGEIFS('Wellness Responses'!$I$2:$I1000,'Wellness Responses'!$O$2:$O1000,Y$11,'Wellness Responses'!$B$2:$B1000,#REF!),
IF(AND(#REF!=$E$3,#REF!=$F$7),AVERAGEIFS(#REF!,#REF!,Y$11,#REF!,#REF!),
IF(AND(#REF!=$E$3,#REF!=$F$8),AVERAGEIFS(#REF!,#REF!,Y$11,#REF!,#REF!),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IF(AND(#REF!=$E$3,#REF!=$F$12),AVERAGEIFS(#REF!,#REF!,Y$11,#REF!,#REF!))))))))))))))))))))))),"")</f>
        <v/>
      </c>
      <c r="Z12" s="16" t="str">
        <f>IFERROR(
IF(AND(#REF!=$E$2,#REF!=$F$2),AVERAGEIFS('Wellness Responses'!$AT$2:$AT1000,'Wellness Responses'!$P$2:$P1000,Z$11,'Wellness Responses'!$B$2:$B1000,#REF!),
IF(AND(#REF!=$E$2,#REF!=$F$3),AVERAGEIFS('Wellness Responses'!$E$2:$E1000,'Wellness Responses'!$P$2:$P1000,Z$11,'Wellness Responses'!$B$2:$B1000,#REF!),
IF(AND(#REF!=$E$2,#REF!=$F$4),AVERAGEIFS('Wellness Responses'!$F$2:$F1000,'Wellness Responses'!$P$2:$P1000,Z$11,'Wellness Responses'!$B$2:$B1000,#REF!),
IF(AND(#REF!=$E$2,#REF!=$F$5),AVERAGEIFS('Wellness Responses'!$G$2:$G1000,'Wellness Responses'!$P$2:$P1000,Z$11,'Wellness Responses'!$B$2:$B1000,#REF!),
IF(AND(#REF!=$E$2,#REF!=$F$6),AVERAGEIFS('Wellness Responses'!$I$2:$I1000,'Wellness Responses'!$P$2:$P1000,Z$11,'Wellness Responses'!$B$2:$B1000,#REF!),
IF(AND(#REF!=$E$2,#REF!=$F$7),AVERAGEIFS(#REF!,#REF!,Z$11,#REF!,#REF!),
IF(AND(#REF!=$E$2,#REF!=$F$8),AVERAGEIFS(#REF!,#REF!,Z$11,#REF!,#REF!),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IF(AND(#REF!=$E$3,#REF!=$F$2),AVERAGEIFS('Wellness Responses'!$AT$2:$AT1000,'Wellness Responses'!$O$2:$O1000,Z$11,'Wellness Responses'!$B$2:$B1000,#REF!),
IF(AND(#REF!=$E$3,#REF!=$F$3),AVERAGEIFS('Wellness Responses'!$E$2:$E1000,'Wellness Responses'!$O$2:$O1000,Z$11,'Wellness Responses'!$B$2:$B1000,#REF!),
IF(AND(#REF!=$E$3,#REF!=$F$4),AVERAGEIFS('Wellness Responses'!$F$2:$F1000,'Wellness Responses'!$O$2:$O1000,Z$11,'Wellness Responses'!$B$2:$B1000,#REF!),
IF(AND(#REF!=$E$3,#REF!=$F$5),AVERAGEIFS('Wellness Responses'!$G$2:$G1000,'Wellness Responses'!$O$2:$O1000,Z$11,'Wellness Responses'!$B$2:$B1000,#REF!),
IF(AND(#REF!=$E$3,#REF!=$F$6),AVERAGEIFS('Wellness Responses'!$I$2:$I1000,'Wellness Responses'!$O$2:$O1000,Z$11,'Wellness Responses'!$B$2:$B1000,#REF!),
IF(AND(#REF!=$E$3,#REF!=$F$7),AVERAGEIFS(#REF!,#REF!,Z$11,#REF!,#REF!),
IF(AND(#REF!=$E$3,#REF!=$F$8),AVERAGEIFS(#REF!,#REF!,Z$11,#REF!,#REF!),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IF(AND(#REF!=$E$3,#REF!=$F$12),AVERAGEIFS(#REF!,#REF!,Z$11,#REF!,#REF!))))))))))))))))))))))),"")</f>
        <v/>
      </c>
      <c r="AA12" s="16" t="str">
        <f>IFERROR(
IF(AND(#REF!=$E$2,#REF!=$F$2),AVERAGEIFS('Wellness Responses'!$AT$2:$AT1000,'Wellness Responses'!$P$2:$P1000,AA$11,'Wellness Responses'!$B$2:$B1000,#REF!),
IF(AND(#REF!=$E$2,#REF!=$F$3),AVERAGEIFS('Wellness Responses'!$E$2:$E1000,'Wellness Responses'!$P$2:$P1000,AA$11,'Wellness Responses'!$B$2:$B1000,#REF!),
IF(AND(#REF!=$E$2,#REF!=$F$4),AVERAGEIFS('Wellness Responses'!$F$2:$F1000,'Wellness Responses'!$P$2:$P1000,AA$11,'Wellness Responses'!$B$2:$B1000,#REF!),
IF(AND(#REF!=$E$2,#REF!=$F$5),AVERAGEIFS('Wellness Responses'!$G$2:$G1000,'Wellness Responses'!$P$2:$P1000,AA$11,'Wellness Responses'!$B$2:$B1000,#REF!),
IF(AND(#REF!=$E$2,#REF!=$F$6),AVERAGEIFS('Wellness Responses'!$I$2:$I1000,'Wellness Responses'!$P$2:$P1000,AA$11,'Wellness Responses'!$B$2:$B1000,#REF!),
IF(AND(#REF!=$E$2,#REF!=$F$7),AVERAGEIFS(#REF!,#REF!,AA$11,#REF!,#REF!),
IF(AND(#REF!=$E$2,#REF!=$F$8),AVERAGEIFS(#REF!,#REF!,AA$11,#REF!,#REF!),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IF(AND(#REF!=$E$3,#REF!=$F$2),AVERAGEIFS('Wellness Responses'!$AT$2:$AT1000,'Wellness Responses'!$O$2:$O1000,AA$11,'Wellness Responses'!$B$2:$B1000,#REF!),
IF(AND(#REF!=$E$3,#REF!=$F$3),AVERAGEIFS('Wellness Responses'!$E$2:$E1000,'Wellness Responses'!$O$2:$O1000,AA$11,'Wellness Responses'!$B$2:$B1000,#REF!),
IF(AND(#REF!=$E$3,#REF!=$F$4),AVERAGEIFS('Wellness Responses'!$F$2:$F1000,'Wellness Responses'!$O$2:$O1000,AA$11,'Wellness Responses'!$B$2:$B1000,#REF!),
IF(AND(#REF!=$E$3,#REF!=$F$5),AVERAGEIFS('Wellness Responses'!$G$2:$G1000,'Wellness Responses'!$O$2:$O1000,AA$11,'Wellness Responses'!$B$2:$B1000,#REF!),
IF(AND(#REF!=$E$3,#REF!=$F$6),AVERAGEIFS('Wellness Responses'!$I$2:$I1000,'Wellness Responses'!$O$2:$O1000,AA$11,'Wellness Responses'!$B$2:$B1000,#REF!),
IF(AND(#REF!=$E$3,#REF!=$F$7),AVERAGEIFS(#REF!,#REF!,AA$11,#REF!,#REF!),
IF(AND(#REF!=$E$3,#REF!=$F$8),AVERAGEIFS(#REF!,#REF!,AA$11,#REF!,#REF!),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IF(AND(#REF!=$E$3,#REF!=$F$12),AVERAGEIFS(#REF!,#REF!,AA$11,#REF!,#REF!))))))))))))))))))))))),"")</f>
        <v/>
      </c>
      <c r="AB12" s="16" t="str">
        <f>IFERROR(
IF(AND(#REF!=$E$2,#REF!=$F$2),AVERAGEIFS('Wellness Responses'!$AT$2:$AT1000,'Wellness Responses'!$P$2:$P1000,AB$11,'Wellness Responses'!$B$2:$B1000,#REF!),
IF(AND(#REF!=$E$2,#REF!=$F$3),AVERAGEIFS('Wellness Responses'!$E$2:$E1000,'Wellness Responses'!$P$2:$P1000,AB$11,'Wellness Responses'!$B$2:$B1000,#REF!),
IF(AND(#REF!=$E$2,#REF!=$F$4),AVERAGEIFS('Wellness Responses'!$F$2:$F1000,'Wellness Responses'!$P$2:$P1000,AB$11,'Wellness Responses'!$B$2:$B1000,#REF!),
IF(AND(#REF!=$E$2,#REF!=$F$5),AVERAGEIFS('Wellness Responses'!$G$2:$G1000,'Wellness Responses'!$P$2:$P1000,AB$11,'Wellness Responses'!$B$2:$B1000,#REF!),
IF(AND(#REF!=$E$2,#REF!=$F$6),AVERAGEIFS('Wellness Responses'!$I$2:$I1000,'Wellness Responses'!$P$2:$P1000,AB$11,'Wellness Responses'!$B$2:$B1000,#REF!),
IF(AND(#REF!=$E$2,#REF!=$F$7),AVERAGEIFS(#REF!,#REF!,AB$11,#REF!,#REF!),
IF(AND(#REF!=$E$2,#REF!=$F$8),AVERAGEIFS(#REF!,#REF!,AB$11,#REF!,#REF!),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IF(AND(#REF!=$E$3,#REF!=$F$2),AVERAGEIFS('Wellness Responses'!$AT$2:$AT1000,'Wellness Responses'!$O$2:$O1000,AB$11,'Wellness Responses'!$B$2:$B1000,#REF!),
IF(AND(#REF!=$E$3,#REF!=$F$3),AVERAGEIFS('Wellness Responses'!$E$2:$E1000,'Wellness Responses'!$O$2:$O1000,AB$11,'Wellness Responses'!$B$2:$B1000,#REF!),
IF(AND(#REF!=$E$3,#REF!=$F$4),AVERAGEIFS('Wellness Responses'!$F$2:$F1000,'Wellness Responses'!$O$2:$O1000,AB$11,'Wellness Responses'!$B$2:$B1000,#REF!),
IF(AND(#REF!=$E$3,#REF!=$F$5),AVERAGEIFS('Wellness Responses'!$G$2:$G1000,'Wellness Responses'!$O$2:$O1000,AB$11,'Wellness Responses'!$B$2:$B1000,#REF!),
IF(AND(#REF!=$E$3,#REF!=$F$6),AVERAGEIFS('Wellness Responses'!$I$2:$I1000,'Wellness Responses'!$O$2:$O1000,AB$11,'Wellness Responses'!$B$2:$B1000,#REF!),
IF(AND(#REF!=$E$3,#REF!=$F$7),AVERAGEIFS(#REF!,#REF!,AB$11,#REF!,#REF!),
IF(AND(#REF!=$E$3,#REF!=$F$8),AVERAGEIFS(#REF!,#REF!,AB$11,#REF!,#REF!),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IF(AND(#REF!=$E$3,#REF!=$F$12),AVERAGEIFS(#REF!,#REF!,AB$11,#REF!,#REF!))))))))))))))))))))))),"")</f>
        <v/>
      </c>
      <c r="AC12" s="16" t="str">
        <f>IFERROR(
IF(AND(#REF!=$E$2,#REF!=$F$2),AVERAGEIFS('Wellness Responses'!$AT$2:$AT1000,'Wellness Responses'!$P$2:$P1000,AC$11,'Wellness Responses'!$B$2:$B1000,#REF!),
IF(AND(#REF!=$E$2,#REF!=$F$3),AVERAGEIFS('Wellness Responses'!$E$2:$E1000,'Wellness Responses'!$P$2:$P1000,AC$11,'Wellness Responses'!$B$2:$B1000,#REF!),
IF(AND(#REF!=$E$2,#REF!=$F$4),AVERAGEIFS('Wellness Responses'!$F$2:$F1000,'Wellness Responses'!$P$2:$P1000,AC$11,'Wellness Responses'!$B$2:$B1000,#REF!),
IF(AND(#REF!=$E$2,#REF!=$F$5),AVERAGEIFS('Wellness Responses'!$G$2:$G1000,'Wellness Responses'!$P$2:$P1000,AC$11,'Wellness Responses'!$B$2:$B1000,#REF!),
IF(AND(#REF!=$E$2,#REF!=$F$6),AVERAGEIFS('Wellness Responses'!$I$2:$I1000,'Wellness Responses'!$P$2:$P1000,AC$11,'Wellness Responses'!$B$2:$B1000,#REF!),
IF(AND(#REF!=$E$2,#REF!=$F$7),AVERAGEIFS(#REF!,#REF!,AC$11,#REF!,#REF!),
IF(AND(#REF!=$E$2,#REF!=$F$8),AVERAGEIFS(#REF!,#REF!,AC$11,#REF!,#REF!),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IF(AND(#REF!=$E$3,#REF!=$F$2),AVERAGEIFS('Wellness Responses'!$AT$2:$AT1000,'Wellness Responses'!$O$2:$O1000,AC$11,'Wellness Responses'!$B$2:$B1000,#REF!),
IF(AND(#REF!=$E$3,#REF!=$F$3),AVERAGEIFS('Wellness Responses'!$E$2:$E1000,'Wellness Responses'!$O$2:$O1000,AC$11,'Wellness Responses'!$B$2:$B1000,#REF!),
IF(AND(#REF!=$E$3,#REF!=$F$4),AVERAGEIFS('Wellness Responses'!$F$2:$F1000,'Wellness Responses'!$O$2:$O1000,AC$11,'Wellness Responses'!$B$2:$B1000,#REF!),
IF(AND(#REF!=$E$3,#REF!=$F$5),AVERAGEIFS('Wellness Responses'!$G$2:$G1000,'Wellness Responses'!$O$2:$O1000,AC$11,'Wellness Responses'!$B$2:$B1000,#REF!),
IF(AND(#REF!=$E$3,#REF!=$F$6),AVERAGEIFS('Wellness Responses'!$I$2:$I1000,'Wellness Responses'!$O$2:$O1000,AC$11,'Wellness Responses'!$B$2:$B1000,#REF!),
IF(AND(#REF!=$E$3,#REF!=$F$7),AVERAGEIFS(#REF!,#REF!,AC$11,#REF!,#REF!),
IF(AND(#REF!=$E$3,#REF!=$F$8),AVERAGEIFS(#REF!,#REF!,AC$11,#REF!,#REF!),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IF(AND(#REF!=$E$3,#REF!=$F$12),AVERAGEIFS(#REF!,#REF!,AC$11,#REF!,#REF!))))))))))))))))))))))),"")</f>
        <v/>
      </c>
      <c r="AD12" s="16" t="str">
        <f>IFERROR(
IF(AND(#REF!=$E$2,#REF!=$F$2),AVERAGEIFS('Wellness Responses'!$AT$2:$AT1000,'Wellness Responses'!$P$2:$P1000,AD$11,'Wellness Responses'!$B$2:$B1000,#REF!),
IF(AND(#REF!=$E$2,#REF!=$F$3),AVERAGEIFS('Wellness Responses'!$E$2:$E1000,'Wellness Responses'!$P$2:$P1000,AD$11,'Wellness Responses'!$B$2:$B1000,#REF!),
IF(AND(#REF!=$E$2,#REF!=$F$4),AVERAGEIFS('Wellness Responses'!$F$2:$F1000,'Wellness Responses'!$P$2:$P1000,AD$11,'Wellness Responses'!$B$2:$B1000,#REF!),
IF(AND(#REF!=$E$2,#REF!=$F$5),AVERAGEIFS('Wellness Responses'!$G$2:$G1000,'Wellness Responses'!$P$2:$P1000,AD$11,'Wellness Responses'!$B$2:$B1000,#REF!),
IF(AND(#REF!=$E$2,#REF!=$F$6),AVERAGEIFS('Wellness Responses'!$I$2:$I1000,'Wellness Responses'!$P$2:$P1000,AD$11,'Wellness Responses'!$B$2:$B1000,#REF!),
IF(AND(#REF!=$E$2,#REF!=$F$7),AVERAGEIFS(#REF!,#REF!,AD$11,#REF!,#REF!),
IF(AND(#REF!=$E$2,#REF!=$F$8),AVERAGEIFS(#REF!,#REF!,AD$11,#REF!,#REF!),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IF(AND(#REF!=$E$3,#REF!=$F$2),AVERAGEIFS('Wellness Responses'!$AT$2:$AT1000,'Wellness Responses'!$O$2:$O1000,AD$11,'Wellness Responses'!$B$2:$B1000,#REF!),
IF(AND(#REF!=$E$3,#REF!=$F$3),AVERAGEIFS('Wellness Responses'!$E$2:$E1000,'Wellness Responses'!$O$2:$O1000,AD$11,'Wellness Responses'!$B$2:$B1000,#REF!),
IF(AND(#REF!=$E$3,#REF!=$F$4),AVERAGEIFS('Wellness Responses'!$F$2:$F1000,'Wellness Responses'!$O$2:$O1000,AD$11,'Wellness Responses'!$B$2:$B1000,#REF!),
IF(AND(#REF!=$E$3,#REF!=$F$5),AVERAGEIFS('Wellness Responses'!$G$2:$G1000,'Wellness Responses'!$O$2:$O1000,AD$11,'Wellness Responses'!$B$2:$B1000,#REF!),
IF(AND(#REF!=$E$3,#REF!=$F$6),AVERAGEIFS('Wellness Responses'!$I$2:$I1000,'Wellness Responses'!$O$2:$O1000,AD$11,'Wellness Responses'!$B$2:$B1000,#REF!),
IF(AND(#REF!=$E$3,#REF!=$F$7),AVERAGEIFS(#REF!,#REF!,AD$11,#REF!,#REF!),
IF(AND(#REF!=$E$3,#REF!=$F$8),AVERAGEIFS(#REF!,#REF!,AD$11,#REF!,#REF!),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IF(AND(#REF!=$E$3,#REF!=$F$12),AVERAGEIFS(#REF!,#REF!,AD$11,#REF!,#REF!))))))))))))))))))))))),"")</f>
        <v/>
      </c>
      <c r="AE12" s="16" t="str">
        <f>IFERROR(
IF(AND(#REF!=$E$2,#REF!=$F$2),AVERAGEIFS('Wellness Responses'!$AT$2:$AT1000,'Wellness Responses'!$P$2:$P1000,AE$11,'Wellness Responses'!$B$2:$B1000,#REF!),
IF(AND(#REF!=$E$2,#REF!=$F$3),AVERAGEIFS('Wellness Responses'!$E$2:$E1000,'Wellness Responses'!$P$2:$P1000,AE$11,'Wellness Responses'!$B$2:$B1000,#REF!),
IF(AND(#REF!=$E$2,#REF!=$F$4),AVERAGEIFS('Wellness Responses'!$F$2:$F1000,'Wellness Responses'!$P$2:$P1000,AE$11,'Wellness Responses'!$B$2:$B1000,#REF!),
IF(AND(#REF!=$E$2,#REF!=$F$5),AVERAGEIFS('Wellness Responses'!$G$2:$G1000,'Wellness Responses'!$P$2:$P1000,AE$11,'Wellness Responses'!$B$2:$B1000,#REF!),
IF(AND(#REF!=$E$2,#REF!=$F$6),AVERAGEIFS('Wellness Responses'!$I$2:$I1000,'Wellness Responses'!$P$2:$P1000,AE$11,'Wellness Responses'!$B$2:$B1000,#REF!),
IF(AND(#REF!=$E$2,#REF!=$F$7),AVERAGEIFS(#REF!,#REF!,AE$11,#REF!,#REF!),
IF(AND(#REF!=$E$2,#REF!=$F$8),AVERAGEIFS(#REF!,#REF!,AE$11,#REF!,#REF!),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IF(AND(#REF!=$E$3,#REF!=$F$2),AVERAGEIFS('Wellness Responses'!$AT$2:$AT1000,'Wellness Responses'!$O$2:$O1000,AE$11,'Wellness Responses'!$B$2:$B1000,#REF!),
IF(AND(#REF!=$E$3,#REF!=$F$3),AVERAGEIFS('Wellness Responses'!$E$2:$E1000,'Wellness Responses'!$O$2:$O1000,AE$11,'Wellness Responses'!$B$2:$B1000,#REF!),
IF(AND(#REF!=$E$3,#REF!=$F$4),AVERAGEIFS('Wellness Responses'!$F$2:$F1000,'Wellness Responses'!$O$2:$O1000,AE$11,'Wellness Responses'!$B$2:$B1000,#REF!),
IF(AND(#REF!=$E$3,#REF!=$F$5),AVERAGEIFS('Wellness Responses'!$G$2:$G1000,'Wellness Responses'!$O$2:$O1000,AE$11,'Wellness Responses'!$B$2:$B1000,#REF!),
IF(AND(#REF!=$E$3,#REF!=$F$6),AVERAGEIFS('Wellness Responses'!$I$2:$I1000,'Wellness Responses'!$O$2:$O1000,AE$11,'Wellness Responses'!$B$2:$B1000,#REF!),
IF(AND(#REF!=$E$3,#REF!=$F$7),AVERAGEIFS(#REF!,#REF!,AE$11,#REF!,#REF!),
IF(AND(#REF!=$E$3,#REF!=$F$8),AVERAGEIFS(#REF!,#REF!,AE$11,#REF!,#REF!),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IF(AND(#REF!=$E$3,#REF!=$F$12),AVERAGEIFS(#REF!,#REF!,AE$11,#REF!,#REF!))))))))))))))))))))))),"")</f>
        <v/>
      </c>
      <c r="AF12" s="16" t="str">
        <f>IFERROR(
IF(AND(#REF!=$E$2,#REF!=$F$2),AVERAGEIFS('Wellness Responses'!$AT$2:$AT1000,'Wellness Responses'!$P$2:$P1000,AF$11,'Wellness Responses'!$B$2:$B1000,#REF!),
IF(AND(#REF!=$E$2,#REF!=$F$3),AVERAGEIFS('Wellness Responses'!$E$2:$E1000,'Wellness Responses'!$P$2:$P1000,AF$11,'Wellness Responses'!$B$2:$B1000,#REF!),
IF(AND(#REF!=$E$2,#REF!=$F$4),AVERAGEIFS('Wellness Responses'!$F$2:$F1000,'Wellness Responses'!$P$2:$P1000,AF$11,'Wellness Responses'!$B$2:$B1000,#REF!),
IF(AND(#REF!=$E$2,#REF!=$F$5),AVERAGEIFS('Wellness Responses'!$G$2:$G1000,'Wellness Responses'!$P$2:$P1000,AF$11,'Wellness Responses'!$B$2:$B1000,#REF!),
IF(AND(#REF!=$E$2,#REF!=$F$6),AVERAGEIFS('Wellness Responses'!$I$2:$I1000,'Wellness Responses'!$P$2:$P1000,AF$11,'Wellness Responses'!$B$2:$B1000,#REF!),
IF(AND(#REF!=$E$2,#REF!=$F$7),AVERAGEIFS(#REF!,#REF!,AF$11,#REF!,#REF!),
IF(AND(#REF!=$E$2,#REF!=$F$8),AVERAGEIFS(#REF!,#REF!,AF$11,#REF!,#REF!),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IF(AND(#REF!=$E$3,#REF!=$F$2),AVERAGEIFS('Wellness Responses'!$AT$2:$AT1000,'Wellness Responses'!$O$2:$O1000,AF$11,'Wellness Responses'!$B$2:$B1000,#REF!),
IF(AND(#REF!=$E$3,#REF!=$F$3),AVERAGEIFS('Wellness Responses'!$E$2:$E1000,'Wellness Responses'!$O$2:$O1000,AF$11,'Wellness Responses'!$B$2:$B1000,#REF!),
IF(AND(#REF!=$E$3,#REF!=$F$4),AVERAGEIFS('Wellness Responses'!$F$2:$F1000,'Wellness Responses'!$O$2:$O1000,AF$11,'Wellness Responses'!$B$2:$B1000,#REF!),
IF(AND(#REF!=$E$3,#REF!=$F$5),AVERAGEIFS('Wellness Responses'!$G$2:$G1000,'Wellness Responses'!$O$2:$O1000,AF$11,'Wellness Responses'!$B$2:$B1000,#REF!),
IF(AND(#REF!=$E$3,#REF!=$F$6),AVERAGEIFS('Wellness Responses'!$I$2:$I1000,'Wellness Responses'!$O$2:$O1000,AF$11,'Wellness Responses'!$B$2:$B1000,#REF!),
IF(AND(#REF!=$E$3,#REF!=$F$7),AVERAGEIFS(#REF!,#REF!,AF$11,#REF!,#REF!),
IF(AND(#REF!=$E$3,#REF!=$F$8),AVERAGEIFS(#REF!,#REF!,AF$11,#REF!,#REF!),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IF(AND(#REF!=$E$3,#REF!=$F$12),AVERAGEIFS(#REF!,#REF!,AF$11,#REF!,#REF!))))))))))))))))))))))),"")</f>
        <v/>
      </c>
      <c r="AG12" s="16" t="str">
        <f>IFERROR(
IF(AND(#REF!=$E$2,#REF!=$F$2),AVERAGEIFS('Wellness Responses'!$AT$2:$AT1000,'Wellness Responses'!$P$2:$P1000,AG$11,'Wellness Responses'!$B$2:$B1000,#REF!),
IF(AND(#REF!=$E$2,#REF!=$F$3),AVERAGEIFS('Wellness Responses'!$E$2:$E1000,'Wellness Responses'!$P$2:$P1000,AG$11,'Wellness Responses'!$B$2:$B1000,#REF!),
IF(AND(#REF!=$E$2,#REF!=$F$4),AVERAGEIFS('Wellness Responses'!$F$2:$F1000,'Wellness Responses'!$P$2:$P1000,AG$11,'Wellness Responses'!$B$2:$B1000,#REF!),
IF(AND(#REF!=$E$2,#REF!=$F$5),AVERAGEIFS('Wellness Responses'!$G$2:$G1000,'Wellness Responses'!$P$2:$P1000,AG$11,'Wellness Responses'!$B$2:$B1000,#REF!),
IF(AND(#REF!=$E$2,#REF!=$F$6),AVERAGEIFS('Wellness Responses'!$I$2:$I1000,'Wellness Responses'!$P$2:$P1000,AG$11,'Wellness Responses'!$B$2:$B1000,#REF!),
IF(AND(#REF!=$E$2,#REF!=$F$7),AVERAGEIFS(#REF!,#REF!,AG$11,#REF!,#REF!),
IF(AND(#REF!=$E$2,#REF!=$F$8),AVERAGEIFS(#REF!,#REF!,AG$11,#REF!,#REF!),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IF(AND(#REF!=$E$3,#REF!=$F$2),AVERAGEIFS('Wellness Responses'!$AT$2:$AT1000,'Wellness Responses'!$O$2:$O1000,AG$11,'Wellness Responses'!$B$2:$B1000,#REF!),
IF(AND(#REF!=$E$3,#REF!=$F$3),AVERAGEIFS('Wellness Responses'!$E$2:$E1000,'Wellness Responses'!$O$2:$O1000,AG$11,'Wellness Responses'!$B$2:$B1000,#REF!),
IF(AND(#REF!=$E$3,#REF!=$F$4),AVERAGEIFS('Wellness Responses'!$F$2:$F1000,'Wellness Responses'!$O$2:$O1000,AG$11,'Wellness Responses'!$B$2:$B1000,#REF!),
IF(AND(#REF!=$E$3,#REF!=$F$5),AVERAGEIFS('Wellness Responses'!$G$2:$G1000,'Wellness Responses'!$O$2:$O1000,AG$11,'Wellness Responses'!$B$2:$B1000,#REF!),
IF(AND(#REF!=$E$3,#REF!=$F$6),AVERAGEIFS('Wellness Responses'!$I$2:$I1000,'Wellness Responses'!$O$2:$O1000,AG$11,'Wellness Responses'!$B$2:$B1000,#REF!),
IF(AND(#REF!=$E$3,#REF!=$F$7),AVERAGEIFS(#REF!,#REF!,AG$11,#REF!,#REF!),
IF(AND(#REF!=$E$3,#REF!=$F$8),AVERAGEIFS(#REF!,#REF!,AG$11,#REF!,#REF!),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IF(AND(#REF!=$E$3,#REF!=$F$12),AVERAGEIFS(#REF!,#REF!,AG$11,#REF!,#REF!))))))))))))))))))))))),"")</f>
        <v/>
      </c>
      <c r="AH12" s="16" t="str">
        <f>IFERROR(
IF(AND(#REF!=$E$2,#REF!=$F$2),AVERAGEIFS('Wellness Responses'!$AT$2:$AT1000,'Wellness Responses'!$P$2:$P1000,AH$11,'Wellness Responses'!$B$2:$B1000,#REF!),
IF(AND(#REF!=$E$2,#REF!=$F$3),AVERAGEIFS('Wellness Responses'!$E$2:$E1000,'Wellness Responses'!$P$2:$P1000,AH$11,'Wellness Responses'!$B$2:$B1000,#REF!),
IF(AND(#REF!=$E$2,#REF!=$F$4),AVERAGEIFS('Wellness Responses'!$F$2:$F1000,'Wellness Responses'!$P$2:$P1000,AH$11,'Wellness Responses'!$B$2:$B1000,#REF!),
IF(AND(#REF!=$E$2,#REF!=$F$5),AVERAGEIFS('Wellness Responses'!$G$2:$G1000,'Wellness Responses'!$P$2:$P1000,AH$11,'Wellness Responses'!$B$2:$B1000,#REF!),
IF(AND(#REF!=$E$2,#REF!=$F$6),AVERAGEIFS('Wellness Responses'!$I$2:$I1000,'Wellness Responses'!$P$2:$P1000,AH$11,'Wellness Responses'!$B$2:$B1000,#REF!),
IF(AND(#REF!=$E$2,#REF!=$F$7),AVERAGEIFS(#REF!,#REF!,AH$11,#REF!,#REF!),
IF(AND(#REF!=$E$2,#REF!=$F$8),AVERAGEIFS(#REF!,#REF!,AH$11,#REF!,#REF!),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IF(AND(#REF!=$E$3,#REF!=$F$2),AVERAGEIFS('Wellness Responses'!$AT$2:$AT1000,'Wellness Responses'!$O$2:$O1000,AH$11,'Wellness Responses'!$B$2:$B1000,#REF!),
IF(AND(#REF!=$E$3,#REF!=$F$3),AVERAGEIFS('Wellness Responses'!$E$2:$E1000,'Wellness Responses'!$O$2:$O1000,AH$11,'Wellness Responses'!$B$2:$B1000,#REF!),
IF(AND(#REF!=$E$3,#REF!=$F$4),AVERAGEIFS('Wellness Responses'!$F$2:$F1000,'Wellness Responses'!$O$2:$O1000,AH$11,'Wellness Responses'!$B$2:$B1000,#REF!),
IF(AND(#REF!=$E$3,#REF!=$F$5),AVERAGEIFS('Wellness Responses'!$G$2:$G1000,'Wellness Responses'!$O$2:$O1000,AH$11,'Wellness Responses'!$B$2:$B1000,#REF!),
IF(AND(#REF!=$E$3,#REF!=$F$6),AVERAGEIFS('Wellness Responses'!$I$2:$I1000,'Wellness Responses'!$O$2:$O1000,AH$11,'Wellness Responses'!$B$2:$B1000,#REF!),
IF(AND(#REF!=$E$3,#REF!=$F$7),AVERAGEIFS(#REF!,#REF!,AH$11,#REF!,#REF!),
IF(AND(#REF!=$E$3,#REF!=$F$8),AVERAGEIFS(#REF!,#REF!,AH$11,#REF!,#REF!),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IF(AND(#REF!=$E$3,#REF!=$F$12),AVERAGEIFS(#REF!,#REF!,AH$11,#REF!,#REF!))))))))))))))))))))))),"")</f>
        <v/>
      </c>
      <c r="AI12" s="16" t="str">
        <f>IFERROR(
IF(AND(#REF!=$E$2,#REF!=$F$2),AVERAGEIFS('Wellness Responses'!$AT$2:$AT1000,'Wellness Responses'!$P$2:$P1000,AI$11,'Wellness Responses'!$B$2:$B1000,#REF!),
IF(AND(#REF!=$E$2,#REF!=$F$3),AVERAGEIFS('Wellness Responses'!$E$2:$E1000,'Wellness Responses'!$P$2:$P1000,AI$11,'Wellness Responses'!$B$2:$B1000,#REF!),
IF(AND(#REF!=$E$2,#REF!=$F$4),AVERAGEIFS('Wellness Responses'!$F$2:$F1000,'Wellness Responses'!$P$2:$P1000,AI$11,'Wellness Responses'!$B$2:$B1000,#REF!),
IF(AND(#REF!=$E$2,#REF!=$F$5),AVERAGEIFS('Wellness Responses'!$G$2:$G1000,'Wellness Responses'!$P$2:$P1000,AI$11,'Wellness Responses'!$B$2:$B1000,#REF!),
IF(AND(#REF!=$E$2,#REF!=$F$6),AVERAGEIFS('Wellness Responses'!$I$2:$I1000,'Wellness Responses'!$P$2:$P1000,AI$11,'Wellness Responses'!$B$2:$B1000,#REF!),
IF(AND(#REF!=$E$2,#REF!=$F$7),AVERAGEIFS(#REF!,#REF!,AI$11,#REF!,#REF!),
IF(AND(#REF!=$E$2,#REF!=$F$8),AVERAGEIFS(#REF!,#REF!,AI$11,#REF!,#REF!),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IF(AND(#REF!=$E$3,#REF!=$F$2),AVERAGEIFS('Wellness Responses'!$AT$2:$AT1000,'Wellness Responses'!$O$2:$O1000,AI$11,'Wellness Responses'!$B$2:$B1000,#REF!),
IF(AND(#REF!=$E$3,#REF!=$F$3),AVERAGEIFS('Wellness Responses'!$E$2:$E1000,'Wellness Responses'!$O$2:$O1000,AI$11,'Wellness Responses'!$B$2:$B1000,#REF!),
IF(AND(#REF!=$E$3,#REF!=$F$4),AVERAGEIFS('Wellness Responses'!$F$2:$F1000,'Wellness Responses'!$O$2:$O1000,AI$11,'Wellness Responses'!$B$2:$B1000,#REF!),
IF(AND(#REF!=$E$3,#REF!=$F$5),AVERAGEIFS('Wellness Responses'!$G$2:$G1000,'Wellness Responses'!$O$2:$O1000,AI$11,'Wellness Responses'!$B$2:$B1000,#REF!),
IF(AND(#REF!=$E$3,#REF!=$F$6),AVERAGEIFS('Wellness Responses'!$I$2:$I1000,'Wellness Responses'!$O$2:$O1000,AI$11,'Wellness Responses'!$B$2:$B1000,#REF!),
IF(AND(#REF!=$E$3,#REF!=$F$7),AVERAGEIFS(#REF!,#REF!,AI$11,#REF!,#REF!),
IF(AND(#REF!=$E$3,#REF!=$F$8),AVERAGEIFS(#REF!,#REF!,AI$11,#REF!,#REF!),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IF(AND(#REF!=$E$3,#REF!=$F$12),AVERAGEIFS(#REF!,#REF!,AI$11,#REF!,#REF!))))))))))))))))))))))),"")</f>
        <v/>
      </c>
      <c r="AJ12" s="17" t="str">
        <f>IFERROR(
IF(AND(#REF!=$E$2,#REF!=$F$2),AVERAGEIFS('Wellness Responses'!$AT$2:$AT1000,'Wellness Responses'!$P$2:$P1000,AJ$11,'Wellness Responses'!$B$2:$B1000,#REF!),
IF(AND(#REF!=$E$2,#REF!=$F$3),AVERAGEIFS('Wellness Responses'!$E$2:$E1000,'Wellness Responses'!$P$2:$P1000,AJ$11,'Wellness Responses'!$B$2:$B1000,#REF!),
IF(AND(#REF!=$E$2,#REF!=$F$4),AVERAGEIFS('Wellness Responses'!$F$2:$F1000,'Wellness Responses'!$P$2:$P1000,AJ$11,'Wellness Responses'!$B$2:$B1000,#REF!),
IF(AND(#REF!=$E$2,#REF!=$F$5),AVERAGEIFS('Wellness Responses'!$G$2:$G1000,'Wellness Responses'!$P$2:$P1000,AJ$11,'Wellness Responses'!$B$2:$B1000,#REF!),
IF(AND(#REF!=$E$2,#REF!=$F$6),AVERAGEIFS('Wellness Responses'!$I$2:$I1000,'Wellness Responses'!$P$2:$P1000,AJ$11,'Wellness Responses'!$B$2:$B1000,#REF!),
IF(AND(#REF!=$E$2,#REF!=$F$7),AVERAGEIFS(#REF!,#REF!,AJ$11,#REF!,#REF!),
IF(AND(#REF!=$E$2,#REF!=$F$8),AVERAGEIFS(#REF!,#REF!,AJ$11,#REF!,#REF!),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IF(AND(#REF!=$E$3,#REF!=$F$2),AVERAGEIFS('Wellness Responses'!$AT$2:$AT1000,'Wellness Responses'!$O$2:$O1000,AJ$11,'Wellness Responses'!$B$2:$B1000,#REF!),
IF(AND(#REF!=$E$3,#REF!=$F$3),AVERAGEIFS('Wellness Responses'!$E$2:$E1000,'Wellness Responses'!$O$2:$O1000,AJ$11,'Wellness Responses'!$B$2:$B1000,#REF!),
IF(AND(#REF!=$E$3,#REF!=$F$4),AVERAGEIFS('Wellness Responses'!$F$2:$F1000,'Wellness Responses'!$O$2:$O1000,AJ$11,'Wellness Responses'!$B$2:$B1000,#REF!),
IF(AND(#REF!=$E$3,#REF!=$F$5),AVERAGEIFS('Wellness Responses'!$G$2:$G1000,'Wellness Responses'!$O$2:$O1000,AJ$11,'Wellness Responses'!$B$2:$B1000,#REF!),
IF(AND(#REF!=$E$3,#REF!=$F$6),AVERAGEIFS('Wellness Responses'!$I$2:$I1000,'Wellness Responses'!$O$2:$O1000,AJ$11,'Wellness Responses'!$B$2:$B1000,#REF!),
IF(AND(#REF!=$E$3,#REF!=$F$7),AVERAGEIFS(#REF!,#REF!,AJ$11,#REF!,#REF!),
IF(AND(#REF!=$E$3,#REF!=$F$8),AVERAGEIFS(#REF!,#REF!,AJ$11,#REF!,#REF!),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IF(AND(#REF!=$E$3,#REF!=$F$12),AVERAGEIFS(#REF!,#REF!,AJ$11,#REF!,#REF!))))))))))))))))))))))),"")</f>
        <v/>
      </c>
    </row>
    <row r="13" spans="1:36" ht="15.75" customHeight="1" x14ac:dyDescent="0.25">
      <c r="A13" s="13">
        <f ca="1">IFERROR(__xludf.DUMMYFUNCTION("""COMPUTED_VALUE"""),44791)</f>
        <v>44791</v>
      </c>
      <c r="C13" s="19" t="str">
        <f ca="1">IFERROR(__xludf.DUMMYFUNCTION("""COMPUTED_VALUE"""),"MID")</f>
        <v>MID</v>
      </c>
      <c r="D13" s="7"/>
      <c r="H13" s="42" t="e">
        <f>IF(OR(#REF!=$F$2,#REF!=$F$3,#REF!=$F$4,#REF!=$F$5,#REF!=$F$6,#REF!=$F$7,#REF!=$F$8),"",
IF(#REF!=$F$9,"Comp Session RPE",
IF(#REF!=$F$10,"Comp Chest RPE",
IF(#REF!=$F$11,"Comp Muscle RPE",
IF(#REF!=$F$12,"Comp Technical RPE","")))))</f>
        <v>#REF!</v>
      </c>
      <c r="I13" s="16" t="str">
        <f>IFERROR(
IF(OR(#REF!=$F$2,#REF!=$F$3,#REF!=$F$4,#REF!=$F$5,#REF!=$F$6,#REF!=$F$7,#REF!=$F$8),"",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IF(AND(#REF!=$E$3,#REF!=$F$12),AVERAGEIFS(#REF!,#REF!,I$11,#REF!,#REF!)))))))))),"")</f>
        <v/>
      </c>
      <c r="J13" s="16" t="str">
        <f>IFERROR(
IF(OR(#REF!=$F$2,#REF!=$F$3,#REF!=$F$4,#REF!=$F$5,#REF!=$F$6,#REF!=$F$7,#REF!=$F$8),"",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IF(AND(#REF!=$E$3,#REF!=$F$12),AVERAGEIFS(#REF!,#REF!,J$11,#REF!,#REF!)))))))))),"")</f>
        <v/>
      </c>
      <c r="K13" s="16" t="str">
        <f>IFERROR(
IF(OR(#REF!=$F$2,#REF!=$F$3,#REF!=$F$4,#REF!=$F$5,#REF!=$F$6,#REF!=$F$7,#REF!=$F$8),"",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IF(AND(#REF!=$E$3,#REF!=$F$12),AVERAGEIFS(#REF!,#REF!,K$11,#REF!,#REF!)))))))))),"")</f>
        <v/>
      </c>
      <c r="L13" s="16" t="str">
        <f>IFERROR(
IF(OR(#REF!=$F$2,#REF!=$F$3,#REF!=$F$4,#REF!=$F$5,#REF!=$F$6,#REF!=$F$7,#REF!=$F$8),"",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IF(AND(#REF!=$E$3,#REF!=$F$12),AVERAGEIFS(#REF!,#REF!,L$11,#REF!,#REF!)))))))))),"")</f>
        <v/>
      </c>
      <c r="M13" s="16" t="str">
        <f>IFERROR(
IF(OR(#REF!=$F$2,#REF!=$F$3,#REF!=$F$4,#REF!=$F$5,#REF!=$F$6,#REF!=$F$7,#REF!=$F$8),"",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IF(AND(#REF!=$E$3,#REF!=$F$12),AVERAGEIFS(#REF!,#REF!,M$11,#REF!,#REF!)))))))))),"")</f>
        <v/>
      </c>
      <c r="N13" s="16" t="str">
        <f>IFERROR(
IF(OR(#REF!=$F$2,#REF!=$F$3,#REF!=$F$4,#REF!=$F$5,#REF!=$F$6,#REF!=$F$7,#REF!=$F$8),"",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IF(AND(#REF!=$E$3,#REF!=$F$12),AVERAGEIFS(#REF!,#REF!,N$11,#REF!,#REF!)))))))))),"")</f>
        <v/>
      </c>
      <c r="O13" s="16" t="str">
        <f>IFERROR(
IF(OR(#REF!=$F$2,#REF!=$F$3,#REF!=$F$4,#REF!=$F$5,#REF!=$F$6,#REF!=$F$7,#REF!=$F$8),"",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IF(AND(#REF!=$E$3,#REF!=$F$12),AVERAGEIFS(#REF!,#REF!,O$11,#REF!,#REF!)))))))))),"")</f>
        <v/>
      </c>
      <c r="P13" s="16" t="str">
        <f>IFERROR(
IF(OR(#REF!=$F$2,#REF!=$F$3,#REF!=$F$4,#REF!=$F$5,#REF!=$F$6,#REF!=$F$7,#REF!=$F$8),"",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IF(AND(#REF!=$E$3,#REF!=$F$12),AVERAGEIFS(#REF!,#REF!,P$11,#REF!,#REF!)))))))))),"")</f>
        <v/>
      </c>
      <c r="Q13" s="16" t="str">
        <f>IFERROR(
IF(OR(#REF!=$F$2,#REF!=$F$3,#REF!=$F$4,#REF!=$F$5,#REF!=$F$6,#REF!=$F$7,#REF!=$F$8),"",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IF(AND(#REF!=$E$3,#REF!=$F$12),AVERAGEIFS(#REF!,#REF!,Q$11,#REF!,#REF!)))))))))),"")</f>
        <v/>
      </c>
      <c r="R13" s="16" t="str">
        <f>IFERROR(
IF(OR(#REF!=$F$2,#REF!=$F$3,#REF!=$F$4,#REF!=$F$5,#REF!=$F$6,#REF!=$F$7,#REF!=$F$8),"",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IF(AND(#REF!=$E$3,#REF!=$F$12),AVERAGEIFS(#REF!,#REF!,R$11,#REF!,#REF!)))))))))),"")</f>
        <v/>
      </c>
      <c r="S13" s="16" t="str">
        <f>IFERROR(
IF(OR(#REF!=$F$2,#REF!=$F$3,#REF!=$F$4,#REF!=$F$5,#REF!=$F$6,#REF!=$F$7,#REF!=$F$8),"",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IF(AND(#REF!=$E$3,#REF!=$F$12),AVERAGEIFS(#REF!,#REF!,S$11,#REF!,#REF!)))))))))),"")</f>
        <v/>
      </c>
      <c r="T13" s="16" t="str">
        <f>IFERROR(
IF(OR(#REF!=$F$2,#REF!=$F$3,#REF!=$F$4,#REF!=$F$5,#REF!=$F$6,#REF!=$F$7,#REF!=$F$8),"",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IF(AND(#REF!=$E$3,#REF!=$F$12),AVERAGEIFS(#REF!,#REF!,T$11,#REF!,#REF!)))))))))),"")</f>
        <v/>
      </c>
      <c r="U13" s="16" t="str">
        <f>IFERROR(
IF(OR(#REF!=$F$2,#REF!=$F$3,#REF!=$F$4,#REF!=$F$5,#REF!=$F$6,#REF!=$F$7,#REF!=$F$8),"",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IF(AND(#REF!=$E$3,#REF!=$F$12),AVERAGEIFS(#REF!,#REF!,U$11,#REF!,#REF!)))))))))),"")</f>
        <v/>
      </c>
      <c r="V13" s="16" t="str">
        <f>IFERROR(
IF(OR(#REF!=$F$2,#REF!=$F$3,#REF!=$F$4,#REF!=$F$5,#REF!=$F$6,#REF!=$F$7,#REF!=$F$8),"",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IF(AND(#REF!=$E$3,#REF!=$F$12),AVERAGEIFS(#REF!,#REF!,V$11,#REF!,#REF!)))))))))),"")</f>
        <v/>
      </c>
      <c r="W13" s="16" t="str">
        <f>IFERROR(
IF(OR(#REF!=$F$2,#REF!=$F$3,#REF!=$F$4,#REF!=$F$5,#REF!=$F$6,#REF!=$F$7,#REF!=$F$8),"",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IF(AND(#REF!=$E$3,#REF!=$F$12),AVERAGEIFS(#REF!,#REF!,W$11,#REF!,#REF!)))))))))),"")</f>
        <v/>
      </c>
      <c r="X13" s="16" t="str">
        <f>IFERROR(
IF(OR(#REF!=$F$2,#REF!=$F$3,#REF!=$F$4,#REF!=$F$5,#REF!=$F$6,#REF!=$F$7,#REF!=$F$8),"",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IF(AND(#REF!=$E$3,#REF!=$F$12),AVERAGEIFS(#REF!,#REF!,X$11,#REF!,#REF!)))))))))),"")</f>
        <v/>
      </c>
      <c r="Y13" s="16" t="str">
        <f>IFERROR(
IF(OR(#REF!=$F$2,#REF!=$F$3,#REF!=$F$4,#REF!=$F$5,#REF!=$F$6,#REF!=$F$7,#REF!=$F$8),"",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IF(AND(#REF!=$E$3,#REF!=$F$12),AVERAGEIFS(#REF!,#REF!,Y$11,#REF!,#REF!)))))))))),"")</f>
        <v/>
      </c>
      <c r="Z13" s="16" t="str">
        <f>IFERROR(
IF(OR(#REF!=$F$2,#REF!=$F$3,#REF!=$F$4,#REF!=$F$5,#REF!=$F$6,#REF!=$F$7,#REF!=$F$8),"",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IF(AND(#REF!=$E$3,#REF!=$F$12),AVERAGEIFS(#REF!,#REF!,Z$11,#REF!,#REF!)))))))))),"")</f>
        <v/>
      </c>
      <c r="AA13" s="16" t="str">
        <f>IFERROR(
IF(OR(#REF!=$F$2,#REF!=$F$3,#REF!=$F$4,#REF!=$F$5,#REF!=$F$6,#REF!=$F$7,#REF!=$F$8),"",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IF(AND(#REF!=$E$3,#REF!=$F$12),AVERAGEIFS(#REF!,#REF!,AA$11,#REF!,#REF!)))))))))),"")</f>
        <v/>
      </c>
      <c r="AB13" s="16" t="str">
        <f>IFERROR(
IF(OR(#REF!=$F$2,#REF!=$F$3,#REF!=$F$4,#REF!=$F$5,#REF!=$F$6,#REF!=$F$7,#REF!=$F$8),"",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IF(AND(#REF!=$E$3,#REF!=$F$12),AVERAGEIFS(#REF!,#REF!,AB$11,#REF!,#REF!)))))))))),"")</f>
        <v/>
      </c>
      <c r="AC13" s="16" t="str">
        <f>IFERROR(
IF(OR(#REF!=$F$2,#REF!=$F$3,#REF!=$F$4,#REF!=$F$5,#REF!=$F$6,#REF!=$F$7,#REF!=$F$8),"",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IF(AND(#REF!=$E$3,#REF!=$F$12),AVERAGEIFS(#REF!,#REF!,AC$11,#REF!,#REF!)))))))))),"")</f>
        <v/>
      </c>
      <c r="AD13" s="16" t="str">
        <f>IFERROR(
IF(OR(#REF!=$F$2,#REF!=$F$3,#REF!=$F$4,#REF!=$F$5,#REF!=$F$6,#REF!=$F$7,#REF!=$F$8),"",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IF(AND(#REF!=$E$3,#REF!=$F$12),AVERAGEIFS(#REF!,#REF!,AD$11,#REF!,#REF!)))))))))),"")</f>
        <v/>
      </c>
      <c r="AE13" s="16" t="str">
        <f>IFERROR(
IF(OR(#REF!=$F$2,#REF!=$F$3,#REF!=$F$4,#REF!=$F$5,#REF!=$F$6,#REF!=$F$7,#REF!=$F$8),"",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IF(AND(#REF!=$E$3,#REF!=$F$12),AVERAGEIFS(#REF!,#REF!,AE$11,#REF!,#REF!)))))))))),"")</f>
        <v/>
      </c>
      <c r="AF13" s="16" t="str">
        <f>IFERROR(
IF(OR(#REF!=$F$2,#REF!=$F$3,#REF!=$F$4,#REF!=$F$5,#REF!=$F$6,#REF!=$F$7,#REF!=$F$8),"",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IF(AND(#REF!=$E$3,#REF!=$F$12),AVERAGEIFS(#REF!,#REF!,AF$11,#REF!,#REF!)))))))))),"")</f>
        <v/>
      </c>
      <c r="AG13" s="16" t="str">
        <f>IFERROR(
IF(OR(#REF!=$F$2,#REF!=$F$3,#REF!=$F$4,#REF!=$F$5,#REF!=$F$6,#REF!=$F$7,#REF!=$F$8),"",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IF(AND(#REF!=$E$3,#REF!=$F$12),AVERAGEIFS(#REF!,#REF!,AG$11,#REF!,#REF!)))))))))),"")</f>
        <v/>
      </c>
      <c r="AH13" s="16" t="str">
        <f>IFERROR(
IF(OR(#REF!=$F$2,#REF!=$F$3,#REF!=$F$4,#REF!=$F$5,#REF!=$F$6,#REF!=$F$7,#REF!=$F$8),"",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IF(AND(#REF!=$E$3,#REF!=$F$12),AVERAGEIFS(#REF!,#REF!,AH$11,#REF!,#REF!)))))))))),"")</f>
        <v/>
      </c>
      <c r="AI13" s="16" t="str">
        <f>IFERROR(
IF(OR(#REF!=$F$2,#REF!=$F$3,#REF!=$F$4,#REF!=$F$5,#REF!=$F$6,#REF!=$F$7,#REF!=$F$8),"",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IF(AND(#REF!=$E$3,#REF!=$F$12),AVERAGEIFS(#REF!,#REF!,AI$11,#REF!,#REF!)))))))))),"")</f>
        <v/>
      </c>
      <c r="AJ13" s="17">
        <f>IFERROR(
IF(OR(#REF!=$F$2,#REF!=$F$3,#REF!=$F$4,#REF!=$F$5,#REF!=$F$6,#REF!=$F$7,#REF!=$F$8),0,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IF(AND(#REF!=$E$3,#REF!=$F$12),AVERAGEIFS(#REF!,#REF!,AJ$11,#REF!,#REF!)))))))))),0)</f>
        <v>0</v>
      </c>
    </row>
    <row r="14" spans="1:36" ht="15.75" customHeight="1" x14ac:dyDescent="0.25">
      <c r="A14" s="13">
        <f ca="1">IFERROR(__xludf.DUMMYFUNCTION("""COMPUTED_VALUE"""),44792)</f>
        <v>44792</v>
      </c>
      <c r="C14" s="19" t="str">
        <f ca="1">IFERROR(__xludf.DUMMYFUNCTION("""COMPUTED_VALUE"""),"MID/D")</f>
        <v>MID/D</v>
      </c>
      <c r="D14" s="7"/>
      <c r="H14" s="12" t="e">
        <f>IF(#REF!=$F$2,$F$2,
IF(#REF!=$F$3,$F$3,
IF(#REF!=$F$4,$F$4,
IF(#REF!=$F$5,$F$5,
IF(#REF!=$F$6,$F$6,
IF(#REF!=$F$7,$F$7,
IF(#REF!=$F$8,$F$8,
IF(#REF!=$F$9,"Prac Session RPE",
IF(#REF!=$F$10,"Prac Chest RPE",
IF(#REF!=$F$11,"Prac Muscle RPE",
IF(#REF!=$F$12,"Prac Technical RPE","")))))))))))</f>
        <v>#REF!</v>
      </c>
      <c r="I14" s="16" t="str">
        <f>IFERROR(
IF(AND(#REF!=$E$2,#REF!=$F$2),AVERAGEIFS('Wellness Responses'!$AT$2:$AT1000,'Wellness Responses'!$P$2:$P1000,I$11,'Wellness Responses'!$B$2:$B1000,#REF!),
IF(AND(#REF!=$E$2,#REF!=$F$3),AVERAGEIFS('Wellness Responses'!$E$2:$E1000,'Wellness Responses'!$P$2:$P1000,I$11,'Wellness Responses'!$B$2:$B1000,#REF!),
IF(AND(#REF!=$E$2,#REF!=$F$4),AVERAGEIFS('Wellness Responses'!$F$2:$F1000,'Wellness Responses'!$P$2:$P1000,I$11,'Wellness Responses'!$B$2:$B1000,#REF!),
IF(AND(#REF!=$E$2,#REF!=$F$5),AVERAGEIFS('Wellness Responses'!$G$2:$G1000,'Wellness Responses'!$P$2:$P1000,I$11,'Wellness Responses'!$B$2:$B1000,#REF!),
IF(AND(#REF!=$E$2,#REF!=$F$6),AVERAGEIFS('Wellness Responses'!$I$2:$I1000,'Wellness Responses'!$P$2:$P1000,I$11,'Wellness Responses'!$B$2:$B1000,#REF!),
IF(AND(#REF!=$E$2,#REF!=$F$7),AVERAGEIFS(#REF!,#REF!,I$11,#REF!,#REF!),
IF(AND(#REF!=$E$2,#REF!=$F$8),AVERAGEIFS(#REF!,#REF!,I$11,#REF!,#REF!),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IF(AND(#REF!=$E$3,#REF!=$F$2),AVERAGEIFS('Wellness Responses'!$AT$2:$AT1000,'Wellness Responses'!$O$2:$O1000,I$11,'Wellness Responses'!$B$2:$B1000,#REF!),
IF(AND(#REF!=$E$3,#REF!=$F$3),AVERAGEIFS('Wellness Responses'!$E$2:$E1000,'Wellness Responses'!$O$2:$O1000,I$11,'Wellness Responses'!$B$2:$B1000,#REF!),
IF(AND(#REF!=$E$3,#REF!=$F$4),AVERAGEIFS('Wellness Responses'!$F$2:$F1000,'Wellness Responses'!$O$2:$O1000,I$11,'Wellness Responses'!$B$2:$B1000,#REF!),
IF(AND(#REF!=$E$3,#REF!=$F$5),AVERAGEIFS('Wellness Responses'!$G$2:$G1000,'Wellness Responses'!$O$2:$O1000,I$11,'Wellness Responses'!$B$2:$B1000,#REF!),
IF(AND(#REF!=$E$3,#REF!=$F$6),AVERAGEIFS('Wellness Responses'!$I$2:$I1000,'Wellness Responses'!$O$2:$O1000,I$11,'Wellness Responses'!$B$2:$B1000,#REF!),
IF(AND(#REF!=$E$3,#REF!=$F$7),AVERAGEIFS(#REF!,#REF!,I$11,#REF!,#REF!),
IF(AND(#REF!=$E$3,#REF!=$F$8),AVERAGEIFS(#REF!,#REF!,I$11,#REF!,#REF!),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IF(AND(#REF!=$E$3,#REF!=$F$12),AVERAGEIFS(#REF!,#REF!,I$11,#REF!,#REF!))))))))))))))))))))))),"")</f>
        <v/>
      </c>
      <c r="J14" s="16" t="str">
        <f>IFERROR(
IF(AND(#REF!=$E$2,#REF!=$F$2),AVERAGEIFS('Wellness Responses'!$AT$2:$AT1000,'Wellness Responses'!$P$2:$P1000,J$11,'Wellness Responses'!$B$2:$B1000,#REF!),
IF(AND(#REF!=$E$2,#REF!=$F$3),AVERAGEIFS('Wellness Responses'!$E$2:$E1000,'Wellness Responses'!$P$2:$P1000,J$11,'Wellness Responses'!$B$2:$B1000,#REF!),
IF(AND(#REF!=$E$2,#REF!=$F$4),AVERAGEIFS('Wellness Responses'!$F$2:$F1000,'Wellness Responses'!$P$2:$P1000,J$11,'Wellness Responses'!$B$2:$B1000,#REF!),
IF(AND(#REF!=$E$2,#REF!=$F$5),AVERAGEIFS('Wellness Responses'!$G$2:$G1000,'Wellness Responses'!$P$2:$P1000,J$11,'Wellness Responses'!$B$2:$B1000,#REF!),
IF(AND(#REF!=$E$2,#REF!=$F$6),AVERAGEIFS('Wellness Responses'!$I$2:$I1000,'Wellness Responses'!$P$2:$P1000,J$11,'Wellness Responses'!$B$2:$B1000,#REF!),
IF(AND(#REF!=$E$2,#REF!=$F$7),AVERAGEIFS(#REF!,#REF!,J$11,#REF!,#REF!),
IF(AND(#REF!=$E$2,#REF!=$F$8),AVERAGEIFS(#REF!,#REF!,J$11,#REF!,#REF!),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IF(AND(#REF!=$E$3,#REF!=$F$2),AVERAGEIFS('Wellness Responses'!$AT$2:$AT1000,'Wellness Responses'!$O$2:$O1000,J$11,'Wellness Responses'!$B$2:$B1000,#REF!),
IF(AND(#REF!=$E$3,#REF!=$F$3),AVERAGEIFS('Wellness Responses'!$E$2:$E1000,'Wellness Responses'!$O$2:$O1000,J$11,'Wellness Responses'!$B$2:$B1000,#REF!),
IF(AND(#REF!=$E$3,#REF!=$F$4),AVERAGEIFS('Wellness Responses'!$F$2:$F1000,'Wellness Responses'!$O$2:$O1000,J$11,'Wellness Responses'!$B$2:$B1000,#REF!),
IF(AND(#REF!=$E$3,#REF!=$F$5),AVERAGEIFS('Wellness Responses'!$G$2:$G1000,'Wellness Responses'!$O$2:$O1000,J$11,'Wellness Responses'!$B$2:$B1000,#REF!),
IF(AND(#REF!=$E$3,#REF!=$F$6),AVERAGEIFS('Wellness Responses'!$I$2:$I1000,'Wellness Responses'!$O$2:$O1000,J$11,'Wellness Responses'!$B$2:$B1000,#REF!),
IF(AND(#REF!=$E$3,#REF!=$F$7),AVERAGEIFS(#REF!,#REF!,J$11,#REF!,#REF!),
IF(AND(#REF!=$E$3,#REF!=$F$8),AVERAGEIFS(#REF!,#REF!,J$11,#REF!,#REF!),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IF(AND(#REF!=$E$3,#REF!=$F$12),AVERAGEIFS(#REF!,#REF!,J$11,#REF!,#REF!))))))))))))))))))))))),"")</f>
        <v/>
      </c>
      <c r="K14" s="16" t="str">
        <f>IFERROR(
IF(AND(#REF!=$E$2,#REF!=$F$2),AVERAGEIFS('Wellness Responses'!$AT$2:$AT1000,'Wellness Responses'!$P$2:$P1000,K$11,'Wellness Responses'!$B$2:$B1000,#REF!),
IF(AND(#REF!=$E$2,#REF!=$F$3),AVERAGEIFS('Wellness Responses'!$E$2:$E1000,'Wellness Responses'!$P$2:$P1000,K$11,'Wellness Responses'!$B$2:$B1000,#REF!),
IF(AND(#REF!=$E$2,#REF!=$F$4),AVERAGEIFS('Wellness Responses'!$F$2:$F1000,'Wellness Responses'!$P$2:$P1000,K$11,'Wellness Responses'!$B$2:$B1000,#REF!),
IF(AND(#REF!=$E$2,#REF!=$F$5),AVERAGEIFS('Wellness Responses'!$G$2:$G1000,'Wellness Responses'!$P$2:$P1000,K$11,'Wellness Responses'!$B$2:$B1000,#REF!),
IF(AND(#REF!=$E$2,#REF!=$F$6),AVERAGEIFS('Wellness Responses'!$I$2:$I1000,'Wellness Responses'!$P$2:$P1000,K$11,'Wellness Responses'!$B$2:$B1000,#REF!),
IF(AND(#REF!=$E$2,#REF!=$F$7),AVERAGEIFS(#REF!,#REF!,K$11,#REF!,#REF!),
IF(AND(#REF!=$E$2,#REF!=$F$8),AVERAGEIFS(#REF!,#REF!,K$11,#REF!,#REF!),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IF(AND(#REF!=$E$3,#REF!=$F$2),AVERAGEIFS('Wellness Responses'!$AT$2:$AT1000,'Wellness Responses'!$O$2:$O1000,K$11,'Wellness Responses'!$B$2:$B1000,#REF!),
IF(AND(#REF!=$E$3,#REF!=$F$3),AVERAGEIFS('Wellness Responses'!$E$2:$E1000,'Wellness Responses'!$O$2:$O1000,K$11,'Wellness Responses'!$B$2:$B1000,#REF!),
IF(AND(#REF!=$E$3,#REF!=$F$4),AVERAGEIFS('Wellness Responses'!$F$2:$F1000,'Wellness Responses'!$O$2:$O1000,K$11,'Wellness Responses'!$B$2:$B1000,#REF!),
IF(AND(#REF!=$E$3,#REF!=$F$5),AVERAGEIFS('Wellness Responses'!$G$2:$G1000,'Wellness Responses'!$O$2:$O1000,K$11,'Wellness Responses'!$B$2:$B1000,#REF!),
IF(AND(#REF!=$E$3,#REF!=$F$6),AVERAGEIFS('Wellness Responses'!$I$2:$I1000,'Wellness Responses'!$O$2:$O1000,K$11,'Wellness Responses'!$B$2:$B1000,#REF!),
IF(AND(#REF!=$E$3,#REF!=$F$7),AVERAGEIFS(#REF!,#REF!,K$11,#REF!,#REF!),
IF(AND(#REF!=$E$3,#REF!=$F$8),AVERAGEIFS(#REF!,#REF!,K$11,#REF!,#REF!),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IF(AND(#REF!=$E$3,#REF!=$F$12),AVERAGEIFS(#REF!,#REF!,K$11,#REF!,#REF!))))))))))))))))))))))),"")</f>
        <v/>
      </c>
      <c r="L14" s="16" t="str">
        <f>IFERROR(
IF(AND(#REF!=$E$2,#REF!=$F$2),AVERAGEIFS('Wellness Responses'!$AT$2:$AT1000,'Wellness Responses'!$P$2:$P1000,L$11,'Wellness Responses'!$B$2:$B1000,#REF!),
IF(AND(#REF!=$E$2,#REF!=$F$3),AVERAGEIFS('Wellness Responses'!$E$2:$E1000,'Wellness Responses'!$P$2:$P1000,L$11,'Wellness Responses'!$B$2:$B1000,#REF!),
IF(AND(#REF!=$E$2,#REF!=$F$4),AVERAGEIFS('Wellness Responses'!$F$2:$F1000,'Wellness Responses'!$P$2:$P1000,L$11,'Wellness Responses'!$B$2:$B1000,#REF!),
IF(AND(#REF!=$E$2,#REF!=$F$5),AVERAGEIFS('Wellness Responses'!$G$2:$G1000,'Wellness Responses'!$P$2:$P1000,L$11,'Wellness Responses'!$B$2:$B1000,#REF!),
IF(AND(#REF!=$E$2,#REF!=$F$6),AVERAGEIFS('Wellness Responses'!$I$2:$I1000,'Wellness Responses'!$P$2:$P1000,L$11,'Wellness Responses'!$B$2:$B1000,#REF!),
IF(AND(#REF!=$E$2,#REF!=$F$7),AVERAGEIFS(#REF!,#REF!,L$11,#REF!,#REF!),
IF(AND(#REF!=$E$2,#REF!=$F$8),AVERAGEIFS(#REF!,#REF!,L$11,#REF!,#REF!),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IF(AND(#REF!=$E$3,#REF!=$F$2),AVERAGEIFS('Wellness Responses'!$AT$2:$AT1000,'Wellness Responses'!$O$2:$O1000,L$11,'Wellness Responses'!$B$2:$B1000,#REF!),
IF(AND(#REF!=$E$3,#REF!=$F$3),AVERAGEIFS('Wellness Responses'!$E$2:$E1000,'Wellness Responses'!$O$2:$O1000,L$11,'Wellness Responses'!$B$2:$B1000,#REF!),
IF(AND(#REF!=$E$3,#REF!=$F$4),AVERAGEIFS('Wellness Responses'!$F$2:$F1000,'Wellness Responses'!$O$2:$O1000,L$11,'Wellness Responses'!$B$2:$B1000,#REF!),
IF(AND(#REF!=$E$3,#REF!=$F$5),AVERAGEIFS('Wellness Responses'!$G$2:$G1000,'Wellness Responses'!$O$2:$O1000,L$11,'Wellness Responses'!$B$2:$B1000,#REF!),
IF(AND(#REF!=$E$3,#REF!=$F$6),AVERAGEIFS('Wellness Responses'!$I$2:$I1000,'Wellness Responses'!$O$2:$O1000,L$11,'Wellness Responses'!$B$2:$B1000,#REF!),
IF(AND(#REF!=$E$3,#REF!=$F$7),AVERAGEIFS(#REF!,#REF!,L$11,#REF!,#REF!),
IF(AND(#REF!=$E$3,#REF!=$F$8),AVERAGEIFS(#REF!,#REF!,L$11,#REF!,#REF!),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IF(AND(#REF!=$E$3,#REF!=$F$12),AVERAGEIFS(#REF!,#REF!,L$11,#REF!,#REF!))))))))))))))))))))))),"")</f>
        <v/>
      </c>
      <c r="M14" s="16" t="str">
        <f>IFERROR(
IF(AND(#REF!=$E$2,#REF!=$F$2),AVERAGEIFS('Wellness Responses'!$AT$2:$AT1000,'Wellness Responses'!$P$2:$P1000,M$11,'Wellness Responses'!$B$2:$B1000,#REF!),
IF(AND(#REF!=$E$2,#REF!=$F$3),AVERAGEIFS('Wellness Responses'!$E$2:$E1000,'Wellness Responses'!$P$2:$P1000,M$11,'Wellness Responses'!$B$2:$B1000,#REF!),
IF(AND(#REF!=$E$2,#REF!=$F$4),AVERAGEIFS('Wellness Responses'!$F$2:$F1000,'Wellness Responses'!$P$2:$P1000,M$11,'Wellness Responses'!$B$2:$B1000,#REF!),
IF(AND(#REF!=$E$2,#REF!=$F$5),AVERAGEIFS('Wellness Responses'!$G$2:$G1000,'Wellness Responses'!$P$2:$P1000,M$11,'Wellness Responses'!$B$2:$B1000,#REF!),
IF(AND(#REF!=$E$2,#REF!=$F$6),AVERAGEIFS('Wellness Responses'!$I$2:$I1000,'Wellness Responses'!$P$2:$P1000,M$11,'Wellness Responses'!$B$2:$B1000,#REF!),
IF(AND(#REF!=$E$2,#REF!=$F$7),AVERAGEIFS(#REF!,#REF!,M$11,#REF!,#REF!),
IF(AND(#REF!=$E$2,#REF!=$F$8),AVERAGEIFS(#REF!,#REF!,M$11,#REF!,#REF!),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IF(AND(#REF!=$E$3,#REF!=$F$2),AVERAGEIFS('Wellness Responses'!$AT$2:$AT1000,'Wellness Responses'!$O$2:$O1000,M$11,'Wellness Responses'!$B$2:$B1000,#REF!),
IF(AND(#REF!=$E$3,#REF!=$F$3),AVERAGEIFS('Wellness Responses'!$E$2:$E1000,'Wellness Responses'!$O$2:$O1000,M$11,'Wellness Responses'!$B$2:$B1000,#REF!),
IF(AND(#REF!=$E$3,#REF!=$F$4),AVERAGEIFS('Wellness Responses'!$F$2:$F1000,'Wellness Responses'!$O$2:$O1000,M$11,'Wellness Responses'!$B$2:$B1000,#REF!),
IF(AND(#REF!=$E$3,#REF!=$F$5),AVERAGEIFS('Wellness Responses'!$G$2:$G1000,'Wellness Responses'!$O$2:$O1000,M$11,'Wellness Responses'!$B$2:$B1000,#REF!),
IF(AND(#REF!=$E$3,#REF!=$F$6),AVERAGEIFS('Wellness Responses'!$I$2:$I1000,'Wellness Responses'!$O$2:$O1000,M$11,'Wellness Responses'!$B$2:$B1000,#REF!),
IF(AND(#REF!=$E$3,#REF!=$F$7),AVERAGEIFS(#REF!,#REF!,M$11,#REF!,#REF!),
IF(AND(#REF!=$E$3,#REF!=$F$8),AVERAGEIFS(#REF!,#REF!,M$11,#REF!,#REF!),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IF(AND(#REF!=$E$3,#REF!=$F$12),AVERAGEIFS(#REF!,#REF!,M$11,#REF!,#REF!))))))))))))))))))))))),"")</f>
        <v/>
      </c>
      <c r="N14" s="16" t="str">
        <f>IFERROR(
IF(AND(#REF!=$E$2,#REF!=$F$2),AVERAGEIFS('Wellness Responses'!$AT$2:$AT1000,'Wellness Responses'!$P$2:$P1000,N$11,'Wellness Responses'!$B$2:$B1000,#REF!),
IF(AND(#REF!=$E$2,#REF!=$F$3),AVERAGEIFS('Wellness Responses'!$E$2:$E1000,'Wellness Responses'!$P$2:$P1000,N$11,'Wellness Responses'!$B$2:$B1000,#REF!),
IF(AND(#REF!=$E$2,#REF!=$F$4),AVERAGEIFS('Wellness Responses'!$F$2:$F1000,'Wellness Responses'!$P$2:$P1000,N$11,'Wellness Responses'!$B$2:$B1000,#REF!),
IF(AND(#REF!=$E$2,#REF!=$F$5),AVERAGEIFS('Wellness Responses'!$G$2:$G1000,'Wellness Responses'!$P$2:$P1000,N$11,'Wellness Responses'!$B$2:$B1000,#REF!),
IF(AND(#REF!=$E$2,#REF!=$F$6),AVERAGEIFS('Wellness Responses'!$I$2:$I1000,'Wellness Responses'!$P$2:$P1000,N$11,'Wellness Responses'!$B$2:$B1000,#REF!),
IF(AND(#REF!=$E$2,#REF!=$F$7),AVERAGEIFS(#REF!,#REF!,N$11,#REF!,#REF!),
IF(AND(#REF!=$E$2,#REF!=$F$8),AVERAGEIFS(#REF!,#REF!,N$11,#REF!,#REF!),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IF(AND(#REF!=$E$3,#REF!=$F$2),AVERAGEIFS('Wellness Responses'!$AT$2:$AT1000,'Wellness Responses'!$O$2:$O1000,N$11,'Wellness Responses'!$B$2:$B1000,#REF!),
IF(AND(#REF!=$E$3,#REF!=$F$3),AVERAGEIFS('Wellness Responses'!$E$2:$E1000,'Wellness Responses'!$O$2:$O1000,N$11,'Wellness Responses'!$B$2:$B1000,#REF!),
IF(AND(#REF!=$E$3,#REF!=$F$4),AVERAGEIFS('Wellness Responses'!$F$2:$F1000,'Wellness Responses'!$O$2:$O1000,N$11,'Wellness Responses'!$B$2:$B1000,#REF!),
IF(AND(#REF!=$E$3,#REF!=$F$5),AVERAGEIFS('Wellness Responses'!$G$2:$G1000,'Wellness Responses'!$O$2:$O1000,N$11,'Wellness Responses'!$B$2:$B1000,#REF!),
IF(AND(#REF!=$E$3,#REF!=$F$6),AVERAGEIFS('Wellness Responses'!$I$2:$I1000,'Wellness Responses'!$O$2:$O1000,N$11,'Wellness Responses'!$B$2:$B1000,#REF!),
IF(AND(#REF!=$E$3,#REF!=$F$7),AVERAGEIFS(#REF!,#REF!,N$11,#REF!,#REF!),
IF(AND(#REF!=$E$3,#REF!=$F$8),AVERAGEIFS(#REF!,#REF!,N$11,#REF!,#REF!),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IF(AND(#REF!=$E$3,#REF!=$F$12),AVERAGEIFS(#REF!,#REF!,N$11,#REF!,#REF!))))))))))))))))))))))),"")</f>
        <v/>
      </c>
      <c r="O14" s="16" t="str">
        <f>IFERROR(
IF(AND(#REF!=$E$2,#REF!=$F$2),AVERAGEIFS('Wellness Responses'!$AT$2:$AT1000,'Wellness Responses'!$P$2:$P1000,O$11,'Wellness Responses'!$B$2:$B1000,#REF!),
IF(AND(#REF!=$E$2,#REF!=$F$3),AVERAGEIFS('Wellness Responses'!$E$2:$E1000,'Wellness Responses'!$P$2:$P1000,O$11,'Wellness Responses'!$B$2:$B1000,#REF!),
IF(AND(#REF!=$E$2,#REF!=$F$4),AVERAGEIFS('Wellness Responses'!$F$2:$F1000,'Wellness Responses'!$P$2:$P1000,O$11,'Wellness Responses'!$B$2:$B1000,#REF!),
IF(AND(#REF!=$E$2,#REF!=$F$5),AVERAGEIFS('Wellness Responses'!$G$2:$G1000,'Wellness Responses'!$P$2:$P1000,O$11,'Wellness Responses'!$B$2:$B1000,#REF!),
IF(AND(#REF!=$E$2,#REF!=$F$6),AVERAGEIFS('Wellness Responses'!$I$2:$I1000,'Wellness Responses'!$P$2:$P1000,O$11,'Wellness Responses'!$B$2:$B1000,#REF!),
IF(AND(#REF!=$E$2,#REF!=$F$7),AVERAGEIFS(#REF!,#REF!,O$11,#REF!,#REF!),
IF(AND(#REF!=$E$2,#REF!=$F$8),AVERAGEIFS(#REF!,#REF!,O$11,#REF!,#REF!),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IF(AND(#REF!=$E$3,#REF!=$F$2),AVERAGEIFS('Wellness Responses'!$AT$2:$AT1000,'Wellness Responses'!$O$2:$O1000,O$11,'Wellness Responses'!$B$2:$B1000,#REF!),
IF(AND(#REF!=$E$3,#REF!=$F$3),AVERAGEIFS('Wellness Responses'!$E$2:$E1000,'Wellness Responses'!$O$2:$O1000,O$11,'Wellness Responses'!$B$2:$B1000,#REF!),
IF(AND(#REF!=$E$3,#REF!=$F$4),AVERAGEIFS('Wellness Responses'!$F$2:$F1000,'Wellness Responses'!$O$2:$O1000,O$11,'Wellness Responses'!$B$2:$B1000,#REF!),
IF(AND(#REF!=$E$3,#REF!=$F$5),AVERAGEIFS('Wellness Responses'!$G$2:$G1000,'Wellness Responses'!$O$2:$O1000,O$11,'Wellness Responses'!$B$2:$B1000,#REF!),
IF(AND(#REF!=$E$3,#REF!=$F$6),AVERAGEIFS('Wellness Responses'!$I$2:$I1000,'Wellness Responses'!$O$2:$O1000,O$11,'Wellness Responses'!$B$2:$B1000,#REF!),
IF(AND(#REF!=$E$3,#REF!=$F$7),AVERAGEIFS(#REF!,#REF!,O$11,#REF!,#REF!),
IF(AND(#REF!=$E$3,#REF!=$F$8),AVERAGEIFS(#REF!,#REF!,O$11,#REF!,#REF!),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IF(AND(#REF!=$E$3,#REF!=$F$12),AVERAGEIFS(#REF!,#REF!,O$11,#REF!,#REF!))))))))))))))))))))))),"")</f>
        <v/>
      </c>
      <c r="P14" s="16" t="str">
        <f>IFERROR(
IF(AND(#REF!=$E$2,#REF!=$F$2),AVERAGEIFS('Wellness Responses'!$AT$2:$AT1000,'Wellness Responses'!$P$2:$P1000,P$11,'Wellness Responses'!$B$2:$B1000,#REF!),
IF(AND(#REF!=$E$2,#REF!=$F$3),AVERAGEIFS('Wellness Responses'!$E$2:$E1000,'Wellness Responses'!$P$2:$P1000,P$11,'Wellness Responses'!$B$2:$B1000,#REF!),
IF(AND(#REF!=$E$2,#REF!=$F$4),AVERAGEIFS('Wellness Responses'!$F$2:$F1000,'Wellness Responses'!$P$2:$P1000,P$11,'Wellness Responses'!$B$2:$B1000,#REF!),
IF(AND(#REF!=$E$2,#REF!=$F$5),AVERAGEIFS('Wellness Responses'!$G$2:$G1000,'Wellness Responses'!$P$2:$P1000,P$11,'Wellness Responses'!$B$2:$B1000,#REF!),
IF(AND(#REF!=$E$2,#REF!=$F$6),AVERAGEIFS('Wellness Responses'!$I$2:$I1000,'Wellness Responses'!$P$2:$P1000,P$11,'Wellness Responses'!$B$2:$B1000,#REF!),
IF(AND(#REF!=$E$2,#REF!=$F$7),AVERAGEIFS(#REF!,#REF!,P$11,#REF!,#REF!),
IF(AND(#REF!=$E$2,#REF!=$F$8),AVERAGEIFS(#REF!,#REF!,P$11,#REF!,#REF!),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IF(AND(#REF!=$E$3,#REF!=$F$2),AVERAGEIFS('Wellness Responses'!$AT$2:$AT1000,'Wellness Responses'!$O$2:$O1000,P$11,'Wellness Responses'!$B$2:$B1000,#REF!),
IF(AND(#REF!=$E$3,#REF!=$F$3),AVERAGEIFS('Wellness Responses'!$E$2:$E1000,'Wellness Responses'!$O$2:$O1000,P$11,'Wellness Responses'!$B$2:$B1000,#REF!),
IF(AND(#REF!=$E$3,#REF!=$F$4),AVERAGEIFS('Wellness Responses'!$F$2:$F1000,'Wellness Responses'!$O$2:$O1000,P$11,'Wellness Responses'!$B$2:$B1000,#REF!),
IF(AND(#REF!=$E$3,#REF!=$F$5),AVERAGEIFS('Wellness Responses'!$G$2:$G1000,'Wellness Responses'!$O$2:$O1000,P$11,'Wellness Responses'!$B$2:$B1000,#REF!),
IF(AND(#REF!=$E$3,#REF!=$F$6),AVERAGEIFS('Wellness Responses'!$I$2:$I1000,'Wellness Responses'!$O$2:$O1000,P$11,'Wellness Responses'!$B$2:$B1000,#REF!),
IF(AND(#REF!=$E$3,#REF!=$F$7),AVERAGEIFS(#REF!,#REF!,P$11,#REF!,#REF!),
IF(AND(#REF!=$E$3,#REF!=$F$8),AVERAGEIFS(#REF!,#REF!,P$11,#REF!,#REF!),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IF(AND(#REF!=$E$3,#REF!=$F$12),AVERAGEIFS(#REF!,#REF!,P$11,#REF!,#REF!))))))))))))))))))))))),"")</f>
        <v/>
      </c>
      <c r="Q14" s="16" t="str">
        <f>IFERROR(
IF(AND(#REF!=$E$2,#REF!=$F$2),AVERAGEIFS('Wellness Responses'!$AT$2:$AT1000,'Wellness Responses'!$P$2:$P1000,Q$11,'Wellness Responses'!$B$2:$B1000,#REF!),
IF(AND(#REF!=$E$2,#REF!=$F$3),AVERAGEIFS('Wellness Responses'!$E$2:$E1000,'Wellness Responses'!$P$2:$P1000,Q$11,'Wellness Responses'!$B$2:$B1000,#REF!),
IF(AND(#REF!=$E$2,#REF!=$F$4),AVERAGEIFS('Wellness Responses'!$F$2:$F1000,'Wellness Responses'!$P$2:$P1000,Q$11,'Wellness Responses'!$B$2:$B1000,#REF!),
IF(AND(#REF!=$E$2,#REF!=$F$5),AVERAGEIFS('Wellness Responses'!$G$2:$G1000,'Wellness Responses'!$P$2:$P1000,Q$11,'Wellness Responses'!$B$2:$B1000,#REF!),
IF(AND(#REF!=$E$2,#REF!=$F$6),AVERAGEIFS('Wellness Responses'!$I$2:$I1000,'Wellness Responses'!$P$2:$P1000,Q$11,'Wellness Responses'!$B$2:$B1000,#REF!),
IF(AND(#REF!=$E$2,#REF!=$F$7),AVERAGEIFS(#REF!,#REF!,Q$11,#REF!,#REF!),
IF(AND(#REF!=$E$2,#REF!=$F$8),AVERAGEIFS(#REF!,#REF!,Q$11,#REF!,#REF!),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IF(AND(#REF!=$E$3,#REF!=$F$2),AVERAGEIFS('Wellness Responses'!$AT$2:$AT1000,'Wellness Responses'!$O$2:$O1000,Q$11,'Wellness Responses'!$B$2:$B1000,#REF!),
IF(AND(#REF!=$E$3,#REF!=$F$3),AVERAGEIFS('Wellness Responses'!$E$2:$E1000,'Wellness Responses'!$O$2:$O1000,Q$11,'Wellness Responses'!$B$2:$B1000,#REF!),
IF(AND(#REF!=$E$3,#REF!=$F$4),AVERAGEIFS('Wellness Responses'!$F$2:$F1000,'Wellness Responses'!$O$2:$O1000,Q$11,'Wellness Responses'!$B$2:$B1000,#REF!),
IF(AND(#REF!=$E$3,#REF!=$F$5),AVERAGEIFS('Wellness Responses'!$G$2:$G1000,'Wellness Responses'!$O$2:$O1000,Q$11,'Wellness Responses'!$B$2:$B1000,#REF!),
IF(AND(#REF!=$E$3,#REF!=$F$6),AVERAGEIFS('Wellness Responses'!$I$2:$I1000,'Wellness Responses'!$O$2:$O1000,Q$11,'Wellness Responses'!$B$2:$B1000,#REF!),
IF(AND(#REF!=$E$3,#REF!=$F$7),AVERAGEIFS(#REF!,#REF!,Q$11,#REF!,#REF!),
IF(AND(#REF!=$E$3,#REF!=$F$8),AVERAGEIFS(#REF!,#REF!,Q$11,#REF!,#REF!),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IF(AND(#REF!=$E$3,#REF!=$F$12),AVERAGEIFS(#REF!,#REF!,Q$11,#REF!,#REF!))))))))))))))))))))))),"")</f>
        <v/>
      </c>
      <c r="R14" s="16" t="str">
        <f>IFERROR(
IF(AND(#REF!=$E$2,#REF!=$F$2),AVERAGEIFS('Wellness Responses'!$AT$2:$AT1000,'Wellness Responses'!$P$2:$P1000,R$11,'Wellness Responses'!$B$2:$B1000,#REF!),
IF(AND(#REF!=$E$2,#REF!=$F$3),AVERAGEIFS('Wellness Responses'!$E$2:$E1000,'Wellness Responses'!$P$2:$P1000,R$11,'Wellness Responses'!$B$2:$B1000,#REF!),
IF(AND(#REF!=$E$2,#REF!=$F$4),AVERAGEIFS('Wellness Responses'!$F$2:$F1000,'Wellness Responses'!$P$2:$P1000,R$11,'Wellness Responses'!$B$2:$B1000,#REF!),
IF(AND(#REF!=$E$2,#REF!=$F$5),AVERAGEIFS('Wellness Responses'!$G$2:$G1000,'Wellness Responses'!$P$2:$P1000,R$11,'Wellness Responses'!$B$2:$B1000,#REF!),
IF(AND(#REF!=$E$2,#REF!=$F$6),AVERAGEIFS('Wellness Responses'!$I$2:$I1000,'Wellness Responses'!$P$2:$P1000,R$11,'Wellness Responses'!$B$2:$B1000,#REF!),
IF(AND(#REF!=$E$2,#REF!=$F$7),AVERAGEIFS(#REF!,#REF!,R$11,#REF!,#REF!),
IF(AND(#REF!=$E$2,#REF!=$F$8),AVERAGEIFS(#REF!,#REF!,R$11,#REF!,#REF!),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IF(AND(#REF!=$E$3,#REF!=$F$2),AVERAGEIFS('Wellness Responses'!$AT$2:$AT1000,'Wellness Responses'!$O$2:$O1000,R$11,'Wellness Responses'!$B$2:$B1000,#REF!),
IF(AND(#REF!=$E$3,#REF!=$F$3),AVERAGEIFS('Wellness Responses'!$E$2:$E1000,'Wellness Responses'!$O$2:$O1000,R$11,'Wellness Responses'!$B$2:$B1000,#REF!),
IF(AND(#REF!=$E$3,#REF!=$F$4),AVERAGEIFS('Wellness Responses'!$F$2:$F1000,'Wellness Responses'!$O$2:$O1000,R$11,'Wellness Responses'!$B$2:$B1000,#REF!),
IF(AND(#REF!=$E$3,#REF!=$F$5),AVERAGEIFS('Wellness Responses'!$G$2:$G1000,'Wellness Responses'!$O$2:$O1000,R$11,'Wellness Responses'!$B$2:$B1000,#REF!),
IF(AND(#REF!=$E$3,#REF!=$F$6),AVERAGEIFS('Wellness Responses'!$I$2:$I1000,'Wellness Responses'!$O$2:$O1000,R$11,'Wellness Responses'!$B$2:$B1000,#REF!),
IF(AND(#REF!=$E$3,#REF!=$F$7),AVERAGEIFS(#REF!,#REF!,R$11,#REF!,#REF!),
IF(AND(#REF!=$E$3,#REF!=$F$8),AVERAGEIFS(#REF!,#REF!,R$11,#REF!,#REF!),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IF(AND(#REF!=$E$3,#REF!=$F$12),AVERAGEIFS(#REF!,#REF!,R$11,#REF!,#REF!))))))))))))))))))))))),"")</f>
        <v/>
      </c>
      <c r="S14" s="16" t="str">
        <f>IFERROR(
IF(AND(#REF!=$E$2,#REF!=$F$2),AVERAGEIFS('Wellness Responses'!$AT$2:$AT1000,'Wellness Responses'!$P$2:$P1000,S$11,'Wellness Responses'!$B$2:$B1000,#REF!),
IF(AND(#REF!=$E$2,#REF!=$F$3),AVERAGEIFS('Wellness Responses'!$E$2:$E1000,'Wellness Responses'!$P$2:$P1000,S$11,'Wellness Responses'!$B$2:$B1000,#REF!),
IF(AND(#REF!=$E$2,#REF!=$F$4),AVERAGEIFS('Wellness Responses'!$F$2:$F1000,'Wellness Responses'!$P$2:$P1000,S$11,'Wellness Responses'!$B$2:$B1000,#REF!),
IF(AND(#REF!=$E$2,#REF!=$F$5),AVERAGEIFS('Wellness Responses'!$G$2:$G1000,'Wellness Responses'!$P$2:$P1000,S$11,'Wellness Responses'!$B$2:$B1000,#REF!),
IF(AND(#REF!=$E$2,#REF!=$F$6),AVERAGEIFS('Wellness Responses'!$I$2:$I1000,'Wellness Responses'!$P$2:$P1000,S$11,'Wellness Responses'!$B$2:$B1000,#REF!),
IF(AND(#REF!=$E$2,#REF!=$F$7),AVERAGEIFS(#REF!,#REF!,S$11,#REF!,#REF!),
IF(AND(#REF!=$E$2,#REF!=$F$8),AVERAGEIFS(#REF!,#REF!,S$11,#REF!,#REF!),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IF(AND(#REF!=$E$3,#REF!=$F$2),AVERAGEIFS('Wellness Responses'!$AT$2:$AT1000,'Wellness Responses'!$O$2:$O1000,S$11,'Wellness Responses'!$B$2:$B1000,#REF!),
IF(AND(#REF!=$E$3,#REF!=$F$3),AVERAGEIFS('Wellness Responses'!$E$2:$E1000,'Wellness Responses'!$O$2:$O1000,S$11,'Wellness Responses'!$B$2:$B1000,#REF!),
IF(AND(#REF!=$E$3,#REF!=$F$4),AVERAGEIFS('Wellness Responses'!$F$2:$F1000,'Wellness Responses'!$O$2:$O1000,S$11,'Wellness Responses'!$B$2:$B1000,#REF!),
IF(AND(#REF!=$E$3,#REF!=$F$5),AVERAGEIFS('Wellness Responses'!$G$2:$G1000,'Wellness Responses'!$O$2:$O1000,S$11,'Wellness Responses'!$B$2:$B1000,#REF!),
IF(AND(#REF!=$E$3,#REF!=$F$6),AVERAGEIFS('Wellness Responses'!$I$2:$I1000,'Wellness Responses'!$O$2:$O1000,S$11,'Wellness Responses'!$B$2:$B1000,#REF!),
IF(AND(#REF!=$E$3,#REF!=$F$7),AVERAGEIFS(#REF!,#REF!,S$11,#REF!,#REF!),
IF(AND(#REF!=$E$3,#REF!=$F$8),AVERAGEIFS(#REF!,#REF!,S$11,#REF!,#REF!),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IF(AND(#REF!=$E$3,#REF!=$F$12),AVERAGEIFS(#REF!,#REF!,S$11,#REF!,#REF!))))))))))))))))))))))),"")</f>
        <v/>
      </c>
      <c r="T14" s="16" t="str">
        <f>IFERROR(
IF(AND(#REF!=$E$2,#REF!=$F$2),AVERAGEIFS('Wellness Responses'!$AT$2:$AT1000,'Wellness Responses'!$P$2:$P1000,T$11,'Wellness Responses'!$B$2:$B1000,#REF!),
IF(AND(#REF!=$E$2,#REF!=$F$3),AVERAGEIFS('Wellness Responses'!$E$2:$E1000,'Wellness Responses'!$P$2:$P1000,T$11,'Wellness Responses'!$B$2:$B1000,#REF!),
IF(AND(#REF!=$E$2,#REF!=$F$4),AVERAGEIFS('Wellness Responses'!$F$2:$F1000,'Wellness Responses'!$P$2:$P1000,T$11,'Wellness Responses'!$B$2:$B1000,#REF!),
IF(AND(#REF!=$E$2,#REF!=$F$5),AVERAGEIFS('Wellness Responses'!$G$2:$G1000,'Wellness Responses'!$P$2:$P1000,T$11,'Wellness Responses'!$B$2:$B1000,#REF!),
IF(AND(#REF!=$E$2,#REF!=$F$6),AVERAGEIFS('Wellness Responses'!$I$2:$I1000,'Wellness Responses'!$P$2:$P1000,T$11,'Wellness Responses'!$B$2:$B1000,#REF!),
IF(AND(#REF!=$E$2,#REF!=$F$7),AVERAGEIFS(#REF!,#REF!,T$11,#REF!,#REF!),
IF(AND(#REF!=$E$2,#REF!=$F$8),AVERAGEIFS(#REF!,#REF!,T$11,#REF!,#REF!),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IF(AND(#REF!=$E$3,#REF!=$F$2),AVERAGEIFS('Wellness Responses'!$AT$2:$AT1000,'Wellness Responses'!$O$2:$O1000,T$11,'Wellness Responses'!$B$2:$B1000,#REF!),
IF(AND(#REF!=$E$3,#REF!=$F$3),AVERAGEIFS('Wellness Responses'!$E$2:$E1000,'Wellness Responses'!$O$2:$O1000,T$11,'Wellness Responses'!$B$2:$B1000,#REF!),
IF(AND(#REF!=$E$3,#REF!=$F$4),AVERAGEIFS('Wellness Responses'!$F$2:$F1000,'Wellness Responses'!$O$2:$O1000,T$11,'Wellness Responses'!$B$2:$B1000,#REF!),
IF(AND(#REF!=$E$3,#REF!=$F$5),AVERAGEIFS('Wellness Responses'!$G$2:$G1000,'Wellness Responses'!$O$2:$O1000,T$11,'Wellness Responses'!$B$2:$B1000,#REF!),
IF(AND(#REF!=$E$3,#REF!=$F$6),AVERAGEIFS('Wellness Responses'!$I$2:$I1000,'Wellness Responses'!$O$2:$O1000,T$11,'Wellness Responses'!$B$2:$B1000,#REF!),
IF(AND(#REF!=$E$3,#REF!=$F$7),AVERAGEIFS(#REF!,#REF!,T$11,#REF!,#REF!),
IF(AND(#REF!=$E$3,#REF!=$F$8),AVERAGEIFS(#REF!,#REF!,T$11,#REF!,#REF!),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IF(AND(#REF!=$E$3,#REF!=$F$12),AVERAGEIFS(#REF!,#REF!,T$11,#REF!,#REF!))))))))))))))))))))))),"")</f>
        <v/>
      </c>
      <c r="U14" s="16" t="str">
        <f>IFERROR(
IF(AND(#REF!=$E$2,#REF!=$F$2),AVERAGEIFS('Wellness Responses'!$AT$2:$AT1000,'Wellness Responses'!$P$2:$P1000,U$11,'Wellness Responses'!$B$2:$B1000,#REF!),
IF(AND(#REF!=$E$2,#REF!=$F$3),AVERAGEIFS('Wellness Responses'!$E$2:$E1000,'Wellness Responses'!$P$2:$P1000,U$11,'Wellness Responses'!$B$2:$B1000,#REF!),
IF(AND(#REF!=$E$2,#REF!=$F$4),AVERAGEIFS('Wellness Responses'!$F$2:$F1000,'Wellness Responses'!$P$2:$P1000,U$11,'Wellness Responses'!$B$2:$B1000,#REF!),
IF(AND(#REF!=$E$2,#REF!=$F$5),AVERAGEIFS('Wellness Responses'!$G$2:$G1000,'Wellness Responses'!$P$2:$P1000,U$11,'Wellness Responses'!$B$2:$B1000,#REF!),
IF(AND(#REF!=$E$2,#REF!=$F$6),AVERAGEIFS('Wellness Responses'!$I$2:$I1000,'Wellness Responses'!$P$2:$P1000,U$11,'Wellness Responses'!$B$2:$B1000,#REF!),
IF(AND(#REF!=$E$2,#REF!=$F$7),AVERAGEIFS(#REF!,#REF!,U$11,#REF!,#REF!),
IF(AND(#REF!=$E$2,#REF!=$F$8),AVERAGEIFS(#REF!,#REF!,U$11,#REF!,#REF!),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IF(AND(#REF!=$E$3,#REF!=$F$2),AVERAGEIFS('Wellness Responses'!$AT$2:$AT1000,'Wellness Responses'!$O$2:$O1000,U$11,'Wellness Responses'!$B$2:$B1000,#REF!),
IF(AND(#REF!=$E$3,#REF!=$F$3),AVERAGEIFS('Wellness Responses'!$E$2:$E1000,'Wellness Responses'!$O$2:$O1000,U$11,'Wellness Responses'!$B$2:$B1000,#REF!),
IF(AND(#REF!=$E$3,#REF!=$F$4),AVERAGEIFS('Wellness Responses'!$F$2:$F1000,'Wellness Responses'!$O$2:$O1000,U$11,'Wellness Responses'!$B$2:$B1000,#REF!),
IF(AND(#REF!=$E$3,#REF!=$F$5),AVERAGEIFS('Wellness Responses'!$G$2:$G1000,'Wellness Responses'!$O$2:$O1000,U$11,'Wellness Responses'!$B$2:$B1000,#REF!),
IF(AND(#REF!=$E$3,#REF!=$F$6),AVERAGEIFS('Wellness Responses'!$I$2:$I1000,'Wellness Responses'!$O$2:$O1000,U$11,'Wellness Responses'!$B$2:$B1000,#REF!),
IF(AND(#REF!=$E$3,#REF!=$F$7),AVERAGEIFS(#REF!,#REF!,U$11,#REF!,#REF!),
IF(AND(#REF!=$E$3,#REF!=$F$8),AVERAGEIFS(#REF!,#REF!,U$11,#REF!,#REF!),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IF(AND(#REF!=$E$3,#REF!=$F$12),AVERAGEIFS(#REF!,#REF!,U$11,#REF!,#REF!))))))))))))))))))))))),"")</f>
        <v/>
      </c>
      <c r="V14" s="16" t="str">
        <f>IFERROR(
IF(AND(#REF!=$E$2,#REF!=$F$2),AVERAGEIFS('Wellness Responses'!$AT$2:$AT1000,'Wellness Responses'!$P$2:$P1000,V$11,'Wellness Responses'!$B$2:$B1000,#REF!),
IF(AND(#REF!=$E$2,#REF!=$F$3),AVERAGEIFS('Wellness Responses'!$E$2:$E1000,'Wellness Responses'!$P$2:$P1000,V$11,'Wellness Responses'!$B$2:$B1000,#REF!),
IF(AND(#REF!=$E$2,#REF!=$F$4),AVERAGEIFS('Wellness Responses'!$F$2:$F1000,'Wellness Responses'!$P$2:$P1000,V$11,'Wellness Responses'!$B$2:$B1000,#REF!),
IF(AND(#REF!=$E$2,#REF!=$F$5),AVERAGEIFS('Wellness Responses'!$G$2:$G1000,'Wellness Responses'!$P$2:$P1000,V$11,'Wellness Responses'!$B$2:$B1000,#REF!),
IF(AND(#REF!=$E$2,#REF!=$F$6),AVERAGEIFS('Wellness Responses'!$I$2:$I1000,'Wellness Responses'!$P$2:$P1000,V$11,'Wellness Responses'!$B$2:$B1000,#REF!),
IF(AND(#REF!=$E$2,#REF!=$F$7),AVERAGEIFS(#REF!,#REF!,V$11,#REF!,#REF!),
IF(AND(#REF!=$E$2,#REF!=$F$8),AVERAGEIFS(#REF!,#REF!,V$11,#REF!,#REF!),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IF(AND(#REF!=$E$3,#REF!=$F$2),AVERAGEIFS('Wellness Responses'!$AT$2:$AT1000,'Wellness Responses'!$O$2:$O1000,V$11,'Wellness Responses'!$B$2:$B1000,#REF!),
IF(AND(#REF!=$E$3,#REF!=$F$3),AVERAGEIFS('Wellness Responses'!$E$2:$E1000,'Wellness Responses'!$O$2:$O1000,V$11,'Wellness Responses'!$B$2:$B1000,#REF!),
IF(AND(#REF!=$E$3,#REF!=$F$4),AVERAGEIFS('Wellness Responses'!$F$2:$F1000,'Wellness Responses'!$O$2:$O1000,V$11,'Wellness Responses'!$B$2:$B1000,#REF!),
IF(AND(#REF!=$E$3,#REF!=$F$5),AVERAGEIFS('Wellness Responses'!$G$2:$G1000,'Wellness Responses'!$O$2:$O1000,V$11,'Wellness Responses'!$B$2:$B1000,#REF!),
IF(AND(#REF!=$E$3,#REF!=$F$6),AVERAGEIFS('Wellness Responses'!$I$2:$I1000,'Wellness Responses'!$O$2:$O1000,V$11,'Wellness Responses'!$B$2:$B1000,#REF!),
IF(AND(#REF!=$E$3,#REF!=$F$7),AVERAGEIFS(#REF!,#REF!,V$11,#REF!,#REF!),
IF(AND(#REF!=$E$3,#REF!=$F$8),AVERAGEIFS(#REF!,#REF!,V$11,#REF!,#REF!),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IF(AND(#REF!=$E$3,#REF!=$F$12),AVERAGEIFS(#REF!,#REF!,V$11,#REF!,#REF!))))))))))))))))))))))),"")</f>
        <v/>
      </c>
      <c r="W14" s="16" t="str">
        <f>IFERROR(
IF(AND(#REF!=$E$2,#REF!=$F$2),AVERAGEIFS('Wellness Responses'!$AT$2:$AT1000,'Wellness Responses'!$P$2:$P1000,W$11,'Wellness Responses'!$B$2:$B1000,#REF!),
IF(AND(#REF!=$E$2,#REF!=$F$3),AVERAGEIFS('Wellness Responses'!$E$2:$E1000,'Wellness Responses'!$P$2:$P1000,W$11,'Wellness Responses'!$B$2:$B1000,#REF!),
IF(AND(#REF!=$E$2,#REF!=$F$4),AVERAGEIFS('Wellness Responses'!$F$2:$F1000,'Wellness Responses'!$P$2:$P1000,W$11,'Wellness Responses'!$B$2:$B1000,#REF!),
IF(AND(#REF!=$E$2,#REF!=$F$5),AVERAGEIFS('Wellness Responses'!$G$2:$G1000,'Wellness Responses'!$P$2:$P1000,W$11,'Wellness Responses'!$B$2:$B1000,#REF!),
IF(AND(#REF!=$E$2,#REF!=$F$6),AVERAGEIFS('Wellness Responses'!$I$2:$I1000,'Wellness Responses'!$P$2:$P1000,W$11,'Wellness Responses'!$B$2:$B1000,#REF!),
IF(AND(#REF!=$E$2,#REF!=$F$7),AVERAGEIFS(#REF!,#REF!,W$11,#REF!,#REF!),
IF(AND(#REF!=$E$2,#REF!=$F$8),AVERAGEIFS(#REF!,#REF!,W$11,#REF!,#REF!),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IF(AND(#REF!=$E$3,#REF!=$F$2),AVERAGEIFS('Wellness Responses'!$AT$2:$AT1000,'Wellness Responses'!$O$2:$O1000,W$11,'Wellness Responses'!$B$2:$B1000,#REF!),
IF(AND(#REF!=$E$3,#REF!=$F$3),AVERAGEIFS('Wellness Responses'!$E$2:$E1000,'Wellness Responses'!$O$2:$O1000,W$11,'Wellness Responses'!$B$2:$B1000,#REF!),
IF(AND(#REF!=$E$3,#REF!=$F$4),AVERAGEIFS('Wellness Responses'!$F$2:$F1000,'Wellness Responses'!$O$2:$O1000,W$11,'Wellness Responses'!$B$2:$B1000,#REF!),
IF(AND(#REF!=$E$3,#REF!=$F$5),AVERAGEIFS('Wellness Responses'!$G$2:$G1000,'Wellness Responses'!$O$2:$O1000,W$11,'Wellness Responses'!$B$2:$B1000,#REF!),
IF(AND(#REF!=$E$3,#REF!=$F$6),AVERAGEIFS('Wellness Responses'!$I$2:$I1000,'Wellness Responses'!$O$2:$O1000,W$11,'Wellness Responses'!$B$2:$B1000,#REF!),
IF(AND(#REF!=$E$3,#REF!=$F$7),AVERAGEIFS(#REF!,#REF!,W$11,#REF!,#REF!),
IF(AND(#REF!=$E$3,#REF!=$F$8),AVERAGEIFS(#REF!,#REF!,W$11,#REF!,#REF!),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IF(AND(#REF!=$E$3,#REF!=$F$12),AVERAGEIFS(#REF!,#REF!,W$11,#REF!,#REF!))))))))))))))))))))))),"")</f>
        <v/>
      </c>
      <c r="X14" s="16" t="str">
        <f>IFERROR(
IF(AND(#REF!=$E$2,#REF!=$F$2),AVERAGEIFS('Wellness Responses'!$AT$2:$AT1000,'Wellness Responses'!$P$2:$P1000,X$11,'Wellness Responses'!$B$2:$B1000,#REF!),
IF(AND(#REF!=$E$2,#REF!=$F$3),AVERAGEIFS('Wellness Responses'!$E$2:$E1000,'Wellness Responses'!$P$2:$P1000,X$11,'Wellness Responses'!$B$2:$B1000,#REF!),
IF(AND(#REF!=$E$2,#REF!=$F$4),AVERAGEIFS('Wellness Responses'!$F$2:$F1000,'Wellness Responses'!$P$2:$P1000,X$11,'Wellness Responses'!$B$2:$B1000,#REF!),
IF(AND(#REF!=$E$2,#REF!=$F$5),AVERAGEIFS('Wellness Responses'!$G$2:$G1000,'Wellness Responses'!$P$2:$P1000,X$11,'Wellness Responses'!$B$2:$B1000,#REF!),
IF(AND(#REF!=$E$2,#REF!=$F$6),AVERAGEIFS('Wellness Responses'!$I$2:$I1000,'Wellness Responses'!$P$2:$P1000,X$11,'Wellness Responses'!$B$2:$B1000,#REF!),
IF(AND(#REF!=$E$2,#REF!=$F$7),AVERAGEIFS(#REF!,#REF!,X$11,#REF!,#REF!),
IF(AND(#REF!=$E$2,#REF!=$F$8),AVERAGEIFS(#REF!,#REF!,X$11,#REF!,#REF!),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IF(AND(#REF!=$E$3,#REF!=$F$2),AVERAGEIFS('Wellness Responses'!$AT$2:$AT1000,'Wellness Responses'!$O$2:$O1000,X$11,'Wellness Responses'!$B$2:$B1000,#REF!),
IF(AND(#REF!=$E$3,#REF!=$F$3),AVERAGEIFS('Wellness Responses'!$E$2:$E1000,'Wellness Responses'!$O$2:$O1000,X$11,'Wellness Responses'!$B$2:$B1000,#REF!),
IF(AND(#REF!=$E$3,#REF!=$F$4),AVERAGEIFS('Wellness Responses'!$F$2:$F1000,'Wellness Responses'!$O$2:$O1000,X$11,'Wellness Responses'!$B$2:$B1000,#REF!),
IF(AND(#REF!=$E$3,#REF!=$F$5),AVERAGEIFS('Wellness Responses'!$G$2:$G1000,'Wellness Responses'!$O$2:$O1000,X$11,'Wellness Responses'!$B$2:$B1000,#REF!),
IF(AND(#REF!=$E$3,#REF!=$F$6),AVERAGEIFS('Wellness Responses'!$I$2:$I1000,'Wellness Responses'!$O$2:$O1000,X$11,'Wellness Responses'!$B$2:$B1000,#REF!),
IF(AND(#REF!=$E$3,#REF!=$F$7),AVERAGEIFS(#REF!,#REF!,X$11,#REF!,#REF!),
IF(AND(#REF!=$E$3,#REF!=$F$8),AVERAGEIFS(#REF!,#REF!,X$11,#REF!,#REF!),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IF(AND(#REF!=$E$3,#REF!=$F$12),AVERAGEIFS(#REF!,#REF!,X$11,#REF!,#REF!))))))))))))))))))))))),"")</f>
        <v/>
      </c>
      <c r="Y14" s="16" t="str">
        <f>IFERROR(
IF(AND(#REF!=$E$2,#REF!=$F$2),AVERAGEIFS('Wellness Responses'!$AT$2:$AT1000,'Wellness Responses'!$P$2:$P1000,Y$11,'Wellness Responses'!$B$2:$B1000,#REF!),
IF(AND(#REF!=$E$2,#REF!=$F$3),AVERAGEIFS('Wellness Responses'!$E$2:$E1000,'Wellness Responses'!$P$2:$P1000,Y$11,'Wellness Responses'!$B$2:$B1000,#REF!),
IF(AND(#REF!=$E$2,#REF!=$F$4),AVERAGEIFS('Wellness Responses'!$F$2:$F1000,'Wellness Responses'!$P$2:$P1000,Y$11,'Wellness Responses'!$B$2:$B1000,#REF!),
IF(AND(#REF!=$E$2,#REF!=$F$5),AVERAGEIFS('Wellness Responses'!$G$2:$G1000,'Wellness Responses'!$P$2:$P1000,Y$11,'Wellness Responses'!$B$2:$B1000,#REF!),
IF(AND(#REF!=$E$2,#REF!=$F$6),AVERAGEIFS('Wellness Responses'!$I$2:$I1000,'Wellness Responses'!$P$2:$P1000,Y$11,'Wellness Responses'!$B$2:$B1000,#REF!),
IF(AND(#REF!=$E$2,#REF!=$F$7),AVERAGEIFS(#REF!,#REF!,Y$11,#REF!,#REF!),
IF(AND(#REF!=$E$2,#REF!=$F$8),AVERAGEIFS(#REF!,#REF!,Y$11,#REF!,#REF!),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IF(AND(#REF!=$E$3,#REF!=$F$2),AVERAGEIFS('Wellness Responses'!$AT$2:$AT1000,'Wellness Responses'!$O$2:$O1000,Y$11,'Wellness Responses'!$B$2:$B1000,#REF!),
IF(AND(#REF!=$E$3,#REF!=$F$3),AVERAGEIFS('Wellness Responses'!$E$2:$E1000,'Wellness Responses'!$O$2:$O1000,Y$11,'Wellness Responses'!$B$2:$B1000,#REF!),
IF(AND(#REF!=$E$3,#REF!=$F$4),AVERAGEIFS('Wellness Responses'!$F$2:$F1000,'Wellness Responses'!$O$2:$O1000,Y$11,'Wellness Responses'!$B$2:$B1000,#REF!),
IF(AND(#REF!=$E$3,#REF!=$F$5),AVERAGEIFS('Wellness Responses'!$G$2:$G1000,'Wellness Responses'!$O$2:$O1000,Y$11,'Wellness Responses'!$B$2:$B1000,#REF!),
IF(AND(#REF!=$E$3,#REF!=$F$6),AVERAGEIFS('Wellness Responses'!$I$2:$I1000,'Wellness Responses'!$O$2:$O1000,Y$11,'Wellness Responses'!$B$2:$B1000,#REF!),
IF(AND(#REF!=$E$3,#REF!=$F$7),AVERAGEIFS(#REF!,#REF!,Y$11,#REF!,#REF!),
IF(AND(#REF!=$E$3,#REF!=$F$8),AVERAGEIFS(#REF!,#REF!,Y$11,#REF!,#REF!),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IF(AND(#REF!=$E$3,#REF!=$F$12),AVERAGEIFS(#REF!,#REF!,Y$11,#REF!,#REF!))))))))))))))))))))))),"")</f>
        <v/>
      </c>
      <c r="Z14" s="16" t="str">
        <f>IFERROR(
IF(AND(#REF!=$E$2,#REF!=$F$2),AVERAGEIFS('Wellness Responses'!$AT$2:$AT1000,'Wellness Responses'!$P$2:$P1000,Z$11,'Wellness Responses'!$B$2:$B1000,#REF!),
IF(AND(#REF!=$E$2,#REF!=$F$3),AVERAGEIFS('Wellness Responses'!$E$2:$E1000,'Wellness Responses'!$P$2:$P1000,Z$11,'Wellness Responses'!$B$2:$B1000,#REF!),
IF(AND(#REF!=$E$2,#REF!=$F$4),AVERAGEIFS('Wellness Responses'!$F$2:$F1000,'Wellness Responses'!$P$2:$P1000,Z$11,'Wellness Responses'!$B$2:$B1000,#REF!),
IF(AND(#REF!=$E$2,#REF!=$F$5),AVERAGEIFS('Wellness Responses'!$G$2:$G1000,'Wellness Responses'!$P$2:$P1000,Z$11,'Wellness Responses'!$B$2:$B1000,#REF!),
IF(AND(#REF!=$E$2,#REF!=$F$6),AVERAGEIFS('Wellness Responses'!$I$2:$I1000,'Wellness Responses'!$P$2:$P1000,Z$11,'Wellness Responses'!$B$2:$B1000,#REF!),
IF(AND(#REF!=$E$2,#REF!=$F$7),AVERAGEIFS(#REF!,#REF!,Z$11,#REF!,#REF!),
IF(AND(#REF!=$E$2,#REF!=$F$8),AVERAGEIFS(#REF!,#REF!,Z$11,#REF!,#REF!),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IF(AND(#REF!=$E$3,#REF!=$F$2),AVERAGEIFS('Wellness Responses'!$AT$2:$AT1000,'Wellness Responses'!$O$2:$O1000,Z$11,'Wellness Responses'!$B$2:$B1000,#REF!),
IF(AND(#REF!=$E$3,#REF!=$F$3),AVERAGEIFS('Wellness Responses'!$E$2:$E1000,'Wellness Responses'!$O$2:$O1000,Z$11,'Wellness Responses'!$B$2:$B1000,#REF!),
IF(AND(#REF!=$E$3,#REF!=$F$4),AVERAGEIFS('Wellness Responses'!$F$2:$F1000,'Wellness Responses'!$O$2:$O1000,Z$11,'Wellness Responses'!$B$2:$B1000,#REF!),
IF(AND(#REF!=$E$3,#REF!=$F$5),AVERAGEIFS('Wellness Responses'!$G$2:$G1000,'Wellness Responses'!$O$2:$O1000,Z$11,'Wellness Responses'!$B$2:$B1000,#REF!),
IF(AND(#REF!=$E$3,#REF!=$F$6),AVERAGEIFS('Wellness Responses'!$I$2:$I1000,'Wellness Responses'!$O$2:$O1000,Z$11,'Wellness Responses'!$B$2:$B1000,#REF!),
IF(AND(#REF!=$E$3,#REF!=$F$7),AVERAGEIFS(#REF!,#REF!,Z$11,#REF!,#REF!),
IF(AND(#REF!=$E$3,#REF!=$F$8),AVERAGEIFS(#REF!,#REF!,Z$11,#REF!,#REF!),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IF(AND(#REF!=$E$3,#REF!=$F$12),AVERAGEIFS(#REF!,#REF!,Z$11,#REF!,#REF!))))))))))))))))))))))),"")</f>
        <v/>
      </c>
      <c r="AA14" s="16" t="str">
        <f>IFERROR(
IF(AND(#REF!=$E$2,#REF!=$F$2),AVERAGEIFS('Wellness Responses'!$AT$2:$AT1000,'Wellness Responses'!$P$2:$P1000,AA$11,'Wellness Responses'!$B$2:$B1000,#REF!),
IF(AND(#REF!=$E$2,#REF!=$F$3),AVERAGEIFS('Wellness Responses'!$E$2:$E1000,'Wellness Responses'!$P$2:$P1000,AA$11,'Wellness Responses'!$B$2:$B1000,#REF!),
IF(AND(#REF!=$E$2,#REF!=$F$4),AVERAGEIFS('Wellness Responses'!$F$2:$F1000,'Wellness Responses'!$P$2:$P1000,AA$11,'Wellness Responses'!$B$2:$B1000,#REF!),
IF(AND(#REF!=$E$2,#REF!=$F$5),AVERAGEIFS('Wellness Responses'!$G$2:$G1000,'Wellness Responses'!$P$2:$P1000,AA$11,'Wellness Responses'!$B$2:$B1000,#REF!),
IF(AND(#REF!=$E$2,#REF!=$F$6),AVERAGEIFS('Wellness Responses'!$I$2:$I1000,'Wellness Responses'!$P$2:$P1000,AA$11,'Wellness Responses'!$B$2:$B1000,#REF!),
IF(AND(#REF!=$E$2,#REF!=$F$7),AVERAGEIFS(#REF!,#REF!,AA$11,#REF!,#REF!),
IF(AND(#REF!=$E$2,#REF!=$F$8),AVERAGEIFS(#REF!,#REF!,AA$11,#REF!,#REF!),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IF(AND(#REF!=$E$3,#REF!=$F$2),AVERAGEIFS('Wellness Responses'!$AT$2:$AT1000,'Wellness Responses'!$O$2:$O1000,AA$11,'Wellness Responses'!$B$2:$B1000,#REF!),
IF(AND(#REF!=$E$3,#REF!=$F$3),AVERAGEIFS('Wellness Responses'!$E$2:$E1000,'Wellness Responses'!$O$2:$O1000,AA$11,'Wellness Responses'!$B$2:$B1000,#REF!),
IF(AND(#REF!=$E$3,#REF!=$F$4),AVERAGEIFS('Wellness Responses'!$F$2:$F1000,'Wellness Responses'!$O$2:$O1000,AA$11,'Wellness Responses'!$B$2:$B1000,#REF!),
IF(AND(#REF!=$E$3,#REF!=$F$5),AVERAGEIFS('Wellness Responses'!$G$2:$G1000,'Wellness Responses'!$O$2:$O1000,AA$11,'Wellness Responses'!$B$2:$B1000,#REF!),
IF(AND(#REF!=$E$3,#REF!=$F$6),AVERAGEIFS('Wellness Responses'!$I$2:$I1000,'Wellness Responses'!$O$2:$O1000,AA$11,'Wellness Responses'!$B$2:$B1000,#REF!),
IF(AND(#REF!=$E$3,#REF!=$F$7),AVERAGEIFS(#REF!,#REF!,AA$11,#REF!,#REF!),
IF(AND(#REF!=$E$3,#REF!=$F$8),AVERAGEIFS(#REF!,#REF!,AA$11,#REF!,#REF!),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IF(AND(#REF!=$E$3,#REF!=$F$12),AVERAGEIFS(#REF!,#REF!,AA$11,#REF!,#REF!))))))))))))))))))))))),"")</f>
        <v/>
      </c>
      <c r="AB14" s="16" t="str">
        <f>IFERROR(
IF(AND(#REF!=$E$2,#REF!=$F$2),AVERAGEIFS('Wellness Responses'!$AT$2:$AT1000,'Wellness Responses'!$P$2:$P1000,AB$11,'Wellness Responses'!$B$2:$B1000,#REF!),
IF(AND(#REF!=$E$2,#REF!=$F$3),AVERAGEIFS('Wellness Responses'!$E$2:$E1000,'Wellness Responses'!$P$2:$P1000,AB$11,'Wellness Responses'!$B$2:$B1000,#REF!),
IF(AND(#REF!=$E$2,#REF!=$F$4),AVERAGEIFS('Wellness Responses'!$F$2:$F1000,'Wellness Responses'!$P$2:$P1000,AB$11,'Wellness Responses'!$B$2:$B1000,#REF!),
IF(AND(#REF!=$E$2,#REF!=$F$5),AVERAGEIFS('Wellness Responses'!$G$2:$G1000,'Wellness Responses'!$P$2:$P1000,AB$11,'Wellness Responses'!$B$2:$B1000,#REF!),
IF(AND(#REF!=$E$2,#REF!=$F$6),AVERAGEIFS('Wellness Responses'!$I$2:$I1000,'Wellness Responses'!$P$2:$P1000,AB$11,'Wellness Responses'!$B$2:$B1000,#REF!),
IF(AND(#REF!=$E$2,#REF!=$F$7),AVERAGEIFS(#REF!,#REF!,AB$11,#REF!,#REF!),
IF(AND(#REF!=$E$2,#REF!=$F$8),AVERAGEIFS(#REF!,#REF!,AB$11,#REF!,#REF!),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IF(AND(#REF!=$E$3,#REF!=$F$2),AVERAGEIFS('Wellness Responses'!$AT$2:$AT1000,'Wellness Responses'!$O$2:$O1000,AB$11,'Wellness Responses'!$B$2:$B1000,#REF!),
IF(AND(#REF!=$E$3,#REF!=$F$3),AVERAGEIFS('Wellness Responses'!$E$2:$E1000,'Wellness Responses'!$O$2:$O1000,AB$11,'Wellness Responses'!$B$2:$B1000,#REF!),
IF(AND(#REF!=$E$3,#REF!=$F$4),AVERAGEIFS('Wellness Responses'!$F$2:$F1000,'Wellness Responses'!$O$2:$O1000,AB$11,'Wellness Responses'!$B$2:$B1000,#REF!),
IF(AND(#REF!=$E$3,#REF!=$F$5),AVERAGEIFS('Wellness Responses'!$G$2:$G1000,'Wellness Responses'!$O$2:$O1000,AB$11,'Wellness Responses'!$B$2:$B1000,#REF!),
IF(AND(#REF!=$E$3,#REF!=$F$6),AVERAGEIFS('Wellness Responses'!$I$2:$I1000,'Wellness Responses'!$O$2:$O1000,AB$11,'Wellness Responses'!$B$2:$B1000,#REF!),
IF(AND(#REF!=$E$3,#REF!=$F$7),AVERAGEIFS(#REF!,#REF!,AB$11,#REF!,#REF!),
IF(AND(#REF!=$E$3,#REF!=$F$8),AVERAGEIFS(#REF!,#REF!,AB$11,#REF!,#REF!),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IF(AND(#REF!=$E$3,#REF!=$F$12),AVERAGEIFS(#REF!,#REF!,AB$11,#REF!,#REF!))))))))))))))))))))))),"")</f>
        <v/>
      </c>
      <c r="AC14" s="16" t="str">
        <f>IFERROR(
IF(AND(#REF!=$E$2,#REF!=$F$2),AVERAGEIFS('Wellness Responses'!$AT$2:$AT1000,'Wellness Responses'!$P$2:$P1000,AC$11,'Wellness Responses'!$B$2:$B1000,#REF!),
IF(AND(#REF!=$E$2,#REF!=$F$3),AVERAGEIFS('Wellness Responses'!$E$2:$E1000,'Wellness Responses'!$P$2:$P1000,AC$11,'Wellness Responses'!$B$2:$B1000,#REF!),
IF(AND(#REF!=$E$2,#REF!=$F$4),AVERAGEIFS('Wellness Responses'!$F$2:$F1000,'Wellness Responses'!$P$2:$P1000,AC$11,'Wellness Responses'!$B$2:$B1000,#REF!),
IF(AND(#REF!=$E$2,#REF!=$F$5),AVERAGEIFS('Wellness Responses'!$G$2:$G1000,'Wellness Responses'!$P$2:$P1000,AC$11,'Wellness Responses'!$B$2:$B1000,#REF!),
IF(AND(#REF!=$E$2,#REF!=$F$6),AVERAGEIFS('Wellness Responses'!$I$2:$I1000,'Wellness Responses'!$P$2:$P1000,AC$11,'Wellness Responses'!$B$2:$B1000,#REF!),
IF(AND(#REF!=$E$2,#REF!=$F$7),AVERAGEIFS(#REF!,#REF!,AC$11,#REF!,#REF!),
IF(AND(#REF!=$E$2,#REF!=$F$8),AVERAGEIFS(#REF!,#REF!,AC$11,#REF!,#REF!),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IF(AND(#REF!=$E$3,#REF!=$F$2),AVERAGEIFS('Wellness Responses'!$AT$2:$AT1000,'Wellness Responses'!$O$2:$O1000,AC$11,'Wellness Responses'!$B$2:$B1000,#REF!),
IF(AND(#REF!=$E$3,#REF!=$F$3),AVERAGEIFS('Wellness Responses'!$E$2:$E1000,'Wellness Responses'!$O$2:$O1000,AC$11,'Wellness Responses'!$B$2:$B1000,#REF!),
IF(AND(#REF!=$E$3,#REF!=$F$4),AVERAGEIFS('Wellness Responses'!$F$2:$F1000,'Wellness Responses'!$O$2:$O1000,AC$11,'Wellness Responses'!$B$2:$B1000,#REF!),
IF(AND(#REF!=$E$3,#REF!=$F$5),AVERAGEIFS('Wellness Responses'!$G$2:$G1000,'Wellness Responses'!$O$2:$O1000,AC$11,'Wellness Responses'!$B$2:$B1000,#REF!),
IF(AND(#REF!=$E$3,#REF!=$F$6),AVERAGEIFS('Wellness Responses'!$I$2:$I1000,'Wellness Responses'!$O$2:$O1000,AC$11,'Wellness Responses'!$B$2:$B1000,#REF!),
IF(AND(#REF!=$E$3,#REF!=$F$7),AVERAGEIFS(#REF!,#REF!,AC$11,#REF!,#REF!),
IF(AND(#REF!=$E$3,#REF!=$F$8),AVERAGEIFS(#REF!,#REF!,AC$11,#REF!,#REF!),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IF(AND(#REF!=$E$3,#REF!=$F$12),AVERAGEIFS(#REF!,#REF!,AC$11,#REF!,#REF!))))))))))))))))))))))),"")</f>
        <v/>
      </c>
      <c r="AD14" s="16" t="str">
        <f>IFERROR(
IF(AND(#REF!=$E$2,#REF!=$F$2),AVERAGEIFS('Wellness Responses'!$AT$2:$AT1000,'Wellness Responses'!$P$2:$P1000,AD$11,'Wellness Responses'!$B$2:$B1000,#REF!),
IF(AND(#REF!=$E$2,#REF!=$F$3),AVERAGEIFS('Wellness Responses'!$E$2:$E1000,'Wellness Responses'!$P$2:$P1000,AD$11,'Wellness Responses'!$B$2:$B1000,#REF!),
IF(AND(#REF!=$E$2,#REF!=$F$4),AVERAGEIFS('Wellness Responses'!$F$2:$F1000,'Wellness Responses'!$P$2:$P1000,AD$11,'Wellness Responses'!$B$2:$B1000,#REF!),
IF(AND(#REF!=$E$2,#REF!=$F$5),AVERAGEIFS('Wellness Responses'!$G$2:$G1000,'Wellness Responses'!$P$2:$P1000,AD$11,'Wellness Responses'!$B$2:$B1000,#REF!),
IF(AND(#REF!=$E$2,#REF!=$F$6),AVERAGEIFS('Wellness Responses'!$I$2:$I1000,'Wellness Responses'!$P$2:$P1000,AD$11,'Wellness Responses'!$B$2:$B1000,#REF!),
IF(AND(#REF!=$E$2,#REF!=$F$7),AVERAGEIFS(#REF!,#REF!,AD$11,#REF!,#REF!),
IF(AND(#REF!=$E$2,#REF!=$F$8),AVERAGEIFS(#REF!,#REF!,AD$11,#REF!,#REF!),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IF(AND(#REF!=$E$3,#REF!=$F$2),AVERAGEIFS('Wellness Responses'!$AT$2:$AT1000,'Wellness Responses'!$O$2:$O1000,AD$11,'Wellness Responses'!$B$2:$B1000,#REF!),
IF(AND(#REF!=$E$3,#REF!=$F$3),AVERAGEIFS('Wellness Responses'!$E$2:$E1000,'Wellness Responses'!$O$2:$O1000,AD$11,'Wellness Responses'!$B$2:$B1000,#REF!),
IF(AND(#REF!=$E$3,#REF!=$F$4),AVERAGEIFS('Wellness Responses'!$F$2:$F1000,'Wellness Responses'!$O$2:$O1000,AD$11,'Wellness Responses'!$B$2:$B1000,#REF!),
IF(AND(#REF!=$E$3,#REF!=$F$5),AVERAGEIFS('Wellness Responses'!$G$2:$G1000,'Wellness Responses'!$O$2:$O1000,AD$11,'Wellness Responses'!$B$2:$B1000,#REF!),
IF(AND(#REF!=$E$3,#REF!=$F$6),AVERAGEIFS('Wellness Responses'!$I$2:$I1000,'Wellness Responses'!$O$2:$O1000,AD$11,'Wellness Responses'!$B$2:$B1000,#REF!),
IF(AND(#REF!=$E$3,#REF!=$F$7),AVERAGEIFS(#REF!,#REF!,AD$11,#REF!,#REF!),
IF(AND(#REF!=$E$3,#REF!=$F$8),AVERAGEIFS(#REF!,#REF!,AD$11,#REF!,#REF!),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IF(AND(#REF!=$E$3,#REF!=$F$12),AVERAGEIFS(#REF!,#REF!,AD$11,#REF!,#REF!))))))))))))))))))))))),"")</f>
        <v/>
      </c>
      <c r="AE14" s="16" t="str">
        <f>IFERROR(
IF(AND(#REF!=$E$2,#REF!=$F$2),AVERAGEIFS('Wellness Responses'!$AT$2:$AT1000,'Wellness Responses'!$P$2:$P1000,AE$11,'Wellness Responses'!$B$2:$B1000,#REF!),
IF(AND(#REF!=$E$2,#REF!=$F$3),AVERAGEIFS('Wellness Responses'!$E$2:$E1000,'Wellness Responses'!$P$2:$P1000,AE$11,'Wellness Responses'!$B$2:$B1000,#REF!),
IF(AND(#REF!=$E$2,#REF!=$F$4),AVERAGEIFS('Wellness Responses'!$F$2:$F1000,'Wellness Responses'!$P$2:$P1000,AE$11,'Wellness Responses'!$B$2:$B1000,#REF!),
IF(AND(#REF!=$E$2,#REF!=$F$5),AVERAGEIFS('Wellness Responses'!$G$2:$G1000,'Wellness Responses'!$P$2:$P1000,AE$11,'Wellness Responses'!$B$2:$B1000,#REF!),
IF(AND(#REF!=$E$2,#REF!=$F$6),AVERAGEIFS('Wellness Responses'!$I$2:$I1000,'Wellness Responses'!$P$2:$P1000,AE$11,'Wellness Responses'!$B$2:$B1000,#REF!),
IF(AND(#REF!=$E$2,#REF!=$F$7),AVERAGEIFS(#REF!,#REF!,AE$11,#REF!,#REF!),
IF(AND(#REF!=$E$2,#REF!=$F$8),AVERAGEIFS(#REF!,#REF!,AE$11,#REF!,#REF!),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IF(AND(#REF!=$E$3,#REF!=$F$2),AVERAGEIFS('Wellness Responses'!$AT$2:$AT1000,'Wellness Responses'!$O$2:$O1000,AE$11,'Wellness Responses'!$B$2:$B1000,#REF!),
IF(AND(#REF!=$E$3,#REF!=$F$3),AVERAGEIFS('Wellness Responses'!$E$2:$E1000,'Wellness Responses'!$O$2:$O1000,AE$11,'Wellness Responses'!$B$2:$B1000,#REF!),
IF(AND(#REF!=$E$3,#REF!=$F$4),AVERAGEIFS('Wellness Responses'!$F$2:$F1000,'Wellness Responses'!$O$2:$O1000,AE$11,'Wellness Responses'!$B$2:$B1000,#REF!),
IF(AND(#REF!=$E$3,#REF!=$F$5),AVERAGEIFS('Wellness Responses'!$G$2:$G1000,'Wellness Responses'!$O$2:$O1000,AE$11,'Wellness Responses'!$B$2:$B1000,#REF!),
IF(AND(#REF!=$E$3,#REF!=$F$6),AVERAGEIFS('Wellness Responses'!$I$2:$I1000,'Wellness Responses'!$O$2:$O1000,AE$11,'Wellness Responses'!$B$2:$B1000,#REF!),
IF(AND(#REF!=$E$3,#REF!=$F$7),AVERAGEIFS(#REF!,#REF!,AE$11,#REF!,#REF!),
IF(AND(#REF!=$E$3,#REF!=$F$8),AVERAGEIFS(#REF!,#REF!,AE$11,#REF!,#REF!),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IF(AND(#REF!=$E$3,#REF!=$F$12),AVERAGEIFS(#REF!,#REF!,AE$11,#REF!,#REF!))))))))))))))))))))))),"")</f>
        <v/>
      </c>
      <c r="AF14" s="16" t="str">
        <f>IFERROR(
IF(AND(#REF!=$E$2,#REF!=$F$2),AVERAGEIFS('Wellness Responses'!$AT$2:$AT1000,'Wellness Responses'!$P$2:$P1000,AF$11,'Wellness Responses'!$B$2:$B1000,#REF!),
IF(AND(#REF!=$E$2,#REF!=$F$3),AVERAGEIFS('Wellness Responses'!$E$2:$E1000,'Wellness Responses'!$P$2:$P1000,AF$11,'Wellness Responses'!$B$2:$B1000,#REF!),
IF(AND(#REF!=$E$2,#REF!=$F$4),AVERAGEIFS('Wellness Responses'!$F$2:$F1000,'Wellness Responses'!$P$2:$P1000,AF$11,'Wellness Responses'!$B$2:$B1000,#REF!),
IF(AND(#REF!=$E$2,#REF!=$F$5),AVERAGEIFS('Wellness Responses'!$G$2:$G1000,'Wellness Responses'!$P$2:$P1000,AF$11,'Wellness Responses'!$B$2:$B1000,#REF!),
IF(AND(#REF!=$E$2,#REF!=$F$6),AVERAGEIFS('Wellness Responses'!$I$2:$I1000,'Wellness Responses'!$P$2:$P1000,AF$11,'Wellness Responses'!$B$2:$B1000,#REF!),
IF(AND(#REF!=$E$2,#REF!=$F$7),AVERAGEIFS(#REF!,#REF!,AF$11,#REF!,#REF!),
IF(AND(#REF!=$E$2,#REF!=$F$8),AVERAGEIFS(#REF!,#REF!,AF$11,#REF!,#REF!),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IF(AND(#REF!=$E$3,#REF!=$F$2),AVERAGEIFS('Wellness Responses'!$AT$2:$AT1000,'Wellness Responses'!$O$2:$O1000,AF$11,'Wellness Responses'!$B$2:$B1000,#REF!),
IF(AND(#REF!=$E$3,#REF!=$F$3),AVERAGEIFS('Wellness Responses'!$E$2:$E1000,'Wellness Responses'!$O$2:$O1000,AF$11,'Wellness Responses'!$B$2:$B1000,#REF!),
IF(AND(#REF!=$E$3,#REF!=$F$4),AVERAGEIFS('Wellness Responses'!$F$2:$F1000,'Wellness Responses'!$O$2:$O1000,AF$11,'Wellness Responses'!$B$2:$B1000,#REF!),
IF(AND(#REF!=$E$3,#REF!=$F$5),AVERAGEIFS('Wellness Responses'!$G$2:$G1000,'Wellness Responses'!$O$2:$O1000,AF$11,'Wellness Responses'!$B$2:$B1000,#REF!),
IF(AND(#REF!=$E$3,#REF!=$F$6),AVERAGEIFS('Wellness Responses'!$I$2:$I1000,'Wellness Responses'!$O$2:$O1000,AF$11,'Wellness Responses'!$B$2:$B1000,#REF!),
IF(AND(#REF!=$E$3,#REF!=$F$7),AVERAGEIFS(#REF!,#REF!,AF$11,#REF!,#REF!),
IF(AND(#REF!=$E$3,#REF!=$F$8),AVERAGEIFS(#REF!,#REF!,AF$11,#REF!,#REF!),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IF(AND(#REF!=$E$3,#REF!=$F$12),AVERAGEIFS(#REF!,#REF!,AF$11,#REF!,#REF!))))))))))))))))))))))),"")</f>
        <v/>
      </c>
      <c r="AG14" s="16" t="str">
        <f>IFERROR(
IF(AND(#REF!=$E$2,#REF!=$F$2),AVERAGEIFS('Wellness Responses'!$AT$2:$AT1000,'Wellness Responses'!$P$2:$P1000,AG$11,'Wellness Responses'!$B$2:$B1000,#REF!),
IF(AND(#REF!=$E$2,#REF!=$F$3),AVERAGEIFS('Wellness Responses'!$E$2:$E1000,'Wellness Responses'!$P$2:$P1000,AG$11,'Wellness Responses'!$B$2:$B1000,#REF!),
IF(AND(#REF!=$E$2,#REF!=$F$4),AVERAGEIFS('Wellness Responses'!$F$2:$F1000,'Wellness Responses'!$P$2:$P1000,AG$11,'Wellness Responses'!$B$2:$B1000,#REF!),
IF(AND(#REF!=$E$2,#REF!=$F$5),AVERAGEIFS('Wellness Responses'!$G$2:$G1000,'Wellness Responses'!$P$2:$P1000,AG$11,'Wellness Responses'!$B$2:$B1000,#REF!),
IF(AND(#REF!=$E$2,#REF!=$F$6),AVERAGEIFS('Wellness Responses'!$I$2:$I1000,'Wellness Responses'!$P$2:$P1000,AG$11,'Wellness Responses'!$B$2:$B1000,#REF!),
IF(AND(#REF!=$E$2,#REF!=$F$7),AVERAGEIFS(#REF!,#REF!,AG$11,#REF!,#REF!),
IF(AND(#REF!=$E$2,#REF!=$F$8),AVERAGEIFS(#REF!,#REF!,AG$11,#REF!,#REF!),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IF(AND(#REF!=$E$3,#REF!=$F$2),AVERAGEIFS('Wellness Responses'!$AT$2:$AT1000,'Wellness Responses'!$O$2:$O1000,AG$11,'Wellness Responses'!$B$2:$B1000,#REF!),
IF(AND(#REF!=$E$3,#REF!=$F$3),AVERAGEIFS('Wellness Responses'!$E$2:$E1000,'Wellness Responses'!$O$2:$O1000,AG$11,'Wellness Responses'!$B$2:$B1000,#REF!),
IF(AND(#REF!=$E$3,#REF!=$F$4),AVERAGEIFS('Wellness Responses'!$F$2:$F1000,'Wellness Responses'!$O$2:$O1000,AG$11,'Wellness Responses'!$B$2:$B1000,#REF!),
IF(AND(#REF!=$E$3,#REF!=$F$5),AVERAGEIFS('Wellness Responses'!$G$2:$G1000,'Wellness Responses'!$O$2:$O1000,AG$11,'Wellness Responses'!$B$2:$B1000,#REF!),
IF(AND(#REF!=$E$3,#REF!=$F$6),AVERAGEIFS('Wellness Responses'!$I$2:$I1000,'Wellness Responses'!$O$2:$O1000,AG$11,'Wellness Responses'!$B$2:$B1000,#REF!),
IF(AND(#REF!=$E$3,#REF!=$F$7),AVERAGEIFS(#REF!,#REF!,AG$11,#REF!,#REF!),
IF(AND(#REF!=$E$3,#REF!=$F$8),AVERAGEIFS(#REF!,#REF!,AG$11,#REF!,#REF!),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IF(AND(#REF!=$E$3,#REF!=$F$12),AVERAGEIFS(#REF!,#REF!,AG$11,#REF!,#REF!))))))))))))))))))))))),"")</f>
        <v/>
      </c>
      <c r="AH14" s="16" t="str">
        <f>IFERROR(
IF(AND(#REF!=$E$2,#REF!=$F$2),AVERAGEIFS('Wellness Responses'!$AT$2:$AT1000,'Wellness Responses'!$P$2:$P1000,AH$11,'Wellness Responses'!$B$2:$B1000,#REF!),
IF(AND(#REF!=$E$2,#REF!=$F$3),AVERAGEIFS('Wellness Responses'!$E$2:$E1000,'Wellness Responses'!$P$2:$P1000,AH$11,'Wellness Responses'!$B$2:$B1000,#REF!),
IF(AND(#REF!=$E$2,#REF!=$F$4),AVERAGEIFS('Wellness Responses'!$F$2:$F1000,'Wellness Responses'!$P$2:$P1000,AH$11,'Wellness Responses'!$B$2:$B1000,#REF!),
IF(AND(#REF!=$E$2,#REF!=$F$5),AVERAGEIFS('Wellness Responses'!$G$2:$G1000,'Wellness Responses'!$P$2:$P1000,AH$11,'Wellness Responses'!$B$2:$B1000,#REF!),
IF(AND(#REF!=$E$2,#REF!=$F$6),AVERAGEIFS('Wellness Responses'!$I$2:$I1000,'Wellness Responses'!$P$2:$P1000,AH$11,'Wellness Responses'!$B$2:$B1000,#REF!),
IF(AND(#REF!=$E$2,#REF!=$F$7),AVERAGEIFS(#REF!,#REF!,AH$11,#REF!,#REF!),
IF(AND(#REF!=$E$2,#REF!=$F$8),AVERAGEIFS(#REF!,#REF!,AH$11,#REF!,#REF!),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IF(AND(#REF!=$E$3,#REF!=$F$2),AVERAGEIFS('Wellness Responses'!$AT$2:$AT1000,'Wellness Responses'!$O$2:$O1000,AH$11,'Wellness Responses'!$B$2:$B1000,#REF!),
IF(AND(#REF!=$E$3,#REF!=$F$3),AVERAGEIFS('Wellness Responses'!$E$2:$E1000,'Wellness Responses'!$O$2:$O1000,AH$11,'Wellness Responses'!$B$2:$B1000,#REF!),
IF(AND(#REF!=$E$3,#REF!=$F$4),AVERAGEIFS('Wellness Responses'!$F$2:$F1000,'Wellness Responses'!$O$2:$O1000,AH$11,'Wellness Responses'!$B$2:$B1000,#REF!),
IF(AND(#REF!=$E$3,#REF!=$F$5),AVERAGEIFS('Wellness Responses'!$G$2:$G1000,'Wellness Responses'!$O$2:$O1000,AH$11,'Wellness Responses'!$B$2:$B1000,#REF!),
IF(AND(#REF!=$E$3,#REF!=$F$6),AVERAGEIFS('Wellness Responses'!$I$2:$I1000,'Wellness Responses'!$O$2:$O1000,AH$11,'Wellness Responses'!$B$2:$B1000,#REF!),
IF(AND(#REF!=$E$3,#REF!=$F$7),AVERAGEIFS(#REF!,#REF!,AH$11,#REF!,#REF!),
IF(AND(#REF!=$E$3,#REF!=$F$8),AVERAGEIFS(#REF!,#REF!,AH$11,#REF!,#REF!),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IF(AND(#REF!=$E$3,#REF!=$F$12),AVERAGEIFS(#REF!,#REF!,AH$11,#REF!,#REF!))))))))))))))))))))))),"")</f>
        <v/>
      </c>
      <c r="AI14" s="16" t="str">
        <f>IFERROR(
IF(AND(#REF!=$E$2,#REF!=$F$2),AVERAGEIFS('Wellness Responses'!$AT$2:$AT1000,'Wellness Responses'!$P$2:$P1000,AI$11,'Wellness Responses'!$B$2:$B1000,#REF!),
IF(AND(#REF!=$E$2,#REF!=$F$3),AVERAGEIFS('Wellness Responses'!$E$2:$E1000,'Wellness Responses'!$P$2:$P1000,AI$11,'Wellness Responses'!$B$2:$B1000,#REF!),
IF(AND(#REF!=$E$2,#REF!=$F$4),AVERAGEIFS('Wellness Responses'!$F$2:$F1000,'Wellness Responses'!$P$2:$P1000,AI$11,'Wellness Responses'!$B$2:$B1000,#REF!),
IF(AND(#REF!=$E$2,#REF!=$F$5),AVERAGEIFS('Wellness Responses'!$G$2:$G1000,'Wellness Responses'!$P$2:$P1000,AI$11,'Wellness Responses'!$B$2:$B1000,#REF!),
IF(AND(#REF!=$E$2,#REF!=$F$6),AVERAGEIFS('Wellness Responses'!$I$2:$I1000,'Wellness Responses'!$P$2:$P1000,AI$11,'Wellness Responses'!$B$2:$B1000,#REF!),
IF(AND(#REF!=$E$2,#REF!=$F$7),AVERAGEIFS(#REF!,#REF!,AI$11,#REF!,#REF!),
IF(AND(#REF!=$E$2,#REF!=$F$8),AVERAGEIFS(#REF!,#REF!,AI$11,#REF!,#REF!),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IF(AND(#REF!=$E$3,#REF!=$F$2),AVERAGEIFS('Wellness Responses'!$AT$2:$AT1000,'Wellness Responses'!$O$2:$O1000,AI$11,'Wellness Responses'!$B$2:$B1000,#REF!),
IF(AND(#REF!=$E$3,#REF!=$F$3),AVERAGEIFS('Wellness Responses'!$E$2:$E1000,'Wellness Responses'!$O$2:$O1000,AI$11,'Wellness Responses'!$B$2:$B1000,#REF!),
IF(AND(#REF!=$E$3,#REF!=$F$4),AVERAGEIFS('Wellness Responses'!$F$2:$F1000,'Wellness Responses'!$O$2:$O1000,AI$11,'Wellness Responses'!$B$2:$B1000,#REF!),
IF(AND(#REF!=$E$3,#REF!=$F$5),AVERAGEIFS('Wellness Responses'!$G$2:$G1000,'Wellness Responses'!$O$2:$O1000,AI$11,'Wellness Responses'!$B$2:$B1000,#REF!),
IF(AND(#REF!=$E$3,#REF!=$F$6),AVERAGEIFS('Wellness Responses'!$I$2:$I1000,'Wellness Responses'!$O$2:$O1000,AI$11,'Wellness Responses'!$B$2:$B1000,#REF!),
IF(AND(#REF!=$E$3,#REF!=$F$7),AVERAGEIFS(#REF!,#REF!,AI$11,#REF!,#REF!),
IF(AND(#REF!=$E$3,#REF!=$F$8),AVERAGEIFS(#REF!,#REF!,AI$11,#REF!,#REF!),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IF(AND(#REF!=$E$3,#REF!=$F$12),AVERAGEIFS(#REF!,#REF!,AI$11,#REF!,#REF!))))))))))))))))))))))),"")</f>
        <v/>
      </c>
      <c r="AJ14" s="17" t="str">
        <f>IFERROR(
IF(AND(#REF!=$E$2,#REF!=$F$2),AVERAGEIFS('Wellness Responses'!$AT$2:$AT1000,'Wellness Responses'!$P$2:$P1000,AJ$11,'Wellness Responses'!$B$2:$B1000,#REF!),
IF(AND(#REF!=$E$2,#REF!=$F$3),AVERAGEIFS('Wellness Responses'!$E$2:$E1000,'Wellness Responses'!$P$2:$P1000,AJ$11,'Wellness Responses'!$B$2:$B1000,#REF!),
IF(AND(#REF!=$E$2,#REF!=$F$4),AVERAGEIFS('Wellness Responses'!$F$2:$F1000,'Wellness Responses'!$P$2:$P1000,AJ$11,'Wellness Responses'!$B$2:$B1000,#REF!),
IF(AND(#REF!=$E$2,#REF!=$F$5),AVERAGEIFS('Wellness Responses'!$G$2:$G1000,'Wellness Responses'!$P$2:$P1000,AJ$11,'Wellness Responses'!$B$2:$B1000,#REF!),
IF(AND(#REF!=$E$2,#REF!=$F$6),AVERAGEIFS('Wellness Responses'!$I$2:$I1000,'Wellness Responses'!$P$2:$P1000,AJ$11,'Wellness Responses'!$B$2:$B1000,#REF!),
IF(AND(#REF!=$E$2,#REF!=$F$7),AVERAGEIFS(#REF!,#REF!,AJ$11,#REF!,#REF!),
IF(AND(#REF!=$E$2,#REF!=$F$8),AVERAGEIFS(#REF!,#REF!,AJ$11,#REF!,#REF!),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IF(AND(#REF!=$E$3,#REF!=$F$2),AVERAGEIFS('Wellness Responses'!$AT$2:$AT1000,'Wellness Responses'!$O$2:$O1000,AJ$11,'Wellness Responses'!$B$2:$B1000,#REF!),
IF(AND(#REF!=$E$3,#REF!=$F$3),AVERAGEIFS('Wellness Responses'!$E$2:$E1000,'Wellness Responses'!$O$2:$O1000,AJ$11,'Wellness Responses'!$B$2:$B1000,#REF!),
IF(AND(#REF!=$E$3,#REF!=$F$4),AVERAGEIFS('Wellness Responses'!$F$2:$F1000,'Wellness Responses'!$O$2:$O1000,AJ$11,'Wellness Responses'!$B$2:$B1000,#REF!),
IF(AND(#REF!=$E$3,#REF!=$F$5),AVERAGEIFS('Wellness Responses'!$G$2:$G1000,'Wellness Responses'!$O$2:$O1000,AJ$11,'Wellness Responses'!$B$2:$B1000,#REF!),
IF(AND(#REF!=$E$3,#REF!=$F$6),AVERAGEIFS('Wellness Responses'!$I$2:$I1000,'Wellness Responses'!$O$2:$O1000,AJ$11,'Wellness Responses'!$B$2:$B1000,#REF!),
IF(AND(#REF!=$E$3,#REF!=$F$7),AVERAGEIFS(#REF!,#REF!,AJ$11,#REF!,#REF!),
IF(AND(#REF!=$E$3,#REF!=$F$8),AVERAGEIFS(#REF!,#REF!,AJ$11,#REF!,#REF!),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IF(AND(#REF!=$E$3,#REF!=$F$12),AVERAGEIFS(#REF!,#REF!,AJ$11,#REF!,#REF!))))))))))))))))))))))),"")</f>
        <v/>
      </c>
    </row>
    <row r="15" spans="1:36" ht="15.75" customHeight="1" x14ac:dyDescent="0.25">
      <c r="A15" s="13">
        <f ca="1">IFERROR(__xludf.DUMMYFUNCTION("""COMPUTED_VALUE"""),44793)</f>
        <v>44793</v>
      </c>
      <c r="C15" s="19" t="str">
        <f ca="1">IFERROR(__xludf.DUMMYFUNCTION("""COMPUTED_VALUE"""),"D")</f>
        <v>D</v>
      </c>
      <c r="D15" s="7"/>
      <c r="H15" s="43" t="e">
        <f>IF(OR(#REF!=$F$2,#REF!=$F$3,#REF!=$F$4,#REF!=$F$5,#REF!=$F$6,#REF!=$F$7,#REF!=$F$8),"",
IF(#REF!=$F$9,"Comp Session RPE",
IF(#REF!=$F$10,"Comp Chest RPE",
IF(#REF!=$F$11,"Comp Muscle RPE",
IF(#REF!=$F$12,"Comp Technical RPE","")))))</f>
        <v>#REF!</v>
      </c>
      <c r="I15" s="31" t="str">
        <f>IFERROR(
IF(OR(#REF!=$F$2,#REF!=$F$3,#REF!=$F$4,#REF!=$F$5,#REF!=$F$6,#REF!=$F$7,#REF!=$F$8),"",
IF(AND(#REF!=$E$2,#REF!=$F$9),AVERAGEIFS(#REF!,#REF!,I$11,#REF!,#REF!),
IF(AND(#REF!=$E$2,#REF!=$F$10),AVERAGEIFS(#REF!,#REF!,I$11,#REF!,#REF!),
IF(AND(#REF!=$E$2,#REF!=$F$11),AVERAGEIFS(#REF!,#REF!,I$11,#REF!,#REF!),
IF(AND(#REF!=$E$2,#REF!=$F$12),AVERAGEIFS(#REF!,#REF!,I$11,#REF!,#REF!),
IF(AND(#REF!=$E$3,#REF!=$F$9),AVERAGEIFS(#REF!,#REF!,I$11,#REF!,#REF!),
IF(AND(#REF!=$E$3,#REF!=$F$10),AVERAGEIFS(#REF!,#REF!,I$11,#REF!,#REF!),
IF(AND(#REF!=$E$3,#REF!=$F$11),AVERAGEIFS(#REF!,#REF!,I$11,#REF!,#REF!),
IF(AND(#REF!=$E$3,#REF!=$F$12),AVERAGEIFS(#REF!,#REF!,I$11,#REF!,#REF!)))))))))),"")</f>
        <v/>
      </c>
      <c r="J15" s="31" t="str">
        <f>IFERROR(
IF(OR(#REF!=$F$2,#REF!=$F$3,#REF!=$F$4,#REF!=$F$5,#REF!=$F$6,#REF!=$F$7,#REF!=$F$8),"",
IF(AND(#REF!=$E$2,#REF!=$F$9),AVERAGEIFS(#REF!,#REF!,J$11,#REF!,#REF!),
IF(AND(#REF!=$E$2,#REF!=$F$10),AVERAGEIFS(#REF!,#REF!,J$11,#REF!,#REF!),
IF(AND(#REF!=$E$2,#REF!=$F$11),AVERAGEIFS(#REF!,#REF!,J$11,#REF!,#REF!),
IF(AND(#REF!=$E$2,#REF!=$F$12),AVERAGEIFS(#REF!,#REF!,J$11,#REF!,#REF!),
IF(AND(#REF!=$E$3,#REF!=$F$9),AVERAGEIFS(#REF!,#REF!,J$11,#REF!,#REF!),
IF(AND(#REF!=$E$3,#REF!=$F$10),AVERAGEIFS(#REF!,#REF!,J$11,#REF!,#REF!),
IF(AND(#REF!=$E$3,#REF!=$F$11),AVERAGEIFS(#REF!,#REF!,J$11,#REF!,#REF!),
IF(AND(#REF!=$E$3,#REF!=$F$12),AVERAGEIFS(#REF!,#REF!,J$11,#REF!,#REF!)))))))))),"")</f>
        <v/>
      </c>
      <c r="K15" s="31" t="str">
        <f>IFERROR(
IF(OR(#REF!=$F$2,#REF!=$F$3,#REF!=$F$4,#REF!=$F$5,#REF!=$F$6,#REF!=$F$7,#REF!=$F$8),"",
IF(AND(#REF!=$E$2,#REF!=$F$9),AVERAGEIFS(#REF!,#REF!,K$11,#REF!,#REF!),
IF(AND(#REF!=$E$2,#REF!=$F$10),AVERAGEIFS(#REF!,#REF!,K$11,#REF!,#REF!),
IF(AND(#REF!=$E$2,#REF!=$F$11),AVERAGEIFS(#REF!,#REF!,K$11,#REF!,#REF!),
IF(AND(#REF!=$E$2,#REF!=$F$12),AVERAGEIFS(#REF!,#REF!,K$11,#REF!,#REF!),
IF(AND(#REF!=$E$3,#REF!=$F$9),AVERAGEIFS(#REF!,#REF!,K$11,#REF!,#REF!),
IF(AND(#REF!=$E$3,#REF!=$F$10),AVERAGEIFS(#REF!,#REF!,K$11,#REF!,#REF!),
IF(AND(#REF!=$E$3,#REF!=$F$11),AVERAGEIFS(#REF!,#REF!,K$11,#REF!,#REF!),
IF(AND(#REF!=$E$3,#REF!=$F$12),AVERAGEIFS(#REF!,#REF!,K$11,#REF!,#REF!)))))))))),"")</f>
        <v/>
      </c>
      <c r="L15" s="31" t="str">
        <f>IFERROR(
IF(OR(#REF!=$F$2,#REF!=$F$3,#REF!=$F$4,#REF!=$F$5,#REF!=$F$6,#REF!=$F$7,#REF!=$F$8),"",
IF(AND(#REF!=$E$2,#REF!=$F$9),AVERAGEIFS(#REF!,#REF!,L$11,#REF!,#REF!),
IF(AND(#REF!=$E$2,#REF!=$F$10),AVERAGEIFS(#REF!,#REF!,L$11,#REF!,#REF!),
IF(AND(#REF!=$E$2,#REF!=$F$11),AVERAGEIFS(#REF!,#REF!,L$11,#REF!,#REF!),
IF(AND(#REF!=$E$2,#REF!=$F$12),AVERAGEIFS(#REF!,#REF!,L$11,#REF!,#REF!),
IF(AND(#REF!=$E$3,#REF!=$F$9),AVERAGEIFS(#REF!,#REF!,L$11,#REF!,#REF!),
IF(AND(#REF!=$E$3,#REF!=$F$10),AVERAGEIFS(#REF!,#REF!,L$11,#REF!,#REF!),
IF(AND(#REF!=$E$3,#REF!=$F$11),AVERAGEIFS(#REF!,#REF!,L$11,#REF!,#REF!),
IF(AND(#REF!=$E$3,#REF!=$F$12),AVERAGEIFS(#REF!,#REF!,L$11,#REF!,#REF!)))))))))),"")</f>
        <v/>
      </c>
      <c r="M15" s="31" t="str">
        <f>IFERROR(
IF(OR(#REF!=$F$2,#REF!=$F$3,#REF!=$F$4,#REF!=$F$5,#REF!=$F$6,#REF!=$F$7,#REF!=$F$8),"",
IF(AND(#REF!=$E$2,#REF!=$F$9),AVERAGEIFS(#REF!,#REF!,M$11,#REF!,#REF!),
IF(AND(#REF!=$E$2,#REF!=$F$10),AVERAGEIFS(#REF!,#REF!,M$11,#REF!,#REF!),
IF(AND(#REF!=$E$2,#REF!=$F$11),AVERAGEIFS(#REF!,#REF!,M$11,#REF!,#REF!),
IF(AND(#REF!=$E$2,#REF!=$F$12),AVERAGEIFS(#REF!,#REF!,M$11,#REF!,#REF!),
IF(AND(#REF!=$E$3,#REF!=$F$9),AVERAGEIFS(#REF!,#REF!,M$11,#REF!,#REF!),
IF(AND(#REF!=$E$3,#REF!=$F$10),AVERAGEIFS(#REF!,#REF!,M$11,#REF!,#REF!),
IF(AND(#REF!=$E$3,#REF!=$F$11),AVERAGEIFS(#REF!,#REF!,M$11,#REF!,#REF!),
IF(AND(#REF!=$E$3,#REF!=$F$12),AVERAGEIFS(#REF!,#REF!,M$11,#REF!,#REF!)))))))))),"")</f>
        <v/>
      </c>
      <c r="N15" s="31" t="str">
        <f>IFERROR(
IF(OR(#REF!=$F$2,#REF!=$F$3,#REF!=$F$4,#REF!=$F$5,#REF!=$F$6,#REF!=$F$7,#REF!=$F$8),"",
IF(AND(#REF!=$E$2,#REF!=$F$9),AVERAGEIFS(#REF!,#REF!,N$11,#REF!,#REF!),
IF(AND(#REF!=$E$2,#REF!=$F$10),AVERAGEIFS(#REF!,#REF!,N$11,#REF!,#REF!),
IF(AND(#REF!=$E$2,#REF!=$F$11),AVERAGEIFS(#REF!,#REF!,N$11,#REF!,#REF!),
IF(AND(#REF!=$E$2,#REF!=$F$12),AVERAGEIFS(#REF!,#REF!,N$11,#REF!,#REF!),
IF(AND(#REF!=$E$3,#REF!=$F$9),AVERAGEIFS(#REF!,#REF!,N$11,#REF!,#REF!),
IF(AND(#REF!=$E$3,#REF!=$F$10),AVERAGEIFS(#REF!,#REF!,N$11,#REF!,#REF!),
IF(AND(#REF!=$E$3,#REF!=$F$11),AVERAGEIFS(#REF!,#REF!,N$11,#REF!,#REF!),
IF(AND(#REF!=$E$3,#REF!=$F$12),AVERAGEIFS(#REF!,#REF!,N$11,#REF!,#REF!)))))))))),"")</f>
        <v/>
      </c>
      <c r="O15" s="31" t="str">
        <f>IFERROR(
IF(OR(#REF!=$F$2,#REF!=$F$3,#REF!=$F$4,#REF!=$F$5,#REF!=$F$6,#REF!=$F$7,#REF!=$F$8),"",
IF(AND(#REF!=$E$2,#REF!=$F$9),AVERAGEIFS(#REF!,#REF!,O$11,#REF!,#REF!),
IF(AND(#REF!=$E$2,#REF!=$F$10),AVERAGEIFS(#REF!,#REF!,O$11,#REF!,#REF!),
IF(AND(#REF!=$E$2,#REF!=$F$11),AVERAGEIFS(#REF!,#REF!,O$11,#REF!,#REF!),
IF(AND(#REF!=$E$2,#REF!=$F$12),AVERAGEIFS(#REF!,#REF!,O$11,#REF!,#REF!),
IF(AND(#REF!=$E$3,#REF!=$F$9),AVERAGEIFS(#REF!,#REF!,O$11,#REF!,#REF!),
IF(AND(#REF!=$E$3,#REF!=$F$10),AVERAGEIFS(#REF!,#REF!,O$11,#REF!,#REF!),
IF(AND(#REF!=$E$3,#REF!=$F$11),AVERAGEIFS(#REF!,#REF!,O$11,#REF!,#REF!),
IF(AND(#REF!=$E$3,#REF!=$F$12),AVERAGEIFS(#REF!,#REF!,O$11,#REF!,#REF!)))))))))),"")</f>
        <v/>
      </c>
      <c r="P15" s="31" t="str">
        <f>IFERROR(
IF(OR(#REF!=$F$2,#REF!=$F$3,#REF!=$F$4,#REF!=$F$5,#REF!=$F$6,#REF!=$F$7,#REF!=$F$8),"",
IF(AND(#REF!=$E$2,#REF!=$F$9),AVERAGEIFS(#REF!,#REF!,P$11,#REF!,#REF!),
IF(AND(#REF!=$E$2,#REF!=$F$10),AVERAGEIFS(#REF!,#REF!,P$11,#REF!,#REF!),
IF(AND(#REF!=$E$2,#REF!=$F$11),AVERAGEIFS(#REF!,#REF!,P$11,#REF!,#REF!),
IF(AND(#REF!=$E$2,#REF!=$F$12),AVERAGEIFS(#REF!,#REF!,P$11,#REF!,#REF!),
IF(AND(#REF!=$E$3,#REF!=$F$9),AVERAGEIFS(#REF!,#REF!,P$11,#REF!,#REF!),
IF(AND(#REF!=$E$3,#REF!=$F$10),AVERAGEIFS(#REF!,#REF!,P$11,#REF!,#REF!),
IF(AND(#REF!=$E$3,#REF!=$F$11),AVERAGEIFS(#REF!,#REF!,P$11,#REF!,#REF!),
IF(AND(#REF!=$E$3,#REF!=$F$12),AVERAGEIFS(#REF!,#REF!,P$11,#REF!,#REF!)))))))))),"")</f>
        <v/>
      </c>
      <c r="Q15" s="31" t="str">
        <f>IFERROR(
IF(OR(#REF!=$F$2,#REF!=$F$3,#REF!=$F$4,#REF!=$F$5,#REF!=$F$6,#REF!=$F$7,#REF!=$F$8),"",
IF(AND(#REF!=$E$2,#REF!=$F$9),AVERAGEIFS(#REF!,#REF!,Q$11,#REF!,#REF!),
IF(AND(#REF!=$E$2,#REF!=$F$10),AVERAGEIFS(#REF!,#REF!,Q$11,#REF!,#REF!),
IF(AND(#REF!=$E$2,#REF!=$F$11),AVERAGEIFS(#REF!,#REF!,Q$11,#REF!,#REF!),
IF(AND(#REF!=$E$2,#REF!=$F$12),AVERAGEIFS(#REF!,#REF!,Q$11,#REF!,#REF!),
IF(AND(#REF!=$E$3,#REF!=$F$9),AVERAGEIFS(#REF!,#REF!,Q$11,#REF!,#REF!),
IF(AND(#REF!=$E$3,#REF!=$F$10),AVERAGEIFS(#REF!,#REF!,Q$11,#REF!,#REF!),
IF(AND(#REF!=$E$3,#REF!=$F$11),AVERAGEIFS(#REF!,#REF!,Q$11,#REF!,#REF!),
IF(AND(#REF!=$E$3,#REF!=$F$12),AVERAGEIFS(#REF!,#REF!,Q$11,#REF!,#REF!)))))))))),"")</f>
        <v/>
      </c>
      <c r="R15" s="31" t="str">
        <f>IFERROR(
IF(OR(#REF!=$F$2,#REF!=$F$3,#REF!=$F$4,#REF!=$F$5,#REF!=$F$6,#REF!=$F$7,#REF!=$F$8),"",
IF(AND(#REF!=$E$2,#REF!=$F$9),AVERAGEIFS(#REF!,#REF!,R$11,#REF!,#REF!),
IF(AND(#REF!=$E$2,#REF!=$F$10),AVERAGEIFS(#REF!,#REF!,R$11,#REF!,#REF!),
IF(AND(#REF!=$E$2,#REF!=$F$11),AVERAGEIFS(#REF!,#REF!,R$11,#REF!,#REF!),
IF(AND(#REF!=$E$2,#REF!=$F$12),AVERAGEIFS(#REF!,#REF!,R$11,#REF!,#REF!),
IF(AND(#REF!=$E$3,#REF!=$F$9),AVERAGEIFS(#REF!,#REF!,R$11,#REF!,#REF!),
IF(AND(#REF!=$E$3,#REF!=$F$10),AVERAGEIFS(#REF!,#REF!,R$11,#REF!,#REF!),
IF(AND(#REF!=$E$3,#REF!=$F$11),AVERAGEIFS(#REF!,#REF!,R$11,#REF!,#REF!),
IF(AND(#REF!=$E$3,#REF!=$F$12),AVERAGEIFS(#REF!,#REF!,R$11,#REF!,#REF!)))))))))),"")</f>
        <v/>
      </c>
      <c r="S15" s="31" t="str">
        <f>IFERROR(
IF(OR(#REF!=$F$2,#REF!=$F$3,#REF!=$F$4,#REF!=$F$5,#REF!=$F$6,#REF!=$F$7,#REF!=$F$8),"",
IF(AND(#REF!=$E$2,#REF!=$F$9),AVERAGEIFS(#REF!,#REF!,S$11,#REF!,#REF!),
IF(AND(#REF!=$E$2,#REF!=$F$10),AVERAGEIFS(#REF!,#REF!,S$11,#REF!,#REF!),
IF(AND(#REF!=$E$2,#REF!=$F$11),AVERAGEIFS(#REF!,#REF!,S$11,#REF!,#REF!),
IF(AND(#REF!=$E$2,#REF!=$F$12),AVERAGEIFS(#REF!,#REF!,S$11,#REF!,#REF!),
IF(AND(#REF!=$E$3,#REF!=$F$9),AVERAGEIFS(#REF!,#REF!,S$11,#REF!,#REF!),
IF(AND(#REF!=$E$3,#REF!=$F$10),AVERAGEIFS(#REF!,#REF!,S$11,#REF!,#REF!),
IF(AND(#REF!=$E$3,#REF!=$F$11),AVERAGEIFS(#REF!,#REF!,S$11,#REF!,#REF!),
IF(AND(#REF!=$E$3,#REF!=$F$12),AVERAGEIFS(#REF!,#REF!,S$11,#REF!,#REF!)))))))))),"")</f>
        <v/>
      </c>
      <c r="T15" s="31" t="str">
        <f>IFERROR(
IF(OR(#REF!=$F$2,#REF!=$F$3,#REF!=$F$4,#REF!=$F$5,#REF!=$F$6,#REF!=$F$7,#REF!=$F$8),"",
IF(AND(#REF!=$E$2,#REF!=$F$9),AVERAGEIFS(#REF!,#REF!,T$11,#REF!,#REF!),
IF(AND(#REF!=$E$2,#REF!=$F$10),AVERAGEIFS(#REF!,#REF!,T$11,#REF!,#REF!),
IF(AND(#REF!=$E$2,#REF!=$F$11),AVERAGEIFS(#REF!,#REF!,T$11,#REF!,#REF!),
IF(AND(#REF!=$E$2,#REF!=$F$12),AVERAGEIFS(#REF!,#REF!,T$11,#REF!,#REF!),
IF(AND(#REF!=$E$3,#REF!=$F$9),AVERAGEIFS(#REF!,#REF!,T$11,#REF!,#REF!),
IF(AND(#REF!=$E$3,#REF!=$F$10),AVERAGEIFS(#REF!,#REF!,T$11,#REF!,#REF!),
IF(AND(#REF!=$E$3,#REF!=$F$11),AVERAGEIFS(#REF!,#REF!,T$11,#REF!,#REF!),
IF(AND(#REF!=$E$3,#REF!=$F$12),AVERAGEIFS(#REF!,#REF!,T$11,#REF!,#REF!)))))))))),"")</f>
        <v/>
      </c>
      <c r="U15" s="31" t="str">
        <f>IFERROR(
IF(OR(#REF!=$F$2,#REF!=$F$3,#REF!=$F$4,#REF!=$F$5,#REF!=$F$6,#REF!=$F$7,#REF!=$F$8),"",
IF(AND(#REF!=$E$2,#REF!=$F$9),AVERAGEIFS(#REF!,#REF!,U$11,#REF!,#REF!),
IF(AND(#REF!=$E$2,#REF!=$F$10),AVERAGEIFS(#REF!,#REF!,U$11,#REF!,#REF!),
IF(AND(#REF!=$E$2,#REF!=$F$11),AVERAGEIFS(#REF!,#REF!,U$11,#REF!,#REF!),
IF(AND(#REF!=$E$2,#REF!=$F$12),AVERAGEIFS(#REF!,#REF!,U$11,#REF!,#REF!),
IF(AND(#REF!=$E$3,#REF!=$F$9),AVERAGEIFS(#REF!,#REF!,U$11,#REF!,#REF!),
IF(AND(#REF!=$E$3,#REF!=$F$10),AVERAGEIFS(#REF!,#REF!,U$11,#REF!,#REF!),
IF(AND(#REF!=$E$3,#REF!=$F$11),AVERAGEIFS(#REF!,#REF!,U$11,#REF!,#REF!),
IF(AND(#REF!=$E$3,#REF!=$F$12),AVERAGEIFS(#REF!,#REF!,U$11,#REF!,#REF!)))))))))),"")</f>
        <v/>
      </c>
      <c r="V15" s="31" t="str">
        <f>IFERROR(
IF(OR(#REF!=$F$2,#REF!=$F$3,#REF!=$F$4,#REF!=$F$5,#REF!=$F$6,#REF!=$F$7,#REF!=$F$8),"",
IF(AND(#REF!=$E$2,#REF!=$F$9),AVERAGEIFS(#REF!,#REF!,V$11,#REF!,#REF!),
IF(AND(#REF!=$E$2,#REF!=$F$10),AVERAGEIFS(#REF!,#REF!,V$11,#REF!,#REF!),
IF(AND(#REF!=$E$2,#REF!=$F$11),AVERAGEIFS(#REF!,#REF!,V$11,#REF!,#REF!),
IF(AND(#REF!=$E$2,#REF!=$F$12),AVERAGEIFS(#REF!,#REF!,V$11,#REF!,#REF!),
IF(AND(#REF!=$E$3,#REF!=$F$9),AVERAGEIFS(#REF!,#REF!,V$11,#REF!,#REF!),
IF(AND(#REF!=$E$3,#REF!=$F$10),AVERAGEIFS(#REF!,#REF!,V$11,#REF!,#REF!),
IF(AND(#REF!=$E$3,#REF!=$F$11),AVERAGEIFS(#REF!,#REF!,V$11,#REF!,#REF!),
IF(AND(#REF!=$E$3,#REF!=$F$12),AVERAGEIFS(#REF!,#REF!,V$11,#REF!,#REF!)))))))))),"")</f>
        <v/>
      </c>
      <c r="W15" s="31" t="str">
        <f>IFERROR(
IF(OR(#REF!=$F$2,#REF!=$F$3,#REF!=$F$4,#REF!=$F$5,#REF!=$F$6,#REF!=$F$7,#REF!=$F$8),"",
IF(AND(#REF!=$E$2,#REF!=$F$9),AVERAGEIFS(#REF!,#REF!,W$11,#REF!,#REF!),
IF(AND(#REF!=$E$2,#REF!=$F$10),AVERAGEIFS(#REF!,#REF!,W$11,#REF!,#REF!),
IF(AND(#REF!=$E$2,#REF!=$F$11),AVERAGEIFS(#REF!,#REF!,W$11,#REF!,#REF!),
IF(AND(#REF!=$E$2,#REF!=$F$12),AVERAGEIFS(#REF!,#REF!,W$11,#REF!,#REF!),
IF(AND(#REF!=$E$3,#REF!=$F$9),AVERAGEIFS(#REF!,#REF!,W$11,#REF!,#REF!),
IF(AND(#REF!=$E$3,#REF!=$F$10),AVERAGEIFS(#REF!,#REF!,W$11,#REF!,#REF!),
IF(AND(#REF!=$E$3,#REF!=$F$11),AVERAGEIFS(#REF!,#REF!,W$11,#REF!,#REF!),
IF(AND(#REF!=$E$3,#REF!=$F$12),AVERAGEIFS(#REF!,#REF!,W$11,#REF!,#REF!)))))))))),"")</f>
        <v/>
      </c>
      <c r="X15" s="31" t="str">
        <f>IFERROR(
IF(OR(#REF!=$F$2,#REF!=$F$3,#REF!=$F$4,#REF!=$F$5,#REF!=$F$6,#REF!=$F$7,#REF!=$F$8),"",
IF(AND(#REF!=$E$2,#REF!=$F$9),AVERAGEIFS(#REF!,#REF!,X$11,#REF!,#REF!),
IF(AND(#REF!=$E$2,#REF!=$F$10),AVERAGEIFS(#REF!,#REF!,X$11,#REF!,#REF!),
IF(AND(#REF!=$E$2,#REF!=$F$11),AVERAGEIFS(#REF!,#REF!,X$11,#REF!,#REF!),
IF(AND(#REF!=$E$2,#REF!=$F$12),AVERAGEIFS(#REF!,#REF!,X$11,#REF!,#REF!),
IF(AND(#REF!=$E$3,#REF!=$F$9),AVERAGEIFS(#REF!,#REF!,X$11,#REF!,#REF!),
IF(AND(#REF!=$E$3,#REF!=$F$10),AVERAGEIFS(#REF!,#REF!,X$11,#REF!,#REF!),
IF(AND(#REF!=$E$3,#REF!=$F$11),AVERAGEIFS(#REF!,#REF!,X$11,#REF!,#REF!),
IF(AND(#REF!=$E$3,#REF!=$F$12),AVERAGEIFS(#REF!,#REF!,X$11,#REF!,#REF!)))))))))),"")</f>
        <v/>
      </c>
      <c r="Y15" s="31" t="str">
        <f>IFERROR(
IF(OR(#REF!=$F$2,#REF!=$F$3,#REF!=$F$4,#REF!=$F$5,#REF!=$F$6,#REF!=$F$7,#REF!=$F$8),"",
IF(AND(#REF!=$E$2,#REF!=$F$9),AVERAGEIFS(#REF!,#REF!,Y$11,#REF!,#REF!),
IF(AND(#REF!=$E$2,#REF!=$F$10),AVERAGEIFS(#REF!,#REF!,Y$11,#REF!,#REF!),
IF(AND(#REF!=$E$2,#REF!=$F$11),AVERAGEIFS(#REF!,#REF!,Y$11,#REF!,#REF!),
IF(AND(#REF!=$E$2,#REF!=$F$12),AVERAGEIFS(#REF!,#REF!,Y$11,#REF!,#REF!),
IF(AND(#REF!=$E$3,#REF!=$F$9),AVERAGEIFS(#REF!,#REF!,Y$11,#REF!,#REF!),
IF(AND(#REF!=$E$3,#REF!=$F$10),AVERAGEIFS(#REF!,#REF!,Y$11,#REF!,#REF!),
IF(AND(#REF!=$E$3,#REF!=$F$11),AVERAGEIFS(#REF!,#REF!,Y$11,#REF!,#REF!),
IF(AND(#REF!=$E$3,#REF!=$F$12),AVERAGEIFS(#REF!,#REF!,Y$11,#REF!,#REF!)))))))))),"")</f>
        <v/>
      </c>
      <c r="Z15" s="31" t="str">
        <f>IFERROR(
IF(OR(#REF!=$F$2,#REF!=$F$3,#REF!=$F$4,#REF!=$F$5,#REF!=$F$6,#REF!=$F$7,#REF!=$F$8),"",
IF(AND(#REF!=$E$2,#REF!=$F$9),AVERAGEIFS(#REF!,#REF!,Z$11,#REF!,#REF!),
IF(AND(#REF!=$E$2,#REF!=$F$10),AVERAGEIFS(#REF!,#REF!,Z$11,#REF!,#REF!),
IF(AND(#REF!=$E$2,#REF!=$F$11),AVERAGEIFS(#REF!,#REF!,Z$11,#REF!,#REF!),
IF(AND(#REF!=$E$2,#REF!=$F$12),AVERAGEIFS(#REF!,#REF!,Z$11,#REF!,#REF!),
IF(AND(#REF!=$E$3,#REF!=$F$9),AVERAGEIFS(#REF!,#REF!,Z$11,#REF!,#REF!),
IF(AND(#REF!=$E$3,#REF!=$F$10),AVERAGEIFS(#REF!,#REF!,Z$11,#REF!,#REF!),
IF(AND(#REF!=$E$3,#REF!=$F$11),AVERAGEIFS(#REF!,#REF!,Z$11,#REF!,#REF!),
IF(AND(#REF!=$E$3,#REF!=$F$12),AVERAGEIFS(#REF!,#REF!,Z$11,#REF!,#REF!)))))))))),"")</f>
        <v/>
      </c>
      <c r="AA15" s="31" t="str">
        <f>IFERROR(
IF(OR(#REF!=$F$2,#REF!=$F$3,#REF!=$F$4,#REF!=$F$5,#REF!=$F$6,#REF!=$F$7,#REF!=$F$8),"",
IF(AND(#REF!=$E$2,#REF!=$F$9),AVERAGEIFS(#REF!,#REF!,AA$11,#REF!,#REF!),
IF(AND(#REF!=$E$2,#REF!=$F$10),AVERAGEIFS(#REF!,#REF!,AA$11,#REF!,#REF!),
IF(AND(#REF!=$E$2,#REF!=$F$11),AVERAGEIFS(#REF!,#REF!,AA$11,#REF!,#REF!),
IF(AND(#REF!=$E$2,#REF!=$F$12),AVERAGEIFS(#REF!,#REF!,AA$11,#REF!,#REF!),
IF(AND(#REF!=$E$3,#REF!=$F$9),AVERAGEIFS(#REF!,#REF!,AA$11,#REF!,#REF!),
IF(AND(#REF!=$E$3,#REF!=$F$10),AVERAGEIFS(#REF!,#REF!,AA$11,#REF!,#REF!),
IF(AND(#REF!=$E$3,#REF!=$F$11),AVERAGEIFS(#REF!,#REF!,AA$11,#REF!,#REF!),
IF(AND(#REF!=$E$3,#REF!=$F$12),AVERAGEIFS(#REF!,#REF!,AA$11,#REF!,#REF!)))))))))),"")</f>
        <v/>
      </c>
      <c r="AB15" s="31" t="str">
        <f>IFERROR(
IF(OR(#REF!=$F$2,#REF!=$F$3,#REF!=$F$4,#REF!=$F$5,#REF!=$F$6,#REF!=$F$7,#REF!=$F$8),"",
IF(AND(#REF!=$E$2,#REF!=$F$9),AVERAGEIFS(#REF!,#REF!,AB$11,#REF!,#REF!),
IF(AND(#REF!=$E$2,#REF!=$F$10),AVERAGEIFS(#REF!,#REF!,AB$11,#REF!,#REF!),
IF(AND(#REF!=$E$2,#REF!=$F$11),AVERAGEIFS(#REF!,#REF!,AB$11,#REF!,#REF!),
IF(AND(#REF!=$E$2,#REF!=$F$12),AVERAGEIFS(#REF!,#REF!,AB$11,#REF!,#REF!),
IF(AND(#REF!=$E$3,#REF!=$F$9),AVERAGEIFS(#REF!,#REF!,AB$11,#REF!,#REF!),
IF(AND(#REF!=$E$3,#REF!=$F$10),AVERAGEIFS(#REF!,#REF!,AB$11,#REF!,#REF!),
IF(AND(#REF!=$E$3,#REF!=$F$11),AVERAGEIFS(#REF!,#REF!,AB$11,#REF!,#REF!),
IF(AND(#REF!=$E$3,#REF!=$F$12),AVERAGEIFS(#REF!,#REF!,AB$11,#REF!,#REF!)))))))))),"")</f>
        <v/>
      </c>
      <c r="AC15" s="31" t="str">
        <f>IFERROR(
IF(OR(#REF!=$F$2,#REF!=$F$3,#REF!=$F$4,#REF!=$F$5,#REF!=$F$6,#REF!=$F$7,#REF!=$F$8),"",
IF(AND(#REF!=$E$2,#REF!=$F$9),AVERAGEIFS(#REF!,#REF!,AC$11,#REF!,#REF!),
IF(AND(#REF!=$E$2,#REF!=$F$10),AVERAGEIFS(#REF!,#REF!,AC$11,#REF!,#REF!),
IF(AND(#REF!=$E$2,#REF!=$F$11),AVERAGEIFS(#REF!,#REF!,AC$11,#REF!,#REF!),
IF(AND(#REF!=$E$2,#REF!=$F$12),AVERAGEIFS(#REF!,#REF!,AC$11,#REF!,#REF!),
IF(AND(#REF!=$E$3,#REF!=$F$9),AVERAGEIFS(#REF!,#REF!,AC$11,#REF!,#REF!),
IF(AND(#REF!=$E$3,#REF!=$F$10),AVERAGEIFS(#REF!,#REF!,AC$11,#REF!,#REF!),
IF(AND(#REF!=$E$3,#REF!=$F$11),AVERAGEIFS(#REF!,#REF!,AC$11,#REF!,#REF!),
IF(AND(#REF!=$E$3,#REF!=$F$12),AVERAGEIFS(#REF!,#REF!,AC$11,#REF!,#REF!)))))))))),"")</f>
        <v/>
      </c>
      <c r="AD15" s="31" t="str">
        <f>IFERROR(
IF(OR(#REF!=$F$2,#REF!=$F$3,#REF!=$F$4,#REF!=$F$5,#REF!=$F$6,#REF!=$F$7,#REF!=$F$8),"",
IF(AND(#REF!=$E$2,#REF!=$F$9),AVERAGEIFS(#REF!,#REF!,AD$11,#REF!,#REF!),
IF(AND(#REF!=$E$2,#REF!=$F$10),AVERAGEIFS(#REF!,#REF!,AD$11,#REF!,#REF!),
IF(AND(#REF!=$E$2,#REF!=$F$11),AVERAGEIFS(#REF!,#REF!,AD$11,#REF!,#REF!),
IF(AND(#REF!=$E$2,#REF!=$F$12),AVERAGEIFS(#REF!,#REF!,AD$11,#REF!,#REF!),
IF(AND(#REF!=$E$3,#REF!=$F$9),AVERAGEIFS(#REF!,#REF!,AD$11,#REF!,#REF!),
IF(AND(#REF!=$E$3,#REF!=$F$10),AVERAGEIFS(#REF!,#REF!,AD$11,#REF!,#REF!),
IF(AND(#REF!=$E$3,#REF!=$F$11),AVERAGEIFS(#REF!,#REF!,AD$11,#REF!,#REF!),
IF(AND(#REF!=$E$3,#REF!=$F$12),AVERAGEIFS(#REF!,#REF!,AD$11,#REF!,#REF!)))))))))),"")</f>
        <v/>
      </c>
      <c r="AE15" s="31" t="str">
        <f>IFERROR(
IF(OR(#REF!=$F$2,#REF!=$F$3,#REF!=$F$4,#REF!=$F$5,#REF!=$F$6,#REF!=$F$7,#REF!=$F$8),"",
IF(AND(#REF!=$E$2,#REF!=$F$9),AVERAGEIFS(#REF!,#REF!,AE$11,#REF!,#REF!),
IF(AND(#REF!=$E$2,#REF!=$F$10),AVERAGEIFS(#REF!,#REF!,AE$11,#REF!,#REF!),
IF(AND(#REF!=$E$2,#REF!=$F$11),AVERAGEIFS(#REF!,#REF!,AE$11,#REF!,#REF!),
IF(AND(#REF!=$E$2,#REF!=$F$12),AVERAGEIFS(#REF!,#REF!,AE$11,#REF!,#REF!),
IF(AND(#REF!=$E$3,#REF!=$F$9),AVERAGEIFS(#REF!,#REF!,AE$11,#REF!,#REF!),
IF(AND(#REF!=$E$3,#REF!=$F$10),AVERAGEIFS(#REF!,#REF!,AE$11,#REF!,#REF!),
IF(AND(#REF!=$E$3,#REF!=$F$11),AVERAGEIFS(#REF!,#REF!,AE$11,#REF!,#REF!),
IF(AND(#REF!=$E$3,#REF!=$F$12),AVERAGEIFS(#REF!,#REF!,AE$11,#REF!,#REF!)))))))))),"")</f>
        <v/>
      </c>
      <c r="AF15" s="31" t="str">
        <f>IFERROR(
IF(OR(#REF!=$F$2,#REF!=$F$3,#REF!=$F$4,#REF!=$F$5,#REF!=$F$6,#REF!=$F$7,#REF!=$F$8),"",
IF(AND(#REF!=$E$2,#REF!=$F$9),AVERAGEIFS(#REF!,#REF!,AF$11,#REF!,#REF!),
IF(AND(#REF!=$E$2,#REF!=$F$10),AVERAGEIFS(#REF!,#REF!,AF$11,#REF!,#REF!),
IF(AND(#REF!=$E$2,#REF!=$F$11),AVERAGEIFS(#REF!,#REF!,AF$11,#REF!,#REF!),
IF(AND(#REF!=$E$2,#REF!=$F$12),AVERAGEIFS(#REF!,#REF!,AF$11,#REF!,#REF!),
IF(AND(#REF!=$E$3,#REF!=$F$9),AVERAGEIFS(#REF!,#REF!,AF$11,#REF!,#REF!),
IF(AND(#REF!=$E$3,#REF!=$F$10),AVERAGEIFS(#REF!,#REF!,AF$11,#REF!,#REF!),
IF(AND(#REF!=$E$3,#REF!=$F$11),AVERAGEIFS(#REF!,#REF!,AF$11,#REF!,#REF!),
IF(AND(#REF!=$E$3,#REF!=$F$12),AVERAGEIFS(#REF!,#REF!,AF$11,#REF!,#REF!)))))))))),"")</f>
        <v/>
      </c>
      <c r="AG15" s="31" t="str">
        <f>IFERROR(
IF(OR(#REF!=$F$2,#REF!=$F$3,#REF!=$F$4,#REF!=$F$5,#REF!=$F$6,#REF!=$F$7,#REF!=$F$8),"",
IF(AND(#REF!=$E$2,#REF!=$F$9),AVERAGEIFS(#REF!,#REF!,AG$11,#REF!,#REF!),
IF(AND(#REF!=$E$2,#REF!=$F$10),AVERAGEIFS(#REF!,#REF!,AG$11,#REF!,#REF!),
IF(AND(#REF!=$E$2,#REF!=$F$11),AVERAGEIFS(#REF!,#REF!,AG$11,#REF!,#REF!),
IF(AND(#REF!=$E$2,#REF!=$F$12),AVERAGEIFS(#REF!,#REF!,AG$11,#REF!,#REF!),
IF(AND(#REF!=$E$3,#REF!=$F$9),AVERAGEIFS(#REF!,#REF!,AG$11,#REF!,#REF!),
IF(AND(#REF!=$E$3,#REF!=$F$10),AVERAGEIFS(#REF!,#REF!,AG$11,#REF!,#REF!),
IF(AND(#REF!=$E$3,#REF!=$F$11),AVERAGEIFS(#REF!,#REF!,AG$11,#REF!,#REF!),
IF(AND(#REF!=$E$3,#REF!=$F$12),AVERAGEIFS(#REF!,#REF!,AG$11,#REF!,#REF!)))))))))),"")</f>
        <v/>
      </c>
      <c r="AH15" s="31" t="str">
        <f>IFERROR(
IF(OR(#REF!=$F$2,#REF!=$F$3,#REF!=$F$4,#REF!=$F$5,#REF!=$F$6,#REF!=$F$7,#REF!=$F$8),"",
IF(AND(#REF!=$E$2,#REF!=$F$9),AVERAGEIFS(#REF!,#REF!,AH$11,#REF!,#REF!),
IF(AND(#REF!=$E$2,#REF!=$F$10),AVERAGEIFS(#REF!,#REF!,AH$11,#REF!,#REF!),
IF(AND(#REF!=$E$2,#REF!=$F$11),AVERAGEIFS(#REF!,#REF!,AH$11,#REF!,#REF!),
IF(AND(#REF!=$E$2,#REF!=$F$12),AVERAGEIFS(#REF!,#REF!,AH$11,#REF!,#REF!),
IF(AND(#REF!=$E$3,#REF!=$F$9),AVERAGEIFS(#REF!,#REF!,AH$11,#REF!,#REF!),
IF(AND(#REF!=$E$3,#REF!=$F$10),AVERAGEIFS(#REF!,#REF!,AH$11,#REF!,#REF!),
IF(AND(#REF!=$E$3,#REF!=$F$11),AVERAGEIFS(#REF!,#REF!,AH$11,#REF!,#REF!),
IF(AND(#REF!=$E$3,#REF!=$F$12),AVERAGEIFS(#REF!,#REF!,AH$11,#REF!,#REF!)))))))))),"")</f>
        <v/>
      </c>
      <c r="AI15" s="31" t="str">
        <f>IFERROR(
IF(OR(#REF!=$F$2,#REF!=$F$3,#REF!=$F$4,#REF!=$F$5,#REF!=$F$6,#REF!=$F$7,#REF!=$F$8),"",
IF(AND(#REF!=$E$2,#REF!=$F$9),AVERAGEIFS(#REF!,#REF!,AI$11,#REF!,#REF!),
IF(AND(#REF!=$E$2,#REF!=$F$10),AVERAGEIFS(#REF!,#REF!,AI$11,#REF!,#REF!),
IF(AND(#REF!=$E$2,#REF!=$F$11),AVERAGEIFS(#REF!,#REF!,AI$11,#REF!,#REF!),
IF(AND(#REF!=$E$2,#REF!=$F$12),AVERAGEIFS(#REF!,#REF!,AI$11,#REF!,#REF!),
IF(AND(#REF!=$E$3,#REF!=$F$9),AVERAGEIFS(#REF!,#REF!,AI$11,#REF!,#REF!),
IF(AND(#REF!=$E$3,#REF!=$F$10),AVERAGEIFS(#REF!,#REF!,AI$11,#REF!,#REF!),
IF(AND(#REF!=$E$3,#REF!=$F$11),AVERAGEIFS(#REF!,#REF!,AI$11,#REF!,#REF!),
IF(AND(#REF!=$E$3,#REF!=$F$12),AVERAGEIFS(#REF!,#REF!,AI$11,#REF!,#REF!)))))))))),"")</f>
        <v/>
      </c>
      <c r="AJ15" s="32">
        <f>IFERROR(
IF(OR(#REF!=$F$2,#REF!=$F$3,#REF!=$F$4,#REF!=$F$5,#REF!=$F$6,#REF!=$F$7,#REF!=$F$8),0,
IF(AND(#REF!=$E$2,#REF!=$F$9),AVERAGEIFS(#REF!,#REF!,AJ$11,#REF!,#REF!),
IF(AND(#REF!=$E$2,#REF!=$F$10),AVERAGEIFS(#REF!,#REF!,AJ$11,#REF!,#REF!),
IF(AND(#REF!=$E$2,#REF!=$F$11),AVERAGEIFS(#REF!,#REF!,AJ$11,#REF!,#REF!),
IF(AND(#REF!=$E$2,#REF!=$F$12),AVERAGEIFS(#REF!,#REF!,AJ$11,#REF!,#REF!),
IF(AND(#REF!=$E$3,#REF!=$F$9),AVERAGEIFS(#REF!,#REF!,AJ$11,#REF!,#REF!),
IF(AND(#REF!=$E$3,#REF!=$F$10),AVERAGEIFS(#REF!,#REF!,AJ$11,#REF!,#REF!),
IF(AND(#REF!=$E$3,#REF!=$F$11),AVERAGEIFS(#REF!,#REF!,AJ$11,#REF!,#REF!),
IF(AND(#REF!=$E$3,#REF!=$F$12),AVERAGEIFS(#REF!,#REF!,AJ$11,#REF!,#REF!)))))))))),0)</f>
        <v>0</v>
      </c>
    </row>
    <row r="16" spans="1:36" ht="15.75" customHeight="1" x14ac:dyDescent="0.25">
      <c r="A16" s="13">
        <f ca="1">IFERROR(__xludf.DUMMYFUNCTION("""COMPUTED_VALUE"""),44794)</f>
        <v>44794</v>
      </c>
      <c r="C16" s="19" t="str">
        <f ca="1">IFERROR(__xludf.DUMMYFUNCTION("""COMPUTED_VALUE"""),"UTIL")</f>
        <v>UTIL</v>
      </c>
      <c r="D16" s="7"/>
    </row>
    <row r="17" spans="1:4" ht="15.75" customHeight="1" x14ac:dyDescent="0.25">
      <c r="A17" s="13">
        <f ca="1">IFERROR(__xludf.DUMMYFUNCTION("""COMPUTED_VALUE"""),44795)</f>
        <v>44795</v>
      </c>
      <c r="C17" s="19" t="str">
        <f ca="1">IFERROR(__xludf.DUMMYFUNCTION("""COMPUTED_VALUE"""),"GK")</f>
        <v>GK</v>
      </c>
      <c r="D17" s="7"/>
    </row>
    <row r="18" spans="1:4" ht="15.75" customHeight="1" x14ac:dyDescent="0.25">
      <c r="A18" s="13">
        <f ca="1">IFERROR(__xludf.DUMMYFUNCTION("""COMPUTED_VALUE"""),44796)</f>
        <v>44796</v>
      </c>
      <c r="C18" s="19"/>
      <c r="D18" s="7"/>
    </row>
    <row r="19" spans="1:4" ht="15.75" customHeight="1" x14ac:dyDescent="0.25">
      <c r="A19" s="13">
        <f ca="1">IFERROR(__xludf.DUMMYFUNCTION("""COMPUTED_VALUE"""),44797)</f>
        <v>44797</v>
      </c>
      <c r="C19" s="19"/>
      <c r="D19" s="7"/>
    </row>
    <row r="20" spans="1:4" ht="15.75" customHeight="1" x14ac:dyDescent="0.25">
      <c r="A20" s="13">
        <f ca="1">IFERROR(__xludf.DUMMYFUNCTION("""COMPUTED_VALUE"""),44798)</f>
        <v>44798</v>
      </c>
      <c r="C20" s="19"/>
      <c r="D20" s="7"/>
    </row>
    <row r="21" spans="1:4" ht="15.75" customHeight="1" x14ac:dyDescent="0.25">
      <c r="A21" s="13">
        <f ca="1">IFERROR(__xludf.DUMMYFUNCTION("""COMPUTED_VALUE"""),44799)</f>
        <v>44799</v>
      </c>
      <c r="C21" s="19"/>
      <c r="D21" s="7"/>
    </row>
    <row r="22" spans="1:4" ht="12.5" x14ac:dyDescent="0.25">
      <c r="A22" s="13">
        <f ca="1">IFERROR(__xludf.DUMMYFUNCTION("""COMPUTED_VALUE"""),44800)</f>
        <v>44800</v>
      </c>
      <c r="C22" s="19"/>
      <c r="D22" s="7"/>
    </row>
    <row r="23" spans="1:4" ht="12.5" x14ac:dyDescent="0.25">
      <c r="A23" s="13">
        <f ca="1">IFERROR(__xludf.DUMMYFUNCTION("""COMPUTED_VALUE"""),44801)</f>
        <v>44801</v>
      </c>
      <c r="C23" s="19"/>
      <c r="D23" s="7"/>
    </row>
    <row r="24" spans="1:4" ht="12.5" x14ac:dyDescent="0.25">
      <c r="A24" s="13">
        <f ca="1">IFERROR(__xludf.DUMMYFUNCTION("""COMPUTED_VALUE"""),44802)</f>
        <v>44802</v>
      </c>
      <c r="C24" s="19"/>
      <c r="D24" s="7"/>
    </row>
    <row r="25" spans="1:4" ht="12.5" x14ac:dyDescent="0.25">
      <c r="A25" s="13">
        <f ca="1">IFERROR(__xludf.DUMMYFUNCTION("""COMPUTED_VALUE"""),44803)</f>
        <v>44803</v>
      </c>
      <c r="C25" s="19"/>
      <c r="D25" s="7"/>
    </row>
    <row r="26" spans="1:4" ht="12.5" x14ac:dyDescent="0.25">
      <c r="A26" s="13">
        <f ca="1">IFERROR(__xludf.DUMMYFUNCTION("""COMPUTED_VALUE"""),44804)</f>
        <v>44804</v>
      </c>
      <c r="C26" s="19"/>
      <c r="D26" s="7"/>
    </row>
    <row r="27" spans="1:4" ht="12.5" x14ac:dyDescent="0.25">
      <c r="A27" s="13">
        <f ca="1">IFERROR(__xludf.DUMMYFUNCTION("""COMPUTED_VALUE"""),44805)</f>
        <v>44805</v>
      </c>
      <c r="C27" s="19"/>
      <c r="D27" s="7"/>
    </row>
    <row r="28" spans="1:4" ht="12.5" x14ac:dyDescent="0.25">
      <c r="A28" s="13">
        <f ca="1">IFERROR(__xludf.DUMMYFUNCTION("""COMPUTED_VALUE"""),44806)</f>
        <v>44806</v>
      </c>
      <c r="C28" s="19"/>
      <c r="D28" s="7"/>
    </row>
    <row r="29" spans="1:4" ht="12.5" x14ac:dyDescent="0.25">
      <c r="A29" s="13">
        <f ca="1">IFERROR(__xludf.DUMMYFUNCTION("""COMPUTED_VALUE"""),44807)</f>
        <v>44807</v>
      </c>
      <c r="C29" s="19"/>
      <c r="D29" s="7"/>
    </row>
    <row r="30" spans="1:4" ht="12.5" x14ac:dyDescent="0.25">
      <c r="A30" s="13">
        <f ca="1">IFERROR(__xludf.DUMMYFUNCTION("""COMPUTED_VALUE"""),44808)</f>
        <v>44808</v>
      </c>
      <c r="C30" s="19"/>
      <c r="D30" s="7"/>
    </row>
    <row r="31" spans="1:4" ht="12.5" x14ac:dyDescent="0.25">
      <c r="A31" s="13">
        <f ca="1">IFERROR(__xludf.DUMMYFUNCTION("""COMPUTED_VALUE"""),44809)</f>
        <v>44809</v>
      </c>
      <c r="C31" s="19"/>
      <c r="D31" s="7"/>
    </row>
    <row r="32" spans="1:4" ht="12.5" x14ac:dyDescent="0.25">
      <c r="A32" s="13">
        <f ca="1">IFERROR(__xludf.DUMMYFUNCTION("""COMPUTED_VALUE"""),44810)</f>
        <v>44810</v>
      </c>
      <c r="C32" s="19"/>
      <c r="D32" s="7"/>
    </row>
    <row r="33" spans="1:4" ht="12.5" x14ac:dyDescent="0.25">
      <c r="A33" s="13">
        <f ca="1">IFERROR(__xludf.DUMMYFUNCTION("""COMPUTED_VALUE"""),44811)</f>
        <v>44811</v>
      </c>
      <c r="C33" s="19"/>
      <c r="D33" s="7"/>
    </row>
    <row r="34" spans="1:4" ht="12.5" x14ac:dyDescent="0.25">
      <c r="A34" s="13">
        <f ca="1">IFERROR(__xludf.DUMMYFUNCTION("""COMPUTED_VALUE"""),44812)</f>
        <v>44812</v>
      </c>
      <c r="C34" s="19"/>
      <c r="D34" s="7"/>
    </row>
    <row r="35" spans="1:4" ht="12.5" x14ac:dyDescent="0.25">
      <c r="A35" s="13">
        <f ca="1">IFERROR(__xludf.DUMMYFUNCTION("""COMPUTED_VALUE"""),44813)</f>
        <v>44813</v>
      </c>
      <c r="C35" s="19"/>
      <c r="D35" s="7"/>
    </row>
    <row r="36" spans="1:4" ht="12.5" x14ac:dyDescent="0.25">
      <c r="A36" s="13">
        <f ca="1">IFERROR(__xludf.DUMMYFUNCTION("""COMPUTED_VALUE"""),44814)</f>
        <v>44814</v>
      </c>
      <c r="C36" s="19"/>
      <c r="D36" s="7"/>
    </row>
    <row r="37" spans="1:4" ht="12.5" x14ac:dyDescent="0.25">
      <c r="A37" s="13">
        <f ca="1">IFERROR(__xludf.DUMMYFUNCTION("""COMPUTED_VALUE"""),44815)</f>
        <v>44815</v>
      </c>
      <c r="C37" s="19"/>
      <c r="D37" s="7"/>
    </row>
    <row r="38" spans="1:4" ht="12.5" x14ac:dyDescent="0.25">
      <c r="A38" s="13">
        <f ca="1">IFERROR(__xludf.DUMMYFUNCTION("""COMPUTED_VALUE"""),44816)</f>
        <v>44816</v>
      </c>
      <c r="C38" s="19"/>
      <c r="D38" s="7"/>
    </row>
    <row r="39" spans="1:4" ht="12.5" x14ac:dyDescent="0.25">
      <c r="A39" s="13">
        <f ca="1">IFERROR(__xludf.DUMMYFUNCTION("""COMPUTED_VALUE"""),44817)</f>
        <v>44817</v>
      </c>
      <c r="C39" s="19"/>
      <c r="D39" s="7"/>
    </row>
    <row r="40" spans="1:4" ht="12.5" x14ac:dyDescent="0.25">
      <c r="A40" s="13">
        <f ca="1">IFERROR(__xludf.DUMMYFUNCTION("""COMPUTED_VALUE"""),44818)</f>
        <v>44818</v>
      </c>
      <c r="C40" s="19"/>
      <c r="D40" s="7"/>
    </row>
    <row r="41" spans="1:4" ht="12.5" x14ac:dyDescent="0.25">
      <c r="A41" s="13">
        <f ca="1">IFERROR(__xludf.DUMMYFUNCTION("""COMPUTED_VALUE"""),44819)</f>
        <v>44819</v>
      </c>
      <c r="C41" s="19"/>
      <c r="D41" s="7"/>
    </row>
    <row r="42" spans="1:4" ht="12.5" x14ac:dyDescent="0.25">
      <c r="A42" s="13">
        <f ca="1">IFERROR(__xludf.DUMMYFUNCTION("""COMPUTED_VALUE"""),44820)</f>
        <v>44820</v>
      </c>
      <c r="C42" s="19"/>
      <c r="D42" s="7"/>
    </row>
    <row r="43" spans="1:4" ht="12.5" x14ac:dyDescent="0.25">
      <c r="A43" s="13">
        <f ca="1">IFERROR(__xludf.DUMMYFUNCTION("""COMPUTED_VALUE"""),44821)</f>
        <v>44821</v>
      </c>
      <c r="C43" s="19"/>
      <c r="D43" s="7"/>
    </row>
    <row r="44" spans="1:4" ht="12.5" x14ac:dyDescent="0.25">
      <c r="A44" s="13">
        <f ca="1">IFERROR(__xludf.DUMMYFUNCTION("""COMPUTED_VALUE"""),44822)</f>
        <v>44822</v>
      </c>
      <c r="C44" s="19"/>
      <c r="D44" s="7"/>
    </row>
    <row r="45" spans="1:4" ht="12.5" x14ac:dyDescent="0.25">
      <c r="A45" s="13">
        <f ca="1">IFERROR(__xludf.DUMMYFUNCTION("""COMPUTED_VALUE"""),44823)</f>
        <v>44823</v>
      </c>
      <c r="C45" s="19"/>
      <c r="D45" s="7"/>
    </row>
    <row r="46" spans="1:4" ht="12.5" x14ac:dyDescent="0.25">
      <c r="A46" s="13">
        <f ca="1">IFERROR(__xludf.DUMMYFUNCTION("""COMPUTED_VALUE"""),44824)</f>
        <v>44824</v>
      </c>
      <c r="C46" s="19"/>
      <c r="D46" s="7"/>
    </row>
    <row r="47" spans="1:4" ht="12.5" x14ac:dyDescent="0.25">
      <c r="A47" s="13">
        <f ca="1">IFERROR(__xludf.DUMMYFUNCTION("""COMPUTED_VALUE"""),44825)</f>
        <v>44825</v>
      </c>
      <c r="C47" s="19"/>
      <c r="D47" s="7"/>
    </row>
    <row r="48" spans="1:4" ht="12.5" x14ac:dyDescent="0.25">
      <c r="A48" s="13">
        <f ca="1">IFERROR(__xludf.DUMMYFUNCTION("""COMPUTED_VALUE"""),44826)</f>
        <v>44826</v>
      </c>
      <c r="C48" s="19"/>
      <c r="D48" s="7"/>
    </row>
    <row r="49" spans="1:4" ht="12.5" x14ac:dyDescent="0.25">
      <c r="A49" s="13">
        <f ca="1">IFERROR(__xludf.DUMMYFUNCTION("""COMPUTED_VALUE"""),44827)</f>
        <v>44827</v>
      </c>
      <c r="C49" s="19"/>
      <c r="D49" s="7"/>
    </row>
    <row r="50" spans="1:4" ht="12.5" x14ac:dyDescent="0.25">
      <c r="A50" s="13">
        <f ca="1">IFERROR(__xludf.DUMMYFUNCTION("""COMPUTED_VALUE"""),44828)</f>
        <v>44828</v>
      </c>
      <c r="C50" s="19"/>
      <c r="D50" s="7"/>
    </row>
    <row r="51" spans="1:4" ht="12.5" x14ac:dyDescent="0.25">
      <c r="A51" s="13">
        <f ca="1">IFERROR(__xludf.DUMMYFUNCTION("""COMPUTED_VALUE"""),44829)</f>
        <v>44829</v>
      </c>
      <c r="C51" s="19"/>
      <c r="D51" s="7"/>
    </row>
    <row r="52" spans="1:4" ht="12.5" x14ac:dyDescent="0.25">
      <c r="A52" s="13">
        <f ca="1">IFERROR(__xludf.DUMMYFUNCTION("""COMPUTED_VALUE"""),44830)</f>
        <v>44830</v>
      </c>
      <c r="C52" s="19"/>
      <c r="D52" s="7"/>
    </row>
    <row r="53" spans="1:4" ht="12.5" x14ac:dyDescent="0.25">
      <c r="A53" s="13">
        <f ca="1">IFERROR(__xludf.DUMMYFUNCTION("""COMPUTED_VALUE"""),44831)</f>
        <v>44831</v>
      </c>
    </row>
    <row r="54" spans="1:4" ht="12.5" x14ac:dyDescent="0.25">
      <c r="A54" s="13">
        <f ca="1">IFERROR(__xludf.DUMMYFUNCTION("""COMPUTED_VALUE"""),44832)</f>
        <v>44832</v>
      </c>
    </row>
    <row r="55" spans="1:4" ht="12.5" x14ac:dyDescent="0.25">
      <c r="A55" s="13">
        <f ca="1">IFERROR(__xludf.DUMMYFUNCTION("""COMPUTED_VALUE"""),44833)</f>
        <v>44833</v>
      </c>
    </row>
    <row r="56" spans="1:4" ht="12.5" x14ac:dyDescent="0.25">
      <c r="A56" s="13">
        <f ca="1">IFERROR(__xludf.DUMMYFUNCTION("""COMPUTED_VALUE"""),44834)</f>
        <v>44834</v>
      </c>
    </row>
    <row r="57" spans="1:4" ht="12.5" x14ac:dyDescent="0.25">
      <c r="A57" s="13">
        <f ca="1">IFERROR(__xludf.DUMMYFUNCTION("""COMPUTED_VALUE"""),44835)</f>
        <v>44835</v>
      </c>
    </row>
    <row r="58" spans="1:4" ht="12.5" x14ac:dyDescent="0.25">
      <c r="A58" s="13">
        <f ca="1">IFERROR(__xludf.DUMMYFUNCTION("""COMPUTED_VALUE"""),44836)</f>
        <v>44836</v>
      </c>
    </row>
    <row r="59" spans="1:4" ht="12.5" x14ac:dyDescent="0.25">
      <c r="A59" s="13">
        <f ca="1">IFERROR(__xludf.DUMMYFUNCTION("""COMPUTED_VALUE"""),44837)</f>
        <v>44837</v>
      </c>
    </row>
    <row r="60" spans="1:4" ht="12.5" x14ac:dyDescent="0.25">
      <c r="A60" s="13">
        <f ca="1">IFERROR(__xludf.DUMMYFUNCTION("""COMPUTED_VALUE"""),44838)</f>
        <v>44838</v>
      </c>
    </row>
    <row r="61" spans="1:4" ht="12.5" x14ac:dyDescent="0.25">
      <c r="A61" s="13">
        <f ca="1">IFERROR(__xludf.DUMMYFUNCTION("""COMPUTED_VALUE"""),44839)</f>
        <v>44839</v>
      </c>
    </row>
    <row r="62" spans="1:4" ht="12.5" x14ac:dyDescent="0.25">
      <c r="A62" s="13">
        <f ca="1">IFERROR(__xludf.DUMMYFUNCTION("""COMPUTED_VALUE"""),44840)</f>
        <v>44840</v>
      </c>
    </row>
    <row r="63" spans="1:4" ht="12.5" x14ac:dyDescent="0.25">
      <c r="A63" s="13">
        <f ca="1">IFERROR(__xludf.DUMMYFUNCTION("""COMPUTED_VALUE"""),44841)</f>
        <v>44841</v>
      </c>
    </row>
    <row r="64" spans="1:4" ht="12.5" x14ac:dyDescent="0.25">
      <c r="A64" s="13">
        <f ca="1">IFERROR(__xludf.DUMMYFUNCTION("""COMPUTED_VALUE"""),44842)</f>
        <v>44842</v>
      </c>
    </row>
    <row r="65" spans="1:1" ht="12.5" x14ac:dyDescent="0.25">
      <c r="A65" s="13">
        <f ca="1">IFERROR(__xludf.DUMMYFUNCTION("""COMPUTED_VALUE"""),44843)</f>
        <v>44843</v>
      </c>
    </row>
    <row r="66" spans="1:1" ht="12.5" x14ac:dyDescent="0.25">
      <c r="A66" s="13">
        <f ca="1">IFERROR(__xludf.DUMMYFUNCTION("""COMPUTED_VALUE"""),44844)</f>
        <v>44844</v>
      </c>
    </row>
    <row r="67" spans="1:1" ht="12.5" x14ac:dyDescent="0.25">
      <c r="A67" s="13">
        <f ca="1">IFERROR(__xludf.DUMMYFUNCTION("""COMPUTED_VALUE"""),44845)</f>
        <v>44845</v>
      </c>
    </row>
    <row r="68" spans="1:1" ht="12.5" x14ac:dyDescent="0.25">
      <c r="A68" s="13">
        <f ca="1">IFERROR(__xludf.DUMMYFUNCTION("""COMPUTED_VALUE"""),44846)</f>
        <v>44846</v>
      </c>
    </row>
    <row r="69" spans="1:1" ht="12.5" x14ac:dyDescent="0.25">
      <c r="A69" s="13">
        <f ca="1">IFERROR(__xludf.DUMMYFUNCTION("""COMPUTED_VALUE"""),44847)</f>
        <v>44847</v>
      </c>
    </row>
    <row r="70" spans="1:1" ht="12.5" x14ac:dyDescent="0.25">
      <c r="A70" s="13">
        <f ca="1">IFERROR(__xludf.DUMMYFUNCTION("""COMPUTED_VALUE"""),44848)</f>
        <v>44848</v>
      </c>
    </row>
    <row r="71" spans="1:1" ht="12.5" x14ac:dyDescent="0.25">
      <c r="A71" s="13">
        <f ca="1">IFERROR(__xludf.DUMMYFUNCTION("""COMPUTED_VALUE"""),44849)</f>
        <v>44849</v>
      </c>
    </row>
    <row r="72" spans="1:1" ht="12.5" x14ac:dyDescent="0.25">
      <c r="A72" s="13">
        <f ca="1">IFERROR(__xludf.DUMMYFUNCTION("""COMPUTED_VALUE"""),44850)</f>
        <v>44850</v>
      </c>
    </row>
    <row r="73" spans="1:1" ht="12.5" x14ac:dyDescent="0.25">
      <c r="A73" s="13">
        <f ca="1">IFERROR(__xludf.DUMMYFUNCTION("""COMPUTED_VALUE"""),44851)</f>
        <v>44851</v>
      </c>
    </row>
    <row r="74" spans="1:1" ht="12.5" x14ac:dyDescent="0.25">
      <c r="A74" s="13">
        <f ca="1">IFERROR(__xludf.DUMMYFUNCTION("""COMPUTED_VALUE"""),44852)</f>
        <v>44852</v>
      </c>
    </row>
    <row r="75" spans="1:1" ht="12.5" x14ac:dyDescent="0.25">
      <c r="A75" s="13">
        <f ca="1">IFERROR(__xludf.DUMMYFUNCTION("""COMPUTED_VALUE"""),44853)</f>
        <v>44853</v>
      </c>
    </row>
    <row r="76" spans="1:1" ht="12.5" x14ac:dyDescent="0.25">
      <c r="A76" s="13">
        <f ca="1">IFERROR(__xludf.DUMMYFUNCTION("""COMPUTED_VALUE"""),44854)</f>
        <v>44854</v>
      </c>
    </row>
    <row r="77" spans="1:1" ht="12.5" x14ac:dyDescent="0.25">
      <c r="A77" s="13">
        <f ca="1">IFERROR(__xludf.DUMMYFUNCTION("""COMPUTED_VALUE"""),44855)</f>
        <v>44855</v>
      </c>
    </row>
    <row r="78" spans="1:1" ht="12.5" x14ac:dyDescent="0.25">
      <c r="A78" s="13">
        <f ca="1">IFERROR(__xludf.DUMMYFUNCTION("""COMPUTED_VALUE"""),44856)</f>
        <v>44856</v>
      </c>
    </row>
    <row r="79" spans="1:1" ht="12.5" x14ac:dyDescent="0.25">
      <c r="A79" s="13">
        <f ca="1">IFERROR(__xludf.DUMMYFUNCTION("""COMPUTED_VALUE"""),44857)</f>
        <v>44857</v>
      </c>
    </row>
    <row r="80" spans="1:1" ht="12.5" x14ac:dyDescent="0.25">
      <c r="A80" s="13">
        <f ca="1">IFERROR(__xludf.DUMMYFUNCTION("""COMPUTED_VALUE"""),44858)</f>
        <v>44858</v>
      </c>
    </row>
    <row r="81" spans="1:1" ht="12.5" x14ac:dyDescent="0.25">
      <c r="A81" s="13">
        <f ca="1">IFERROR(__xludf.DUMMYFUNCTION("""COMPUTED_VALUE"""),44859)</f>
        <v>44859</v>
      </c>
    </row>
    <row r="82" spans="1:1" ht="12.5" x14ac:dyDescent="0.25">
      <c r="A82" s="13">
        <f ca="1">IFERROR(__xludf.DUMMYFUNCTION("""COMPUTED_VALUE"""),44860)</f>
        <v>44860</v>
      </c>
    </row>
    <row r="83" spans="1:1" ht="12.5" x14ac:dyDescent="0.25">
      <c r="A83" s="13">
        <f ca="1">IFERROR(__xludf.DUMMYFUNCTION("""COMPUTED_VALUE"""),44861)</f>
        <v>44861</v>
      </c>
    </row>
    <row r="84" spans="1:1" ht="12.5" x14ac:dyDescent="0.25">
      <c r="A84" s="13">
        <f ca="1">IFERROR(__xludf.DUMMYFUNCTION("""COMPUTED_VALUE"""),44862)</f>
        <v>44862</v>
      </c>
    </row>
    <row r="85" spans="1:1" ht="12.5" x14ac:dyDescent="0.25">
      <c r="A85" s="13">
        <f ca="1">IFERROR(__xludf.DUMMYFUNCTION("""COMPUTED_VALUE"""),44864)</f>
        <v>44864</v>
      </c>
    </row>
    <row r="86" spans="1:1" ht="12.5" x14ac:dyDescent="0.25">
      <c r="A86" s="13">
        <f ca="1">IFERROR(__xludf.DUMMYFUNCTION("""COMPUTED_VALUE"""),44865)</f>
        <v>44865</v>
      </c>
    </row>
    <row r="87" spans="1:1" ht="12.5" x14ac:dyDescent="0.25">
      <c r="A87" s="13">
        <f ca="1">IFERROR(__xludf.DUMMYFUNCTION("""COMPUTED_VALUE"""),44866)</f>
        <v>44866</v>
      </c>
    </row>
    <row r="88" spans="1:1" ht="12.5" x14ac:dyDescent="0.25">
      <c r="A88" s="13">
        <f ca="1">IFERROR(__xludf.DUMMYFUNCTION("""COMPUTED_VALUE"""),44867)</f>
        <v>44867</v>
      </c>
    </row>
    <row r="89" spans="1:1" ht="12.5" x14ac:dyDescent="0.25">
      <c r="A89" s="13">
        <f ca="1">IFERROR(__xludf.DUMMYFUNCTION("""COMPUTED_VALUE"""),44868)</f>
        <v>44868</v>
      </c>
    </row>
    <row r="90" spans="1:1" ht="12.5" x14ac:dyDescent="0.25">
      <c r="A90" s="13">
        <f ca="1">IFERROR(__xludf.DUMMYFUNCTION("""COMPUTED_VALUE"""),44869)</f>
        <v>44869</v>
      </c>
    </row>
    <row r="91" spans="1:1" ht="12.5" x14ac:dyDescent="0.25">
      <c r="A91" s="13">
        <f ca="1">IFERROR(__xludf.DUMMYFUNCTION("""COMPUTED_VALUE"""),44870)</f>
        <v>44870</v>
      </c>
    </row>
    <row r="92" spans="1:1" ht="12.5" x14ac:dyDescent="0.25">
      <c r="A92" s="13">
        <f ca="1">IFERROR(__xludf.DUMMYFUNCTION("""COMPUTED_VALUE"""),44873)</f>
        <v>44873</v>
      </c>
    </row>
    <row r="93" spans="1:1" ht="12.5" x14ac:dyDescent="0.25">
      <c r="A93" s="13">
        <f ca="1">IFERROR(__xludf.DUMMYFUNCTION("""COMPUTED_VALUE"""),44874)</f>
        <v>44874</v>
      </c>
    </row>
    <row r="94" spans="1:1" ht="12.5" x14ac:dyDescent="0.25">
      <c r="A94" s="13">
        <f ca="1">IFERROR(__xludf.DUMMYFUNCTION("""COMPUTED_VALUE"""),44875)</f>
        <v>44875</v>
      </c>
    </row>
    <row r="95" spans="1:1" ht="12.5" x14ac:dyDescent="0.25">
      <c r="A95" s="13">
        <f ca="1">IFERROR(__xludf.DUMMYFUNCTION("""COMPUTED_VALUE"""),44877)</f>
        <v>44877</v>
      </c>
    </row>
    <row r="96" spans="1:1" ht="12.5" x14ac:dyDescent="0.25">
      <c r="A96" s="13">
        <f ca="1">IFERROR(__xludf.DUMMYFUNCTION("""COMPUTED_VALUE"""),44878)</f>
        <v>44878</v>
      </c>
    </row>
    <row r="97" spans="1:1" ht="12.5" x14ac:dyDescent="0.25">
      <c r="A97" s="13">
        <f ca="1">IFERROR(__xludf.DUMMYFUNCTION("""COMPUTED_VALUE"""),44879)</f>
        <v>44879</v>
      </c>
    </row>
    <row r="98" spans="1:1" ht="12.5" x14ac:dyDescent="0.25">
      <c r="A98" s="13">
        <f ca="1">IFERROR(__xludf.DUMMYFUNCTION("""COMPUTED_VALUE"""),44880)</f>
        <v>44880</v>
      </c>
    </row>
    <row r="99" spans="1:1" ht="12.5" x14ac:dyDescent="0.25">
      <c r="A99" s="13">
        <f ca="1">IFERROR(__xludf.DUMMYFUNCTION("""COMPUTED_VALUE"""),44882)</f>
        <v>44882</v>
      </c>
    </row>
    <row r="100" spans="1:1" ht="12.5" x14ac:dyDescent="0.25">
      <c r="A100" s="13">
        <f ca="1">IFERROR(__xludf.DUMMYFUNCTION("""COMPUTED_VALUE"""),44883)</f>
        <v>44883</v>
      </c>
    </row>
    <row r="101" spans="1:1" ht="12.5" x14ac:dyDescent="0.25">
      <c r="A101" s="13">
        <f ca="1">IFERROR(__xludf.DUMMYFUNCTION("""COMPUTED_VALUE"""),44885)</f>
        <v>44885</v>
      </c>
    </row>
    <row r="102" spans="1:1" ht="12.5" x14ac:dyDescent="0.25">
      <c r="A102" s="13">
        <f ca="1">IFERROR(__xludf.DUMMYFUNCTION("""COMPUTED_VALUE"""),44887)</f>
        <v>44887</v>
      </c>
    </row>
    <row r="103" spans="1:1" ht="12.5" x14ac:dyDescent="0.25">
      <c r="A103" s="13">
        <f ca="1">IFERROR(__xludf.DUMMYFUNCTION("""COMPUTED_VALUE"""),44888)</f>
        <v>44888</v>
      </c>
    </row>
    <row r="104" spans="1:1" ht="12.5" x14ac:dyDescent="0.25">
      <c r="A104" s="13">
        <f ca="1">IFERROR(__xludf.DUMMYFUNCTION("""COMPUTED_VALUE"""),44889)</f>
        <v>44889</v>
      </c>
    </row>
    <row r="105" spans="1:1" ht="12.5" x14ac:dyDescent="0.25">
      <c r="A105" s="13">
        <f ca="1">IFERROR(__xludf.DUMMYFUNCTION("""COMPUTED_VALUE"""),44893)</f>
        <v>44893</v>
      </c>
    </row>
    <row r="106" spans="1:1" ht="12.5" x14ac:dyDescent="0.25">
      <c r="A106" s="13"/>
    </row>
    <row r="107" spans="1:1" ht="12.5" x14ac:dyDescent="0.25">
      <c r="A107" s="13"/>
    </row>
    <row r="108" spans="1:1" ht="12.5" x14ac:dyDescent="0.25">
      <c r="A108" s="13"/>
    </row>
    <row r="109" spans="1:1" ht="12.5" x14ac:dyDescent="0.25">
      <c r="A109" s="13"/>
    </row>
    <row r="110" spans="1:1" ht="12.5" x14ac:dyDescent="0.25">
      <c r="A110" s="13"/>
    </row>
    <row r="111" spans="1:1" ht="12.5" x14ac:dyDescent="0.25">
      <c r="A111" s="13"/>
    </row>
    <row r="112" spans="1:1" ht="12.5" x14ac:dyDescent="0.25">
      <c r="A112" s="13"/>
    </row>
    <row r="113" spans="1:1" ht="12.5" x14ac:dyDescent="0.25">
      <c r="A113" s="13"/>
    </row>
    <row r="114" spans="1:1" ht="12.5" x14ac:dyDescent="0.25">
      <c r="A114" s="13"/>
    </row>
    <row r="115" spans="1:1" ht="12.5" x14ac:dyDescent="0.25">
      <c r="A115" s="13"/>
    </row>
    <row r="116" spans="1:1" ht="12.5" x14ac:dyDescent="0.25">
      <c r="A116" s="13"/>
    </row>
    <row r="117" spans="1:1" ht="12.5" x14ac:dyDescent="0.25">
      <c r="A117" s="13"/>
    </row>
    <row r="118" spans="1:1" ht="12.5" x14ac:dyDescent="0.25">
      <c r="A118" s="13"/>
    </row>
    <row r="119" spans="1:1" ht="12.5" x14ac:dyDescent="0.25">
      <c r="A119" s="13"/>
    </row>
    <row r="120" spans="1:1" ht="12.5" x14ac:dyDescent="0.25">
      <c r="A120" s="13"/>
    </row>
    <row r="121" spans="1:1" ht="12.5" x14ac:dyDescent="0.25">
      <c r="A121" s="13"/>
    </row>
    <row r="122" spans="1:1" ht="12.5" x14ac:dyDescent="0.25">
      <c r="A122" s="13"/>
    </row>
    <row r="123" spans="1:1" ht="12.5" x14ac:dyDescent="0.25">
      <c r="A123" s="13"/>
    </row>
    <row r="124" spans="1:1" ht="12.5" x14ac:dyDescent="0.25">
      <c r="A124" s="13"/>
    </row>
    <row r="125" spans="1:1" ht="12.5" x14ac:dyDescent="0.25">
      <c r="A125" s="13"/>
    </row>
    <row r="126" spans="1:1" ht="12.5" x14ac:dyDescent="0.25">
      <c r="A126" s="13"/>
    </row>
    <row r="127" spans="1:1" ht="12.5" x14ac:dyDescent="0.25">
      <c r="A127" s="13"/>
    </row>
    <row r="128" spans="1:1" ht="12.5" x14ac:dyDescent="0.25">
      <c r="A128" s="13"/>
    </row>
    <row r="129" spans="1:1" ht="12.5" x14ac:dyDescent="0.25">
      <c r="A129" s="13"/>
    </row>
    <row r="130" spans="1:1" ht="12.5" x14ac:dyDescent="0.25">
      <c r="A130" s="13"/>
    </row>
    <row r="131" spans="1:1" ht="12.5" x14ac:dyDescent="0.25">
      <c r="A131" s="13"/>
    </row>
    <row r="132" spans="1:1" ht="12.5" x14ac:dyDescent="0.25">
      <c r="A132" s="13"/>
    </row>
    <row r="133" spans="1:1" ht="12.5" x14ac:dyDescent="0.25">
      <c r="A133" s="13"/>
    </row>
    <row r="134" spans="1:1" ht="12.5" x14ac:dyDescent="0.25">
      <c r="A134" s="13"/>
    </row>
    <row r="135" spans="1:1" ht="12.5" x14ac:dyDescent="0.25">
      <c r="A135" s="13"/>
    </row>
    <row r="136" spans="1:1" ht="12.5" x14ac:dyDescent="0.25">
      <c r="A136" s="13"/>
    </row>
    <row r="137" spans="1:1" ht="12.5" x14ac:dyDescent="0.25">
      <c r="A137" s="13"/>
    </row>
    <row r="138" spans="1:1" ht="12.5" x14ac:dyDescent="0.25">
      <c r="A138" s="13"/>
    </row>
    <row r="139" spans="1:1" ht="12.5" x14ac:dyDescent="0.25">
      <c r="A139" s="13"/>
    </row>
    <row r="140" spans="1:1" ht="12.5" x14ac:dyDescent="0.25">
      <c r="A140" s="13"/>
    </row>
    <row r="141" spans="1:1" ht="12.5" x14ac:dyDescent="0.25">
      <c r="A141" s="13"/>
    </row>
    <row r="142" spans="1:1" ht="12.5" x14ac:dyDescent="0.25">
      <c r="A142" s="13"/>
    </row>
    <row r="143" spans="1:1" ht="12.5" x14ac:dyDescent="0.25">
      <c r="A143" s="13"/>
    </row>
    <row r="144" spans="1:1" ht="12.5" x14ac:dyDescent="0.25">
      <c r="A144" s="13"/>
    </row>
    <row r="145" spans="1:1" ht="12.5" x14ac:dyDescent="0.25">
      <c r="A145" s="13"/>
    </row>
    <row r="146" spans="1:1" ht="12.5" x14ac:dyDescent="0.25">
      <c r="A146" s="13"/>
    </row>
    <row r="147" spans="1:1" ht="12.5" x14ac:dyDescent="0.25">
      <c r="A147" s="13"/>
    </row>
    <row r="148" spans="1:1" ht="12.5" x14ac:dyDescent="0.25">
      <c r="A148" s="13"/>
    </row>
    <row r="149" spans="1:1" ht="12.5" x14ac:dyDescent="0.25">
      <c r="A149" s="13"/>
    </row>
    <row r="150" spans="1:1" ht="12.5" x14ac:dyDescent="0.25">
      <c r="A150" s="13"/>
    </row>
    <row r="151" spans="1:1" ht="12.5" x14ac:dyDescent="0.25">
      <c r="A151" s="13"/>
    </row>
    <row r="152" spans="1:1" ht="12.5" x14ac:dyDescent="0.25">
      <c r="A152" s="13"/>
    </row>
    <row r="153" spans="1:1" ht="12.5" x14ac:dyDescent="0.25">
      <c r="A153" s="13"/>
    </row>
    <row r="154" spans="1:1" ht="12.5" x14ac:dyDescent="0.25">
      <c r="A154" s="13"/>
    </row>
    <row r="155" spans="1:1" ht="12.5" x14ac:dyDescent="0.25">
      <c r="A155" s="13"/>
    </row>
    <row r="156" spans="1:1" ht="12.5" x14ac:dyDescent="0.25">
      <c r="A156" s="13"/>
    </row>
    <row r="157" spans="1:1" ht="12.5" x14ac:dyDescent="0.25">
      <c r="A157" s="13"/>
    </row>
    <row r="158" spans="1:1" ht="12.5" x14ac:dyDescent="0.25">
      <c r="A158" s="13"/>
    </row>
    <row r="159" spans="1:1" ht="12.5" x14ac:dyDescent="0.25">
      <c r="A159" s="13"/>
    </row>
    <row r="160" spans="1:1" ht="12.5" x14ac:dyDescent="0.25">
      <c r="A160" s="13"/>
    </row>
    <row r="161" spans="1:1" ht="12.5" x14ac:dyDescent="0.25">
      <c r="A161" s="13"/>
    </row>
    <row r="162" spans="1:1" ht="12.5" x14ac:dyDescent="0.25">
      <c r="A162" s="13"/>
    </row>
    <row r="163" spans="1:1" ht="12.5" x14ac:dyDescent="0.25">
      <c r="A163" s="13"/>
    </row>
    <row r="164" spans="1:1" ht="12.5" x14ac:dyDescent="0.25">
      <c r="A164" s="13"/>
    </row>
    <row r="165" spans="1:1" ht="12.5" x14ac:dyDescent="0.25">
      <c r="A165" s="13"/>
    </row>
    <row r="166" spans="1:1" ht="12.5" x14ac:dyDescent="0.25">
      <c r="A166" s="13"/>
    </row>
    <row r="167" spans="1:1" ht="12.5" x14ac:dyDescent="0.25">
      <c r="A167" s="13"/>
    </row>
    <row r="168" spans="1:1" ht="12.5" x14ac:dyDescent="0.25">
      <c r="A168" s="13"/>
    </row>
    <row r="169" spans="1:1" ht="12.5" x14ac:dyDescent="0.25">
      <c r="A169" s="13"/>
    </row>
    <row r="170" spans="1:1" ht="12.5" x14ac:dyDescent="0.25">
      <c r="A170" s="13"/>
    </row>
    <row r="171" spans="1:1" ht="12.5" x14ac:dyDescent="0.25">
      <c r="A171" s="13"/>
    </row>
    <row r="172" spans="1:1" ht="12.5" x14ac:dyDescent="0.25">
      <c r="A172" s="13"/>
    </row>
    <row r="173" spans="1:1" ht="12.5" x14ac:dyDescent="0.25">
      <c r="A173" s="13"/>
    </row>
    <row r="174" spans="1:1" ht="12.5" x14ac:dyDescent="0.25">
      <c r="A174" s="13"/>
    </row>
    <row r="175" spans="1:1" ht="12.5" x14ac:dyDescent="0.25">
      <c r="A175" s="13"/>
    </row>
    <row r="176" spans="1:1" ht="12.5" x14ac:dyDescent="0.25">
      <c r="A176" s="13"/>
    </row>
    <row r="177" spans="1:1" ht="12.5" x14ac:dyDescent="0.25">
      <c r="A177" s="13"/>
    </row>
    <row r="178" spans="1:1" ht="12.5" x14ac:dyDescent="0.25">
      <c r="A178" s="13"/>
    </row>
    <row r="179" spans="1:1" ht="12.5" x14ac:dyDescent="0.25">
      <c r="A179" s="13"/>
    </row>
    <row r="180" spans="1:1" ht="12.5" x14ac:dyDescent="0.25">
      <c r="A180" s="13"/>
    </row>
    <row r="181" spans="1:1" ht="12.5" x14ac:dyDescent="0.25">
      <c r="A181" s="13"/>
    </row>
    <row r="182" spans="1:1" ht="12.5" x14ac:dyDescent="0.25">
      <c r="A182" s="13"/>
    </row>
    <row r="183" spans="1:1" ht="12.5" x14ac:dyDescent="0.25">
      <c r="A183" s="13"/>
    </row>
    <row r="184" spans="1:1" ht="12.5" x14ac:dyDescent="0.25">
      <c r="A184" s="13"/>
    </row>
    <row r="185" spans="1:1" ht="12.5" x14ac:dyDescent="0.25">
      <c r="A185" s="13"/>
    </row>
    <row r="186" spans="1:1" ht="12.5" x14ac:dyDescent="0.25">
      <c r="A186" s="13"/>
    </row>
    <row r="187" spans="1:1" ht="12.5" x14ac:dyDescent="0.25">
      <c r="A187" s="13"/>
    </row>
    <row r="188" spans="1:1" ht="12.5" x14ac:dyDescent="0.25">
      <c r="A188" s="13"/>
    </row>
    <row r="189" spans="1:1" ht="12.5" x14ac:dyDescent="0.25">
      <c r="A189" s="13"/>
    </row>
    <row r="190" spans="1:1" ht="12.5" x14ac:dyDescent="0.25">
      <c r="A190" s="13"/>
    </row>
    <row r="191" spans="1:1" ht="12.5" x14ac:dyDescent="0.25">
      <c r="A191" s="13"/>
    </row>
    <row r="192" spans="1:1" ht="12.5" x14ac:dyDescent="0.25">
      <c r="A192" s="13"/>
    </row>
    <row r="193" spans="1:1" ht="12.5" x14ac:dyDescent="0.25">
      <c r="A193" s="13"/>
    </row>
    <row r="194" spans="1:1" ht="12.5" x14ac:dyDescent="0.25">
      <c r="A194" s="13"/>
    </row>
    <row r="195" spans="1:1" ht="12.5" x14ac:dyDescent="0.25">
      <c r="A195" s="13"/>
    </row>
    <row r="196" spans="1:1" ht="12.5" x14ac:dyDescent="0.25">
      <c r="A196" s="13"/>
    </row>
    <row r="197" spans="1:1" ht="12.5" x14ac:dyDescent="0.25">
      <c r="A197" s="13"/>
    </row>
    <row r="198" spans="1:1" ht="12.5" x14ac:dyDescent="0.25">
      <c r="A198" s="13"/>
    </row>
    <row r="199" spans="1:1" ht="12.5" x14ac:dyDescent="0.25">
      <c r="A199" s="13"/>
    </row>
    <row r="200" spans="1:1" ht="12.5" x14ac:dyDescent="0.25">
      <c r="A200" s="13"/>
    </row>
    <row r="201" spans="1:1" ht="12.5" x14ac:dyDescent="0.25">
      <c r="A201" s="13"/>
    </row>
    <row r="202" spans="1:1" ht="12.5" x14ac:dyDescent="0.25">
      <c r="A202" s="13"/>
    </row>
    <row r="203" spans="1:1" ht="12.5" x14ac:dyDescent="0.25">
      <c r="A203" s="13"/>
    </row>
    <row r="204" spans="1:1" ht="12.5" x14ac:dyDescent="0.25">
      <c r="A204" s="13"/>
    </row>
    <row r="205" spans="1:1" ht="12.5" x14ac:dyDescent="0.25">
      <c r="A205" s="13"/>
    </row>
    <row r="206" spans="1:1" ht="12.5" x14ac:dyDescent="0.25">
      <c r="A206" s="13"/>
    </row>
    <row r="207" spans="1:1" ht="12.5" x14ac:dyDescent="0.25">
      <c r="A207" s="13"/>
    </row>
    <row r="208" spans="1:1" ht="12.5" x14ac:dyDescent="0.25">
      <c r="A208" s="13"/>
    </row>
    <row r="209" spans="1:1" ht="12.5" x14ac:dyDescent="0.25">
      <c r="A209" s="13"/>
    </row>
    <row r="210" spans="1:1" ht="12.5" x14ac:dyDescent="0.25">
      <c r="A210" s="13"/>
    </row>
    <row r="211" spans="1:1" ht="12.5" x14ac:dyDescent="0.25">
      <c r="A211" s="13"/>
    </row>
    <row r="212" spans="1:1" ht="12.5" x14ac:dyDescent="0.25">
      <c r="A212" s="13"/>
    </row>
    <row r="213" spans="1:1" ht="12.5" x14ac:dyDescent="0.25">
      <c r="A213" s="13"/>
    </row>
    <row r="214" spans="1:1" ht="12.5" x14ac:dyDescent="0.25">
      <c r="A214" s="13"/>
    </row>
    <row r="215" spans="1:1" ht="12.5" x14ac:dyDescent="0.25">
      <c r="A215" s="13"/>
    </row>
    <row r="216" spans="1:1" ht="12.5" x14ac:dyDescent="0.25">
      <c r="A216" s="13"/>
    </row>
    <row r="217" spans="1:1" ht="12.5" x14ac:dyDescent="0.25">
      <c r="A217" s="13"/>
    </row>
    <row r="218" spans="1:1" ht="12.5" x14ac:dyDescent="0.25">
      <c r="A218" s="13"/>
    </row>
    <row r="219" spans="1:1" ht="12.5" x14ac:dyDescent="0.25">
      <c r="A219" s="13"/>
    </row>
    <row r="220" spans="1:1" ht="12.5" x14ac:dyDescent="0.25">
      <c r="A220" s="13"/>
    </row>
    <row r="221" spans="1:1" ht="12.5" x14ac:dyDescent="0.25">
      <c r="A221" s="13"/>
    </row>
    <row r="222" spans="1:1" ht="12.5" x14ac:dyDescent="0.25">
      <c r="A222" s="13"/>
    </row>
    <row r="223" spans="1:1" ht="12.5" x14ac:dyDescent="0.25">
      <c r="A223" s="13"/>
    </row>
    <row r="224" spans="1:1" ht="12.5" x14ac:dyDescent="0.25">
      <c r="A224" s="13"/>
    </row>
    <row r="225" spans="1:1" ht="12.5" x14ac:dyDescent="0.25">
      <c r="A225" s="13"/>
    </row>
    <row r="226" spans="1:1" ht="12.5" x14ac:dyDescent="0.25">
      <c r="A226" s="13"/>
    </row>
    <row r="227" spans="1:1" ht="12.5" x14ac:dyDescent="0.25">
      <c r="A227" s="13"/>
    </row>
    <row r="228" spans="1:1" ht="12.5" x14ac:dyDescent="0.25">
      <c r="A228" s="13"/>
    </row>
    <row r="229" spans="1:1" ht="12.5" x14ac:dyDescent="0.25">
      <c r="A229" s="13"/>
    </row>
    <row r="230" spans="1:1" ht="12.5" x14ac:dyDescent="0.25">
      <c r="A230" s="13"/>
    </row>
    <row r="231" spans="1:1" ht="12.5" x14ac:dyDescent="0.25">
      <c r="A231" s="13"/>
    </row>
    <row r="232" spans="1:1" ht="12.5" x14ac:dyDescent="0.25">
      <c r="A232" s="13"/>
    </row>
    <row r="233" spans="1:1" ht="12.5" x14ac:dyDescent="0.25">
      <c r="A233" s="13"/>
    </row>
    <row r="234" spans="1:1" ht="12.5" x14ac:dyDescent="0.25">
      <c r="A234" s="13"/>
    </row>
    <row r="235" spans="1:1" ht="12.5" x14ac:dyDescent="0.25">
      <c r="A235" s="13"/>
    </row>
    <row r="236" spans="1:1" ht="12.5" x14ac:dyDescent="0.25">
      <c r="A236" s="13"/>
    </row>
    <row r="237" spans="1:1" ht="12.5" x14ac:dyDescent="0.25">
      <c r="A237" s="13"/>
    </row>
    <row r="238" spans="1:1" ht="12.5" x14ac:dyDescent="0.25">
      <c r="A238" s="13"/>
    </row>
    <row r="239" spans="1:1" ht="12.5" x14ac:dyDescent="0.25">
      <c r="A239" s="13"/>
    </row>
    <row r="240" spans="1:1" ht="12.5" x14ac:dyDescent="0.25">
      <c r="A240" s="13"/>
    </row>
    <row r="241" spans="1:1" ht="12.5" x14ac:dyDescent="0.25">
      <c r="A241" s="13"/>
    </row>
    <row r="242" spans="1:1" ht="12.5" x14ac:dyDescent="0.25">
      <c r="A242" s="13"/>
    </row>
    <row r="243" spans="1:1" ht="12.5" x14ac:dyDescent="0.25">
      <c r="A243" s="13"/>
    </row>
    <row r="244" spans="1:1" ht="12.5" x14ac:dyDescent="0.25">
      <c r="A244" s="13"/>
    </row>
    <row r="245" spans="1:1" ht="12.5" x14ac:dyDescent="0.25">
      <c r="A245" s="13"/>
    </row>
    <row r="246" spans="1:1" ht="12.5" x14ac:dyDescent="0.25">
      <c r="A246" s="13"/>
    </row>
    <row r="247" spans="1:1" ht="12.5" x14ac:dyDescent="0.25">
      <c r="A247" s="13"/>
    </row>
    <row r="248" spans="1:1" ht="12.5" x14ac:dyDescent="0.25">
      <c r="A248" s="13"/>
    </row>
    <row r="249" spans="1:1" ht="12.5" x14ac:dyDescent="0.25">
      <c r="A249" s="13"/>
    </row>
    <row r="250" spans="1:1" ht="12.5" x14ac:dyDescent="0.25">
      <c r="A250" s="13"/>
    </row>
    <row r="251" spans="1:1" ht="12.5" x14ac:dyDescent="0.25">
      <c r="A251" s="13"/>
    </row>
    <row r="252" spans="1:1" ht="12.5" x14ac:dyDescent="0.25">
      <c r="A252" s="13"/>
    </row>
    <row r="253" spans="1:1" ht="12.5" x14ac:dyDescent="0.25">
      <c r="A253" s="13"/>
    </row>
    <row r="254" spans="1:1" ht="12.5" x14ac:dyDescent="0.25">
      <c r="A254" s="13"/>
    </row>
    <row r="255" spans="1:1" ht="12.5" x14ac:dyDescent="0.25">
      <c r="A255" s="13"/>
    </row>
    <row r="256" spans="1:1" ht="12.5" x14ac:dyDescent="0.25">
      <c r="A256" s="13"/>
    </row>
    <row r="257" spans="1:1" ht="12.5" x14ac:dyDescent="0.25">
      <c r="A257" s="13"/>
    </row>
    <row r="258" spans="1:1" ht="12.5" x14ac:dyDescent="0.25">
      <c r="A258" s="13"/>
    </row>
    <row r="259" spans="1:1" ht="12.5" x14ac:dyDescent="0.25">
      <c r="A259" s="13"/>
    </row>
    <row r="260" spans="1:1" ht="12.5" x14ac:dyDescent="0.25">
      <c r="A260" s="13"/>
    </row>
    <row r="261" spans="1:1" ht="12.5" x14ac:dyDescent="0.25">
      <c r="A261" s="13"/>
    </row>
    <row r="262" spans="1:1" ht="12.5" x14ac:dyDescent="0.25">
      <c r="A262" s="13"/>
    </row>
    <row r="263" spans="1:1" ht="12.5" x14ac:dyDescent="0.25">
      <c r="A263" s="13"/>
    </row>
    <row r="264" spans="1:1" ht="12.5" x14ac:dyDescent="0.25">
      <c r="A264" s="13"/>
    </row>
    <row r="265" spans="1:1" ht="12.5" x14ac:dyDescent="0.25">
      <c r="A265" s="13"/>
    </row>
    <row r="266" spans="1:1" ht="12.5" x14ac:dyDescent="0.25">
      <c r="A266" s="13"/>
    </row>
    <row r="267" spans="1:1" ht="12.5" x14ac:dyDescent="0.25">
      <c r="A267" s="13"/>
    </row>
    <row r="268" spans="1:1" ht="12.5" x14ac:dyDescent="0.25">
      <c r="A268" s="13"/>
    </row>
    <row r="269" spans="1:1" ht="12.5" x14ac:dyDescent="0.25">
      <c r="A269" s="13"/>
    </row>
    <row r="270" spans="1:1" ht="12.5" x14ac:dyDescent="0.25">
      <c r="A270" s="13"/>
    </row>
    <row r="271" spans="1:1" ht="12.5" x14ac:dyDescent="0.25">
      <c r="A271" s="13"/>
    </row>
    <row r="272" spans="1:1" ht="12.5" x14ac:dyDescent="0.25">
      <c r="A272" s="13"/>
    </row>
    <row r="273" spans="1:1" ht="12.5" x14ac:dyDescent="0.25">
      <c r="A273" s="13"/>
    </row>
    <row r="274" spans="1:1" ht="12.5" x14ac:dyDescent="0.25">
      <c r="A274" s="13"/>
    </row>
    <row r="275" spans="1:1" ht="12.5" x14ac:dyDescent="0.25">
      <c r="A275" s="13"/>
    </row>
    <row r="276" spans="1:1" ht="12.5" x14ac:dyDescent="0.25">
      <c r="A276" s="13"/>
    </row>
    <row r="277" spans="1:1" ht="12.5" x14ac:dyDescent="0.25">
      <c r="A277" s="13"/>
    </row>
    <row r="278" spans="1:1" ht="12.5" x14ac:dyDescent="0.25">
      <c r="A278" s="13"/>
    </row>
    <row r="279" spans="1:1" ht="12.5" x14ac:dyDescent="0.25">
      <c r="A279" s="13"/>
    </row>
    <row r="280" spans="1:1" ht="12.5" x14ac:dyDescent="0.25">
      <c r="A280" s="13"/>
    </row>
    <row r="281" spans="1:1" ht="12.5" x14ac:dyDescent="0.25">
      <c r="A281" s="13"/>
    </row>
    <row r="282" spans="1:1" ht="12.5" x14ac:dyDescent="0.25">
      <c r="A282" s="13"/>
    </row>
    <row r="283" spans="1:1" ht="12.5" x14ac:dyDescent="0.25">
      <c r="A283" s="13"/>
    </row>
    <row r="284" spans="1:1" ht="12.5" x14ac:dyDescent="0.25">
      <c r="A284" s="13"/>
    </row>
    <row r="285" spans="1:1" ht="12.5" x14ac:dyDescent="0.25">
      <c r="A285" s="13"/>
    </row>
    <row r="286" spans="1:1" ht="12.5" x14ac:dyDescent="0.25">
      <c r="A286" s="13"/>
    </row>
    <row r="287" spans="1:1" ht="12.5" x14ac:dyDescent="0.25">
      <c r="A287" s="13"/>
    </row>
    <row r="288" spans="1:1" ht="12.5" x14ac:dyDescent="0.25">
      <c r="A288" s="13"/>
    </row>
    <row r="289" spans="1:1" ht="12.5" x14ac:dyDescent="0.25">
      <c r="A289" s="13"/>
    </row>
    <row r="290" spans="1:1" ht="12.5" x14ac:dyDescent="0.25">
      <c r="A290" s="13"/>
    </row>
    <row r="291" spans="1:1" ht="12.5" x14ac:dyDescent="0.25">
      <c r="A291" s="13"/>
    </row>
    <row r="292" spans="1:1" ht="12.5" x14ac:dyDescent="0.25">
      <c r="A292" s="13"/>
    </row>
    <row r="293" spans="1:1" ht="12.5" x14ac:dyDescent="0.25">
      <c r="A293" s="13"/>
    </row>
    <row r="294" spans="1:1" ht="12.5" x14ac:dyDescent="0.25">
      <c r="A294" s="13"/>
    </row>
    <row r="295" spans="1:1" ht="12.5" x14ac:dyDescent="0.25">
      <c r="A295" s="13"/>
    </row>
    <row r="296" spans="1:1" ht="12.5" x14ac:dyDescent="0.25">
      <c r="A296" s="13"/>
    </row>
    <row r="297" spans="1:1" ht="12.5" x14ac:dyDescent="0.25">
      <c r="A297" s="13"/>
    </row>
    <row r="298" spans="1:1" ht="12.5" x14ac:dyDescent="0.25">
      <c r="A298" s="13"/>
    </row>
    <row r="299" spans="1:1" ht="12.5" x14ac:dyDescent="0.25">
      <c r="A299" s="13"/>
    </row>
    <row r="300" spans="1:1" ht="12.5" x14ac:dyDescent="0.25">
      <c r="A300" s="13"/>
    </row>
    <row r="301" spans="1:1" ht="12.5" x14ac:dyDescent="0.25">
      <c r="A301" s="13"/>
    </row>
    <row r="302" spans="1:1" ht="12.5" x14ac:dyDescent="0.25">
      <c r="A302" s="13"/>
    </row>
    <row r="303" spans="1:1" ht="12.5" x14ac:dyDescent="0.25">
      <c r="A303" s="13"/>
    </row>
    <row r="304" spans="1:1" ht="12.5" x14ac:dyDescent="0.25">
      <c r="A304" s="13"/>
    </row>
    <row r="305" spans="1:1" ht="12.5" x14ac:dyDescent="0.25">
      <c r="A305" s="13"/>
    </row>
    <row r="306" spans="1:1" ht="12.5" x14ac:dyDescent="0.25">
      <c r="A306" s="13"/>
    </row>
    <row r="307" spans="1:1" ht="12.5" x14ac:dyDescent="0.25">
      <c r="A307" s="13"/>
    </row>
    <row r="308" spans="1:1" ht="12.5" x14ac:dyDescent="0.25">
      <c r="A308" s="13"/>
    </row>
    <row r="309" spans="1:1" ht="12.5" x14ac:dyDescent="0.25">
      <c r="A309" s="13"/>
    </row>
    <row r="310" spans="1:1" ht="12.5" x14ac:dyDescent="0.25">
      <c r="A310" s="13"/>
    </row>
    <row r="311" spans="1:1" ht="12.5" x14ac:dyDescent="0.25">
      <c r="A311" s="13"/>
    </row>
    <row r="312" spans="1:1" ht="12.5" x14ac:dyDescent="0.25">
      <c r="A312" s="13"/>
    </row>
    <row r="313" spans="1:1" ht="12.5" x14ac:dyDescent="0.25">
      <c r="A313" s="13"/>
    </row>
    <row r="314" spans="1:1" ht="12.5" x14ac:dyDescent="0.25">
      <c r="A314" s="13"/>
    </row>
    <row r="315" spans="1:1" ht="12.5" x14ac:dyDescent="0.25">
      <c r="A315" s="13"/>
    </row>
    <row r="316" spans="1:1" ht="12.5" x14ac:dyDescent="0.25">
      <c r="A316" s="13"/>
    </row>
    <row r="317" spans="1:1" ht="12.5" x14ac:dyDescent="0.25">
      <c r="A317" s="13"/>
    </row>
    <row r="318" spans="1:1" ht="12.5" x14ac:dyDescent="0.25">
      <c r="A318" s="13"/>
    </row>
    <row r="319" spans="1:1" ht="12.5" x14ac:dyDescent="0.25">
      <c r="A319" s="13"/>
    </row>
    <row r="320" spans="1:1" ht="12.5" x14ac:dyDescent="0.25">
      <c r="A320" s="13"/>
    </row>
    <row r="321" spans="1:1" ht="12.5" x14ac:dyDescent="0.25">
      <c r="A321" s="13"/>
    </row>
    <row r="322" spans="1:1" ht="12.5" x14ac:dyDescent="0.25">
      <c r="A322" s="13"/>
    </row>
    <row r="323" spans="1:1" ht="12.5" x14ac:dyDescent="0.25">
      <c r="A323" s="13"/>
    </row>
    <row r="324" spans="1:1" ht="12.5" x14ac:dyDescent="0.25">
      <c r="A324" s="13"/>
    </row>
    <row r="325" spans="1:1" ht="12.5" x14ac:dyDescent="0.25">
      <c r="A325" s="13"/>
    </row>
    <row r="326" spans="1:1" ht="12.5" x14ac:dyDescent="0.25">
      <c r="A326" s="13"/>
    </row>
    <row r="327" spans="1:1" ht="12.5" x14ac:dyDescent="0.25">
      <c r="A327" s="13"/>
    </row>
    <row r="328" spans="1:1" ht="12.5" x14ac:dyDescent="0.25">
      <c r="A328" s="13"/>
    </row>
    <row r="329" spans="1:1" ht="12.5" x14ac:dyDescent="0.25">
      <c r="A329" s="13"/>
    </row>
    <row r="330" spans="1:1" ht="12.5" x14ac:dyDescent="0.25">
      <c r="A330" s="13"/>
    </row>
    <row r="331" spans="1:1" ht="12.5" x14ac:dyDescent="0.25">
      <c r="A331" s="13"/>
    </row>
    <row r="332" spans="1:1" ht="12.5" x14ac:dyDescent="0.25">
      <c r="A332" s="13"/>
    </row>
    <row r="333" spans="1:1" ht="12.5" x14ac:dyDescent="0.25">
      <c r="A333" s="13"/>
    </row>
    <row r="334" spans="1:1" ht="12.5" x14ac:dyDescent="0.25">
      <c r="A334" s="13"/>
    </row>
    <row r="335" spans="1:1" ht="12.5" x14ac:dyDescent="0.25">
      <c r="A335" s="13"/>
    </row>
    <row r="336" spans="1:1" ht="12.5" x14ac:dyDescent="0.25">
      <c r="A336" s="13"/>
    </row>
    <row r="337" spans="1:1" ht="12.5" x14ac:dyDescent="0.25">
      <c r="A337" s="13"/>
    </row>
    <row r="338" spans="1:1" ht="12.5" x14ac:dyDescent="0.25">
      <c r="A338" s="13"/>
    </row>
    <row r="339" spans="1:1" ht="12.5" x14ac:dyDescent="0.25">
      <c r="A339" s="13"/>
    </row>
    <row r="340" spans="1:1" ht="12.5" x14ac:dyDescent="0.25">
      <c r="A340" s="13"/>
    </row>
    <row r="341" spans="1:1" ht="12.5" x14ac:dyDescent="0.25">
      <c r="A341" s="13"/>
    </row>
    <row r="342" spans="1:1" ht="12.5" x14ac:dyDescent="0.25">
      <c r="A342" s="13"/>
    </row>
    <row r="343" spans="1:1" ht="12.5" x14ac:dyDescent="0.25">
      <c r="A343" s="13"/>
    </row>
    <row r="344" spans="1:1" ht="12.5" x14ac:dyDescent="0.25">
      <c r="A344" s="13"/>
    </row>
    <row r="345" spans="1:1" ht="12.5" x14ac:dyDescent="0.25">
      <c r="A345" s="13"/>
    </row>
    <row r="346" spans="1:1" ht="12.5" x14ac:dyDescent="0.25">
      <c r="A346" s="13"/>
    </row>
    <row r="347" spans="1:1" ht="12.5" x14ac:dyDescent="0.25">
      <c r="A347" s="13"/>
    </row>
    <row r="348" spans="1:1" ht="12.5" x14ac:dyDescent="0.25">
      <c r="A348" s="13"/>
    </row>
    <row r="349" spans="1:1" ht="12.5" x14ac:dyDescent="0.25">
      <c r="A349" s="13"/>
    </row>
    <row r="350" spans="1:1" ht="12.5" x14ac:dyDescent="0.25">
      <c r="A350" s="13"/>
    </row>
    <row r="351" spans="1:1" ht="12.5" x14ac:dyDescent="0.25">
      <c r="A351" s="13"/>
    </row>
    <row r="352" spans="1:1" ht="12.5" x14ac:dyDescent="0.25">
      <c r="A352" s="13"/>
    </row>
    <row r="353" spans="1:1" ht="12.5" x14ac:dyDescent="0.25">
      <c r="A353" s="13"/>
    </row>
    <row r="354" spans="1:1" ht="12.5" x14ac:dyDescent="0.25">
      <c r="A354" s="13"/>
    </row>
    <row r="355" spans="1:1" ht="12.5" x14ac:dyDescent="0.25">
      <c r="A355" s="13"/>
    </row>
    <row r="356" spans="1:1" ht="12.5" x14ac:dyDescent="0.25">
      <c r="A356" s="13"/>
    </row>
    <row r="357" spans="1:1" ht="12.5" x14ac:dyDescent="0.25">
      <c r="A357" s="13"/>
    </row>
    <row r="358" spans="1:1" ht="12.5" x14ac:dyDescent="0.25">
      <c r="A358" s="13"/>
    </row>
    <row r="359" spans="1:1" ht="12.5" x14ac:dyDescent="0.25">
      <c r="A359" s="13"/>
    </row>
    <row r="360" spans="1:1" ht="12.5" x14ac:dyDescent="0.25">
      <c r="A360" s="13"/>
    </row>
    <row r="361" spans="1:1" ht="12.5" x14ac:dyDescent="0.25">
      <c r="A361" s="13"/>
    </row>
    <row r="362" spans="1:1" ht="12.5" x14ac:dyDescent="0.25">
      <c r="A362" s="13"/>
    </row>
    <row r="363" spans="1:1" ht="12.5" x14ac:dyDescent="0.25">
      <c r="A363" s="13"/>
    </row>
    <row r="364" spans="1:1" ht="12.5" x14ac:dyDescent="0.25">
      <c r="A364" s="13"/>
    </row>
    <row r="365" spans="1:1" ht="12.5" x14ac:dyDescent="0.25">
      <c r="A365" s="13"/>
    </row>
    <row r="366" spans="1:1" ht="12.5" x14ac:dyDescent="0.25">
      <c r="A366" s="13"/>
    </row>
    <row r="367" spans="1:1" ht="12.5" x14ac:dyDescent="0.25">
      <c r="A367" s="13"/>
    </row>
    <row r="368" spans="1:1" ht="12.5" x14ac:dyDescent="0.25">
      <c r="A368" s="13"/>
    </row>
    <row r="369" spans="1:1" ht="12.5" x14ac:dyDescent="0.25">
      <c r="A369" s="13"/>
    </row>
    <row r="370" spans="1:1" ht="12.5" x14ac:dyDescent="0.25">
      <c r="A370" s="13"/>
    </row>
    <row r="371" spans="1:1" ht="12.5" x14ac:dyDescent="0.25">
      <c r="A371" s="13"/>
    </row>
    <row r="372" spans="1:1" ht="12.5" x14ac:dyDescent="0.25">
      <c r="A372" s="13"/>
    </row>
    <row r="373" spans="1:1" ht="12.5" x14ac:dyDescent="0.25">
      <c r="A373" s="13"/>
    </row>
    <row r="374" spans="1:1" ht="12.5" x14ac:dyDescent="0.25">
      <c r="A374" s="13"/>
    </row>
    <row r="375" spans="1:1" ht="12.5" x14ac:dyDescent="0.25">
      <c r="A375" s="13"/>
    </row>
    <row r="376" spans="1:1" ht="12.5" x14ac:dyDescent="0.25">
      <c r="A376" s="13"/>
    </row>
    <row r="377" spans="1:1" ht="12.5" x14ac:dyDescent="0.25">
      <c r="A377" s="13"/>
    </row>
    <row r="378" spans="1:1" ht="12.5" x14ac:dyDescent="0.25">
      <c r="A378" s="13"/>
    </row>
    <row r="379" spans="1:1" ht="12.5" x14ac:dyDescent="0.25">
      <c r="A379" s="13"/>
    </row>
    <row r="380" spans="1:1" ht="12.5" x14ac:dyDescent="0.25">
      <c r="A380" s="13"/>
    </row>
    <row r="381" spans="1:1" ht="12.5" x14ac:dyDescent="0.25">
      <c r="A381" s="13"/>
    </row>
    <row r="382" spans="1:1" ht="12.5" x14ac:dyDescent="0.25">
      <c r="A382" s="13"/>
    </row>
    <row r="383" spans="1:1" ht="12.5" x14ac:dyDescent="0.25">
      <c r="A383" s="13"/>
    </row>
    <row r="384" spans="1:1" ht="12.5" x14ac:dyDescent="0.25">
      <c r="A384" s="13"/>
    </row>
    <row r="385" spans="1:1" ht="12.5" x14ac:dyDescent="0.25">
      <c r="A385" s="13"/>
    </row>
    <row r="386" spans="1:1" ht="12.5" x14ac:dyDescent="0.25">
      <c r="A386" s="13"/>
    </row>
    <row r="387" spans="1:1" ht="12.5" x14ac:dyDescent="0.25">
      <c r="A387" s="13"/>
    </row>
    <row r="388" spans="1:1" ht="12.5" x14ac:dyDescent="0.25">
      <c r="A388" s="13"/>
    </row>
    <row r="389" spans="1:1" ht="12.5" x14ac:dyDescent="0.25">
      <c r="A389" s="13"/>
    </row>
    <row r="390" spans="1:1" ht="12.5" x14ac:dyDescent="0.25">
      <c r="A390" s="13"/>
    </row>
    <row r="391" spans="1:1" ht="12.5" x14ac:dyDescent="0.25">
      <c r="A391" s="13"/>
    </row>
    <row r="392" spans="1:1" ht="12.5" x14ac:dyDescent="0.25">
      <c r="A392" s="13"/>
    </row>
    <row r="393" spans="1:1" ht="12.5" x14ac:dyDescent="0.25">
      <c r="A393" s="13"/>
    </row>
    <row r="394" spans="1:1" ht="12.5" x14ac:dyDescent="0.25">
      <c r="A394" s="13"/>
    </row>
    <row r="395" spans="1:1" ht="12.5" x14ac:dyDescent="0.25">
      <c r="A395" s="13"/>
    </row>
    <row r="396" spans="1:1" ht="12.5" x14ac:dyDescent="0.25">
      <c r="A396" s="13"/>
    </row>
    <row r="397" spans="1:1" ht="12.5" x14ac:dyDescent="0.25">
      <c r="A397" s="13"/>
    </row>
    <row r="398" spans="1:1" ht="12.5" x14ac:dyDescent="0.25">
      <c r="A398" s="13"/>
    </row>
    <row r="399" spans="1:1" ht="12.5" x14ac:dyDescent="0.25">
      <c r="A399" s="13"/>
    </row>
    <row r="400" spans="1:1" ht="12.5" x14ac:dyDescent="0.25">
      <c r="A400" s="13"/>
    </row>
    <row r="401" spans="1:1" ht="12.5" x14ac:dyDescent="0.25">
      <c r="A401" s="13"/>
    </row>
    <row r="402" spans="1:1" ht="12.5" x14ac:dyDescent="0.25">
      <c r="A402" s="13"/>
    </row>
    <row r="403" spans="1:1" ht="12.5" x14ac:dyDescent="0.25">
      <c r="A403" s="13"/>
    </row>
    <row r="404" spans="1:1" ht="12.5" x14ac:dyDescent="0.25">
      <c r="A404" s="13"/>
    </row>
    <row r="405" spans="1:1" ht="12.5" x14ac:dyDescent="0.25">
      <c r="A405" s="13"/>
    </row>
    <row r="406" spans="1:1" ht="12.5" x14ac:dyDescent="0.25">
      <c r="A406" s="13"/>
    </row>
    <row r="407" spans="1:1" ht="12.5" x14ac:dyDescent="0.25">
      <c r="A407" s="13"/>
    </row>
    <row r="408" spans="1:1" ht="12.5" x14ac:dyDescent="0.25">
      <c r="A408" s="13"/>
    </row>
    <row r="409" spans="1:1" ht="12.5" x14ac:dyDescent="0.25">
      <c r="A409" s="13"/>
    </row>
    <row r="410" spans="1:1" ht="12.5" x14ac:dyDescent="0.25">
      <c r="A410" s="13"/>
    </row>
    <row r="411" spans="1:1" ht="12.5" x14ac:dyDescent="0.25">
      <c r="A411" s="13"/>
    </row>
    <row r="412" spans="1:1" ht="12.5" x14ac:dyDescent="0.25">
      <c r="A412" s="13"/>
    </row>
    <row r="413" spans="1:1" ht="12.5" x14ac:dyDescent="0.25">
      <c r="A413" s="13"/>
    </row>
    <row r="414" spans="1:1" ht="12.5" x14ac:dyDescent="0.25">
      <c r="A414" s="13"/>
    </row>
    <row r="415" spans="1:1" ht="12.5" x14ac:dyDescent="0.25">
      <c r="A415" s="13"/>
    </row>
    <row r="416" spans="1:1" ht="12.5" x14ac:dyDescent="0.25">
      <c r="A416" s="13"/>
    </row>
    <row r="417" spans="1:1" ht="12.5" x14ac:dyDescent="0.25">
      <c r="A417" s="13"/>
    </row>
    <row r="418" spans="1:1" ht="12.5" x14ac:dyDescent="0.25">
      <c r="A418" s="13"/>
    </row>
    <row r="419" spans="1:1" ht="12.5" x14ac:dyDescent="0.25">
      <c r="A419" s="13"/>
    </row>
    <row r="420" spans="1:1" ht="12.5" x14ac:dyDescent="0.25">
      <c r="A420" s="13"/>
    </row>
    <row r="421" spans="1:1" ht="12.5" x14ac:dyDescent="0.25">
      <c r="A421" s="13"/>
    </row>
    <row r="422" spans="1:1" ht="12.5" x14ac:dyDescent="0.25">
      <c r="A422" s="13"/>
    </row>
    <row r="423" spans="1:1" ht="12.5" x14ac:dyDescent="0.25">
      <c r="A423" s="13"/>
    </row>
    <row r="424" spans="1:1" ht="12.5" x14ac:dyDescent="0.25">
      <c r="A424" s="13"/>
    </row>
    <row r="425" spans="1:1" ht="12.5" x14ac:dyDescent="0.25">
      <c r="A425" s="13"/>
    </row>
    <row r="426" spans="1:1" ht="12.5" x14ac:dyDescent="0.25">
      <c r="A426" s="13"/>
    </row>
    <row r="427" spans="1:1" ht="12.5" x14ac:dyDescent="0.25">
      <c r="A427" s="13"/>
    </row>
    <row r="428" spans="1:1" ht="12.5" x14ac:dyDescent="0.25">
      <c r="A428" s="13"/>
    </row>
    <row r="429" spans="1:1" ht="12.5" x14ac:dyDescent="0.25">
      <c r="A429" s="13"/>
    </row>
    <row r="430" spans="1:1" ht="12.5" x14ac:dyDescent="0.25">
      <c r="A430" s="13"/>
    </row>
    <row r="431" spans="1:1" ht="12.5" x14ac:dyDescent="0.25">
      <c r="A431" s="13"/>
    </row>
    <row r="432" spans="1:1" ht="12.5" x14ac:dyDescent="0.25">
      <c r="A432" s="13"/>
    </row>
    <row r="433" spans="1:1" ht="12.5" x14ac:dyDescent="0.25">
      <c r="A433" s="13"/>
    </row>
    <row r="434" spans="1:1" ht="12.5" x14ac:dyDescent="0.25">
      <c r="A434" s="13"/>
    </row>
    <row r="435" spans="1:1" ht="12.5" x14ac:dyDescent="0.25">
      <c r="A435" s="13"/>
    </row>
    <row r="436" spans="1:1" ht="12.5" x14ac:dyDescent="0.25">
      <c r="A436" s="13"/>
    </row>
    <row r="437" spans="1:1" ht="12.5" x14ac:dyDescent="0.25">
      <c r="A437" s="13"/>
    </row>
    <row r="438" spans="1:1" ht="12.5" x14ac:dyDescent="0.25">
      <c r="A438" s="13"/>
    </row>
    <row r="439" spans="1:1" ht="12.5" x14ac:dyDescent="0.25">
      <c r="A439" s="13"/>
    </row>
    <row r="440" spans="1:1" ht="12.5" x14ac:dyDescent="0.25">
      <c r="A440" s="13"/>
    </row>
    <row r="441" spans="1:1" ht="12.5" x14ac:dyDescent="0.25">
      <c r="A441" s="13"/>
    </row>
    <row r="442" spans="1:1" ht="12.5" x14ac:dyDescent="0.25">
      <c r="A442" s="13"/>
    </row>
    <row r="443" spans="1:1" ht="12.5" x14ac:dyDescent="0.25">
      <c r="A443" s="13"/>
    </row>
    <row r="444" spans="1:1" ht="12.5" x14ac:dyDescent="0.25">
      <c r="A444" s="13"/>
    </row>
    <row r="445" spans="1:1" ht="12.5" x14ac:dyDescent="0.25">
      <c r="A445" s="13"/>
    </row>
    <row r="446" spans="1:1" ht="12.5" x14ac:dyDescent="0.25">
      <c r="A446" s="13"/>
    </row>
    <row r="447" spans="1:1" ht="12.5" x14ac:dyDescent="0.25">
      <c r="A447" s="13"/>
    </row>
    <row r="448" spans="1:1" ht="12.5" x14ac:dyDescent="0.25">
      <c r="A448" s="13"/>
    </row>
    <row r="449" spans="1:1" ht="12.5" x14ac:dyDescent="0.25">
      <c r="A449" s="13"/>
    </row>
    <row r="450" spans="1:1" ht="12.5" x14ac:dyDescent="0.25">
      <c r="A450" s="13"/>
    </row>
    <row r="451" spans="1:1" ht="12.5" x14ac:dyDescent="0.25">
      <c r="A451" s="13"/>
    </row>
    <row r="452" spans="1:1" ht="12.5" x14ac:dyDescent="0.25">
      <c r="A452" s="13"/>
    </row>
    <row r="453" spans="1:1" ht="12.5" x14ac:dyDescent="0.25">
      <c r="A453" s="13"/>
    </row>
    <row r="454" spans="1:1" ht="12.5" x14ac:dyDescent="0.25">
      <c r="A454" s="13"/>
    </row>
    <row r="455" spans="1:1" ht="12.5" x14ac:dyDescent="0.25">
      <c r="A455" s="13"/>
    </row>
    <row r="456" spans="1:1" ht="12.5" x14ac:dyDescent="0.25">
      <c r="A456" s="13"/>
    </row>
    <row r="457" spans="1:1" ht="12.5" x14ac:dyDescent="0.25">
      <c r="A457" s="13"/>
    </row>
    <row r="458" spans="1:1" ht="12.5" x14ac:dyDescent="0.25">
      <c r="A458" s="13"/>
    </row>
    <row r="459" spans="1:1" ht="12.5" x14ac:dyDescent="0.25">
      <c r="A459" s="13"/>
    </row>
    <row r="460" spans="1:1" ht="12.5" x14ac:dyDescent="0.25">
      <c r="A460" s="13"/>
    </row>
    <row r="461" spans="1:1" ht="12.5" x14ac:dyDescent="0.25">
      <c r="A461" s="13"/>
    </row>
    <row r="462" spans="1:1" ht="12.5" x14ac:dyDescent="0.25">
      <c r="A462" s="13"/>
    </row>
    <row r="463" spans="1:1" ht="12.5" x14ac:dyDescent="0.25">
      <c r="A463" s="13"/>
    </row>
    <row r="464" spans="1:1" ht="12.5" x14ac:dyDescent="0.25">
      <c r="A464" s="13"/>
    </row>
    <row r="465" spans="1:1" ht="12.5" x14ac:dyDescent="0.25">
      <c r="A465" s="13"/>
    </row>
    <row r="466" spans="1:1" ht="12.5" x14ac:dyDescent="0.25">
      <c r="A466" s="13"/>
    </row>
    <row r="467" spans="1:1" ht="12.5" x14ac:dyDescent="0.25">
      <c r="A467" s="13"/>
    </row>
    <row r="468" spans="1:1" ht="12.5" x14ac:dyDescent="0.25">
      <c r="A468" s="13"/>
    </row>
    <row r="469" spans="1:1" ht="12.5" x14ac:dyDescent="0.25">
      <c r="A469" s="13"/>
    </row>
    <row r="470" spans="1:1" ht="12.5" x14ac:dyDescent="0.25">
      <c r="A470" s="13"/>
    </row>
    <row r="471" spans="1:1" ht="12.5" x14ac:dyDescent="0.25">
      <c r="A471" s="13"/>
    </row>
    <row r="472" spans="1:1" ht="12.5" x14ac:dyDescent="0.25">
      <c r="A472" s="13"/>
    </row>
    <row r="473" spans="1:1" ht="12.5" x14ac:dyDescent="0.25">
      <c r="A473" s="13"/>
    </row>
    <row r="474" spans="1:1" ht="12.5" x14ac:dyDescent="0.25">
      <c r="A474" s="13"/>
    </row>
    <row r="475" spans="1:1" ht="12.5" x14ac:dyDescent="0.25">
      <c r="A475" s="13"/>
    </row>
    <row r="476" spans="1:1" ht="12.5" x14ac:dyDescent="0.25">
      <c r="A476" s="13"/>
    </row>
    <row r="477" spans="1:1" ht="12.5" x14ac:dyDescent="0.25">
      <c r="A477" s="13"/>
    </row>
    <row r="478" spans="1:1" ht="12.5" x14ac:dyDescent="0.25">
      <c r="A478" s="13"/>
    </row>
    <row r="479" spans="1:1" ht="12.5" x14ac:dyDescent="0.25">
      <c r="A479" s="13"/>
    </row>
    <row r="480" spans="1:1" ht="12.5" x14ac:dyDescent="0.25">
      <c r="A480" s="13"/>
    </row>
    <row r="481" spans="1:1" ht="12.5" x14ac:dyDescent="0.25">
      <c r="A481" s="13"/>
    </row>
    <row r="482" spans="1:1" ht="12.5" x14ac:dyDescent="0.25">
      <c r="A482" s="13"/>
    </row>
    <row r="483" spans="1:1" ht="12.5" x14ac:dyDescent="0.25">
      <c r="A483" s="13"/>
    </row>
    <row r="484" spans="1:1" ht="12.5" x14ac:dyDescent="0.25">
      <c r="A484" s="13"/>
    </row>
    <row r="485" spans="1:1" ht="12.5" x14ac:dyDescent="0.25">
      <c r="A485" s="13"/>
    </row>
    <row r="486" spans="1:1" ht="12.5" x14ac:dyDescent="0.25">
      <c r="A486" s="13"/>
    </row>
    <row r="487" spans="1:1" ht="12.5" x14ac:dyDescent="0.25">
      <c r="A487" s="13"/>
    </row>
    <row r="488" spans="1:1" ht="12.5" x14ac:dyDescent="0.25">
      <c r="A488" s="13"/>
    </row>
    <row r="489" spans="1:1" ht="12.5" x14ac:dyDescent="0.25">
      <c r="A489" s="13"/>
    </row>
    <row r="490" spans="1:1" ht="12.5" x14ac:dyDescent="0.25">
      <c r="A490" s="13"/>
    </row>
    <row r="491" spans="1:1" ht="12.5" x14ac:dyDescent="0.25">
      <c r="A491" s="13"/>
    </row>
    <row r="492" spans="1:1" ht="12.5" x14ac:dyDescent="0.25">
      <c r="A492" s="13"/>
    </row>
    <row r="493" spans="1:1" ht="12.5" x14ac:dyDescent="0.25">
      <c r="A493" s="13"/>
    </row>
    <row r="494" spans="1:1" ht="12.5" x14ac:dyDescent="0.25">
      <c r="A494" s="13"/>
    </row>
    <row r="495" spans="1:1" ht="12.5" x14ac:dyDescent="0.25">
      <c r="A495" s="13"/>
    </row>
    <row r="496" spans="1:1" ht="12.5" x14ac:dyDescent="0.25">
      <c r="A496" s="13"/>
    </row>
    <row r="497" spans="1:1" ht="12.5" x14ac:dyDescent="0.25">
      <c r="A497" s="13"/>
    </row>
    <row r="498" spans="1:1" ht="12.5" x14ac:dyDescent="0.25">
      <c r="A498" s="13"/>
    </row>
    <row r="499" spans="1:1" ht="12.5" x14ac:dyDescent="0.25">
      <c r="A499" s="13"/>
    </row>
    <row r="500" spans="1:1" ht="12.5" x14ac:dyDescent="0.25">
      <c r="A500" s="13"/>
    </row>
    <row r="501" spans="1:1" ht="12.5" x14ac:dyDescent="0.25">
      <c r="A501" s="13"/>
    </row>
    <row r="502" spans="1:1" ht="12.5" x14ac:dyDescent="0.25">
      <c r="A502" s="13"/>
    </row>
    <row r="503" spans="1:1" ht="12.5" x14ac:dyDescent="0.25">
      <c r="A503" s="13"/>
    </row>
    <row r="504" spans="1:1" ht="12.5" x14ac:dyDescent="0.25">
      <c r="A504" s="13"/>
    </row>
    <row r="505" spans="1:1" ht="12.5" x14ac:dyDescent="0.25">
      <c r="A505" s="13"/>
    </row>
    <row r="506" spans="1:1" ht="12.5" x14ac:dyDescent="0.25">
      <c r="A506" s="13"/>
    </row>
    <row r="507" spans="1:1" ht="12.5" x14ac:dyDescent="0.25">
      <c r="A507" s="13"/>
    </row>
    <row r="508" spans="1:1" ht="12.5" x14ac:dyDescent="0.25">
      <c r="A508" s="13"/>
    </row>
    <row r="509" spans="1:1" ht="12.5" x14ac:dyDescent="0.25">
      <c r="A509" s="13"/>
    </row>
    <row r="510" spans="1:1" ht="12.5" x14ac:dyDescent="0.25">
      <c r="A510" s="13"/>
    </row>
    <row r="511" spans="1:1" ht="12.5" x14ac:dyDescent="0.25">
      <c r="A511" s="13"/>
    </row>
    <row r="512" spans="1:1" ht="12.5" x14ac:dyDescent="0.25">
      <c r="A512" s="13"/>
    </row>
    <row r="513" spans="1:1" ht="12.5" x14ac:dyDescent="0.25">
      <c r="A513" s="13"/>
    </row>
    <row r="514" spans="1:1" ht="12.5" x14ac:dyDescent="0.25">
      <c r="A514" s="13"/>
    </row>
    <row r="515" spans="1:1" ht="12.5" x14ac:dyDescent="0.25">
      <c r="A515" s="13"/>
    </row>
    <row r="516" spans="1:1" ht="12.5" x14ac:dyDescent="0.25">
      <c r="A516" s="13"/>
    </row>
    <row r="517" spans="1:1" ht="12.5" x14ac:dyDescent="0.25">
      <c r="A517" s="13"/>
    </row>
    <row r="518" spans="1:1" ht="12.5" x14ac:dyDescent="0.25">
      <c r="A518" s="13"/>
    </row>
    <row r="519" spans="1:1" ht="12.5" x14ac:dyDescent="0.25">
      <c r="A519" s="13"/>
    </row>
    <row r="520" spans="1:1" ht="12.5" x14ac:dyDescent="0.25">
      <c r="A520" s="13"/>
    </row>
    <row r="521" spans="1:1" ht="12.5" x14ac:dyDescent="0.25">
      <c r="A521" s="13"/>
    </row>
    <row r="522" spans="1:1" ht="12.5" x14ac:dyDescent="0.25">
      <c r="A522" s="13"/>
    </row>
    <row r="523" spans="1:1" ht="12.5" x14ac:dyDescent="0.25">
      <c r="A523" s="13"/>
    </row>
    <row r="524" spans="1:1" ht="12.5" x14ac:dyDescent="0.25">
      <c r="A524" s="13"/>
    </row>
    <row r="525" spans="1:1" ht="12.5" x14ac:dyDescent="0.25">
      <c r="A525" s="13"/>
    </row>
    <row r="526" spans="1:1" ht="12.5" x14ac:dyDescent="0.25">
      <c r="A526" s="13"/>
    </row>
    <row r="527" spans="1:1" ht="12.5" x14ac:dyDescent="0.25">
      <c r="A527" s="13"/>
    </row>
    <row r="528" spans="1:1" ht="12.5" x14ac:dyDescent="0.25">
      <c r="A528" s="13"/>
    </row>
    <row r="529" spans="1:1" ht="12.5" x14ac:dyDescent="0.25">
      <c r="A529" s="13"/>
    </row>
    <row r="530" spans="1:1" ht="12.5" x14ac:dyDescent="0.25">
      <c r="A530" s="13"/>
    </row>
    <row r="531" spans="1:1" ht="12.5" x14ac:dyDescent="0.25">
      <c r="A531" s="13"/>
    </row>
    <row r="532" spans="1:1" ht="12.5" x14ac:dyDescent="0.25">
      <c r="A532" s="13"/>
    </row>
    <row r="533" spans="1:1" ht="12.5" x14ac:dyDescent="0.25">
      <c r="A533" s="13"/>
    </row>
    <row r="534" spans="1:1" ht="12.5" x14ac:dyDescent="0.25">
      <c r="A534" s="13"/>
    </row>
    <row r="535" spans="1:1" ht="12.5" x14ac:dyDescent="0.25">
      <c r="A535" s="13"/>
    </row>
    <row r="536" spans="1:1" ht="12.5" x14ac:dyDescent="0.25">
      <c r="A536" s="13"/>
    </row>
    <row r="537" spans="1:1" ht="12.5" x14ac:dyDescent="0.25">
      <c r="A537" s="13"/>
    </row>
    <row r="538" spans="1:1" ht="12.5" x14ac:dyDescent="0.25">
      <c r="A538" s="13"/>
    </row>
    <row r="539" spans="1:1" ht="12.5" x14ac:dyDescent="0.25">
      <c r="A539" s="13"/>
    </row>
    <row r="540" spans="1:1" ht="12.5" x14ac:dyDescent="0.25">
      <c r="A540" s="13"/>
    </row>
    <row r="541" spans="1:1" ht="12.5" x14ac:dyDescent="0.25">
      <c r="A541" s="13"/>
    </row>
    <row r="542" spans="1:1" ht="12.5" x14ac:dyDescent="0.25">
      <c r="A542" s="13"/>
    </row>
    <row r="543" spans="1:1" ht="12.5" x14ac:dyDescent="0.25">
      <c r="A543" s="13"/>
    </row>
    <row r="544" spans="1:1" ht="12.5" x14ac:dyDescent="0.25">
      <c r="A544" s="13"/>
    </row>
    <row r="545" spans="1:1" ht="12.5" x14ac:dyDescent="0.25">
      <c r="A545" s="13"/>
    </row>
    <row r="546" spans="1:1" ht="12.5" x14ac:dyDescent="0.25">
      <c r="A546" s="13"/>
    </row>
    <row r="547" spans="1:1" ht="12.5" x14ac:dyDescent="0.25">
      <c r="A547" s="13"/>
    </row>
    <row r="548" spans="1:1" ht="12.5" x14ac:dyDescent="0.25">
      <c r="A548" s="13"/>
    </row>
    <row r="549" spans="1:1" ht="12.5" x14ac:dyDescent="0.25">
      <c r="A549" s="13"/>
    </row>
    <row r="550" spans="1:1" ht="12.5" x14ac:dyDescent="0.25">
      <c r="A550" s="13"/>
    </row>
    <row r="551" spans="1:1" ht="12.5" x14ac:dyDescent="0.25">
      <c r="A551" s="13"/>
    </row>
    <row r="552" spans="1:1" ht="12.5" x14ac:dyDescent="0.25">
      <c r="A552" s="13"/>
    </row>
    <row r="553" spans="1:1" ht="12.5" x14ac:dyDescent="0.25">
      <c r="A553" s="13"/>
    </row>
    <row r="554" spans="1:1" ht="12.5" x14ac:dyDescent="0.25">
      <c r="A554" s="13"/>
    </row>
    <row r="555" spans="1:1" ht="12.5" x14ac:dyDescent="0.25">
      <c r="A555" s="13"/>
    </row>
    <row r="556" spans="1:1" ht="12.5" x14ac:dyDescent="0.25">
      <c r="A556" s="13"/>
    </row>
    <row r="557" spans="1:1" ht="12.5" x14ac:dyDescent="0.25">
      <c r="A557" s="13"/>
    </row>
    <row r="558" spans="1:1" ht="12.5" x14ac:dyDescent="0.25">
      <c r="A558" s="13"/>
    </row>
    <row r="559" spans="1:1" ht="12.5" x14ac:dyDescent="0.25">
      <c r="A559" s="13"/>
    </row>
    <row r="560" spans="1:1" ht="12.5" x14ac:dyDescent="0.25">
      <c r="A560" s="13"/>
    </row>
    <row r="561" spans="1:1" ht="12.5" x14ac:dyDescent="0.25">
      <c r="A561" s="13"/>
    </row>
    <row r="562" spans="1:1" ht="12.5" x14ac:dyDescent="0.25">
      <c r="A562" s="13"/>
    </row>
    <row r="563" spans="1:1" ht="12.5" x14ac:dyDescent="0.25">
      <c r="A563" s="13"/>
    </row>
    <row r="564" spans="1:1" ht="12.5" x14ac:dyDescent="0.25">
      <c r="A564" s="13"/>
    </row>
    <row r="565" spans="1:1" ht="12.5" x14ac:dyDescent="0.25">
      <c r="A565" s="13"/>
    </row>
    <row r="566" spans="1:1" ht="12.5" x14ac:dyDescent="0.25">
      <c r="A566" s="13"/>
    </row>
    <row r="567" spans="1:1" ht="12.5" x14ac:dyDescent="0.25">
      <c r="A567" s="13"/>
    </row>
    <row r="568" spans="1:1" ht="12.5" x14ac:dyDescent="0.25">
      <c r="A568" s="13"/>
    </row>
    <row r="569" spans="1:1" ht="12.5" x14ac:dyDescent="0.25">
      <c r="A569" s="13"/>
    </row>
    <row r="570" spans="1:1" ht="12.5" x14ac:dyDescent="0.25">
      <c r="A570" s="13"/>
    </row>
    <row r="571" spans="1:1" ht="12.5" x14ac:dyDescent="0.25">
      <c r="A571" s="13"/>
    </row>
    <row r="572" spans="1:1" ht="12.5" x14ac:dyDescent="0.25">
      <c r="A572" s="13"/>
    </row>
    <row r="573" spans="1:1" ht="12.5" x14ac:dyDescent="0.25">
      <c r="A573" s="13"/>
    </row>
    <row r="574" spans="1:1" ht="12.5" x14ac:dyDescent="0.25">
      <c r="A574" s="13"/>
    </row>
    <row r="575" spans="1:1" ht="12.5" x14ac:dyDescent="0.25">
      <c r="A575" s="13"/>
    </row>
    <row r="576" spans="1:1" ht="12.5" x14ac:dyDescent="0.25">
      <c r="A576" s="13"/>
    </row>
    <row r="577" spans="1:1" ht="12.5" x14ac:dyDescent="0.25">
      <c r="A577" s="13"/>
    </row>
    <row r="578" spans="1:1" ht="12.5" x14ac:dyDescent="0.25">
      <c r="A578" s="13"/>
    </row>
    <row r="579" spans="1:1" ht="12.5" x14ac:dyDescent="0.25">
      <c r="A579" s="13"/>
    </row>
    <row r="580" spans="1:1" ht="12.5" x14ac:dyDescent="0.25">
      <c r="A580" s="13"/>
    </row>
    <row r="581" spans="1:1" ht="12.5" x14ac:dyDescent="0.25">
      <c r="A581" s="13"/>
    </row>
    <row r="582" spans="1:1" ht="12.5" x14ac:dyDescent="0.25">
      <c r="A582" s="13"/>
    </row>
    <row r="583" spans="1:1" ht="12.5" x14ac:dyDescent="0.25">
      <c r="A583" s="13"/>
    </row>
    <row r="584" spans="1:1" ht="12.5" x14ac:dyDescent="0.25">
      <c r="A584" s="13"/>
    </row>
    <row r="585" spans="1:1" ht="12.5" x14ac:dyDescent="0.25">
      <c r="A585" s="13"/>
    </row>
    <row r="586" spans="1:1" ht="12.5" x14ac:dyDescent="0.25">
      <c r="A586" s="13"/>
    </row>
    <row r="587" spans="1:1" ht="12.5" x14ac:dyDescent="0.25">
      <c r="A587" s="13"/>
    </row>
    <row r="588" spans="1:1" ht="12.5" x14ac:dyDescent="0.25">
      <c r="A588" s="13"/>
    </row>
    <row r="589" spans="1:1" ht="12.5" x14ac:dyDescent="0.25">
      <c r="A589" s="13"/>
    </row>
    <row r="590" spans="1:1" ht="12.5" x14ac:dyDescent="0.25">
      <c r="A590" s="13"/>
    </row>
    <row r="591" spans="1:1" ht="12.5" x14ac:dyDescent="0.25">
      <c r="A591" s="13"/>
    </row>
    <row r="592" spans="1:1" ht="12.5" x14ac:dyDescent="0.25">
      <c r="A592" s="13"/>
    </row>
    <row r="593" spans="1:1" ht="12.5" x14ac:dyDescent="0.25">
      <c r="A593" s="13"/>
    </row>
    <row r="594" spans="1:1" ht="12.5" x14ac:dyDescent="0.25">
      <c r="A594" s="13"/>
    </row>
    <row r="595" spans="1:1" ht="12.5" x14ac:dyDescent="0.25">
      <c r="A595" s="13"/>
    </row>
    <row r="596" spans="1:1" ht="12.5" x14ac:dyDescent="0.25">
      <c r="A596" s="13"/>
    </row>
    <row r="597" spans="1:1" ht="12.5" x14ac:dyDescent="0.25">
      <c r="A597" s="13"/>
    </row>
    <row r="598" spans="1:1" ht="12.5" x14ac:dyDescent="0.25">
      <c r="A598" s="13"/>
    </row>
    <row r="599" spans="1:1" ht="12.5" x14ac:dyDescent="0.25">
      <c r="A599" s="13"/>
    </row>
    <row r="600" spans="1:1" ht="12.5" x14ac:dyDescent="0.25">
      <c r="A600" s="13"/>
    </row>
    <row r="601" spans="1:1" ht="12.5" x14ac:dyDescent="0.25">
      <c r="A601" s="13"/>
    </row>
    <row r="602" spans="1:1" ht="12.5" x14ac:dyDescent="0.25">
      <c r="A602" s="13"/>
    </row>
    <row r="603" spans="1:1" ht="12.5" x14ac:dyDescent="0.25">
      <c r="A603" s="13"/>
    </row>
    <row r="604" spans="1:1" ht="12.5" x14ac:dyDescent="0.25">
      <c r="A604" s="13"/>
    </row>
    <row r="605" spans="1:1" ht="12.5" x14ac:dyDescent="0.25">
      <c r="A605" s="13"/>
    </row>
    <row r="606" spans="1:1" ht="12.5" x14ac:dyDescent="0.25">
      <c r="A606" s="13"/>
    </row>
    <row r="607" spans="1:1" ht="12.5" x14ac:dyDescent="0.25">
      <c r="A607" s="13"/>
    </row>
    <row r="608" spans="1:1" ht="12.5" x14ac:dyDescent="0.25">
      <c r="A608" s="13"/>
    </row>
    <row r="609" spans="1:1" ht="12.5" x14ac:dyDescent="0.25">
      <c r="A609" s="13"/>
    </row>
    <row r="610" spans="1:1" ht="12.5" x14ac:dyDescent="0.25">
      <c r="A610" s="13"/>
    </row>
    <row r="611" spans="1:1" ht="12.5" x14ac:dyDescent="0.25">
      <c r="A611" s="13"/>
    </row>
    <row r="612" spans="1:1" ht="12.5" x14ac:dyDescent="0.25">
      <c r="A612" s="13"/>
    </row>
    <row r="613" spans="1:1" ht="12.5" x14ac:dyDescent="0.25">
      <c r="A613" s="13"/>
    </row>
    <row r="614" spans="1:1" ht="12.5" x14ac:dyDescent="0.25">
      <c r="A614" s="13"/>
    </row>
    <row r="615" spans="1:1" ht="12.5" x14ac:dyDescent="0.25">
      <c r="A615" s="13"/>
    </row>
    <row r="616" spans="1:1" ht="12.5" x14ac:dyDescent="0.25">
      <c r="A616" s="13"/>
    </row>
    <row r="617" spans="1:1" ht="12.5" x14ac:dyDescent="0.25">
      <c r="A617" s="13"/>
    </row>
    <row r="618" spans="1:1" ht="12.5" x14ac:dyDescent="0.25">
      <c r="A618" s="13"/>
    </row>
    <row r="619" spans="1:1" ht="12.5" x14ac:dyDescent="0.25">
      <c r="A619" s="13"/>
    </row>
    <row r="620" spans="1:1" ht="12.5" x14ac:dyDescent="0.25">
      <c r="A620" s="13"/>
    </row>
    <row r="621" spans="1:1" ht="12.5" x14ac:dyDescent="0.25">
      <c r="A621" s="13"/>
    </row>
    <row r="622" spans="1:1" ht="12.5" x14ac:dyDescent="0.25">
      <c r="A622" s="13"/>
    </row>
    <row r="623" spans="1:1" ht="12.5" x14ac:dyDescent="0.25">
      <c r="A623" s="13"/>
    </row>
    <row r="624" spans="1:1" ht="12.5" x14ac:dyDescent="0.25">
      <c r="A624" s="13"/>
    </row>
    <row r="625" spans="1:1" ht="12.5" x14ac:dyDescent="0.25">
      <c r="A625" s="13"/>
    </row>
    <row r="626" spans="1:1" ht="12.5" x14ac:dyDescent="0.25">
      <c r="A626" s="13"/>
    </row>
    <row r="627" spans="1:1" ht="12.5" x14ac:dyDescent="0.25">
      <c r="A627" s="13"/>
    </row>
    <row r="628" spans="1:1" ht="12.5" x14ac:dyDescent="0.25">
      <c r="A628" s="13"/>
    </row>
    <row r="629" spans="1:1" ht="12.5" x14ac:dyDescent="0.25">
      <c r="A629" s="13"/>
    </row>
    <row r="630" spans="1:1" ht="12.5" x14ac:dyDescent="0.25">
      <c r="A630" s="13"/>
    </row>
    <row r="631" spans="1:1" ht="12.5" x14ac:dyDescent="0.25">
      <c r="A631" s="13"/>
    </row>
    <row r="632" spans="1:1" ht="12.5" x14ac:dyDescent="0.25">
      <c r="A632" s="13"/>
    </row>
    <row r="633" spans="1:1" ht="12.5" x14ac:dyDescent="0.25">
      <c r="A633" s="13"/>
    </row>
    <row r="634" spans="1:1" ht="12.5" x14ac:dyDescent="0.25">
      <c r="A634" s="13"/>
    </row>
    <row r="635" spans="1:1" ht="12.5" x14ac:dyDescent="0.25">
      <c r="A635" s="13"/>
    </row>
    <row r="636" spans="1:1" ht="12.5" x14ac:dyDescent="0.25">
      <c r="A636" s="13"/>
    </row>
    <row r="637" spans="1:1" ht="12.5" x14ac:dyDescent="0.25">
      <c r="A637" s="13"/>
    </row>
    <row r="638" spans="1:1" ht="12.5" x14ac:dyDescent="0.25">
      <c r="A638" s="13"/>
    </row>
    <row r="639" spans="1:1" ht="12.5" x14ac:dyDescent="0.25">
      <c r="A639" s="13"/>
    </row>
    <row r="640" spans="1:1" ht="12.5" x14ac:dyDescent="0.25">
      <c r="A640" s="13"/>
    </row>
    <row r="641" spans="1:1" ht="12.5" x14ac:dyDescent="0.25">
      <c r="A641" s="13"/>
    </row>
    <row r="642" spans="1:1" ht="12.5" x14ac:dyDescent="0.25">
      <c r="A642" s="13"/>
    </row>
    <row r="643" spans="1:1" ht="12.5" x14ac:dyDescent="0.25">
      <c r="A643" s="13"/>
    </row>
    <row r="644" spans="1:1" ht="12.5" x14ac:dyDescent="0.25">
      <c r="A644" s="13"/>
    </row>
    <row r="645" spans="1:1" ht="12.5" x14ac:dyDescent="0.25">
      <c r="A645" s="13"/>
    </row>
    <row r="646" spans="1:1" ht="12.5" x14ac:dyDescent="0.25">
      <c r="A646" s="13"/>
    </row>
    <row r="647" spans="1:1" ht="12.5" x14ac:dyDescent="0.25">
      <c r="A647" s="13"/>
    </row>
    <row r="648" spans="1:1" ht="12.5" x14ac:dyDescent="0.25">
      <c r="A648" s="13"/>
    </row>
    <row r="649" spans="1:1" ht="12.5" x14ac:dyDescent="0.25">
      <c r="A649" s="13"/>
    </row>
    <row r="650" spans="1:1" ht="12.5" x14ac:dyDescent="0.25">
      <c r="A650" s="13"/>
    </row>
    <row r="651" spans="1:1" ht="12.5" x14ac:dyDescent="0.25">
      <c r="A651" s="13"/>
    </row>
    <row r="652" spans="1:1" ht="12.5" x14ac:dyDescent="0.25">
      <c r="A652" s="13"/>
    </row>
    <row r="653" spans="1:1" ht="12.5" x14ac:dyDescent="0.25">
      <c r="A653" s="13"/>
    </row>
    <row r="654" spans="1:1" ht="12.5" x14ac:dyDescent="0.25">
      <c r="A654" s="13"/>
    </row>
    <row r="655" spans="1:1" ht="12.5" x14ac:dyDescent="0.25">
      <c r="A655" s="13"/>
    </row>
    <row r="656" spans="1:1" ht="12.5" x14ac:dyDescent="0.25">
      <c r="A656" s="13"/>
    </row>
    <row r="657" spans="1:1" ht="12.5" x14ac:dyDescent="0.25">
      <c r="A657" s="13"/>
    </row>
    <row r="658" spans="1:1" ht="12.5" x14ac:dyDescent="0.25">
      <c r="A658" s="13"/>
    </row>
    <row r="659" spans="1:1" ht="12.5" x14ac:dyDescent="0.25">
      <c r="A659" s="13"/>
    </row>
    <row r="660" spans="1:1" ht="12.5" x14ac:dyDescent="0.25">
      <c r="A660" s="13"/>
    </row>
    <row r="661" spans="1:1" ht="12.5" x14ac:dyDescent="0.25">
      <c r="A661" s="13"/>
    </row>
    <row r="662" spans="1:1" ht="12.5" x14ac:dyDescent="0.25">
      <c r="A662" s="13"/>
    </row>
    <row r="663" spans="1:1" ht="12.5" x14ac:dyDescent="0.25">
      <c r="A663" s="13"/>
    </row>
    <row r="664" spans="1:1" ht="12.5" x14ac:dyDescent="0.25">
      <c r="A664" s="13"/>
    </row>
    <row r="665" spans="1:1" ht="12.5" x14ac:dyDescent="0.25">
      <c r="A665" s="13"/>
    </row>
    <row r="666" spans="1:1" ht="12.5" x14ac:dyDescent="0.25">
      <c r="A666" s="13"/>
    </row>
    <row r="667" spans="1:1" ht="12.5" x14ac:dyDescent="0.25">
      <c r="A667" s="13"/>
    </row>
    <row r="668" spans="1:1" ht="12.5" x14ac:dyDescent="0.25">
      <c r="A668" s="13"/>
    </row>
    <row r="669" spans="1:1" ht="12.5" x14ac:dyDescent="0.25">
      <c r="A669" s="13"/>
    </row>
    <row r="670" spans="1:1" ht="12.5" x14ac:dyDescent="0.25">
      <c r="A670" s="13"/>
    </row>
    <row r="671" spans="1:1" ht="12.5" x14ac:dyDescent="0.25">
      <c r="A671" s="13"/>
    </row>
    <row r="672" spans="1:1" ht="12.5" x14ac:dyDescent="0.25">
      <c r="A672" s="13"/>
    </row>
    <row r="673" spans="1:1" ht="12.5" x14ac:dyDescent="0.25">
      <c r="A673" s="13"/>
    </row>
    <row r="674" spans="1:1" ht="12.5" x14ac:dyDescent="0.25">
      <c r="A674" s="13"/>
    </row>
    <row r="675" spans="1:1" ht="12.5" x14ac:dyDescent="0.25">
      <c r="A675" s="13"/>
    </row>
    <row r="676" spans="1:1" ht="12.5" x14ac:dyDescent="0.25">
      <c r="A676" s="13"/>
    </row>
    <row r="677" spans="1:1" ht="12.5" x14ac:dyDescent="0.25">
      <c r="A677" s="13"/>
    </row>
    <row r="678" spans="1:1" ht="12.5" x14ac:dyDescent="0.25">
      <c r="A678" s="13"/>
    </row>
    <row r="679" spans="1:1" ht="12.5" x14ac:dyDescent="0.25">
      <c r="A679" s="13"/>
    </row>
    <row r="680" spans="1:1" ht="12.5" x14ac:dyDescent="0.25">
      <c r="A680" s="13"/>
    </row>
    <row r="681" spans="1:1" ht="12.5" x14ac:dyDescent="0.25">
      <c r="A681" s="13"/>
    </row>
    <row r="682" spans="1:1" ht="12.5" x14ac:dyDescent="0.25">
      <c r="A682" s="13"/>
    </row>
    <row r="683" spans="1:1" ht="12.5" x14ac:dyDescent="0.25">
      <c r="A683" s="13"/>
    </row>
    <row r="684" spans="1:1" ht="12.5" x14ac:dyDescent="0.25">
      <c r="A684" s="13"/>
    </row>
    <row r="685" spans="1:1" ht="12.5" x14ac:dyDescent="0.25">
      <c r="A685" s="13"/>
    </row>
    <row r="686" spans="1:1" ht="12.5" x14ac:dyDescent="0.25">
      <c r="A686" s="13"/>
    </row>
    <row r="687" spans="1:1" ht="12.5" x14ac:dyDescent="0.25">
      <c r="A687" s="13"/>
    </row>
    <row r="688" spans="1:1" ht="12.5" x14ac:dyDescent="0.25">
      <c r="A688" s="13"/>
    </row>
    <row r="689" spans="1:1" ht="12.5" x14ac:dyDescent="0.25">
      <c r="A689" s="13"/>
    </row>
    <row r="690" spans="1:1" ht="12.5" x14ac:dyDescent="0.25">
      <c r="A690" s="13"/>
    </row>
    <row r="691" spans="1:1" ht="12.5" x14ac:dyDescent="0.25">
      <c r="A691" s="13"/>
    </row>
    <row r="692" spans="1:1" ht="12.5" x14ac:dyDescent="0.25">
      <c r="A692" s="13"/>
    </row>
    <row r="693" spans="1:1" ht="12.5" x14ac:dyDescent="0.25">
      <c r="A693" s="13"/>
    </row>
    <row r="694" spans="1:1" ht="12.5" x14ac:dyDescent="0.25">
      <c r="A694" s="13"/>
    </row>
    <row r="695" spans="1:1" ht="12.5" x14ac:dyDescent="0.25">
      <c r="A695" s="13"/>
    </row>
    <row r="696" spans="1:1" ht="12.5" x14ac:dyDescent="0.25">
      <c r="A696" s="13"/>
    </row>
    <row r="697" spans="1:1" ht="12.5" x14ac:dyDescent="0.25">
      <c r="A697" s="13"/>
    </row>
    <row r="698" spans="1:1" ht="12.5" x14ac:dyDescent="0.25">
      <c r="A698" s="13"/>
    </row>
    <row r="699" spans="1:1" ht="12.5" x14ac:dyDescent="0.25">
      <c r="A699" s="13"/>
    </row>
    <row r="700" spans="1:1" ht="12.5" x14ac:dyDescent="0.25">
      <c r="A700" s="13"/>
    </row>
    <row r="701" spans="1:1" ht="12.5" x14ac:dyDescent="0.25">
      <c r="A701" s="13"/>
    </row>
    <row r="702" spans="1:1" ht="12.5" x14ac:dyDescent="0.25">
      <c r="A702" s="13"/>
    </row>
    <row r="703" spans="1:1" ht="12.5" x14ac:dyDescent="0.25">
      <c r="A703" s="13"/>
    </row>
    <row r="704" spans="1:1" ht="12.5" x14ac:dyDescent="0.25">
      <c r="A704" s="13"/>
    </row>
    <row r="705" spans="1:1" ht="12.5" x14ac:dyDescent="0.25">
      <c r="A705" s="13"/>
    </row>
    <row r="706" spans="1:1" ht="12.5" x14ac:dyDescent="0.25">
      <c r="A706" s="13"/>
    </row>
    <row r="707" spans="1:1" ht="12.5" x14ac:dyDescent="0.25">
      <c r="A707" s="13"/>
    </row>
    <row r="708" spans="1:1" ht="12.5" x14ac:dyDescent="0.25">
      <c r="A708" s="13"/>
    </row>
    <row r="709" spans="1:1" ht="12.5" x14ac:dyDescent="0.25">
      <c r="A709" s="13"/>
    </row>
    <row r="710" spans="1:1" ht="12.5" x14ac:dyDescent="0.25">
      <c r="A710" s="13"/>
    </row>
    <row r="711" spans="1:1" ht="12.5" x14ac:dyDescent="0.25">
      <c r="A711" s="13"/>
    </row>
    <row r="712" spans="1:1" ht="12.5" x14ac:dyDescent="0.25">
      <c r="A712" s="13"/>
    </row>
    <row r="713" spans="1:1" ht="12.5" x14ac:dyDescent="0.25">
      <c r="A713" s="13"/>
    </row>
    <row r="714" spans="1:1" ht="12.5" x14ac:dyDescent="0.25">
      <c r="A714" s="13"/>
    </row>
    <row r="715" spans="1:1" ht="12.5" x14ac:dyDescent="0.25">
      <c r="A715" s="13"/>
    </row>
    <row r="716" spans="1:1" ht="12.5" x14ac:dyDescent="0.25">
      <c r="A716" s="13"/>
    </row>
    <row r="717" spans="1:1" ht="12.5" x14ac:dyDescent="0.25">
      <c r="A717" s="13"/>
    </row>
    <row r="718" spans="1:1" ht="12.5" x14ac:dyDescent="0.25">
      <c r="A718" s="13"/>
    </row>
    <row r="719" spans="1:1" ht="12.5" x14ac:dyDescent="0.25">
      <c r="A719" s="13"/>
    </row>
    <row r="720" spans="1:1" ht="12.5" x14ac:dyDescent="0.25">
      <c r="A720" s="13"/>
    </row>
    <row r="721" spans="1:1" ht="12.5" x14ac:dyDescent="0.25">
      <c r="A721" s="13"/>
    </row>
    <row r="722" spans="1:1" ht="12.5" x14ac:dyDescent="0.25">
      <c r="A722" s="13"/>
    </row>
    <row r="723" spans="1:1" ht="12.5" x14ac:dyDescent="0.25">
      <c r="A723" s="13"/>
    </row>
    <row r="724" spans="1:1" ht="12.5" x14ac:dyDescent="0.25">
      <c r="A724" s="13"/>
    </row>
    <row r="725" spans="1:1" ht="12.5" x14ac:dyDescent="0.25">
      <c r="A725" s="13"/>
    </row>
    <row r="726" spans="1:1" ht="12.5" x14ac:dyDescent="0.25">
      <c r="A726" s="13"/>
    </row>
    <row r="727" spans="1:1" ht="12.5" x14ac:dyDescent="0.25">
      <c r="A727" s="13"/>
    </row>
    <row r="728" spans="1:1" ht="12.5" x14ac:dyDescent="0.25">
      <c r="A728" s="13"/>
    </row>
    <row r="729" spans="1:1" ht="12.5" x14ac:dyDescent="0.25">
      <c r="A729" s="13"/>
    </row>
    <row r="730" spans="1:1" ht="12.5" x14ac:dyDescent="0.25">
      <c r="A730" s="13"/>
    </row>
    <row r="731" spans="1:1" ht="12.5" x14ac:dyDescent="0.25">
      <c r="A731" s="13"/>
    </row>
    <row r="732" spans="1:1" ht="12.5" x14ac:dyDescent="0.25">
      <c r="A732" s="13"/>
    </row>
    <row r="733" spans="1:1" ht="12.5" x14ac:dyDescent="0.25">
      <c r="A733" s="13"/>
    </row>
    <row r="734" spans="1:1" ht="12.5" x14ac:dyDescent="0.25">
      <c r="A734" s="13"/>
    </row>
    <row r="735" spans="1:1" ht="12.5" x14ac:dyDescent="0.25">
      <c r="A735" s="13"/>
    </row>
    <row r="736" spans="1:1" ht="12.5" x14ac:dyDescent="0.25">
      <c r="A736" s="13"/>
    </row>
    <row r="737" spans="1:1" ht="12.5" x14ac:dyDescent="0.25">
      <c r="A737" s="13"/>
    </row>
    <row r="738" spans="1:1" ht="12.5" x14ac:dyDescent="0.25">
      <c r="A738" s="13"/>
    </row>
    <row r="739" spans="1:1" ht="12.5" x14ac:dyDescent="0.25">
      <c r="A739" s="13"/>
    </row>
    <row r="740" spans="1:1" ht="12.5" x14ac:dyDescent="0.25">
      <c r="A740" s="13"/>
    </row>
    <row r="741" spans="1:1" ht="12.5" x14ac:dyDescent="0.25">
      <c r="A741" s="13"/>
    </row>
    <row r="742" spans="1:1" ht="12.5" x14ac:dyDescent="0.25">
      <c r="A742" s="13"/>
    </row>
    <row r="743" spans="1:1" ht="12.5" x14ac:dyDescent="0.25">
      <c r="A743" s="13"/>
    </row>
    <row r="744" spans="1:1" ht="12.5" x14ac:dyDescent="0.25">
      <c r="A744" s="13"/>
    </row>
    <row r="745" spans="1:1" ht="12.5" x14ac:dyDescent="0.25">
      <c r="A745" s="13"/>
    </row>
    <row r="746" spans="1:1" ht="12.5" x14ac:dyDescent="0.25">
      <c r="A746" s="13"/>
    </row>
    <row r="747" spans="1:1" ht="12.5" x14ac:dyDescent="0.25">
      <c r="A747" s="13"/>
    </row>
    <row r="748" spans="1:1" ht="12.5" x14ac:dyDescent="0.25">
      <c r="A748" s="13"/>
    </row>
    <row r="749" spans="1:1" ht="12.5" x14ac:dyDescent="0.25">
      <c r="A749" s="13"/>
    </row>
    <row r="750" spans="1:1" ht="12.5" x14ac:dyDescent="0.25">
      <c r="A750" s="13"/>
    </row>
    <row r="751" spans="1:1" ht="12.5" x14ac:dyDescent="0.25">
      <c r="A751" s="13"/>
    </row>
    <row r="752" spans="1:1" ht="12.5" x14ac:dyDescent="0.25">
      <c r="A752" s="13"/>
    </row>
    <row r="753" spans="1:1" ht="12.5" x14ac:dyDescent="0.25">
      <c r="A753" s="13"/>
    </row>
    <row r="754" spans="1:1" ht="12.5" x14ac:dyDescent="0.25">
      <c r="A754" s="13"/>
    </row>
    <row r="755" spans="1:1" ht="12.5" x14ac:dyDescent="0.25">
      <c r="A755" s="13"/>
    </row>
    <row r="756" spans="1:1" ht="12.5" x14ac:dyDescent="0.25">
      <c r="A756" s="13"/>
    </row>
    <row r="757" spans="1:1" ht="12.5" x14ac:dyDescent="0.25">
      <c r="A757" s="13"/>
    </row>
    <row r="758" spans="1:1" ht="12.5" x14ac:dyDescent="0.25">
      <c r="A758" s="13"/>
    </row>
    <row r="759" spans="1:1" ht="12.5" x14ac:dyDescent="0.25">
      <c r="A759" s="13"/>
    </row>
    <row r="760" spans="1:1" ht="12.5" x14ac:dyDescent="0.25">
      <c r="A760" s="13"/>
    </row>
    <row r="761" spans="1:1" ht="12.5" x14ac:dyDescent="0.25">
      <c r="A761" s="13"/>
    </row>
    <row r="762" spans="1:1" ht="12.5" x14ac:dyDescent="0.25">
      <c r="A762" s="13"/>
    </row>
    <row r="763" spans="1:1" ht="12.5" x14ac:dyDescent="0.25">
      <c r="A763" s="13"/>
    </row>
    <row r="764" spans="1:1" ht="12.5" x14ac:dyDescent="0.25">
      <c r="A764" s="13"/>
    </row>
    <row r="765" spans="1:1" ht="12.5" x14ac:dyDescent="0.25">
      <c r="A765" s="13"/>
    </row>
    <row r="766" spans="1:1" ht="12.5" x14ac:dyDescent="0.25">
      <c r="A766" s="13"/>
    </row>
    <row r="767" spans="1:1" ht="12.5" x14ac:dyDescent="0.25">
      <c r="A767" s="13"/>
    </row>
    <row r="768" spans="1:1" ht="12.5" x14ac:dyDescent="0.25">
      <c r="A768" s="13"/>
    </row>
    <row r="769" spans="1:1" ht="12.5" x14ac:dyDescent="0.25">
      <c r="A769" s="13"/>
    </row>
    <row r="770" spans="1:1" ht="12.5" x14ac:dyDescent="0.25">
      <c r="A770" s="13"/>
    </row>
    <row r="771" spans="1:1" ht="12.5" x14ac:dyDescent="0.25">
      <c r="A771" s="13"/>
    </row>
    <row r="772" spans="1:1" ht="12.5" x14ac:dyDescent="0.25">
      <c r="A772" s="13"/>
    </row>
    <row r="773" spans="1:1" ht="12.5" x14ac:dyDescent="0.25">
      <c r="A773" s="13"/>
    </row>
    <row r="774" spans="1:1" ht="12.5" x14ac:dyDescent="0.25">
      <c r="A774" s="13"/>
    </row>
    <row r="775" spans="1:1" ht="12.5" x14ac:dyDescent="0.25">
      <c r="A775" s="13"/>
    </row>
    <row r="776" spans="1:1" ht="12.5" x14ac:dyDescent="0.25">
      <c r="A776" s="13"/>
    </row>
    <row r="777" spans="1:1" ht="12.5" x14ac:dyDescent="0.25">
      <c r="A777" s="13"/>
    </row>
    <row r="778" spans="1:1" ht="12.5" x14ac:dyDescent="0.25">
      <c r="A778" s="13"/>
    </row>
    <row r="779" spans="1:1" ht="12.5" x14ac:dyDescent="0.25">
      <c r="A779" s="13"/>
    </row>
    <row r="780" spans="1:1" ht="12.5" x14ac:dyDescent="0.25">
      <c r="A780" s="13"/>
    </row>
    <row r="781" spans="1:1" ht="12.5" x14ac:dyDescent="0.25">
      <c r="A781" s="13"/>
    </row>
    <row r="782" spans="1:1" ht="12.5" x14ac:dyDescent="0.25">
      <c r="A782" s="13"/>
    </row>
    <row r="783" spans="1:1" ht="12.5" x14ac:dyDescent="0.25">
      <c r="A783" s="13"/>
    </row>
    <row r="784" spans="1:1" ht="12.5" x14ac:dyDescent="0.25">
      <c r="A784" s="13"/>
    </row>
    <row r="785" spans="1:1" ht="12.5" x14ac:dyDescent="0.25">
      <c r="A785" s="13"/>
    </row>
    <row r="786" spans="1:1" ht="12.5" x14ac:dyDescent="0.25">
      <c r="A786" s="13"/>
    </row>
    <row r="787" spans="1:1" ht="12.5" x14ac:dyDescent="0.25">
      <c r="A787" s="13"/>
    </row>
    <row r="788" spans="1:1" ht="12.5" x14ac:dyDescent="0.25">
      <c r="A788" s="13"/>
    </row>
    <row r="789" spans="1:1" ht="12.5" x14ac:dyDescent="0.25">
      <c r="A789" s="13"/>
    </row>
    <row r="790" spans="1:1" ht="12.5" x14ac:dyDescent="0.25">
      <c r="A790" s="13"/>
    </row>
    <row r="791" spans="1:1" ht="12.5" x14ac:dyDescent="0.25">
      <c r="A791" s="13"/>
    </row>
    <row r="792" spans="1:1" ht="12.5" x14ac:dyDescent="0.25">
      <c r="A792" s="13"/>
    </row>
    <row r="793" spans="1:1" ht="12.5" x14ac:dyDescent="0.25">
      <c r="A793" s="13"/>
    </row>
    <row r="794" spans="1:1" ht="12.5" x14ac:dyDescent="0.25">
      <c r="A794" s="13"/>
    </row>
    <row r="795" spans="1:1" ht="12.5" x14ac:dyDescent="0.25">
      <c r="A795" s="13"/>
    </row>
    <row r="796" spans="1:1" ht="12.5" x14ac:dyDescent="0.25">
      <c r="A796" s="13"/>
    </row>
    <row r="797" spans="1:1" ht="12.5" x14ac:dyDescent="0.25">
      <c r="A797" s="13"/>
    </row>
    <row r="798" spans="1:1" ht="12.5" x14ac:dyDescent="0.25">
      <c r="A798" s="13"/>
    </row>
    <row r="799" spans="1:1" ht="12.5" x14ac:dyDescent="0.25">
      <c r="A799" s="13"/>
    </row>
    <row r="800" spans="1:1" ht="12.5" x14ac:dyDescent="0.25">
      <c r="A800" s="13"/>
    </row>
    <row r="801" spans="1:1" ht="12.5" x14ac:dyDescent="0.25">
      <c r="A801" s="13"/>
    </row>
    <row r="802" spans="1:1" ht="12.5" x14ac:dyDescent="0.25">
      <c r="A802" s="13"/>
    </row>
    <row r="803" spans="1:1" ht="12.5" x14ac:dyDescent="0.25">
      <c r="A803" s="13"/>
    </row>
    <row r="804" spans="1:1" ht="12.5" x14ac:dyDescent="0.25">
      <c r="A804" s="13"/>
    </row>
    <row r="805" spans="1:1" ht="12.5" x14ac:dyDescent="0.25">
      <c r="A805" s="13"/>
    </row>
    <row r="806" spans="1:1" ht="12.5" x14ac:dyDescent="0.25">
      <c r="A806" s="13"/>
    </row>
    <row r="807" spans="1:1" ht="12.5" x14ac:dyDescent="0.25">
      <c r="A807" s="13"/>
    </row>
    <row r="808" spans="1:1" ht="12.5" x14ac:dyDescent="0.25">
      <c r="A808" s="13"/>
    </row>
    <row r="809" spans="1:1" ht="12.5" x14ac:dyDescent="0.25">
      <c r="A809" s="13"/>
    </row>
    <row r="810" spans="1:1" ht="12.5" x14ac:dyDescent="0.25">
      <c r="A810" s="13"/>
    </row>
    <row r="811" spans="1:1" ht="12.5" x14ac:dyDescent="0.25">
      <c r="A811" s="13"/>
    </row>
    <row r="812" spans="1:1" ht="12.5" x14ac:dyDescent="0.25">
      <c r="A812" s="13"/>
    </row>
    <row r="813" spans="1:1" ht="12.5" x14ac:dyDescent="0.25">
      <c r="A813" s="13"/>
    </row>
    <row r="814" spans="1:1" ht="12.5" x14ac:dyDescent="0.25">
      <c r="A814" s="13"/>
    </row>
    <row r="815" spans="1:1" ht="12.5" x14ac:dyDescent="0.25">
      <c r="A815" s="13"/>
    </row>
    <row r="816" spans="1:1" ht="12.5" x14ac:dyDescent="0.25">
      <c r="A816" s="13"/>
    </row>
    <row r="817" spans="1:1" ht="12.5" x14ac:dyDescent="0.25">
      <c r="A817" s="13"/>
    </row>
    <row r="818" spans="1:1" ht="12.5" x14ac:dyDescent="0.25">
      <c r="A818" s="13"/>
    </row>
    <row r="819" spans="1:1" ht="12.5" x14ac:dyDescent="0.25">
      <c r="A819" s="13"/>
    </row>
    <row r="820" spans="1:1" ht="12.5" x14ac:dyDescent="0.25">
      <c r="A820" s="13"/>
    </row>
    <row r="821" spans="1:1" ht="12.5" x14ac:dyDescent="0.25">
      <c r="A821" s="13"/>
    </row>
    <row r="822" spans="1:1" ht="12.5" x14ac:dyDescent="0.25">
      <c r="A822" s="13"/>
    </row>
    <row r="823" spans="1:1" ht="12.5" x14ac:dyDescent="0.25">
      <c r="A823" s="13"/>
    </row>
    <row r="824" spans="1:1" ht="12.5" x14ac:dyDescent="0.25">
      <c r="A824" s="13"/>
    </row>
    <row r="825" spans="1:1" ht="12.5" x14ac:dyDescent="0.25">
      <c r="A825" s="13"/>
    </row>
    <row r="826" spans="1:1" ht="12.5" x14ac:dyDescent="0.25">
      <c r="A826" s="13"/>
    </row>
    <row r="827" spans="1:1" ht="12.5" x14ac:dyDescent="0.25">
      <c r="A827" s="13"/>
    </row>
    <row r="828" spans="1:1" ht="12.5" x14ac:dyDescent="0.25">
      <c r="A828" s="13"/>
    </row>
    <row r="829" spans="1:1" ht="12.5" x14ac:dyDescent="0.25">
      <c r="A829" s="13"/>
    </row>
    <row r="830" spans="1:1" ht="12.5" x14ac:dyDescent="0.25">
      <c r="A830" s="13"/>
    </row>
    <row r="831" spans="1:1" ht="12.5" x14ac:dyDescent="0.25">
      <c r="A831" s="13"/>
    </row>
    <row r="832" spans="1:1" ht="12.5" x14ac:dyDescent="0.25">
      <c r="A832" s="13"/>
    </row>
    <row r="833" spans="1:1" ht="12.5" x14ac:dyDescent="0.25">
      <c r="A833" s="13"/>
    </row>
    <row r="834" spans="1:1" ht="12.5" x14ac:dyDescent="0.25">
      <c r="A834" s="13"/>
    </row>
    <row r="835" spans="1:1" ht="12.5" x14ac:dyDescent="0.25">
      <c r="A835" s="13"/>
    </row>
    <row r="836" spans="1:1" ht="12.5" x14ac:dyDescent="0.25">
      <c r="A836" s="13"/>
    </row>
    <row r="837" spans="1:1" ht="12.5" x14ac:dyDescent="0.25">
      <c r="A837" s="13"/>
    </row>
    <row r="838" spans="1:1" ht="12.5" x14ac:dyDescent="0.25">
      <c r="A838" s="13"/>
    </row>
    <row r="839" spans="1:1" ht="12.5" x14ac:dyDescent="0.25">
      <c r="A839" s="13"/>
    </row>
    <row r="840" spans="1:1" ht="12.5" x14ac:dyDescent="0.25">
      <c r="A840" s="13"/>
    </row>
    <row r="841" spans="1:1" ht="12.5" x14ac:dyDescent="0.25">
      <c r="A841" s="13"/>
    </row>
    <row r="842" spans="1:1" ht="12.5" x14ac:dyDescent="0.25">
      <c r="A842" s="13"/>
    </row>
    <row r="843" spans="1:1" ht="12.5" x14ac:dyDescent="0.25">
      <c r="A843" s="13"/>
    </row>
    <row r="844" spans="1:1" ht="12.5" x14ac:dyDescent="0.25">
      <c r="A844" s="13"/>
    </row>
    <row r="845" spans="1:1" ht="12.5" x14ac:dyDescent="0.25">
      <c r="A845" s="13"/>
    </row>
    <row r="846" spans="1:1" ht="12.5" x14ac:dyDescent="0.25">
      <c r="A846" s="13"/>
    </row>
    <row r="847" spans="1:1" ht="12.5" x14ac:dyDescent="0.25">
      <c r="A847" s="13"/>
    </row>
    <row r="848" spans="1:1" ht="12.5" x14ac:dyDescent="0.25">
      <c r="A848" s="13"/>
    </row>
    <row r="849" spans="1:1" ht="12.5" x14ac:dyDescent="0.25">
      <c r="A849" s="13"/>
    </row>
    <row r="850" spans="1:1" ht="12.5" x14ac:dyDescent="0.25">
      <c r="A850" s="13"/>
    </row>
    <row r="851" spans="1:1" ht="12.5" x14ac:dyDescent="0.25">
      <c r="A851" s="13"/>
    </row>
    <row r="852" spans="1:1" ht="12.5" x14ac:dyDescent="0.25">
      <c r="A852" s="13"/>
    </row>
    <row r="853" spans="1:1" ht="12.5" x14ac:dyDescent="0.25">
      <c r="A853" s="13"/>
    </row>
    <row r="854" spans="1:1" ht="12.5" x14ac:dyDescent="0.25">
      <c r="A854" s="13"/>
    </row>
    <row r="855" spans="1:1" ht="12.5" x14ac:dyDescent="0.25">
      <c r="A855" s="13"/>
    </row>
    <row r="856" spans="1:1" ht="12.5" x14ac:dyDescent="0.25">
      <c r="A856" s="13"/>
    </row>
    <row r="857" spans="1:1" ht="12.5" x14ac:dyDescent="0.25">
      <c r="A857" s="13"/>
    </row>
    <row r="858" spans="1:1" ht="12.5" x14ac:dyDescent="0.25">
      <c r="A858" s="13"/>
    </row>
    <row r="859" spans="1:1" ht="12.5" x14ac:dyDescent="0.25">
      <c r="A859" s="13"/>
    </row>
    <row r="860" spans="1:1" ht="12.5" x14ac:dyDescent="0.25">
      <c r="A860" s="13"/>
    </row>
    <row r="861" spans="1:1" ht="12.5" x14ac:dyDescent="0.25">
      <c r="A861" s="13"/>
    </row>
    <row r="862" spans="1:1" ht="12.5" x14ac:dyDescent="0.25">
      <c r="A862" s="13"/>
    </row>
    <row r="863" spans="1:1" ht="12.5" x14ac:dyDescent="0.25">
      <c r="A863" s="13"/>
    </row>
    <row r="864" spans="1:1" ht="12.5" x14ac:dyDescent="0.25">
      <c r="A864" s="13"/>
    </row>
    <row r="865" spans="1:1" ht="12.5" x14ac:dyDescent="0.25">
      <c r="A865" s="13"/>
    </row>
    <row r="866" spans="1:1" ht="12.5" x14ac:dyDescent="0.25">
      <c r="A866" s="13"/>
    </row>
    <row r="867" spans="1:1" ht="12.5" x14ac:dyDescent="0.25">
      <c r="A867" s="13"/>
    </row>
    <row r="868" spans="1:1" ht="12.5" x14ac:dyDescent="0.25">
      <c r="A868" s="13"/>
    </row>
    <row r="869" spans="1:1" ht="12.5" x14ac:dyDescent="0.25">
      <c r="A869" s="13"/>
    </row>
    <row r="870" spans="1:1" ht="12.5" x14ac:dyDescent="0.25">
      <c r="A870" s="13"/>
    </row>
    <row r="871" spans="1:1" ht="12.5" x14ac:dyDescent="0.25">
      <c r="A871" s="13"/>
    </row>
    <row r="872" spans="1:1" ht="12.5" x14ac:dyDescent="0.25">
      <c r="A872" s="13"/>
    </row>
    <row r="873" spans="1:1" ht="12.5" x14ac:dyDescent="0.25">
      <c r="A873" s="13"/>
    </row>
    <row r="874" spans="1:1" ht="12.5" x14ac:dyDescent="0.25">
      <c r="A874" s="13"/>
    </row>
    <row r="875" spans="1:1" ht="12.5" x14ac:dyDescent="0.25">
      <c r="A875" s="13"/>
    </row>
    <row r="876" spans="1:1" ht="12.5" x14ac:dyDescent="0.25">
      <c r="A876" s="13"/>
    </row>
    <row r="877" spans="1:1" ht="12.5" x14ac:dyDescent="0.25">
      <c r="A877" s="13"/>
    </row>
    <row r="878" spans="1:1" ht="12.5" x14ac:dyDescent="0.25">
      <c r="A878" s="13"/>
    </row>
    <row r="879" spans="1:1" ht="12.5" x14ac:dyDescent="0.25">
      <c r="A879" s="13"/>
    </row>
    <row r="880" spans="1:1" ht="12.5" x14ac:dyDescent="0.25">
      <c r="A880" s="13"/>
    </row>
    <row r="881" spans="1:1" ht="12.5" x14ac:dyDescent="0.25">
      <c r="A881" s="13"/>
    </row>
    <row r="882" spans="1:1" ht="12.5" x14ac:dyDescent="0.25">
      <c r="A882" s="13"/>
    </row>
    <row r="883" spans="1:1" ht="12.5" x14ac:dyDescent="0.25">
      <c r="A883" s="13"/>
    </row>
    <row r="884" spans="1:1" ht="12.5" x14ac:dyDescent="0.25">
      <c r="A884" s="13"/>
    </row>
    <row r="885" spans="1:1" ht="12.5" x14ac:dyDescent="0.25">
      <c r="A885" s="13"/>
    </row>
    <row r="886" spans="1:1" ht="12.5" x14ac:dyDescent="0.25">
      <c r="A886" s="13"/>
    </row>
    <row r="887" spans="1:1" ht="12.5" x14ac:dyDescent="0.25">
      <c r="A887" s="13"/>
    </row>
    <row r="888" spans="1:1" ht="12.5" x14ac:dyDescent="0.25">
      <c r="A888" s="13"/>
    </row>
    <row r="889" spans="1:1" ht="12.5" x14ac:dyDescent="0.25">
      <c r="A889" s="13"/>
    </row>
    <row r="890" spans="1:1" ht="12.5" x14ac:dyDescent="0.25">
      <c r="A890" s="13"/>
    </row>
    <row r="891" spans="1:1" ht="12.5" x14ac:dyDescent="0.25">
      <c r="A891" s="13"/>
    </row>
    <row r="892" spans="1:1" ht="12.5" x14ac:dyDescent="0.25">
      <c r="A892" s="13"/>
    </row>
    <row r="893" spans="1:1" ht="12.5" x14ac:dyDescent="0.25">
      <c r="A893" s="13"/>
    </row>
    <row r="894" spans="1:1" ht="12.5" x14ac:dyDescent="0.25">
      <c r="A894" s="13"/>
    </row>
    <row r="895" spans="1:1" ht="12.5" x14ac:dyDescent="0.25">
      <c r="A895" s="13"/>
    </row>
    <row r="896" spans="1:1" ht="12.5" x14ac:dyDescent="0.25">
      <c r="A896" s="13"/>
    </row>
    <row r="897" spans="1:1" ht="12.5" x14ac:dyDescent="0.25">
      <c r="A897" s="13"/>
    </row>
    <row r="898" spans="1:1" ht="12.5" x14ac:dyDescent="0.25">
      <c r="A898" s="13"/>
    </row>
    <row r="899" spans="1:1" ht="12.5" x14ac:dyDescent="0.25">
      <c r="A899" s="13"/>
    </row>
    <row r="900" spans="1:1" ht="12.5" x14ac:dyDescent="0.25">
      <c r="A900" s="13"/>
    </row>
    <row r="901" spans="1:1" ht="12.5" x14ac:dyDescent="0.25">
      <c r="A901" s="13"/>
    </row>
    <row r="902" spans="1:1" ht="12.5" x14ac:dyDescent="0.25">
      <c r="A902" s="13"/>
    </row>
    <row r="903" spans="1:1" ht="12.5" x14ac:dyDescent="0.25">
      <c r="A903" s="13"/>
    </row>
    <row r="904" spans="1:1" ht="12.5" x14ac:dyDescent="0.25">
      <c r="A904" s="13"/>
    </row>
    <row r="905" spans="1:1" ht="12.5" x14ac:dyDescent="0.25">
      <c r="A905" s="13"/>
    </row>
    <row r="906" spans="1:1" ht="12.5" x14ac:dyDescent="0.25">
      <c r="A906" s="13"/>
    </row>
    <row r="907" spans="1:1" ht="12.5" x14ac:dyDescent="0.25">
      <c r="A907" s="13"/>
    </row>
    <row r="908" spans="1:1" ht="12.5" x14ac:dyDescent="0.25">
      <c r="A908" s="13"/>
    </row>
    <row r="909" spans="1:1" ht="12.5" x14ac:dyDescent="0.25">
      <c r="A909" s="13"/>
    </row>
    <row r="910" spans="1:1" ht="12.5" x14ac:dyDescent="0.25">
      <c r="A910" s="13"/>
    </row>
    <row r="911" spans="1:1" ht="12.5" x14ac:dyDescent="0.25">
      <c r="A911" s="13"/>
    </row>
    <row r="912" spans="1:1" ht="12.5" x14ac:dyDescent="0.25">
      <c r="A912" s="13"/>
    </row>
    <row r="913" spans="1:1" ht="12.5" x14ac:dyDescent="0.25">
      <c r="A913" s="13"/>
    </row>
    <row r="914" spans="1:1" ht="12.5" x14ac:dyDescent="0.25">
      <c r="A914" s="13"/>
    </row>
    <row r="915" spans="1:1" ht="12.5" x14ac:dyDescent="0.25">
      <c r="A915" s="13"/>
    </row>
    <row r="916" spans="1:1" ht="12.5" x14ac:dyDescent="0.25">
      <c r="A916" s="13"/>
    </row>
    <row r="917" spans="1:1" ht="12.5" x14ac:dyDescent="0.25">
      <c r="A917" s="13"/>
    </row>
    <row r="918" spans="1:1" ht="12.5" x14ac:dyDescent="0.25">
      <c r="A918" s="13"/>
    </row>
    <row r="919" spans="1:1" ht="12.5" x14ac:dyDescent="0.25">
      <c r="A919" s="13"/>
    </row>
    <row r="920" spans="1:1" ht="12.5" x14ac:dyDescent="0.25">
      <c r="A920" s="13"/>
    </row>
    <row r="921" spans="1:1" ht="12.5" x14ac:dyDescent="0.25">
      <c r="A921" s="13"/>
    </row>
    <row r="922" spans="1:1" ht="12.5" x14ac:dyDescent="0.25">
      <c r="A922" s="13"/>
    </row>
    <row r="923" spans="1:1" ht="12.5" x14ac:dyDescent="0.25">
      <c r="A923" s="13"/>
    </row>
    <row r="924" spans="1:1" ht="12.5" x14ac:dyDescent="0.25">
      <c r="A924" s="13"/>
    </row>
    <row r="925" spans="1:1" ht="12.5" x14ac:dyDescent="0.25">
      <c r="A925" s="13"/>
    </row>
    <row r="926" spans="1:1" ht="12.5" x14ac:dyDescent="0.25">
      <c r="A926" s="13"/>
    </row>
    <row r="927" spans="1:1" ht="12.5" x14ac:dyDescent="0.25">
      <c r="A927" s="13"/>
    </row>
    <row r="928" spans="1:1" ht="12.5" x14ac:dyDescent="0.25">
      <c r="A928" s="13"/>
    </row>
    <row r="929" spans="1:1" ht="12.5" x14ac:dyDescent="0.25">
      <c r="A929" s="13"/>
    </row>
    <row r="930" spans="1:1" ht="12.5" x14ac:dyDescent="0.25">
      <c r="A930" s="13"/>
    </row>
    <row r="931" spans="1:1" ht="12.5" x14ac:dyDescent="0.25">
      <c r="A931" s="13"/>
    </row>
    <row r="932" spans="1:1" ht="12.5" x14ac:dyDescent="0.25">
      <c r="A932" s="13"/>
    </row>
    <row r="933" spans="1:1" ht="12.5" x14ac:dyDescent="0.25">
      <c r="A933" s="13"/>
    </row>
    <row r="934" spans="1:1" ht="12.5" x14ac:dyDescent="0.25">
      <c r="A934" s="13"/>
    </row>
    <row r="935" spans="1:1" ht="12.5" x14ac:dyDescent="0.25">
      <c r="A935" s="13"/>
    </row>
    <row r="936" spans="1:1" ht="12.5" x14ac:dyDescent="0.25">
      <c r="A936" s="13"/>
    </row>
    <row r="937" spans="1:1" ht="12.5" x14ac:dyDescent="0.25">
      <c r="A937" s="13"/>
    </row>
    <row r="938" spans="1:1" ht="12.5" x14ac:dyDescent="0.25">
      <c r="A938" s="13"/>
    </row>
    <row r="939" spans="1:1" ht="12.5" x14ac:dyDescent="0.25">
      <c r="A939" s="13"/>
    </row>
    <row r="940" spans="1:1" ht="12.5" x14ac:dyDescent="0.25">
      <c r="A940" s="13"/>
    </row>
    <row r="941" spans="1:1" ht="12.5" x14ac:dyDescent="0.25">
      <c r="A941" s="13"/>
    </row>
    <row r="942" spans="1:1" ht="12.5" x14ac:dyDescent="0.25">
      <c r="A942" s="13"/>
    </row>
    <row r="943" spans="1:1" ht="12.5" x14ac:dyDescent="0.25">
      <c r="A943" s="13"/>
    </row>
    <row r="944" spans="1:1" ht="12.5" x14ac:dyDescent="0.25">
      <c r="A944" s="13"/>
    </row>
    <row r="945" spans="1:1" ht="12.5" x14ac:dyDescent="0.25">
      <c r="A945" s="13"/>
    </row>
    <row r="946" spans="1:1" ht="12.5" x14ac:dyDescent="0.25">
      <c r="A946" s="13"/>
    </row>
    <row r="947" spans="1:1" ht="12.5" x14ac:dyDescent="0.25">
      <c r="A947" s="13"/>
    </row>
    <row r="948" spans="1:1" ht="12.5" x14ac:dyDescent="0.25">
      <c r="A948" s="13"/>
    </row>
    <row r="949" spans="1:1" ht="12.5" x14ac:dyDescent="0.25">
      <c r="A949" s="13"/>
    </row>
    <row r="950" spans="1:1" ht="12.5" x14ac:dyDescent="0.25">
      <c r="A950" s="13"/>
    </row>
    <row r="951" spans="1:1" ht="12.5" x14ac:dyDescent="0.25">
      <c r="A951" s="13"/>
    </row>
    <row r="952" spans="1:1" ht="12.5" x14ac:dyDescent="0.25">
      <c r="A952" s="13"/>
    </row>
    <row r="953" spans="1:1" ht="12.5" x14ac:dyDescent="0.25">
      <c r="A953" s="13"/>
    </row>
    <row r="954" spans="1:1" ht="12.5" x14ac:dyDescent="0.25">
      <c r="A954" s="13"/>
    </row>
    <row r="955" spans="1:1" ht="12.5" x14ac:dyDescent="0.25">
      <c r="A955" s="13"/>
    </row>
    <row r="956" spans="1:1" ht="12.5" x14ac:dyDescent="0.25">
      <c r="A956" s="13"/>
    </row>
    <row r="957" spans="1:1" ht="12.5" x14ac:dyDescent="0.25">
      <c r="A957" s="13"/>
    </row>
    <row r="958" spans="1:1" ht="12.5" x14ac:dyDescent="0.25">
      <c r="A958" s="13"/>
    </row>
    <row r="959" spans="1:1" ht="12.5" x14ac:dyDescent="0.25">
      <c r="A959" s="13"/>
    </row>
    <row r="960" spans="1:1" ht="12.5" x14ac:dyDescent="0.25">
      <c r="A960" s="13"/>
    </row>
    <row r="961" spans="1:1" ht="12.5" x14ac:dyDescent="0.25">
      <c r="A961" s="13"/>
    </row>
    <row r="962" spans="1:1" ht="12.5" x14ac:dyDescent="0.25">
      <c r="A962" s="13"/>
    </row>
    <row r="963" spans="1:1" ht="12.5" x14ac:dyDescent="0.25">
      <c r="A963" s="13"/>
    </row>
    <row r="964" spans="1:1" ht="12.5" x14ac:dyDescent="0.25">
      <c r="A964" s="13"/>
    </row>
    <row r="965" spans="1:1" ht="12.5" x14ac:dyDescent="0.25">
      <c r="A965" s="13"/>
    </row>
    <row r="966" spans="1:1" ht="12.5" x14ac:dyDescent="0.25">
      <c r="A966" s="13"/>
    </row>
    <row r="967" spans="1:1" ht="12.5" x14ac:dyDescent="0.25">
      <c r="A967" s="13"/>
    </row>
    <row r="968" spans="1:1" ht="12.5" x14ac:dyDescent="0.25">
      <c r="A968" s="13"/>
    </row>
    <row r="969" spans="1:1" ht="12.5" x14ac:dyDescent="0.25">
      <c r="A969" s="13"/>
    </row>
    <row r="970" spans="1:1" ht="12.5" x14ac:dyDescent="0.25">
      <c r="A970" s="13"/>
    </row>
    <row r="971" spans="1:1" ht="12.5" x14ac:dyDescent="0.25">
      <c r="A971" s="13"/>
    </row>
    <row r="972" spans="1:1" ht="12.5" x14ac:dyDescent="0.25">
      <c r="A972" s="13"/>
    </row>
    <row r="973" spans="1:1" ht="12.5" x14ac:dyDescent="0.25">
      <c r="A973" s="13"/>
    </row>
    <row r="974" spans="1:1" ht="12.5" x14ac:dyDescent="0.25">
      <c r="A974" s="13"/>
    </row>
    <row r="975" spans="1:1" ht="12.5" x14ac:dyDescent="0.25">
      <c r="A975" s="13"/>
    </row>
    <row r="976" spans="1:1" ht="12.5" x14ac:dyDescent="0.25">
      <c r="A976" s="13"/>
    </row>
    <row r="977" spans="1:1" ht="12.5" x14ac:dyDescent="0.25">
      <c r="A977" s="13"/>
    </row>
    <row r="978" spans="1:1" ht="12.5" x14ac:dyDescent="0.25">
      <c r="A978" s="13"/>
    </row>
    <row r="979" spans="1:1" ht="12.5" x14ac:dyDescent="0.25">
      <c r="A979" s="13"/>
    </row>
    <row r="980" spans="1:1" ht="12.5" x14ac:dyDescent="0.25">
      <c r="A980" s="13"/>
    </row>
    <row r="981" spans="1:1" ht="12.5" x14ac:dyDescent="0.25">
      <c r="A981" s="13"/>
    </row>
    <row r="982" spans="1:1" ht="12.5" x14ac:dyDescent="0.25">
      <c r="A982" s="13"/>
    </row>
    <row r="983" spans="1:1" ht="12.5" x14ac:dyDescent="0.25">
      <c r="A983" s="13"/>
    </row>
    <row r="984" spans="1:1" ht="12.5" x14ac:dyDescent="0.25">
      <c r="A984" s="13"/>
    </row>
    <row r="985" spans="1:1" ht="12.5" x14ac:dyDescent="0.25">
      <c r="A985" s="13"/>
    </row>
    <row r="986" spans="1:1" ht="12.5" x14ac:dyDescent="0.25">
      <c r="A986" s="13"/>
    </row>
    <row r="987" spans="1:1" ht="12.5" x14ac:dyDescent="0.25">
      <c r="A987" s="13"/>
    </row>
    <row r="988" spans="1:1" ht="12.5" x14ac:dyDescent="0.25">
      <c r="A988" s="13"/>
    </row>
    <row r="989" spans="1:1" ht="12.5" x14ac:dyDescent="0.25">
      <c r="A989" s="13"/>
    </row>
    <row r="990" spans="1:1" ht="12.5" x14ac:dyDescent="0.25">
      <c r="A990" s="13"/>
    </row>
    <row r="991" spans="1:1" ht="12.5" x14ac:dyDescent="0.25">
      <c r="A991" s="13"/>
    </row>
    <row r="992" spans="1:1" ht="12.5" x14ac:dyDescent="0.25">
      <c r="A992" s="13"/>
    </row>
    <row r="993" spans="1:1" ht="12.5" x14ac:dyDescent="0.25">
      <c r="A993" s="13"/>
    </row>
    <row r="994" spans="1:1" ht="12.5" x14ac:dyDescent="0.25">
      <c r="A994" s="13"/>
    </row>
    <row r="995" spans="1:1" ht="12.5" x14ac:dyDescent="0.25">
      <c r="A995" s="13"/>
    </row>
    <row r="996" spans="1:1" ht="12.5" x14ac:dyDescent="0.25">
      <c r="A996" s="13"/>
    </row>
    <row r="997" spans="1:1" ht="12.5" x14ac:dyDescent="0.25">
      <c r="A997" s="13"/>
    </row>
    <row r="998" spans="1:1" ht="12.5" x14ac:dyDescent="0.25">
      <c r="A998" s="13"/>
    </row>
    <row r="999" spans="1:1" ht="12.5" x14ac:dyDescent="0.25">
      <c r="A999" s="13"/>
    </row>
    <row r="1000" spans="1:1" ht="12.5" x14ac:dyDescent="0.25">
      <c r="A1000" s="13"/>
    </row>
  </sheetData>
  <mergeCells count="2">
    <mergeCell ref="H1:AJ2"/>
    <mergeCell ref="H9:AJ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1029"/>
  <sheetViews>
    <sheetView workbookViewId="0"/>
  </sheetViews>
  <sheetFormatPr defaultColWidth="12.54296875" defaultRowHeight="15.75" customHeight="1" x14ac:dyDescent="0.25"/>
  <cols>
    <col min="2" max="2" width="14.453125" customWidth="1"/>
    <col min="11" max="11" width="14.453125" customWidth="1"/>
    <col min="16" max="16" width="14.1796875" customWidth="1"/>
    <col min="20" max="20" width="14.453125" customWidth="1"/>
  </cols>
  <sheetData>
    <row r="1" spans="1:24" ht="15.75" customHeight="1" x14ac:dyDescent="0.3">
      <c r="A1" s="33" t="s">
        <v>41</v>
      </c>
      <c r="B1" s="3" t="s">
        <v>42</v>
      </c>
      <c r="C1" s="4" t="s">
        <v>1</v>
      </c>
      <c r="D1" s="3" t="s">
        <v>43</v>
      </c>
      <c r="E1" s="3" t="s">
        <v>78</v>
      </c>
      <c r="F1" s="3"/>
      <c r="G1" s="44" t="s">
        <v>79</v>
      </c>
      <c r="H1" s="45" t="s">
        <v>47</v>
      </c>
      <c r="I1" s="45" t="s">
        <v>80</v>
      </c>
      <c r="J1" s="45" t="s">
        <v>81</v>
      </c>
      <c r="K1" s="45" t="s">
        <v>82</v>
      </c>
      <c r="L1" s="45" t="s">
        <v>83</v>
      </c>
      <c r="M1" s="45" t="s">
        <v>50</v>
      </c>
      <c r="N1" s="46" t="s">
        <v>84</v>
      </c>
      <c r="O1" s="47"/>
      <c r="P1" s="48" t="s">
        <v>85</v>
      </c>
      <c r="Q1" s="49" t="s">
        <v>79</v>
      </c>
      <c r="R1" s="45" t="s">
        <v>80</v>
      </c>
      <c r="S1" s="45" t="s">
        <v>81</v>
      </c>
      <c r="T1" s="45" t="s">
        <v>82</v>
      </c>
      <c r="U1" s="45" t="s">
        <v>86</v>
      </c>
      <c r="V1" s="46" t="s">
        <v>34</v>
      </c>
      <c r="W1" s="3"/>
      <c r="X1" s="3"/>
    </row>
    <row r="2" spans="1:24" ht="15.75" customHeight="1" x14ac:dyDescent="0.25">
      <c r="A2" s="34">
        <f ca="1">IFERROR(__xludf.DUMMYFUNCTION("unique(filter('Wellness Responses'!$O$2:$O1029,'Wellness Responses'!$Q$2:$Q1029='Team Wellness Report'!$AJ$8))"),44897)</f>
        <v>44897</v>
      </c>
      <c r="B2" s="7" t="str">
        <f ca="1">IFERROR(__xludf.DUMMYFUNCTION("unique('Wellness Responses'!$Q$2:$Q1029)"),"In-Season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7" t="e">
        <f ca="1">IF(OR(#REF!=$C$3,#REF!=$C$4,#REF!=$C$5,#REF!=$C$6,#REF!=$C$7,#REF!=$C$8,#REF!=$C$9,#REF!=$C$10),#REF!,"")</f>
        <v>#REF!</v>
      </c>
      <c r="F2" s="7"/>
      <c r="G2" s="50">
        <v>6</v>
      </c>
      <c r="H2" s="6" t="e">
        <f>#REF!</f>
        <v>#REF!</v>
      </c>
      <c r="I2" s="51">
        <f ca="1">IFERROR(__xludf.DUMMYFUNCTION("IF($H2="""","""", iferror(average(filter('Training Responses'!$AR$2:$AR1029,'Training Responses'!$L$2:$L1029=$H2,'Training Responses'!$E$2:$E1029&lt;&gt;""Out"")),0))"),0)</f>
        <v>0</v>
      </c>
      <c r="J2" s="51">
        <f ca="1">IFERROR(__xludf.DUMMYFUNCTION("IF($H2="""","""",iferror(average(filter('Training Responses'!$AM$2:$AM1029,'Training Responses'!$L$2:$L1029=$H2)),0))"),0)</f>
        <v>0</v>
      </c>
      <c r="K2" s="51">
        <f ca="1">IFERROR(__xludf.DUMMYFUNCTION("IF($H2="""","""",iferror(average(filter('Training Responses'!$AL$2:$AL1029,'Training Responses'!$L$2:$L1029=$H2,'Training Responses'!$DU$2:$DU1029=1)),0))"),0)</f>
        <v>0</v>
      </c>
      <c r="L2" s="51" t="e">
        <f t="shared" ref="L2:L29" si="0">IF($H2="","", SUM(I2:K2))</f>
        <v>#REF!</v>
      </c>
      <c r="M2" s="52">
        <f ca="1">IFERROR(__xludf.DUMMYFUNCTION("IF($H2="""","""",iferror(average(filter('Training Responses'!$DZ$2:$DZ1029,'Training Responses'!$L$2:$L1029=H2)),0))"),0)</f>
        <v>0</v>
      </c>
      <c r="N2" s="53">
        <f ca="1">IFERROR(__xludf.DUMMYFUNCTION("IF($H2="""","""", average(filter('Wellness Responses'!$AS$2:$AS1029,'Wellness Responses'!$O$2:$O1029=H2)))"),0.663461538461538)</f>
        <v>0.66346153846153799</v>
      </c>
      <c r="O2" s="7"/>
      <c r="P2" s="54">
        <v>1</v>
      </c>
      <c r="Q2" s="19" t="e">
        <f t="shared" ref="Q2:Q28" si="1">IF(U3&lt;&gt;"",P2, IF(U2="","",P2))</f>
        <v>#REF!</v>
      </c>
      <c r="R2" s="7" t="e">
        <f>IF(SUMIF(#REF!,$P2,#REF!)/#REF!=0,"",SUMIF(#REF!,$P2,#REF!)/#REF!)</f>
        <v>#REF!</v>
      </c>
      <c r="S2" s="7" t="e">
        <f>IF(SUMIF(#REF!,$P2,#REF!)/#REF!=0,"",SUMIF(#REF!,$P2,#REF!)/#REF!)</f>
        <v>#REF!</v>
      </c>
      <c r="T2" s="7" t="e">
        <f>IF(SUMIFS(#REF!,#REF!,$P2,#REF!,1)/#REF!=0,"",SUMIFS(#REF!,#REF!,$P2,#REF!,1)/#REF!)</f>
        <v>#REF!</v>
      </c>
      <c r="U2" s="7" t="e">
        <f t="shared" ref="U2:U29" si="2">IF(SUM(R2:T2)=0,"",SUM(R2:T2))</f>
        <v>#REF!</v>
      </c>
      <c r="V2" s="55"/>
      <c r="W2" s="19"/>
      <c r="X2" s="47"/>
    </row>
    <row r="3" spans="1:24" ht="15.75" customHeight="1" x14ac:dyDescent="0.25">
      <c r="A3" s="34">
        <f ca="1">IFERROR(__xludf.DUMMYFUNCTION("""COMPUTED_VALUE"""),44935)</f>
        <v>44935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3" s="7"/>
      <c r="G3" s="50">
        <v>6</v>
      </c>
      <c r="H3" s="6" t="e">
        <f>IF(
(IF($H2&lt;1,"",_xludf.MaxIFS('Wellness Responses'!$P$2:$P1029,'Wellness Responses'!$R$2:$R1029,#REF!,'Wellness Responses'!$P$2:$P1029,"&lt;"&amp;$H2)))&lt;1,"",
(IF($H2&lt;1,"",_xludf.MaxIFS('Wellness Responses'!$P$2:$P1029,'Wellness Responses'!$R$2:$R1029,#REF!,'Wellness Responses'!$P$2:$P1029,"&lt;"&amp;$H2))))</f>
        <v>#REF!</v>
      </c>
      <c r="I3" s="51">
        <f ca="1">IFERROR(__xludf.DUMMYFUNCTION("IF($H3="""","""", iferror(average(filter('Training Responses'!$AR$2:$AR1029,'Training Responses'!$L$2:$L1029=$H3,'Training Responses'!$E$2:$E1029&lt;&gt;""Out"")),0))"),0)</f>
        <v>0</v>
      </c>
      <c r="J3" s="51">
        <f ca="1">IFERROR(__xludf.DUMMYFUNCTION("IF($H3="""","""",iferror(average(filter('Training Responses'!$AM$2:$AM1029,'Training Responses'!$L$2:$L1029=$H3)),0))"),450)</f>
        <v>450</v>
      </c>
      <c r="K3" s="51">
        <f ca="1">IFERROR(__xludf.DUMMYFUNCTION("IF($H3="""","""",iferror(average(filter('Training Responses'!$AL$2:$AL1029,'Training Responses'!$L$2:$L1029=$H3,'Training Responses'!$DU$2:$DU1029=1)),0))"),405)</f>
        <v>405</v>
      </c>
      <c r="L3" s="51" t="e">
        <f t="shared" si="0"/>
        <v>#REF!</v>
      </c>
      <c r="M3" s="52">
        <f ca="1">IFERROR(__xludf.DUMMYFUNCTION("IF($H3="""","""",iferror(average(filter('Training Responses'!$DZ$2:$DZ1029,'Training Responses'!$L$2:$L1029=H3)),0))"),0.937442746078076)</f>
        <v>0.93744274607807598</v>
      </c>
      <c r="N3" s="53">
        <f ca="1">IFERROR(__xludf.DUMMYFUNCTION("IF($H3="""","""", average(filter('Wellness Responses'!$AS$2:$AS1029,'Wellness Responses'!$O$2:$O1029=H3)))"),0.608333333333333)</f>
        <v>0.60833333333333295</v>
      </c>
      <c r="O3" s="7"/>
      <c r="P3" s="54">
        <v>2</v>
      </c>
      <c r="Q3" s="19" t="e">
        <f t="shared" si="1"/>
        <v>#REF!</v>
      </c>
      <c r="R3" s="7" t="e">
        <f>IF(SUMIF(#REF!,$P3,#REF!)/#REF!=0,"",SUMIF(#REF!,$P3,#REF!)/#REF!)</f>
        <v>#REF!</v>
      </c>
      <c r="S3" s="7" t="e">
        <f>IF(SUMIF(#REF!,$P3,#REF!)/#REF!=0,"",SUMIF(#REF!,$P3,#REF!)/#REF!)</f>
        <v>#REF!</v>
      </c>
      <c r="T3" s="7" t="e">
        <f>IF(SUMIFS(#REF!,#REF!,$P3,#REF!,1)/#REF!=0,"",SUMIFS(#REF!,#REF!,$P3,#REF!,1)/#REF!)</f>
        <v>#REF!</v>
      </c>
      <c r="U3" s="7" t="e">
        <f t="shared" si="2"/>
        <v>#REF!</v>
      </c>
      <c r="V3" s="56" t="str">
        <f t="shared" ref="V3:V29" si="3">IFERROR((U3-U2)/U2,"")</f>
        <v/>
      </c>
      <c r="W3" s="57"/>
      <c r="X3" s="57"/>
    </row>
    <row r="4" spans="1:24" ht="15.75" customHeight="1" x14ac:dyDescent="0.3">
      <c r="A4" s="34">
        <f ca="1">IFERROR(__xludf.DUMMYFUNCTION("""COMPUTED_VALUE"""),44938)</f>
        <v>44938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" t="s">
        <v>87</v>
      </c>
      <c r="F4" s="7"/>
      <c r="G4" s="50">
        <v>6</v>
      </c>
      <c r="H4" s="6" t="e">
        <f>IF(
(IF($H3&lt;1,"",_xludf.MaxIFS('Wellness Responses'!$P$2:$P1029,'Wellness Responses'!$R$2:$R1029,#REF!,'Wellness Responses'!$P$2:$P1029,"&lt;"&amp;$H3)))&lt;1,"",
(IF($H3&lt;1,"",_xludf.MaxIFS('Wellness Responses'!$P$2:$P1029,'Wellness Responses'!$R$2:$R1029,#REF!,'Wellness Responses'!$P$2:$P1029,"&lt;"&amp;$H3))))</f>
        <v>#REF!</v>
      </c>
      <c r="I4" s="51">
        <f ca="1">IFERROR(__xludf.DUMMYFUNCTION("IF($H4="""","""", iferror(average(filter('Training Responses'!$AR$2:$AR1029,'Training Responses'!$L$2:$L1029=$H4,'Training Responses'!$E$2:$E1029&lt;&gt;""Out"")),0))"),0)</f>
        <v>0</v>
      </c>
      <c r="J4" s="51">
        <f ca="1">IFERROR(__xludf.DUMMYFUNCTION("IF($H4="""","""",iferror(average(filter('Training Responses'!$AM$2:$AM1029,'Training Responses'!$L$2:$L1029=$H4)),0))"),450)</f>
        <v>450</v>
      </c>
      <c r="K4" s="51">
        <f ca="1">IFERROR(__xludf.DUMMYFUNCTION("IF($H4="""","""",iferror(average(filter('Training Responses'!$AL$2:$AL1029,'Training Responses'!$L$2:$L1029=$H4,'Training Responses'!$DU$2:$DU1029=1)),0))"),0)</f>
        <v>0</v>
      </c>
      <c r="L4" s="51" t="e">
        <f t="shared" si="0"/>
        <v>#REF!</v>
      </c>
      <c r="M4" s="52">
        <f ca="1">IFERROR(__xludf.DUMMYFUNCTION("IF($H4="""","""",iferror(average(filter('Training Responses'!$DZ$2:$DZ1029,'Training Responses'!$L$2:$L1029=H4)),0))"),0.51745865177114)</f>
        <v>0.51745865177114003</v>
      </c>
      <c r="N4" s="53">
        <f ca="1">IFERROR(__xludf.DUMMYFUNCTION("IF($H4="""","""", average(filter('Wellness Responses'!$AS$2:$AS1029,'Wellness Responses'!$O$2:$O1029=H4)))"),0.6328125)</f>
        <v>0.6328125</v>
      </c>
      <c r="O4" s="7"/>
      <c r="P4" s="54">
        <v>3</v>
      </c>
      <c r="Q4" s="19" t="e">
        <f t="shared" si="1"/>
        <v>#REF!</v>
      </c>
      <c r="R4" s="7" t="e">
        <f>IF(SUMIF(#REF!,$P4,#REF!)/#REF!=0,"",SUMIF(#REF!,$P4,#REF!)/#REF!)</f>
        <v>#REF!</v>
      </c>
      <c r="S4" s="7" t="e">
        <f>IF(SUMIF(#REF!,$P4,#REF!)/#REF!=0,"",SUMIF(#REF!,$P4,#REF!)/#REF!)</f>
        <v>#REF!</v>
      </c>
      <c r="T4" s="7" t="e">
        <f>IF(SUMIFS(#REF!,#REF!,$P4,#REF!,1)/#REF!=0,"",SUMIFS(#REF!,#REF!,$P4,#REF!,1)/#REF!)</f>
        <v>#REF!</v>
      </c>
      <c r="U4" s="7" t="e">
        <f t="shared" si="2"/>
        <v>#REF!</v>
      </c>
      <c r="V4" s="56" t="str">
        <f t="shared" si="3"/>
        <v/>
      </c>
      <c r="W4" s="57"/>
      <c r="X4" s="57"/>
    </row>
    <row r="5" spans="1:24" ht="15.75" customHeight="1" x14ac:dyDescent="0.25">
      <c r="A5" s="34">
        <f ca="1">IFERROR(__xludf.DUMMYFUNCTION("""COMPUTED_VALUE"""),44939)</f>
        <v>44939</v>
      </c>
      <c r="B5" s="7"/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7" t="e">
        <f ca="1">IF(OR(#REF!=$C$3,#REF!=$C$4,#REF!=$C$5,#REF!=$C$6,#REF!=$C$7,#REF!=$C$8,#REF!=$C$9,#REF!=$C$10),#REF!,"")</f>
        <v>#REF!</v>
      </c>
      <c r="F5" s="7"/>
      <c r="G5" s="50">
        <v>6</v>
      </c>
      <c r="H5" s="6" t="e">
        <f>IF(
(IF($H4&lt;1,"",_xludf.MaxIFS('Wellness Responses'!$P$2:$P1029,'Wellness Responses'!$R$2:$R1029,#REF!,'Wellness Responses'!$P$2:$P1029,"&lt;"&amp;$H4)))&lt;1,"",
(IF($H4&lt;1,"",_xludf.MaxIFS('Wellness Responses'!$P$2:$P1029,'Wellness Responses'!$R$2:$R1029,#REF!,'Wellness Responses'!$P$2:$P1029,"&lt;"&amp;$H4))))</f>
        <v>#REF!</v>
      </c>
      <c r="I5" s="51">
        <f ca="1">IFERROR(__xludf.DUMMYFUNCTION("IF($H5="""","""", iferror(average(filter('Training Responses'!$AR$2:$AR1029,'Training Responses'!$L$2:$L1029=$H5,'Training Responses'!$E$2:$E1029&lt;&gt;""Out"")),0))"),0)</f>
        <v>0</v>
      </c>
      <c r="J5" s="51">
        <f ca="1">IFERROR(__xludf.DUMMYFUNCTION("IF($H5="""","""",iferror(average(filter('Training Responses'!$AM$2:$AM1029,'Training Responses'!$L$2:$L1029=$H5)),0))"),0)</f>
        <v>0</v>
      </c>
      <c r="K5" s="51">
        <f ca="1">IFERROR(__xludf.DUMMYFUNCTION("IF($H5="""","""",iferror(average(filter('Training Responses'!$AL$2:$AL1029,'Training Responses'!$L$2:$L1029=$H5,'Training Responses'!$DU$2:$DU1029=1)),0))"),0)</f>
        <v>0</v>
      </c>
      <c r="L5" s="51" t="e">
        <f t="shared" si="0"/>
        <v>#REF!</v>
      </c>
      <c r="M5" s="52">
        <f ca="1">IFERROR(__xludf.DUMMYFUNCTION("IF($H5="""","""",iferror(average(filter('Training Responses'!$DZ$2:$DZ1029,'Training Responses'!$L$2:$L1029=H5)),0))"),0)</f>
        <v>0</v>
      </c>
      <c r="N5" s="53">
        <f ca="1">IFERROR(__xludf.DUMMYFUNCTION("IF($H5="""","""", average(filter('Wellness Responses'!$AS$2:$AS1029,'Wellness Responses'!$O$2:$O1029=H5)))"),0.685897435897435)</f>
        <v>0.68589743589743501</v>
      </c>
      <c r="O5" s="7"/>
      <c r="P5" s="54">
        <v>4</v>
      </c>
      <c r="Q5" s="19" t="e">
        <f t="shared" si="1"/>
        <v>#REF!</v>
      </c>
      <c r="R5" s="7" t="e">
        <f>IF(SUMIF(#REF!,$P5,#REF!)/#REF!=0,"",SUMIF(#REF!,$P5,#REF!)/#REF!)</f>
        <v>#REF!</v>
      </c>
      <c r="S5" s="7" t="e">
        <f>IF(SUMIF(#REF!,$P5,#REF!)/#REF!=0,"",SUMIF(#REF!,$P5,#REF!)/#REF!)</f>
        <v>#REF!</v>
      </c>
      <c r="T5" s="7" t="e">
        <f>IF(SUMIFS(#REF!,#REF!,$P5,#REF!,1)/#REF!=0,"",SUMIFS(#REF!,#REF!,$P5,#REF!,1)/#REF!)</f>
        <v>#REF!</v>
      </c>
      <c r="U5" s="7" t="e">
        <f t="shared" si="2"/>
        <v>#REF!</v>
      </c>
      <c r="V5" s="56" t="str">
        <f t="shared" si="3"/>
        <v/>
      </c>
      <c r="W5" s="57"/>
      <c r="X5" s="57"/>
    </row>
    <row r="6" spans="1:24" ht="15.75" customHeight="1" x14ac:dyDescent="0.25">
      <c r="A6" s="34">
        <f ca="1">IFERROR(__xludf.DUMMYFUNCTION("""COMPUTED_VALUE"""),44940)</f>
        <v>44940</v>
      </c>
      <c r="B6" s="7"/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7"/>
      <c r="G6" s="50">
        <v>6</v>
      </c>
      <c r="H6" s="6" t="e">
        <f>IF(
(IF($H5&lt;1,"",_xludf.MaxIFS('Wellness Responses'!$P$2:$P1029,'Wellness Responses'!$R$2:$R1029,#REF!,'Wellness Responses'!$P$2:$P1029,"&lt;"&amp;$H5)))&lt;1,"",
(IF($H5&lt;1,"",_xludf.MaxIFS('Wellness Responses'!$P$2:$P1029,'Wellness Responses'!$R$2:$R1029,#REF!,'Wellness Responses'!$P$2:$P1029,"&lt;"&amp;$H5))))</f>
        <v>#REF!</v>
      </c>
      <c r="I6" s="51">
        <f ca="1">IFERROR(__xludf.DUMMYFUNCTION("IF($H6="""","""", iferror(average(filter('Training Responses'!$AR$2:$AR1029,'Training Responses'!$L$2:$L1029=$H6,'Training Responses'!$E$2:$E1029&lt;&gt;""Out"")),0))"),0)</f>
        <v>0</v>
      </c>
      <c r="J6" s="51">
        <f ca="1">IFERROR(__xludf.DUMMYFUNCTION("IF($H6="""","""",iferror(average(filter('Training Responses'!$AM$2:$AM1029,'Training Responses'!$L$2:$L1029=$H6)),0))"),0)</f>
        <v>0</v>
      </c>
      <c r="K6" s="51">
        <f ca="1">IFERROR(__xludf.DUMMYFUNCTION("IF($H6="""","""",iferror(average(filter('Training Responses'!$AL$2:$AL1029,'Training Responses'!$L$2:$L1029=$H6,'Training Responses'!$DU$2:$DU1029=1)),0))"),0)</f>
        <v>0</v>
      </c>
      <c r="L6" s="51" t="e">
        <f t="shared" si="0"/>
        <v>#REF!</v>
      </c>
      <c r="M6" s="52">
        <f ca="1">IFERROR(__xludf.DUMMYFUNCTION("IF($H6="""","""",iferror(average(filter('Training Responses'!$DZ$2:$DZ1029,'Training Responses'!$L$2:$L1029=H6)),0))"),0)</f>
        <v>0</v>
      </c>
      <c r="N6" s="53">
        <f ca="1">IFERROR(__xludf.DUMMYFUNCTION("IF($H6="""","""", average(filter('Wellness Responses'!$AS$2:$AS1029,'Wellness Responses'!$O$2:$O1029=H6)))"),0.66025641025641)</f>
        <v>0.66025641025641002</v>
      </c>
      <c r="O6" s="7"/>
      <c r="P6" s="54">
        <v>5</v>
      </c>
      <c r="Q6" s="19" t="e">
        <f t="shared" si="1"/>
        <v>#REF!</v>
      </c>
      <c r="R6" s="7" t="e">
        <f>IF(SUMIF(#REF!,$P6,#REF!)/#REF!=0,"",SUMIF(#REF!,$P6,#REF!)/#REF!)</f>
        <v>#REF!</v>
      </c>
      <c r="S6" s="7" t="e">
        <f>IF(SUMIF(#REF!,$P6,#REF!)/#REF!=0,"",SUMIF(#REF!,$P6,#REF!)/#REF!)</f>
        <v>#REF!</v>
      </c>
      <c r="T6" s="7" t="e">
        <f>IF(SUMIFS(#REF!,#REF!,$P6,#REF!,1)/#REF!=0,"",SUMIFS(#REF!,#REF!,$P6,#REF!,1)/#REF!)</f>
        <v>#REF!</v>
      </c>
      <c r="U6" s="7" t="e">
        <f t="shared" si="2"/>
        <v>#REF!</v>
      </c>
      <c r="V6" s="56" t="str">
        <f t="shared" si="3"/>
        <v/>
      </c>
      <c r="W6" s="57"/>
      <c r="X6" s="57"/>
    </row>
    <row r="7" spans="1:24" ht="15.75" customHeight="1" x14ac:dyDescent="0.3">
      <c r="A7" s="34">
        <f ca="1">IFERROR(__xludf.DUMMYFUNCTION("""COMPUTED_VALUE"""),44941)</f>
        <v>44941</v>
      </c>
      <c r="B7" s="7"/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E7" s="3" t="s">
        <v>88</v>
      </c>
      <c r="F7" s="7"/>
      <c r="G7" s="50">
        <v>6</v>
      </c>
      <c r="H7" s="6" t="e">
        <f>IF(
(IF($H6&lt;1,"",_xludf.MaxIFS('Wellness Responses'!$P$2:$P1029,'Wellness Responses'!$R$2:$R1029,#REF!,'Wellness Responses'!$P$2:$P1029,"&lt;"&amp;$H6)))&lt;1,"",
(IF($H6&lt;1,"",_xludf.MaxIFS('Wellness Responses'!$P$2:$P1029,'Wellness Responses'!$R$2:$R1029,#REF!,'Wellness Responses'!$P$2:$P1029,"&lt;"&amp;$H6))))</f>
        <v>#REF!</v>
      </c>
      <c r="I7" s="51">
        <f ca="1">IFERROR(__xludf.DUMMYFUNCTION("IF($H7="""","""", iferror(average(filter('Training Responses'!$AR$2:$AR1029,'Training Responses'!$L$2:$L1029=$H7,'Training Responses'!$E$2:$E1029&lt;&gt;""Out"")),0))"),0)</f>
        <v>0</v>
      </c>
      <c r="J7" s="51">
        <f ca="1">IFERROR(__xludf.DUMMYFUNCTION("IF($H7="""","""",iferror(average(filter('Training Responses'!$AM$2:$AM1029,'Training Responses'!$L$2:$L1029=$H7)),0))"),0)</f>
        <v>0</v>
      </c>
      <c r="K7" s="51">
        <f ca="1">IFERROR(__xludf.DUMMYFUNCTION("IF($H7="""","""",iferror(average(filter('Training Responses'!$AL$2:$AL1029,'Training Responses'!$L$2:$L1029=$H7,'Training Responses'!$DU$2:$DU1029=1)),0))"),0)</f>
        <v>0</v>
      </c>
      <c r="L7" s="51" t="e">
        <f t="shared" si="0"/>
        <v>#REF!</v>
      </c>
      <c r="M7" s="52">
        <f ca="1">IFERROR(__xludf.DUMMYFUNCTION("IF($H7="""","""",iferror(average(filter('Training Responses'!$DZ$2:$DZ1029,'Training Responses'!$L$2:$L1029=H7)),0))"),0)</f>
        <v>0</v>
      </c>
      <c r="N7" s="53">
        <f ca="1">IFERROR(__xludf.DUMMYFUNCTION("IF($H7="""","""", average(filter('Wellness Responses'!$AS$2:$AS1029,'Wellness Responses'!$O$2:$O1029=H7)))"),0.652777777777777)</f>
        <v>0.65277777777777701</v>
      </c>
      <c r="O7" s="7"/>
      <c r="P7" s="54">
        <v>6</v>
      </c>
      <c r="Q7" s="19" t="e">
        <f t="shared" si="1"/>
        <v>#REF!</v>
      </c>
      <c r="R7" s="7" t="e">
        <f>IF(SUMIF(#REF!,$P7,#REF!)/#REF!=0,"",SUMIF(#REF!,$P7,#REF!)/#REF!)</f>
        <v>#REF!</v>
      </c>
      <c r="S7" s="7" t="e">
        <f>IF(SUMIF(#REF!,$P7,#REF!)/#REF!=0,"",SUMIF(#REF!,$P7,#REF!)/#REF!)</f>
        <v>#REF!</v>
      </c>
      <c r="T7" s="7" t="e">
        <f>IF(SUMIFS(#REF!,#REF!,$P7,#REF!,1)/#REF!=0,"",SUMIFS(#REF!,#REF!,$P7,#REF!,1)/#REF!)</f>
        <v>#REF!</v>
      </c>
      <c r="U7" s="7" t="e">
        <f t="shared" si="2"/>
        <v>#REF!</v>
      </c>
      <c r="V7" s="56" t="str">
        <f t="shared" si="3"/>
        <v/>
      </c>
      <c r="W7" s="57"/>
      <c r="X7" s="57"/>
    </row>
    <row r="8" spans="1:24" ht="15.75" customHeight="1" x14ac:dyDescent="0.25">
      <c r="A8" s="34">
        <f ca="1">IFERROR(__xludf.DUMMYFUNCTION("""COMPUTED_VALUE"""),44942)</f>
        <v>44942</v>
      </c>
      <c r="B8" s="7"/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E8" s="7" t="e">
        <f ca="1">IF(OR(#REF!=$C$3,#REF!=$C$4,#REF!=$C$5,#REF!=$C$6,#REF!=$C$7,#REF!=$C$8,#REF!=$C$9,#REF!=$C$10),#REF!,"")</f>
        <v>#REF!</v>
      </c>
      <c r="F8" s="7"/>
      <c r="G8" s="50">
        <v>5</v>
      </c>
      <c r="H8" s="6" t="e">
        <f>IF(
(IF($H7&lt;1,"",_xludf.MaxIFS('Wellness Responses'!$P$2:$P1029,'Wellness Responses'!$R$2:$R1029,#REF!,'Wellness Responses'!$P$2:$P1029,"&lt;"&amp;$H7)))&lt;1,"",
(IF($H7&lt;1,"",_xludf.MaxIFS('Wellness Responses'!$P$2:$P1029,'Wellness Responses'!$R$2:$R1029,#REF!,'Wellness Responses'!$P$2:$P1029,"&lt;"&amp;$H7))))</f>
        <v>#REF!</v>
      </c>
      <c r="I8" s="51">
        <f ca="1">IFERROR(__xludf.DUMMYFUNCTION("IF($H8="""","""", iferror(average(filter('Training Responses'!$AR$2:$AR1029,'Training Responses'!$L$2:$L1029=$H8,'Training Responses'!$E$2:$E1029&lt;&gt;""Out"")),0))"),0)</f>
        <v>0</v>
      </c>
      <c r="J8" s="51">
        <f ca="1">IFERROR(__xludf.DUMMYFUNCTION("IF($H8="""","""",iferror(average(filter('Training Responses'!$AM$2:$AM1029,'Training Responses'!$L$2:$L1029=$H8)),0))"),0)</f>
        <v>0</v>
      </c>
      <c r="K8" s="51">
        <f ca="1">IFERROR(__xludf.DUMMYFUNCTION("IF($H8="""","""",iferror(average(filter('Training Responses'!$AL$2:$AL1029,'Training Responses'!$L$2:$L1029=$H8,'Training Responses'!$DU$2:$DU1029=1)),0))"),0)</f>
        <v>0</v>
      </c>
      <c r="L8" s="51" t="e">
        <f t="shared" si="0"/>
        <v>#REF!</v>
      </c>
      <c r="M8" s="52">
        <f ca="1">IFERROR(__xludf.DUMMYFUNCTION("IF($H8="""","""",iferror(average(filter('Training Responses'!$DZ$2:$DZ1029,'Training Responses'!$L$2:$L1029=H8)),0))"),0)</f>
        <v>0</v>
      </c>
      <c r="N8" s="53">
        <f ca="1">IFERROR(__xludf.DUMMYFUNCTION("IF($H8="""","""", average(filter('Wellness Responses'!$AS$2:$AS1029,'Wellness Responses'!$O$2:$O1029=H8)))"),0.701388888888888)</f>
        <v>0.70138888888888795</v>
      </c>
      <c r="O8" s="7"/>
      <c r="P8" s="54">
        <v>7</v>
      </c>
      <c r="Q8" s="19" t="e">
        <f t="shared" si="1"/>
        <v>#REF!</v>
      </c>
      <c r="R8" s="7" t="e">
        <f>IF(SUMIF(#REF!,$P8,#REF!)/#REF!=0,"",SUMIF(#REF!,$P8,#REF!)/#REF!)</f>
        <v>#REF!</v>
      </c>
      <c r="S8" s="7" t="e">
        <f>IF(SUMIF(#REF!,$P8,#REF!)/#REF!=0,"",SUMIF(#REF!,$P8,#REF!)/#REF!)</f>
        <v>#REF!</v>
      </c>
      <c r="T8" s="7" t="e">
        <f>IF(SUMIFS(#REF!,#REF!,$P8,#REF!,1)/#REF!=0,"",SUMIFS(#REF!,#REF!,$P8,#REF!,1)/#REF!)</f>
        <v>#REF!</v>
      </c>
      <c r="U8" s="7" t="e">
        <f t="shared" si="2"/>
        <v>#REF!</v>
      </c>
      <c r="V8" s="56" t="str">
        <f t="shared" si="3"/>
        <v/>
      </c>
      <c r="W8" s="57"/>
      <c r="X8" s="57"/>
    </row>
    <row r="9" spans="1:24" ht="15.75" customHeight="1" x14ac:dyDescent="0.25">
      <c r="A9" s="34">
        <f ca="1">IFERROR(__xludf.DUMMYFUNCTION("""COMPUTED_VALUE"""),44943)</f>
        <v>44943</v>
      </c>
      <c r="B9" s="7"/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E9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9" s="7"/>
      <c r="G9" s="50">
        <v>5</v>
      </c>
      <c r="H9" s="6" t="e">
        <f>IF(
(IF($H8&lt;1,"",_xludf.MaxIFS('Wellness Responses'!$P$2:$P1029,'Wellness Responses'!$R$2:$R1029,#REF!,'Wellness Responses'!$P$2:$P1029,"&lt;"&amp;$H8)))&lt;1,"",
(IF($H8&lt;1,"",_xludf.MaxIFS('Wellness Responses'!$P$2:$P1029,'Wellness Responses'!$R$2:$R1029,#REF!,'Wellness Responses'!$P$2:$P1029,"&lt;"&amp;$H8))))</f>
        <v>#REF!</v>
      </c>
      <c r="I9" s="51">
        <f ca="1">IFERROR(__xludf.DUMMYFUNCTION("IF($H9="""","""", iferror(average(filter('Training Responses'!$AR$2:$AR1029,'Training Responses'!$L$2:$L1029=$H9,'Training Responses'!$E$2:$E1029&lt;&gt;""Out"")),0))"),0)</f>
        <v>0</v>
      </c>
      <c r="J9" s="51">
        <f ca="1">IFERROR(__xludf.DUMMYFUNCTION("IF($H9="""","""",iferror(average(filter('Training Responses'!$AM$2:$AM1029,'Training Responses'!$L$2:$L1029=$H9)),0))"),0)</f>
        <v>0</v>
      </c>
      <c r="K9" s="51">
        <f ca="1">IFERROR(__xludf.DUMMYFUNCTION("IF($H9="""","""",iferror(average(filter('Training Responses'!$AL$2:$AL1029,'Training Responses'!$L$2:$L1029=$H9,'Training Responses'!$DU$2:$DU1029=1)),0))"),0)</f>
        <v>0</v>
      </c>
      <c r="L9" s="51" t="e">
        <f t="shared" si="0"/>
        <v>#REF!</v>
      </c>
      <c r="M9" s="52">
        <f ca="1">IFERROR(__xludf.DUMMYFUNCTION("IF($H9="""","""",iferror(average(filter('Training Responses'!$DZ$2:$DZ1029,'Training Responses'!$L$2:$L1029=H9)),0))"),0)</f>
        <v>0</v>
      </c>
      <c r="N9" s="53">
        <f ca="1">IFERROR(__xludf.DUMMYFUNCTION("IF($H9="""","""", average(filter('Wellness Responses'!$AS$2:$AS1029,'Wellness Responses'!$O$2:$O1029=H9)))"),0.656249999999999)</f>
        <v>0.656249999999999</v>
      </c>
      <c r="O9" s="7"/>
      <c r="P9" s="54">
        <v>8</v>
      </c>
      <c r="Q9" s="19" t="e">
        <f t="shared" si="1"/>
        <v>#REF!</v>
      </c>
      <c r="R9" s="7" t="e">
        <f>IF(SUMIF(#REF!,$P9,#REF!)/#REF!=0,"",SUMIF(#REF!,$P9,#REF!)/#REF!)</f>
        <v>#REF!</v>
      </c>
      <c r="S9" s="7" t="e">
        <f>IF(SUMIF(#REF!,$P9,#REF!)/#REF!=0,"",SUMIF(#REF!,$P9,#REF!)/#REF!)</f>
        <v>#REF!</v>
      </c>
      <c r="T9" s="7" t="e">
        <f>IF(SUMIFS(#REF!,#REF!,$P9,#REF!,1)/#REF!=0,"",SUMIFS(#REF!,#REF!,$P9,#REF!,1)/#REF!)</f>
        <v>#REF!</v>
      </c>
      <c r="U9" s="7" t="e">
        <f t="shared" si="2"/>
        <v>#REF!</v>
      </c>
      <c r="V9" s="56" t="str">
        <f t="shared" si="3"/>
        <v/>
      </c>
      <c r="W9" s="57"/>
      <c r="X9" s="57"/>
    </row>
    <row r="10" spans="1:24" ht="15.75" customHeight="1" x14ac:dyDescent="0.3">
      <c r="A10" s="34">
        <f ca="1">IFERROR(__xludf.DUMMYFUNCTION("""COMPUTED_VALUE"""),44944)</f>
        <v>44944</v>
      </c>
      <c r="B10" s="7"/>
      <c r="C10" s="19"/>
      <c r="D10" s="7"/>
      <c r="E10" s="3" t="s">
        <v>89</v>
      </c>
      <c r="F10" s="7"/>
      <c r="G10" s="50">
        <v>5</v>
      </c>
      <c r="H10" s="6" t="e">
        <f>IF(
(IF($H9&lt;1,"",_xludf.MaxIFS('Wellness Responses'!$P$2:$P1029,'Wellness Responses'!$R$2:$R1029,#REF!,'Wellness Responses'!$P$2:$P1029,"&lt;"&amp;$H9)))&lt;1,"",
(IF($H9&lt;1,"",_xludf.MaxIFS('Wellness Responses'!$P$2:$P1029,'Wellness Responses'!$R$2:$R1029,#REF!,'Wellness Responses'!$P$2:$P1029,"&lt;"&amp;$H9))))</f>
        <v>#REF!</v>
      </c>
      <c r="I10" s="51">
        <f ca="1">IFERROR(__xludf.DUMMYFUNCTION("IF($H10="""","""", iferror(average(filter('Training Responses'!$AR$2:$AR1029,'Training Responses'!$L$2:$L1029=$H10,'Training Responses'!$E$2:$E1029&lt;&gt;""Out"")),0))"),0)</f>
        <v>0</v>
      </c>
      <c r="J10" s="51">
        <f ca="1">IFERROR(__xludf.DUMMYFUNCTION("IF($H10="""","""",iferror(average(filter('Training Responses'!$AM$2:$AM1029,'Training Responses'!$L$2:$L1029=$H10)),0))"),0)</f>
        <v>0</v>
      </c>
      <c r="K10" s="51">
        <f ca="1">IFERROR(__xludf.DUMMYFUNCTION("IF($H10="""","""",iferror(average(filter('Training Responses'!$AL$2:$AL1029,'Training Responses'!$L$2:$L1029=$H10,'Training Responses'!$DU$2:$DU1029=1)),0))"),0)</f>
        <v>0</v>
      </c>
      <c r="L10" s="51" t="e">
        <f t="shared" si="0"/>
        <v>#REF!</v>
      </c>
      <c r="M10" s="52">
        <f ca="1">IFERROR(__xludf.DUMMYFUNCTION("IF($H10="""","""",iferror(average(filter('Training Responses'!$DZ$2:$DZ1029,'Training Responses'!$L$2:$L1029=H10)),0))"),0)</f>
        <v>0</v>
      </c>
      <c r="N10" s="53">
        <f ca="1">IFERROR(__xludf.DUMMYFUNCTION("IF($H10="""","""", average(filter('Wellness Responses'!$AS$2:$AS1029,'Wellness Responses'!$O$2:$O1029=H10)))"),0.614583333333333)</f>
        <v>0.61458333333333304</v>
      </c>
      <c r="O10" s="7"/>
      <c r="P10" s="54">
        <v>9</v>
      </c>
      <c r="Q10" s="19" t="e">
        <f t="shared" si="1"/>
        <v>#REF!</v>
      </c>
      <c r="R10" s="7" t="e">
        <f>IF(SUMIF(#REF!,$P10,#REF!)/#REF!=0,"",SUMIF(#REF!,$P10,#REF!)/#REF!)</f>
        <v>#REF!</v>
      </c>
      <c r="S10" s="7" t="e">
        <f>IF(SUMIF(#REF!,$P10,#REF!)/#REF!=0,"",SUMIF(#REF!,$P10,#REF!)/#REF!)</f>
        <v>#REF!</v>
      </c>
      <c r="T10" s="7" t="e">
        <f>IF(SUMIFS(#REF!,#REF!,$P10,#REF!,1)/#REF!=0,"",SUMIFS(#REF!,#REF!,$P10,#REF!,1)/#REF!)</f>
        <v>#REF!</v>
      </c>
      <c r="U10" s="7" t="e">
        <f t="shared" si="2"/>
        <v>#REF!</v>
      </c>
      <c r="V10" s="56" t="str">
        <f t="shared" si="3"/>
        <v/>
      </c>
      <c r="W10" s="57"/>
      <c r="X10" s="57"/>
    </row>
    <row r="11" spans="1:24" ht="15.75" customHeight="1" x14ac:dyDescent="0.25">
      <c r="A11" s="34">
        <f ca="1">IFERROR(__xludf.DUMMYFUNCTION("""COMPUTED_VALUE"""),44945)</f>
        <v>44945</v>
      </c>
      <c r="B11" s="7"/>
      <c r="C11" s="19" t="str">
        <f ca="1">IFERROR(__xludf.DUMMYFUNCTION("unique(Roster!$D$3:$D$42)"),"FWD")</f>
        <v>FWD</v>
      </c>
      <c r="D11" s="7"/>
      <c r="E11" s="7" t="e">
        <f ca="1">IF(OR(#REF!=$C$3,#REF!=$C$4,#REF!=$C$5,#REF!=$C$6,#REF!=$C$7,#REF!=$C$8,#REF!=$C$9,#REF!=$C$10),#REF!,"")</f>
        <v>#REF!</v>
      </c>
      <c r="F11" s="7"/>
      <c r="G11" s="50">
        <v>5</v>
      </c>
      <c r="H11" s="6" t="e">
        <f>IF(
(IF($H10&lt;1,"",_xludf.MaxIFS('Wellness Responses'!$P$2:$P1029,'Wellness Responses'!$R$2:$R1029,#REF!,'Wellness Responses'!$P$2:$P1029,"&lt;"&amp;$H10)))&lt;1,"",
(IF($H10&lt;1,"",_xludf.MaxIFS('Wellness Responses'!$P$2:$P1029,'Wellness Responses'!$R$2:$R1029,#REF!,'Wellness Responses'!$P$2:$P1029,"&lt;"&amp;$H10))))</f>
        <v>#REF!</v>
      </c>
      <c r="I11" s="51">
        <f ca="1">IFERROR(__xludf.DUMMYFUNCTION("IF($H11="""","""", iferror(average(filter('Training Responses'!$AR$2:$AR1029,'Training Responses'!$L$2:$L1029=$H11,'Training Responses'!$E$2:$E1029&lt;&gt;""Out"")),0))"),0)</f>
        <v>0</v>
      </c>
      <c r="J11" s="51">
        <f ca="1">IFERROR(__xludf.DUMMYFUNCTION("IF($H11="""","""",iferror(average(filter('Training Responses'!$AM$2:$AM1029,'Training Responses'!$L$2:$L1029=$H11)),0))"),525)</f>
        <v>525</v>
      </c>
      <c r="K11" s="51">
        <f ca="1">IFERROR(__xludf.DUMMYFUNCTION("IF($H11="""","""",iferror(average(filter('Training Responses'!$AL$2:$AL1029,'Training Responses'!$L$2:$L1029=$H11,'Training Responses'!$DU$2:$DU1029=1)),0))"),0)</f>
        <v>0</v>
      </c>
      <c r="L11" s="51" t="e">
        <f t="shared" si="0"/>
        <v>#REF!</v>
      </c>
      <c r="M11" s="52">
        <f ca="1">IFERROR(__xludf.DUMMYFUNCTION("IF($H11="""","""",iferror(average(filter('Training Responses'!$DZ$2:$DZ1029,'Training Responses'!$L$2:$L1029=H11)),0))"),0.870210564250185)</f>
        <v>0.87021056425018495</v>
      </c>
      <c r="N11" s="53">
        <f ca="1">IFERROR(__xludf.DUMMYFUNCTION("IF($H11="""","""", average(filter('Wellness Responses'!$AS$2:$AS1029,'Wellness Responses'!$O$2:$O1029=H11)))"),0.586538461538461)</f>
        <v>0.58653846153846101</v>
      </c>
      <c r="O11" s="7"/>
      <c r="P11" s="54">
        <v>10</v>
      </c>
      <c r="Q11" s="19" t="e">
        <f t="shared" si="1"/>
        <v>#REF!</v>
      </c>
      <c r="R11" s="7" t="e">
        <f>IF(SUMIF(#REF!,$P11,#REF!)/#REF!=0,"",SUMIF(#REF!,$P11,#REF!)/#REF!)</f>
        <v>#REF!</v>
      </c>
      <c r="S11" s="7" t="e">
        <f>IF(SUMIF(#REF!,$P11,#REF!)/#REF!=0,"",SUMIF(#REF!,$P11,#REF!)/#REF!)</f>
        <v>#REF!</v>
      </c>
      <c r="T11" s="7" t="e">
        <f>IF(SUMIFS(#REF!,#REF!,$P11,#REF!,1)/#REF!=0,"",SUMIFS(#REF!,#REF!,$P11,#REF!,1)/#REF!)</f>
        <v>#REF!</v>
      </c>
      <c r="U11" s="7" t="e">
        <f t="shared" si="2"/>
        <v>#REF!</v>
      </c>
      <c r="V11" s="56" t="str">
        <f t="shared" si="3"/>
        <v/>
      </c>
      <c r="W11" s="57"/>
      <c r="X11" s="57"/>
    </row>
    <row r="12" spans="1:24" ht="15.75" customHeight="1" x14ac:dyDescent="0.25">
      <c r="A12" s="34">
        <f ca="1">IFERROR(__xludf.DUMMYFUNCTION("""COMPUTED_VALUE"""),44946)</f>
        <v>44946</v>
      </c>
      <c r="B12" s="7"/>
      <c r="C12" s="19" t="str">
        <f ca="1">IFERROR(__xludf.DUMMYFUNCTION("""COMPUTED_VALUE"""),"F/MID")</f>
        <v>F/MID</v>
      </c>
      <c r="D12" s="7"/>
      <c r="E12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12" s="7"/>
      <c r="G12" s="50">
        <v>5</v>
      </c>
      <c r="H12" s="6" t="e">
        <f>IF(
(IF($H11&lt;1,"",_xludf.MaxIFS('Wellness Responses'!$P$2:$P1029,'Wellness Responses'!$R$2:$R1029,#REF!,'Wellness Responses'!$P$2:$P1029,"&lt;"&amp;$H11)))&lt;1,"",
(IF($H11&lt;1,"",_xludf.MaxIFS('Wellness Responses'!$P$2:$P1029,'Wellness Responses'!$R$2:$R1029,#REF!,'Wellness Responses'!$P$2:$P1029,"&lt;"&amp;$H11))))</f>
        <v>#REF!</v>
      </c>
      <c r="I12" s="51">
        <f ca="1">IFERROR(__xludf.DUMMYFUNCTION("IF($H12="""","""", iferror(average(filter('Training Responses'!$AR$2:$AR1029,'Training Responses'!$L$2:$L1029=$H12,'Training Responses'!$E$2:$E1029&lt;&gt;""Out"")),0))"),0)</f>
        <v>0</v>
      </c>
      <c r="J12" s="51">
        <f ca="1">IFERROR(__xludf.DUMMYFUNCTION("IF($H12="""","""",iferror(average(filter('Training Responses'!$AM$2:$AM1029,'Training Responses'!$L$2:$L1029=$H12)),0))"),450)</f>
        <v>450</v>
      </c>
      <c r="K12" s="51">
        <f ca="1">IFERROR(__xludf.DUMMYFUNCTION("IF($H12="""","""",iferror(average(filter('Training Responses'!$AL$2:$AL1029,'Training Responses'!$L$2:$L1029=$H12,'Training Responses'!$DU$2:$DU1029=1)),0))"),315)</f>
        <v>315</v>
      </c>
      <c r="L12" s="51" t="e">
        <f t="shared" si="0"/>
        <v>#REF!</v>
      </c>
      <c r="M12" s="52">
        <f ca="1">IFERROR(__xludf.DUMMYFUNCTION("IF($H12="""","""",iferror(average(filter('Training Responses'!$DZ$2:$DZ1029,'Training Responses'!$L$2:$L1029=H12)),0))"),0.806196337154697)</f>
        <v>0.80619633715469696</v>
      </c>
      <c r="N12" s="53">
        <f ca="1">IFERROR(__xludf.DUMMYFUNCTION("IF($H12="""","""", average(filter('Wellness Responses'!$AS$2:$AS1029,'Wellness Responses'!$O$2:$O1029=H12)))"),0.693452380952381)</f>
        <v>0.69345238095238104</v>
      </c>
      <c r="O12" s="7"/>
      <c r="P12" s="54">
        <v>11</v>
      </c>
      <c r="Q12" s="19" t="e">
        <f t="shared" si="1"/>
        <v>#REF!</v>
      </c>
      <c r="R12" s="7" t="e">
        <f>IF(SUMIF(#REF!,$P12,#REF!)/#REF!=0,"",SUMIF(#REF!,$P12,#REF!)/#REF!)</f>
        <v>#REF!</v>
      </c>
      <c r="S12" s="7" t="e">
        <f>IF(SUMIF(#REF!,$P12,#REF!)/#REF!=0,"",SUMIF(#REF!,$P12,#REF!)/#REF!)</f>
        <v>#REF!</v>
      </c>
      <c r="T12" s="7" t="e">
        <f>IF(SUMIFS(#REF!,#REF!,$P12,#REF!,1)/#REF!=0,"",SUMIFS(#REF!,#REF!,$P12,#REF!,1)/#REF!)</f>
        <v>#REF!</v>
      </c>
      <c r="U12" s="7" t="e">
        <f t="shared" si="2"/>
        <v>#REF!</v>
      </c>
      <c r="V12" s="56" t="str">
        <f t="shared" si="3"/>
        <v/>
      </c>
      <c r="W12" s="57"/>
      <c r="X12" s="57"/>
    </row>
    <row r="13" spans="1:24" ht="15.75" customHeight="1" x14ac:dyDescent="0.25">
      <c r="A13" s="34">
        <f ca="1">IFERROR(__xludf.DUMMYFUNCTION("""COMPUTED_VALUE"""),44947)</f>
        <v>44947</v>
      </c>
      <c r="B13" s="7"/>
      <c r="C13" s="19" t="str">
        <f ca="1">IFERROR(__xludf.DUMMYFUNCTION("""COMPUTED_VALUE"""),"MID")</f>
        <v>MID</v>
      </c>
      <c r="D13" s="7"/>
      <c r="E13" s="7"/>
      <c r="F13" s="7"/>
      <c r="G13" s="50">
        <v>5</v>
      </c>
      <c r="H13" s="6" t="e">
        <f>IF(
(IF($H12&lt;1,"",_xludf.MaxIFS('Wellness Responses'!$P$2:$P1029,'Wellness Responses'!$R$2:$R1029,#REF!,'Wellness Responses'!$P$2:$P1029,"&lt;"&amp;$H12)))&lt;1,"",
(IF($H12&lt;1,"",_xludf.MaxIFS('Wellness Responses'!$P$2:$P1029,'Wellness Responses'!$R$2:$R1029,#REF!,'Wellness Responses'!$P$2:$P1029,"&lt;"&amp;$H12))))</f>
        <v>#REF!</v>
      </c>
      <c r="I13" s="51">
        <f ca="1">IFERROR(__xludf.DUMMYFUNCTION("IF($H13="""","""", iferror(average(filter('Training Responses'!$AR$2:$AR1029,'Training Responses'!$L$2:$L1029=$H13,'Training Responses'!$E$2:$E1029&lt;&gt;""Out"")),0))"),0)</f>
        <v>0</v>
      </c>
      <c r="J13" s="51">
        <f ca="1">IFERROR(__xludf.DUMMYFUNCTION("IF($H13="""","""",iferror(average(filter('Training Responses'!$AM$2:$AM1029,'Training Responses'!$L$2:$L1029=$H13)),0))"),0)</f>
        <v>0</v>
      </c>
      <c r="K13" s="51">
        <f ca="1">IFERROR(__xludf.DUMMYFUNCTION("IF($H13="""","""",iferror(average(filter('Training Responses'!$AL$2:$AL1029,'Training Responses'!$L$2:$L1029=$H13,'Training Responses'!$DU$2:$DU1029=1)),0))"),0)</f>
        <v>0</v>
      </c>
      <c r="L13" s="51" t="e">
        <f t="shared" si="0"/>
        <v>#REF!</v>
      </c>
      <c r="M13" s="52">
        <f ca="1">IFERROR(__xludf.DUMMYFUNCTION("IF($H13="""","""",iferror(average(filter('Training Responses'!$DZ$2:$DZ1029,'Training Responses'!$L$2:$L1029=H13)),0))"),0)</f>
        <v>0</v>
      </c>
      <c r="N13" s="53">
        <f ca="1">IFERROR(__xludf.DUMMYFUNCTION("IF($H13="""","""", average(filter('Wellness Responses'!$AS$2:$AS1029,'Wellness Responses'!$O$2:$O1029=H13)))"),0.655555555555555)</f>
        <v>0.655555555555555</v>
      </c>
      <c r="O13" s="7"/>
      <c r="P13" s="54">
        <v>12</v>
      </c>
      <c r="Q13" s="19" t="e">
        <f t="shared" si="1"/>
        <v>#REF!</v>
      </c>
      <c r="R13" s="7" t="e">
        <f>IF(SUMIF(#REF!,$P13,#REF!)/#REF!=0,"",SUMIF(#REF!,$P13,#REF!)/#REF!)</f>
        <v>#REF!</v>
      </c>
      <c r="S13" s="7" t="e">
        <f>IF(SUMIF(#REF!,$P13,#REF!)/#REF!=0,"",SUMIF(#REF!,$P13,#REF!)/#REF!)</f>
        <v>#REF!</v>
      </c>
      <c r="T13" s="7" t="e">
        <f>IF(SUMIFS(#REF!,#REF!,$P13,#REF!,1)/#REF!=0,"",SUMIFS(#REF!,#REF!,$P13,#REF!,1)/#REF!)</f>
        <v>#REF!</v>
      </c>
      <c r="U13" s="7" t="e">
        <f t="shared" si="2"/>
        <v>#REF!</v>
      </c>
      <c r="V13" s="56" t="str">
        <f t="shared" si="3"/>
        <v/>
      </c>
      <c r="W13" s="57"/>
      <c r="X13" s="57"/>
    </row>
    <row r="14" spans="1:24" ht="15.75" customHeight="1" x14ac:dyDescent="0.25">
      <c r="A14" s="34">
        <f ca="1">IFERROR(__xludf.DUMMYFUNCTION("""COMPUTED_VALUE"""),44948)</f>
        <v>44948</v>
      </c>
      <c r="B14" s="7"/>
      <c r="C14" s="19" t="str">
        <f ca="1">IFERROR(__xludf.DUMMYFUNCTION("""COMPUTED_VALUE"""),"MID/D")</f>
        <v>MID/D</v>
      </c>
      <c r="D14" s="7"/>
      <c r="E14" s="7"/>
      <c r="F14" s="7"/>
      <c r="G14" s="50">
        <v>5</v>
      </c>
      <c r="H14" s="6" t="e">
        <f>IF(
(IF($H13&lt;1,"",_xludf.MaxIFS('Wellness Responses'!$P$2:$P1029,'Wellness Responses'!$R$2:$R1029,#REF!,'Wellness Responses'!$P$2:$P1029,"&lt;"&amp;$H13)))&lt;1,"",
(IF($H13&lt;1,"",_xludf.MaxIFS('Wellness Responses'!$P$2:$P1029,'Wellness Responses'!$R$2:$R1029,#REF!,'Wellness Responses'!$P$2:$P1029,"&lt;"&amp;$H13))))</f>
        <v>#REF!</v>
      </c>
      <c r="I14" s="51">
        <f ca="1">IFERROR(__xludf.DUMMYFUNCTION("IF($H14="""","""", iferror(average(filter('Training Responses'!$AR$2:$AR1029,'Training Responses'!$L$2:$L1029=$H14,'Training Responses'!$E$2:$E1029&lt;&gt;""Out"")),0))"),0)</f>
        <v>0</v>
      </c>
      <c r="J14" s="51">
        <f ca="1">IFERROR(__xludf.DUMMYFUNCTION("IF($H14="""","""",iferror(average(filter('Training Responses'!$AM$2:$AM1029,'Training Responses'!$L$2:$L1029=$H14)),0))"),0)</f>
        <v>0</v>
      </c>
      <c r="K14" s="51">
        <f ca="1">IFERROR(__xludf.DUMMYFUNCTION("IF($H14="""","""",iferror(average(filter('Training Responses'!$AL$2:$AL1029,'Training Responses'!$L$2:$L1029=$H14,'Training Responses'!$DU$2:$DU1029=1)),0))"),0)</f>
        <v>0</v>
      </c>
      <c r="L14" s="51" t="e">
        <f t="shared" si="0"/>
        <v>#REF!</v>
      </c>
      <c r="M14" s="52">
        <f ca="1">IFERROR(__xludf.DUMMYFUNCTION("IF($H14="""","""",iferror(average(filter('Training Responses'!$DZ$2:$DZ1029,'Training Responses'!$L$2:$L1029=H14)),0))"),0)</f>
        <v>0</v>
      </c>
      <c r="N14" s="53">
        <f ca="1">IFERROR(__xludf.DUMMYFUNCTION("IF($H14="""","""", average(filter('Wellness Responses'!$AS$2:$AS1029,'Wellness Responses'!$O$2:$O1029=H14)))"),0.729166666666666)</f>
        <v>0.72916666666666596</v>
      </c>
      <c r="O14" s="7"/>
      <c r="P14" s="54">
        <v>13</v>
      </c>
      <c r="Q14" s="19" t="e">
        <f t="shared" si="1"/>
        <v>#REF!</v>
      </c>
      <c r="R14" s="7" t="e">
        <f>IF(SUMIF(#REF!,$P14,#REF!)/#REF!=0,"",SUMIF(#REF!,$P14,#REF!)/#REF!)</f>
        <v>#REF!</v>
      </c>
      <c r="S14" s="7" t="e">
        <f>IF(SUMIF(#REF!,$P14,#REF!)/#REF!=0,"",SUMIF(#REF!,$P14,#REF!)/#REF!)</f>
        <v>#REF!</v>
      </c>
      <c r="T14" s="7" t="e">
        <f>IF(SUMIFS(#REF!,#REF!,$P14,#REF!,1)/#REF!=0,"",SUMIFS(#REF!,#REF!,$P14,#REF!,1)/#REF!)</f>
        <v>#REF!</v>
      </c>
      <c r="U14" s="7" t="e">
        <f t="shared" si="2"/>
        <v>#REF!</v>
      </c>
      <c r="V14" s="56" t="str">
        <f t="shared" si="3"/>
        <v/>
      </c>
      <c r="W14" s="57"/>
      <c r="X14" s="57"/>
    </row>
    <row r="15" spans="1:24" ht="15.75" customHeight="1" x14ac:dyDescent="0.25">
      <c r="A15" s="34">
        <f ca="1">IFERROR(__xludf.DUMMYFUNCTION("""COMPUTED_VALUE"""),44949)</f>
        <v>44949</v>
      </c>
      <c r="B15" s="7"/>
      <c r="C15" s="19" t="str">
        <f ca="1">IFERROR(__xludf.DUMMYFUNCTION("""COMPUTED_VALUE"""),"D")</f>
        <v>D</v>
      </c>
      <c r="D15" s="7"/>
      <c r="E15" s="7"/>
      <c r="F15" s="7"/>
      <c r="G15" s="50">
        <v>4</v>
      </c>
      <c r="H15" s="6" t="e">
        <f>IF(
(IF($H14&lt;1,"",_xludf.MaxIFS('Wellness Responses'!$P$2:$P1029,'Wellness Responses'!$R$2:$R1029,#REF!,'Wellness Responses'!$P$2:$P1029,"&lt;"&amp;$H14)))&lt;1,"",
(IF($H14&lt;1,"",_xludf.MaxIFS('Wellness Responses'!$P$2:$P1029,'Wellness Responses'!$R$2:$R1029,#REF!,'Wellness Responses'!$P$2:$P1029,"&lt;"&amp;$H14))))</f>
        <v>#REF!</v>
      </c>
      <c r="I15" s="51">
        <f ca="1">IFERROR(__xludf.DUMMYFUNCTION("IF($H15="""","""", iferror(average(filter('Training Responses'!$AR$2:$AR1029,'Training Responses'!$L$2:$L1029=$H15,'Training Responses'!$E$2:$E1029&lt;&gt;""Out"")),0))"),0)</f>
        <v>0</v>
      </c>
      <c r="J15" s="51">
        <f ca="1">IFERROR(__xludf.DUMMYFUNCTION("IF($H15="""","""",iferror(average(filter('Training Responses'!$AM$2:$AM1029,'Training Responses'!$L$2:$L1029=$H15)),0))"),0)</f>
        <v>0</v>
      </c>
      <c r="K15" s="51">
        <f ca="1">IFERROR(__xludf.DUMMYFUNCTION("IF($H15="""","""",iferror(average(filter('Training Responses'!$AL$2:$AL1029,'Training Responses'!$L$2:$L1029=$H15,'Training Responses'!$DU$2:$DU1029=1)),0))"),0)</f>
        <v>0</v>
      </c>
      <c r="L15" s="51" t="e">
        <f t="shared" si="0"/>
        <v>#REF!</v>
      </c>
      <c r="M15" s="52">
        <f ca="1">IFERROR(__xludf.DUMMYFUNCTION("IF($H15="""","""",iferror(average(filter('Training Responses'!$DZ$2:$DZ1029,'Training Responses'!$L$2:$L1029=H15)),0))"),0)</f>
        <v>0</v>
      </c>
      <c r="N15" s="53">
        <f ca="1">IFERROR(__xludf.DUMMYFUNCTION("IF($H15="""","""", average(filter('Wellness Responses'!$AS$2:$AS1029,'Wellness Responses'!$O$2:$O1029=H15)))"),0.666666666666666)</f>
        <v>0.66666666666666596</v>
      </c>
      <c r="O15" s="7"/>
      <c r="P15" s="54">
        <v>14</v>
      </c>
      <c r="Q15" s="19" t="e">
        <f t="shared" si="1"/>
        <v>#REF!</v>
      </c>
      <c r="R15" s="7" t="e">
        <f>IF(SUMIF(#REF!,$P15,#REF!)/#REF!=0,"",SUMIF(#REF!,$P15,#REF!)/#REF!)</f>
        <v>#REF!</v>
      </c>
      <c r="S15" s="7" t="e">
        <f>IF(SUMIF(#REF!,$P15,#REF!)/#REF!=0,"",SUMIF(#REF!,$P15,#REF!)/#REF!)</f>
        <v>#REF!</v>
      </c>
      <c r="T15" s="7" t="e">
        <f>IF(SUMIFS(#REF!,#REF!,$P15,#REF!,1)/#REF!=0,"",SUMIFS(#REF!,#REF!,$P15,#REF!,1)/#REF!)</f>
        <v>#REF!</v>
      </c>
      <c r="U15" s="7" t="e">
        <f t="shared" si="2"/>
        <v>#REF!</v>
      </c>
      <c r="V15" s="56" t="str">
        <f t="shared" si="3"/>
        <v/>
      </c>
      <c r="W15" s="57"/>
      <c r="X15" s="57"/>
    </row>
    <row r="16" spans="1:24" ht="15.75" customHeight="1" x14ac:dyDescent="0.25">
      <c r="A16" s="34">
        <f ca="1">IFERROR(__xludf.DUMMYFUNCTION("""COMPUTED_VALUE"""),44950)</f>
        <v>44950</v>
      </c>
      <c r="B16" s="7"/>
      <c r="C16" s="19" t="str">
        <f ca="1">IFERROR(__xludf.DUMMYFUNCTION("""COMPUTED_VALUE"""),"UTIL")</f>
        <v>UTIL</v>
      </c>
      <c r="D16" s="7"/>
      <c r="E16" s="7"/>
      <c r="F16" s="7"/>
      <c r="G16" s="50">
        <v>4</v>
      </c>
      <c r="H16" s="6" t="e">
        <f>IF(
(IF($H15&lt;1,"",_xludf.MaxIFS('Wellness Responses'!$P$2:$P1029,'Wellness Responses'!$R$2:$R1029,#REF!,'Wellness Responses'!$P$2:$P1029,"&lt;"&amp;$H15)))&lt;1,"",
(IF($H15&lt;1,"",_xludf.MaxIFS('Wellness Responses'!$P$2:$P1029,'Wellness Responses'!$R$2:$R1029,#REF!,'Wellness Responses'!$P$2:$P1029,"&lt;"&amp;$H15))))</f>
        <v>#REF!</v>
      </c>
      <c r="I16" s="51">
        <f ca="1">IFERROR(__xludf.DUMMYFUNCTION("IF($H16="""","""", iferror(average(filter('Training Responses'!$AR$2:$AR1029,'Training Responses'!$L$2:$L1029=$H16,'Training Responses'!$E$2:$E1029&lt;&gt;""Out"")),0))"),0)</f>
        <v>0</v>
      </c>
      <c r="J16" s="51">
        <f ca="1">IFERROR(__xludf.DUMMYFUNCTION("IF($H16="""","""",iferror(average(filter('Training Responses'!$AM$2:$AM1029,'Training Responses'!$L$2:$L1029=$H16)),0))"),0)</f>
        <v>0</v>
      </c>
      <c r="K16" s="51">
        <f ca="1">IFERROR(__xludf.DUMMYFUNCTION("IF($H16="""","""",iferror(average(filter('Training Responses'!$AL$2:$AL1029,'Training Responses'!$L$2:$L1029=$H16,'Training Responses'!$DU$2:$DU1029=1)),0))"),480)</f>
        <v>480</v>
      </c>
      <c r="L16" s="51" t="e">
        <f t="shared" si="0"/>
        <v>#REF!</v>
      </c>
      <c r="M16" s="52">
        <f ca="1">IFERROR(__xludf.DUMMYFUNCTION("IF($H16="""","""",iferror(average(filter('Training Responses'!$DZ$2:$DZ1029,'Training Responses'!$L$2:$L1029=H16)),0))"),1.09793351439369)</f>
        <v>1.0979335143936899</v>
      </c>
      <c r="N16" s="53">
        <f ca="1">IFERROR(__xludf.DUMMYFUNCTION("IF($H16="""","""", average(filter('Wellness Responses'!$AS$2:$AS1029,'Wellness Responses'!$O$2:$O1029=H16)))"),0.675595238095238)</f>
        <v>0.67559523809523803</v>
      </c>
      <c r="O16" s="7"/>
      <c r="P16" s="54">
        <v>15</v>
      </c>
      <c r="Q16" s="19" t="e">
        <f t="shared" si="1"/>
        <v>#REF!</v>
      </c>
      <c r="R16" s="7" t="e">
        <f>IF(SUMIF(#REF!,$P16,#REF!)/#REF!=0,"",SUMIF(#REF!,$P16,#REF!)/#REF!)</f>
        <v>#REF!</v>
      </c>
      <c r="S16" s="7" t="e">
        <f>IF(SUMIF(#REF!,$P16,#REF!)/#REF!=0,"",SUMIF(#REF!,$P16,#REF!)/#REF!)</f>
        <v>#REF!</v>
      </c>
      <c r="T16" s="7" t="e">
        <f>IF(SUMIFS(#REF!,#REF!,$P16,#REF!,1)/#REF!=0,"",SUMIFS(#REF!,#REF!,$P16,#REF!,1)/#REF!)</f>
        <v>#REF!</v>
      </c>
      <c r="U16" s="7" t="e">
        <f t="shared" si="2"/>
        <v>#REF!</v>
      </c>
      <c r="V16" s="56" t="str">
        <f t="shared" si="3"/>
        <v/>
      </c>
      <c r="W16" s="57"/>
      <c r="X16" s="57"/>
    </row>
    <row r="17" spans="1:24" ht="15.75" customHeight="1" x14ac:dyDescent="0.25">
      <c r="A17" s="34">
        <f ca="1">IFERROR(__xludf.DUMMYFUNCTION("""COMPUTED_VALUE"""),44951)</f>
        <v>44951</v>
      </c>
      <c r="B17" s="7"/>
      <c r="C17" s="19" t="str">
        <f ca="1">IFERROR(__xludf.DUMMYFUNCTION("""COMPUTED_VALUE"""),"GK")</f>
        <v>GK</v>
      </c>
      <c r="D17" s="7"/>
      <c r="E17" s="7"/>
      <c r="F17" s="7"/>
      <c r="G17" s="50">
        <v>4</v>
      </c>
      <c r="H17" s="6" t="e">
        <f>IF(
(IF($H16&lt;1,"",_xludf.MaxIFS('Wellness Responses'!$P$2:$P1029,'Wellness Responses'!$R$2:$R1029,#REF!,'Wellness Responses'!$P$2:$P1029,"&lt;"&amp;$H16)))&lt;1,"",
(IF($H16&lt;1,"",_xludf.MaxIFS('Wellness Responses'!$P$2:$P1029,'Wellness Responses'!$R$2:$R1029,#REF!,'Wellness Responses'!$P$2:$P1029,"&lt;"&amp;$H16))))</f>
        <v>#REF!</v>
      </c>
      <c r="I17" s="51">
        <f ca="1">IFERROR(__xludf.DUMMYFUNCTION("IF($H17="""","""", iferror(average(filter('Training Responses'!$AR$2:$AR1029,'Training Responses'!$L$2:$L1029=$H17,'Training Responses'!$E$2:$E1029&lt;&gt;""Out"")),0))"),0)</f>
        <v>0</v>
      </c>
      <c r="J17" s="51">
        <f ca="1">IFERROR(__xludf.DUMMYFUNCTION("IF($H17="""","""",iferror(average(filter('Training Responses'!$AM$2:$AM1029,'Training Responses'!$L$2:$L1029=$H17)),0))"),960)</f>
        <v>960</v>
      </c>
      <c r="K17" s="51">
        <f ca="1">IFERROR(__xludf.DUMMYFUNCTION("IF($H17="""","""",iferror(average(filter('Training Responses'!$AL$2:$AL1029,'Training Responses'!$L$2:$L1029=$H17,'Training Responses'!$DU$2:$DU1029=1)),0))"),405)</f>
        <v>405</v>
      </c>
      <c r="L17" s="51" t="e">
        <f t="shared" si="0"/>
        <v>#REF!</v>
      </c>
      <c r="M17" s="52">
        <f ca="1">IFERROR(__xludf.DUMMYFUNCTION("IF($H17="""","""",iferror(average(filter('Training Responses'!$DZ$2:$DZ1029,'Training Responses'!$L$2:$L1029=H17)),0))"),1.17152410327208)</f>
        <v>1.17152410327208</v>
      </c>
      <c r="N17" s="53">
        <f ca="1">IFERROR(__xludf.DUMMYFUNCTION("IF($H17="""","""", average(filter('Wellness Responses'!$AS$2:$AS1029,'Wellness Responses'!$O$2:$O1029=H17)))"),0.673076923076923)</f>
        <v>0.67307692307692302</v>
      </c>
      <c r="O17" s="7"/>
      <c r="P17" s="54">
        <v>16</v>
      </c>
      <c r="Q17" s="19" t="e">
        <f t="shared" si="1"/>
        <v>#REF!</v>
      </c>
      <c r="R17" s="7" t="e">
        <f>IF(SUMIF(#REF!,$P17,#REF!)/#REF!=0,"",SUMIF(#REF!,$P17,#REF!)/#REF!)</f>
        <v>#REF!</v>
      </c>
      <c r="S17" s="7" t="e">
        <f>IF(SUMIF(#REF!,$P17,#REF!)/#REF!=0,"",SUMIF(#REF!,$P17,#REF!)/#REF!)</f>
        <v>#REF!</v>
      </c>
      <c r="T17" s="7" t="e">
        <f>IF(SUMIFS(#REF!,#REF!,$P17,#REF!,1)/#REF!=0,"",SUMIFS(#REF!,#REF!,$P17,#REF!,1)/#REF!)</f>
        <v>#REF!</v>
      </c>
      <c r="U17" s="7" t="e">
        <f t="shared" si="2"/>
        <v>#REF!</v>
      </c>
      <c r="V17" s="56" t="str">
        <f t="shared" si="3"/>
        <v/>
      </c>
      <c r="W17" s="57"/>
      <c r="X17" s="57"/>
    </row>
    <row r="18" spans="1:24" ht="15.75" customHeight="1" x14ac:dyDescent="0.25">
      <c r="A18" s="34">
        <f ca="1">IFERROR(__xludf.DUMMYFUNCTION("""COMPUTED_VALUE"""),44952)</f>
        <v>44952</v>
      </c>
      <c r="B18" s="7"/>
      <c r="C18" s="19"/>
      <c r="D18" s="7"/>
      <c r="E18" s="7"/>
      <c r="F18" s="7"/>
      <c r="G18" s="50">
        <v>4</v>
      </c>
      <c r="H18" s="6" t="e">
        <f>IF(
(IF($H17&lt;1,"",_xludf.MaxIFS('Wellness Responses'!$P$2:$P1029,'Wellness Responses'!$R$2:$R1029,#REF!,'Wellness Responses'!$P$2:$P1029,"&lt;"&amp;$H17)))&lt;1,"",
(IF($H17&lt;1,"",_xludf.MaxIFS('Wellness Responses'!$P$2:$P1029,'Wellness Responses'!$R$2:$R1029,#REF!,'Wellness Responses'!$P$2:$P1029,"&lt;"&amp;$H17))))</f>
        <v>#REF!</v>
      </c>
      <c r="I18" s="51">
        <f ca="1">IFERROR(__xludf.DUMMYFUNCTION("IF($H18="""","""", iferror(average(filter('Training Responses'!$AR$2:$AR1029,'Training Responses'!$L$2:$L1029=$H18,'Training Responses'!$E$2:$E1029&lt;&gt;""Out"")),0))"),0)</f>
        <v>0</v>
      </c>
      <c r="J18" s="51">
        <f ca="1">IFERROR(__xludf.DUMMYFUNCTION("IF($H18="""","""",iferror(average(filter('Training Responses'!$AM$2:$AM1029,'Training Responses'!$L$2:$L1029=$H18)),0))"),525)</f>
        <v>525</v>
      </c>
      <c r="K18" s="51">
        <f ca="1">IFERROR(__xludf.DUMMYFUNCTION("IF($H18="""","""",iferror(average(filter('Training Responses'!$AL$2:$AL1029,'Training Responses'!$L$2:$L1029=$H18,'Training Responses'!$DU$2:$DU1029=1)),0))"),0)</f>
        <v>0</v>
      </c>
      <c r="L18" s="51" t="e">
        <f t="shared" si="0"/>
        <v>#REF!</v>
      </c>
      <c r="M18" s="52">
        <f ca="1">IFERROR(__xludf.DUMMYFUNCTION("IF($H18="""","""",iferror(average(filter('Training Responses'!$DZ$2:$DZ1029,'Training Responses'!$L$2:$L1029=H18)),0))"),0.867415617358052)</f>
        <v>0.86741561735805195</v>
      </c>
      <c r="N18" s="53">
        <f ca="1">IFERROR(__xludf.DUMMYFUNCTION("IF($H18="""","""", average(filter('Wellness Responses'!$AS$2:$AS1029,'Wellness Responses'!$O$2:$O1029=H18)))"),0.584558823529411)</f>
        <v>0.58455882352941102</v>
      </c>
      <c r="O18" s="7"/>
      <c r="P18" s="54">
        <v>17</v>
      </c>
      <c r="Q18" s="19" t="e">
        <f t="shared" si="1"/>
        <v>#REF!</v>
      </c>
      <c r="R18" s="7" t="e">
        <f>IF(SUMIF(#REF!,$P18,#REF!)/#REF!=0,"",SUMIF(#REF!,$P18,#REF!)/#REF!)</f>
        <v>#REF!</v>
      </c>
      <c r="S18" s="7" t="e">
        <f>IF(SUMIF(#REF!,$P18,#REF!)/#REF!=0,"",SUMIF(#REF!,$P18,#REF!)/#REF!)</f>
        <v>#REF!</v>
      </c>
      <c r="T18" s="7" t="e">
        <f>IF(SUMIFS(#REF!,#REF!,$P18,#REF!,1)/#REF!=0,"",SUMIFS(#REF!,#REF!,$P18,#REF!,1)/#REF!)</f>
        <v>#REF!</v>
      </c>
      <c r="U18" s="7" t="e">
        <f t="shared" si="2"/>
        <v>#REF!</v>
      </c>
      <c r="V18" s="56" t="str">
        <f t="shared" si="3"/>
        <v/>
      </c>
      <c r="W18" s="57"/>
      <c r="X18" s="57"/>
    </row>
    <row r="19" spans="1:24" ht="15.75" customHeight="1" x14ac:dyDescent="0.25">
      <c r="A19" s="34">
        <f ca="1">IFERROR(__xludf.DUMMYFUNCTION("""COMPUTED_VALUE"""),44953)</f>
        <v>44953</v>
      </c>
      <c r="B19" s="7"/>
      <c r="C19" s="19"/>
      <c r="D19" s="7"/>
      <c r="E19" s="7"/>
      <c r="F19" s="7"/>
      <c r="G19" s="50">
        <v>4</v>
      </c>
      <c r="H19" s="6" t="e">
        <f>IF(
(IF($H18&lt;1,"",_xludf.MaxIFS('Wellness Responses'!$P$2:$P1029,'Wellness Responses'!$R$2:$R1029,#REF!,'Wellness Responses'!$P$2:$P1029,"&lt;"&amp;$H18)))&lt;1,"",
(IF($H18&lt;1,"",_xludf.MaxIFS('Wellness Responses'!$P$2:$P1029,'Wellness Responses'!$R$2:$R1029,#REF!,'Wellness Responses'!$P$2:$P1029,"&lt;"&amp;$H18))))</f>
        <v>#REF!</v>
      </c>
      <c r="I19" s="51">
        <f ca="1">IFERROR(__xludf.DUMMYFUNCTION("IF($H19="""","""", iferror(average(filter('Training Responses'!$AR$2:$AR1029,'Training Responses'!$L$2:$L1029=$H19,'Training Responses'!$E$2:$E1029&lt;&gt;""Out"")),0))"),0)</f>
        <v>0</v>
      </c>
      <c r="J19" s="51">
        <f ca="1">IFERROR(__xludf.DUMMYFUNCTION("IF($H19="""","""",iferror(average(filter('Training Responses'!$AM$2:$AM1029,'Training Responses'!$L$2:$L1029=$H19)),0))"),630)</f>
        <v>630</v>
      </c>
      <c r="K19" s="51">
        <f ca="1">IFERROR(__xludf.DUMMYFUNCTION("IF($H19="""","""",iferror(average(filter('Training Responses'!$AL$2:$AL1029,'Training Responses'!$L$2:$L1029=$H19,'Training Responses'!$DU$2:$DU1029=1)),0))"),480)</f>
        <v>480</v>
      </c>
      <c r="L19" s="51" t="e">
        <f t="shared" si="0"/>
        <v>#REF!</v>
      </c>
      <c r="M19" s="52">
        <f ca="1">IFERROR(__xludf.DUMMYFUNCTION("IF($H19="""","""",iferror(average(filter('Training Responses'!$DZ$2:$DZ1029,'Training Responses'!$L$2:$L1029=H19)),0))"),0.823075943201022)</f>
        <v>0.82307594320102195</v>
      </c>
      <c r="N19" s="53">
        <f ca="1">IFERROR(__xludf.DUMMYFUNCTION("IF($H19="""","""", average(filter('Wellness Responses'!$AS$2:$AS1029,'Wellness Responses'!$O$2:$O1029=H19)))"),0.638888888888888)</f>
        <v>0.63888888888888795</v>
      </c>
      <c r="O19" s="7"/>
      <c r="P19" s="54">
        <v>18</v>
      </c>
      <c r="Q19" s="19" t="e">
        <f t="shared" si="1"/>
        <v>#REF!</v>
      </c>
      <c r="R19" s="7" t="e">
        <f>IF(SUMIF(#REF!,$P19,#REF!)/#REF!=0,"",SUMIF(#REF!,$P19,#REF!)/#REF!)</f>
        <v>#REF!</v>
      </c>
      <c r="S19" s="7" t="e">
        <f>IF(SUMIF(#REF!,$P19,#REF!)/#REF!=0,"",SUMIF(#REF!,$P19,#REF!)/#REF!)</f>
        <v>#REF!</v>
      </c>
      <c r="T19" s="7" t="e">
        <f>IF(SUMIFS(#REF!,#REF!,$P19,#REF!,1)/#REF!=0,"",SUMIFS(#REF!,#REF!,$P19,#REF!,1)/#REF!)</f>
        <v>#REF!</v>
      </c>
      <c r="U19" s="7" t="e">
        <f t="shared" si="2"/>
        <v>#REF!</v>
      </c>
      <c r="V19" s="56" t="str">
        <f t="shared" si="3"/>
        <v/>
      </c>
      <c r="W19" s="57"/>
      <c r="X19" s="57"/>
    </row>
    <row r="20" spans="1:24" ht="15.75" customHeight="1" x14ac:dyDescent="0.25">
      <c r="A20" s="34">
        <f ca="1">IFERROR(__xludf.DUMMYFUNCTION("""COMPUTED_VALUE"""),44954)</f>
        <v>44954</v>
      </c>
      <c r="B20" s="7"/>
      <c r="C20" s="19"/>
      <c r="D20" s="7"/>
      <c r="E20" s="7"/>
      <c r="F20" s="7"/>
      <c r="G20" s="50">
        <v>4</v>
      </c>
      <c r="H20" s="6" t="e">
        <f>IF(
(IF($H19&lt;1,"",_xludf.MaxIFS('Wellness Responses'!$P$2:$P1029,'Wellness Responses'!$R$2:$R1029,#REF!,'Wellness Responses'!$P$2:$P1029,"&lt;"&amp;$H19)))&lt;1,"",
(IF($H19&lt;1,"",_xludf.MaxIFS('Wellness Responses'!$P$2:$P1029,'Wellness Responses'!$R$2:$R1029,#REF!,'Wellness Responses'!$P$2:$P1029,"&lt;"&amp;$H19))))</f>
        <v>#REF!</v>
      </c>
      <c r="I20" s="51">
        <f ca="1">IFERROR(__xludf.DUMMYFUNCTION("IF($H20="""","""", iferror(average(filter('Training Responses'!$AR$2:$AR1029,'Training Responses'!$L$2:$L1029=$H20,'Training Responses'!$E$2:$E1029&lt;&gt;""Out"")),0))"),0)</f>
        <v>0</v>
      </c>
      <c r="J20" s="51">
        <f ca="1">IFERROR(__xludf.DUMMYFUNCTION("IF($H20="""","""",iferror(average(filter('Training Responses'!$AM$2:$AM1029,'Training Responses'!$L$2:$L1029=$H20)),0))"),0)</f>
        <v>0</v>
      </c>
      <c r="K20" s="51">
        <f ca="1">IFERROR(__xludf.DUMMYFUNCTION("IF($H20="""","""",iferror(average(filter('Training Responses'!$AL$2:$AL1029,'Training Responses'!$L$2:$L1029=$H20,'Training Responses'!$DU$2:$DU1029=1)),0))"),0)</f>
        <v>0</v>
      </c>
      <c r="L20" s="51" t="e">
        <f t="shared" si="0"/>
        <v>#REF!</v>
      </c>
      <c r="M20" s="52">
        <f ca="1">IFERROR(__xludf.DUMMYFUNCTION("IF($H20="""","""",iferror(average(filter('Training Responses'!$DZ$2:$DZ1029,'Training Responses'!$L$2:$L1029=H20)),0))"),0)</f>
        <v>0</v>
      </c>
      <c r="N20" s="53">
        <f ca="1">IFERROR(__xludf.DUMMYFUNCTION("IF($H20="""","""", average(filter('Wellness Responses'!$AS$2:$AS1029,'Wellness Responses'!$O$2:$O1029=H20)))"),0.6953125)</f>
        <v>0.6953125</v>
      </c>
      <c r="O20" s="7"/>
      <c r="P20" s="54">
        <v>19</v>
      </c>
      <c r="Q20" s="19" t="e">
        <f t="shared" si="1"/>
        <v>#REF!</v>
      </c>
      <c r="R20" s="7" t="e">
        <f>IF(SUMIF(#REF!,$P20,#REF!)/#REF!=0,"",SUMIF(#REF!,$P20,#REF!)/#REF!)</f>
        <v>#REF!</v>
      </c>
      <c r="S20" s="7" t="e">
        <f>IF(SUMIF(#REF!,$P20,#REF!)/#REF!=0,"",SUMIF(#REF!,$P20,#REF!)/#REF!)</f>
        <v>#REF!</v>
      </c>
      <c r="T20" s="7" t="e">
        <f>IF(SUMIFS(#REF!,#REF!,$P20,#REF!,1)/#REF!=0,"",SUMIFS(#REF!,#REF!,$P20,#REF!,1)/#REF!)</f>
        <v>#REF!</v>
      </c>
      <c r="U20" s="7" t="e">
        <f t="shared" si="2"/>
        <v>#REF!</v>
      </c>
      <c r="V20" s="56" t="str">
        <f t="shared" si="3"/>
        <v/>
      </c>
      <c r="W20" s="57"/>
      <c r="X20" s="57"/>
    </row>
    <row r="21" spans="1:24" ht="15.75" customHeight="1" x14ac:dyDescent="0.25">
      <c r="A21" s="34">
        <f ca="1">IFERROR(__xludf.DUMMYFUNCTION("""COMPUTED_VALUE"""),44955)</f>
        <v>44955</v>
      </c>
      <c r="B21" s="7"/>
      <c r="C21" s="19"/>
      <c r="D21" s="7"/>
      <c r="E21" s="7"/>
      <c r="F21" s="7"/>
      <c r="G21" s="50">
        <v>4</v>
      </c>
      <c r="H21" s="6" t="e">
        <f>IF(
(IF($H20&lt;1,"",_xludf.MaxIFS('Wellness Responses'!$P$2:$P1029,'Wellness Responses'!$R$2:$R1029,#REF!,'Wellness Responses'!$P$2:$P1029,"&lt;"&amp;$H20)))&lt;1,"",
(IF($H20&lt;1,"",_xludf.MaxIFS('Wellness Responses'!$P$2:$P1029,'Wellness Responses'!$R$2:$R1029,#REF!,'Wellness Responses'!$P$2:$P1029,"&lt;"&amp;$H20))))</f>
        <v>#REF!</v>
      </c>
      <c r="I21" s="51">
        <f ca="1">IFERROR(__xludf.DUMMYFUNCTION("IF($H21="""","""", iferror(average(filter('Training Responses'!$AR$2:$AR1029,'Training Responses'!$L$2:$L1029=$H21,'Training Responses'!$E$2:$E1029&lt;&gt;""Out"")),0))"),0)</f>
        <v>0</v>
      </c>
      <c r="J21" s="51">
        <f ca="1">IFERROR(__xludf.DUMMYFUNCTION("IF($H21="""","""",iferror(average(filter('Training Responses'!$AM$2:$AM1029,'Training Responses'!$L$2:$L1029=$H21)),0))"),0)</f>
        <v>0</v>
      </c>
      <c r="K21" s="51">
        <f ca="1">IFERROR(__xludf.DUMMYFUNCTION("IF($H21="""","""",iferror(average(filter('Training Responses'!$AL$2:$AL1029,'Training Responses'!$L$2:$L1029=$H21,'Training Responses'!$DU$2:$DU1029=1)),0))"),0)</f>
        <v>0</v>
      </c>
      <c r="L21" s="51" t="e">
        <f t="shared" si="0"/>
        <v>#REF!</v>
      </c>
      <c r="M21" s="52">
        <f ca="1">IFERROR(__xludf.DUMMYFUNCTION("IF($H21="""","""",iferror(average(filter('Training Responses'!$DZ$2:$DZ1029,'Training Responses'!$L$2:$L1029=H21)),0))"),0)</f>
        <v>0</v>
      </c>
      <c r="N21" s="53">
        <f ca="1">IFERROR(__xludf.DUMMYFUNCTION("IF($H21="""","""", average(filter('Wellness Responses'!$AS$2:$AS1029,'Wellness Responses'!$O$2:$O1029=H21)))"),0.875)</f>
        <v>0.875</v>
      </c>
      <c r="O21" s="7"/>
      <c r="P21" s="54">
        <v>20</v>
      </c>
      <c r="Q21" s="19" t="e">
        <f t="shared" si="1"/>
        <v>#REF!</v>
      </c>
      <c r="R21" s="7" t="e">
        <f>IF(SUMIF(#REF!,$P21,#REF!)/#REF!=0,"",SUMIF(#REF!,$P21,#REF!)/#REF!)</f>
        <v>#REF!</v>
      </c>
      <c r="S21" s="7" t="e">
        <f>IF(SUMIF(#REF!,$P21,#REF!)/#REF!=0,"",SUMIF(#REF!,$P21,#REF!)/#REF!)</f>
        <v>#REF!</v>
      </c>
      <c r="T21" s="7" t="e">
        <f>IF(SUMIFS(#REF!,#REF!,$P21,#REF!,1)/#REF!=0,"",SUMIFS(#REF!,#REF!,$P21,#REF!,1)/#REF!)</f>
        <v>#REF!</v>
      </c>
      <c r="U21" s="7" t="e">
        <f t="shared" si="2"/>
        <v>#REF!</v>
      </c>
      <c r="V21" s="56" t="str">
        <f t="shared" si="3"/>
        <v/>
      </c>
      <c r="W21" s="57"/>
      <c r="X21" s="57"/>
    </row>
    <row r="22" spans="1:24" ht="12.5" x14ac:dyDescent="0.25">
      <c r="A22" s="34">
        <f ca="1">IFERROR(__xludf.DUMMYFUNCTION("""COMPUTED_VALUE"""),44956)</f>
        <v>44956</v>
      </c>
      <c r="B22" s="7"/>
      <c r="C22" s="19"/>
      <c r="D22" s="7"/>
      <c r="E22" s="7"/>
      <c r="F22" s="7"/>
      <c r="G22" s="50">
        <v>3</v>
      </c>
      <c r="H22" s="6" t="e">
        <f>IF(
(IF($H21&lt;1,"",_xludf.MaxIFS('Wellness Responses'!$P$2:$P1029,'Wellness Responses'!$R$2:$R1029,#REF!,'Wellness Responses'!$P$2:$P1029,"&lt;"&amp;$H21)))&lt;1,"",
(IF($H21&lt;1,"",_xludf.MaxIFS('Wellness Responses'!$P$2:$P1029,'Wellness Responses'!$R$2:$R1029,#REF!,'Wellness Responses'!$P$2:$P1029,"&lt;"&amp;$H21))))</f>
        <v>#REF!</v>
      </c>
      <c r="I22" s="51">
        <f ca="1">IFERROR(__xludf.DUMMYFUNCTION("IF($H22="""","""", iferror(average(filter('Training Responses'!$AR$2:$AR1029,'Training Responses'!$L$2:$L1029=$H22,'Training Responses'!$E$2:$E1029&lt;&gt;""Out"")),0))"),0)</f>
        <v>0</v>
      </c>
      <c r="J22" s="51">
        <f ca="1">IFERROR(__xludf.DUMMYFUNCTION("IF($H22="""","""",iferror(average(filter('Training Responses'!$AM$2:$AM1029,'Training Responses'!$L$2:$L1029=$H22)),0))"),0)</f>
        <v>0</v>
      </c>
      <c r="K22" s="51">
        <f ca="1">IFERROR(__xludf.DUMMYFUNCTION("IF($H22="""","""",iferror(average(filter('Training Responses'!$AL$2:$AL1029,'Training Responses'!$L$2:$L1029=$H22,'Training Responses'!$DU$2:$DU1029=1)),0))"),0)</f>
        <v>0</v>
      </c>
      <c r="L22" s="51" t="e">
        <f t="shared" si="0"/>
        <v>#REF!</v>
      </c>
      <c r="M22" s="52">
        <f ca="1">IFERROR(__xludf.DUMMYFUNCTION("IF($H22="""","""",iferror(average(filter('Training Responses'!$DZ$2:$DZ1029,'Training Responses'!$L$2:$L1029=H22)),0))"),0)</f>
        <v>0</v>
      </c>
      <c r="N22" s="53">
        <f ca="1">IFERROR(__xludf.DUMMYFUNCTION("IF($H22="""","""", average(filter('Wellness Responses'!$AS$2:$AS1029,'Wellness Responses'!$O$2:$O1029=H22)))"),0.75)</f>
        <v>0.75</v>
      </c>
      <c r="O22" s="7"/>
      <c r="P22" s="54">
        <v>21</v>
      </c>
      <c r="Q22" s="19" t="e">
        <f t="shared" si="1"/>
        <v>#REF!</v>
      </c>
      <c r="R22" s="7" t="e">
        <f>IF(SUMIF(#REF!,$P22,#REF!)/#REF!=0,"",SUMIF(#REF!,$P22,#REF!)/#REF!)</f>
        <v>#REF!</v>
      </c>
      <c r="S22" s="7" t="e">
        <f>IF(SUMIF(#REF!,$P22,#REF!)/#REF!=0,"",SUMIF(#REF!,$P22,#REF!)/#REF!)</f>
        <v>#REF!</v>
      </c>
      <c r="T22" s="7" t="e">
        <f>IF(SUMIFS(#REF!,#REF!,$P22,#REF!,1)/#REF!=0,"",SUMIFS(#REF!,#REF!,$P22,#REF!,1)/#REF!)</f>
        <v>#REF!</v>
      </c>
      <c r="U22" s="7" t="e">
        <f t="shared" si="2"/>
        <v>#REF!</v>
      </c>
      <c r="V22" s="56" t="str">
        <f t="shared" si="3"/>
        <v/>
      </c>
      <c r="W22" s="57"/>
      <c r="X22" s="57"/>
    </row>
    <row r="23" spans="1:24" ht="12.5" x14ac:dyDescent="0.25">
      <c r="A23" s="34">
        <f ca="1">IFERROR(__xludf.DUMMYFUNCTION("""COMPUTED_VALUE"""),44957)</f>
        <v>44957</v>
      </c>
      <c r="B23" s="7"/>
      <c r="C23" s="19"/>
      <c r="D23" s="7"/>
      <c r="E23" s="7"/>
      <c r="F23" s="7"/>
      <c r="G23" s="50">
        <v>3</v>
      </c>
      <c r="H23" s="6" t="e">
        <f>IF(
(IF($H22&lt;1,"",_xludf.MaxIFS('Wellness Responses'!$P$2:$P1029,'Wellness Responses'!$R$2:$R1029,#REF!,'Wellness Responses'!$P$2:$P1029,"&lt;"&amp;$H22)))&lt;1,"",
(IF($H22&lt;1,"",_xludf.MaxIFS('Wellness Responses'!$P$2:$P1029,'Wellness Responses'!$R$2:$R1029,#REF!,'Wellness Responses'!$P$2:$P1029,"&lt;"&amp;$H22))))</f>
        <v>#REF!</v>
      </c>
      <c r="I23" s="51">
        <f ca="1">IFERROR(__xludf.DUMMYFUNCTION("IF($H23="""","""", iferror(average(filter('Training Responses'!$AR$2:$AR1029,'Training Responses'!$L$2:$L1029=$H23,'Training Responses'!$E$2:$E1029&lt;&gt;""Out"")),0))"),0)</f>
        <v>0</v>
      </c>
      <c r="J23" s="51">
        <f ca="1">IFERROR(__xludf.DUMMYFUNCTION("IF($H23="""","""",iferror(average(filter('Training Responses'!$AM$2:$AM1029,'Training Responses'!$L$2:$L1029=$H23)),0))"),0)</f>
        <v>0</v>
      </c>
      <c r="K23" s="51">
        <f ca="1">IFERROR(__xludf.DUMMYFUNCTION("IF($H23="""","""",iferror(average(filter('Training Responses'!$AL$2:$AL1029,'Training Responses'!$L$2:$L1029=$H23,'Training Responses'!$DU$2:$DU1029=1)),0))"),0)</f>
        <v>0</v>
      </c>
      <c r="L23" s="51" t="e">
        <f t="shared" si="0"/>
        <v>#REF!</v>
      </c>
      <c r="M23" s="52">
        <f ca="1">IFERROR(__xludf.DUMMYFUNCTION("IF($H23="""","""",iferror(average(filter('Training Responses'!$DZ$2:$DZ1029,'Training Responses'!$L$2:$L1029=H23)),0))"),0)</f>
        <v>0</v>
      </c>
      <c r="N23" s="53">
        <f ca="1">IFERROR(__xludf.DUMMYFUNCTION("IF($H23="""","""", average(filter('Wellness Responses'!$AS$2:$AS1029,'Wellness Responses'!$O$2:$O1029=H23)))"),0.604166666666666)</f>
        <v>0.60416666666666596</v>
      </c>
      <c r="O23" s="7"/>
      <c r="P23" s="54">
        <v>22</v>
      </c>
      <c r="Q23" s="19" t="e">
        <f t="shared" si="1"/>
        <v>#REF!</v>
      </c>
      <c r="R23" s="7" t="e">
        <f>IF(SUMIF(#REF!,$P23,#REF!)/#REF!=0,"",SUMIF(#REF!,$P23,#REF!)/#REF!)</f>
        <v>#REF!</v>
      </c>
      <c r="S23" s="7" t="e">
        <f>IF(SUMIF(#REF!,$P23,#REF!)/#REF!=0,"",SUMIF(#REF!,$P23,#REF!)/#REF!)</f>
        <v>#REF!</v>
      </c>
      <c r="T23" s="7" t="e">
        <f>IF(SUMIFS(#REF!,#REF!,$P23,#REF!,1)/#REF!=0,"",SUMIFS(#REF!,#REF!,$P23,#REF!,1)/#REF!)</f>
        <v>#REF!</v>
      </c>
      <c r="U23" s="7" t="e">
        <f t="shared" si="2"/>
        <v>#REF!</v>
      </c>
      <c r="V23" s="56" t="str">
        <f t="shared" si="3"/>
        <v/>
      </c>
      <c r="W23" s="57"/>
      <c r="X23" s="57"/>
    </row>
    <row r="24" spans="1:24" ht="12.5" x14ac:dyDescent="0.25">
      <c r="A24" s="34">
        <f ca="1">IFERROR(__xludf.DUMMYFUNCTION("""COMPUTED_VALUE"""),44958)</f>
        <v>44958</v>
      </c>
      <c r="B24" s="7"/>
      <c r="C24" s="19"/>
      <c r="D24" s="7"/>
      <c r="E24" s="7"/>
      <c r="F24" s="7"/>
      <c r="G24" s="50">
        <v>3</v>
      </c>
      <c r="H24" s="6" t="e">
        <f>IF(
(IF($H23&lt;1,"",_xludf.MaxIFS('Wellness Responses'!$P$2:$P1029,'Wellness Responses'!$R$2:$R1029,#REF!,'Wellness Responses'!$P$2:$P1029,"&lt;"&amp;$H23)))&lt;1,"",
(IF($H23&lt;1,"",_xludf.MaxIFS('Wellness Responses'!$P$2:$P1029,'Wellness Responses'!$R$2:$R1029,#REF!,'Wellness Responses'!$P$2:$P1029,"&lt;"&amp;$H23))))</f>
        <v>#REF!</v>
      </c>
      <c r="I24" s="51">
        <f ca="1">IFERROR(__xludf.DUMMYFUNCTION("IF($H24="""","""", iferror(average(filter('Training Responses'!$AR$2:$AR1029,'Training Responses'!$L$2:$L1029=$H24,'Training Responses'!$E$2:$E1029&lt;&gt;""Out"")),0))"),0)</f>
        <v>0</v>
      </c>
      <c r="J24" s="51">
        <f ca="1">IFERROR(__xludf.DUMMYFUNCTION("IF($H24="""","""",iferror(average(filter('Training Responses'!$AM$2:$AM1029,'Training Responses'!$L$2:$L1029=$H24)),0))"),630)</f>
        <v>630</v>
      </c>
      <c r="K24" s="51">
        <f ca="1">IFERROR(__xludf.DUMMYFUNCTION("IF($H24="""","""",iferror(average(filter('Training Responses'!$AL$2:$AL1029,'Training Responses'!$L$2:$L1029=$H24,'Training Responses'!$DU$2:$DU1029=1)),0))"),360)</f>
        <v>360</v>
      </c>
      <c r="L24" s="51" t="e">
        <f t="shared" si="0"/>
        <v>#REF!</v>
      </c>
      <c r="M24" s="52">
        <f ca="1">IFERROR(__xludf.DUMMYFUNCTION("IF($H24="""","""",iferror(average(filter('Training Responses'!$DZ$2:$DZ1029,'Training Responses'!$L$2:$L1029=H24)),0))"),1.01544918188603)</f>
        <v>1.0154491818860301</v>
      </c>
      <c r="N24" s="53">
        <f ca="1">IFERROR(__xludf.DUMMYFUNCTION("IF($H24="""","""", average(filter('Wellness Responses'!$AS$2:$AS1029,'Wellness Responses'!$O$2:$O1029=H24)))"),0.598958333333333)</f>
        <v>0.59895833333333304</v>
      </c>
      <c r="O24" s="7"/>
      <c r="P24" s="54">
        <v>23</v>
      </c>
      <c r="Q24" s="19" t="e">
        <f t="shared" si="1"/>
        <v>#REF!</v>
      </c>
      <c r="R24" s="7" t="e">
        <f>IF(SUMIF(#REF!,$P24,#REF!)/#REF!=0,"",SUMIF(#REF!,$P24,#REF!)/#REF!)</f>
        <v>#REF!</v>
      </c>
      <c r="S24" s="7" t="e">
        <f>IF(SUMIF(#REF!,$P24,#REF!)/#REF!=0,"",SUMIF(#REF!,$P24,#REF!)/#REF!)</f>
        <v>#REF!</v>
      </c>
      <c r="T24" s="7" t="e">
        <f>IF(SUMIFS(#REF!,#REF!,$P24,#REF!,1)/#REF!=0,"",SUMIFS(#REF!,#REF!,$P24,#REF!,1)/#REF!)</f>
        <v>#REF!</v>
      </c>
      <c r="U24" s="7" t="e">
        <f t="shared" si="2"/>
        <v>#REF!</v>
      </c>
      <c r="V24" s="56" t="str">
        <f t="shared" si="3"/>
        <v/>
      </c>
      <c r="W24" s="57"/>
      <c r="X24" s="57"/>
    </row>
    <row r="25" spans="1:24" ht="12.5" x14ac:dyDescent="0.25">
      <c r="A25" s="34">
        <f ca="1">IFERROR(__xludf.DUMMYFUNCTION("""COMPUTED_VALUE"""),44959)</f>
        <v>44959</v>
      </c>
      <c r="B25" s="7"/>
      <c r="C25" s="19"/>
      <c r="D25" s="7"/>
      <c r="E25" s="7"/>
      <c r="F25" s="7"/>
      <c r="G25" s="50">
        <v>3</v>
      </c>
      <c r="H25" s="6" t="e">
        <f>IF(
(IF($H24&lt;1,"",_xludf.MaxIFS('Wellness Responses'!$P$2:$P1029,'Wellness Responses'!$R$2:$R1029,#REF!,'Wellness Responses'!$P$2:$P1029,"&lt;"&amp;$H24)))&lt;1,"",
(IF($H24&lt;1,"",_xludf.MaxIFS('Wellness Responses'!$P$2:$P1029,'Wellness Responses'!$R$2:$R1029,#REF!,'Wellness Responses'!$P$2:$P1029,"&lt;"&amp;$H24))))</f>
        <v>#REF!</v>
      </c>
      <c r="I25" s="51">
        <f ca="1">IFERROR(__xludf.DUMMYFUNCTION("IF($H25="""","""", iferror(average(filter('Training Responses'!$AR$2:$AR1029,'Training Responses'!$L$2:$L1029=$H25,'Training Responses'!$E$2:$E1029&lt;&gt;""Out"")),0))"),0)</f>
        <v>0</v>
      </c>
      <c r="J25" s="51">
        <f ca="1">IFERROR(__xludf.DUMMYFUNCTION("IF($H25="""","""",iferror(average(filter('Training Responses'!$AM$2:$AM1029,'Training Responses'!$L$2:$L1029=$H25)),0))"),720)</f>
        <v>720</v>
      </c>
      <c r="K25" s="51">
        <f ca="1">IFERROR(__xludf.DUMMYFUNCTION("IF($H25="""","""",iferror(average(filter('Training Responses'!$AL$2:$AL1029,'Training Responses'!$L$2:$L1029=$H25,'Training Responses'!$DU$2:$DU1029=1)),0))"),0)</f>
        <v>0</v>
      </c>
      <c r="L25" s="51" t="e">
        <f t="shared" si="0"/>
        <v>#REF!</v>
      </c>
      <c r="M25" s="52">
        <f ca="1">IFERROR(__xludf.DUMMYFUNCTION("IF($H25="""","""",iferror(average(filter('Training Responses'!$DZ$2:$DZ1029,'Training Responses'!$L$2:$L1029=H25)),0))"),0.874111895849864)</f>
        <v>0.87411189584986404</v>
      </c>
      <c r="N25" s="53">
        <f ca="1">IFERROR(__xludf.DUMMYFUNCTION("IF($H25="""","""", average(filter('Wellness Responses'!$AS$2:$AS1029,'Wellness Responses'!$O$2:$O1029=H25)))"),0.584558823529411)</f>
        <v>0.58455882352941102</v>
      </c>
      <c r="O25" s="7"/>
      <c r="P25" s="54">
        <v>24</v>
      </c>
      <c r="Q25" s="19" t="e">
        <f t="shared" si="1"/>
        <v>#REF!</v>
      </c>
      <c r="R25" s="7" t="e">
        <f>IF(SUMIF(#REF!,$P25,#REF!)/#REF!=0,"",SUMIF(#REF!,$P25,#REF!)/#REF!)</f>
        <v>#REF!</v>
      </c>
      <c r="S25" s="7" t="e">
        <f>IF(SUMIF(#REF!,$P25,#REF!)/#REF!=0,"",SUMIF(#REF!,$P25,#REF!)/#REF!)</f>
        <v>#REF!</v>
      </c>
      <c r="T25" s="7" t="e">
        <f>IF(SUMIFS(#REF!,#REF!,$P25,#REF!,1)/#REF!=0,"",SUMIFS(#REF!,#REF!,$P25,#REF!,1)/#REF!)</f>
        <v>#REF!</v>
      </c>
      <c r="U25" s="7" t="e">
        <f t="shared" si="2"/>
        <v>#REF!</v>
      </c>
      <c r="V25" s="56" t="str">
        <f t="shared" si="3"/>
        <v/>
      </c>
      <c r="W25" s="57"/>
      <c r="X25" s="57"/>
    </row>
    <row r="26" spans="1:24" ht="12.5" x14ac:dyDescent="0.25">
      <c r="A26" s="34">
        <f ca="1">IFERROR(__xludf.DUMMYFUNCTION("""COMPUTED_VALUE"""),44960)</f>
        <v>44960</v>
      </c>
      <c r="B26" s="7"/>
      <c r="C26" s="19"/>
      <c r="D26" s="7"/>
      <c r="E26" s="7"/>
      <c r="F26" s="7"/>
      <c r="G26" s="50">
        <v>3</v>
      </c>
      <c r="H26" s="6" t="e">
        <f>IF(
(IF($H25&lt;1,"",_xludf.MaxIFS('Wellness Responses'!$P$2:$P1029,'Wellness Responses'!$R$2:$R1029,#REF!,'Wellness Responses'!$P$2:$P1029,"&lt;"&amp;$H25)))&lt;1,"",
(IF($H25&lt;1,"",_xludf.MaxIFS('Wellness Responses'!$P$2:$P1029,'Wellness Responses'!$R$2:$R1029,#REF!,'Wellness Responses'!$P$2:$P1029,"&lt;"&amp;$H25))))</f>
        <v>#REF!</v>
      </c>
      <c r="I26" s="51">
        <f ca="1">IFERROR(__xludf.DUMMYFUNCTION("IF($H26="""","""", iferror(average(filter('Training Responses'!$AR$2:$AR1029,'Training Responses'!$L$2:$L1029=$H26,'Training Responses'!$E$2:$E1029&lt;&gt;""Out"")),0))"),0)</f>
        <v>0</v>
      </c>
      <c r="J26" s="51">
        <f ca="1">IFERROR(__xludf.DUMMYFUNCTION("IF($H26="""","""",iferror(average(filter('Training Responses'!$AM$2:$AM1029,'Training Responses'!$L$2:$L1029=$H26)),0))"),720)</f>
        <v>720</v>
      </c>
      <c r="K26" s="51">
        <f ca="1">IFERROR(__xludf.DUMMYFUNCTION("IF($H26="""","""",iferror(average(filter('Training Responses'!$AL$2:$AL1029,'Training Responses'!$L$2:$L1029=$H26,'Training Responses'!$DU$2:$DU1029=1)),0))"),360)</f>
        <v>360</v>
      </c>
      <c r="L26" s="51" t="e">
        <f t="shared" si="0"/>
        <v>#REF!</v>
      </c>
      <c r="M26" s="52">
        <f ca="1">IFERROR(__xludf.DUMMYFUNCTION("IF($H26="""","""",iferror(average(filter('Training Responses'!$DZ$2:$DZ1029,'Training Responses'!$L$2:$L1029=H26)),0))"),0.785024266027228)</f>
        <v>0.78502426602722797</v>
      </c>
      <c r="N26" s="53">
        <f ca="1">IFERROR(__xludf.DUMMYFUNCTION("IF($H26="""","""", average(filter('Wellness Responses'!$AS$2:$AS1029,'Wellness Responses'!$O$2:$O1029=H26)))"),0.6875)</f>
        <v>0.6875</v>
      </c>
      <c r="O26" s="7"/>
      <c r="P26" s="54">
        <v>25</v>
      </c>
      <c r="Q26" s="19" t="e">
        <f t="shared" si="1"/>
        <v>#REF!</v>
      </c>
      <c r="R26" s="7" t="e">
        <f>IF(SUMIF(#REF!,$P26,#REF!)/#REF!=0,"",SUMIF(#REF!,$P26,#REF!)/#REF!)</f>
        <v>#REF!</v>
      </c>
      <c r="S26" s="7" t="e">
        <f>IF(SUMIF(#REF!,$P26,#REF!)/#REF!=0,"",SUMIF(#REF!,$P26,#REF!)/#REF!)</f>
        <v>#REF!</v>
      </c>
      <c r="T26" s="7" t="e">
        <f>IF(SUMIFS(#REF!,#REF!,$P26,#REF!,1)/#REF!=0,"",SUMIFS(#REF!,#REF!,$P26,#REF!,1)/#REF!)</f>
        <v>#REF!</v>
      </c>
      <c r="U26" s="7" t="e">
        <f t="shared" si="2"/>
        <v>#REF!</v>
      </c>
      <c r="V26" s="56" t="str">
        <f t="shared" si="3"/>
        <v/>
      </c>
      <c r="W26" s="57"/>
      <c r="X26" s="57"/>
    </row>
    <row r="27" spans="1:24" ht="12.5" x14ac:dyDescent="0.25">
      <c r="A27" s="34">
        <f ca="1">IFERROR(__xludf.DUMMYFUNCTION("""COMPUTED_VALUE"""),44961)</f>
        <v>44961</v>
      </c>
      <c r="B27" s="7"/>
      <c r="C27" s="19"/>
      <c r="D27" s="7"/>
      <c r="E27" s="7"/>
      <c r="F27" s="7"/>
      <c r="G27" s="50">
        <v>3</v>
      </c>
      <c r="H27" s="6" t="e">
        <f>IF(
(IF($H26&lt;1,"",_xludf.MaxIFS('Wellness Responses'!$P$2:$P1029,'Wellness Responses'!$R$2:$R1029,#REF!,'Wellness Responses'!$P$2:$P1029,"&lt;"&amp;$H26)))&lt;1,"",
(IF($H26&lt;1,"",_xludf.MaxIFS('Wellness Responses'!$P$2:$P1029,'Wellness Responses'!$R$2:$R1029,#REF!,'Wellness Responses'!$P$2:$P1029,"&lt;"&amp;$H26))))</f>
        <v>#REF!</v>
      </c>
      <c r="I27" s="51">
        <f ca="1">IFERROR(__xludf.DUMMYFUNCTION("IF($H27="""","""", iferror(average(filter('Training Responses'!$AR$2:$AR1029,'Training Responses'!$L$2:$L1029=$H27,'Training Responses'!$E$2:$E1029&lt;&gt;""Out"")),0))"),0)</f>
        <v>0</v>
      </c>
      <c r="J27" s="51">
        <f ca="1">IFERROR(__xludf.DUMMYFUNCTION("IF($H27="""","""",iferror(average(filter('Training Responses'!$AM$2:$AM1029,'Training Responses'!$L$2:$L1029=$H27)),0))"),0)</f>
        <v>0</v>
      </c>
      <c r="K27" s="51">
        <f ca="1">IFERROR(__xludf.DUMMYFUNCTION("IF($H27="""","""",iferror(average(filter('Training Responses'!$AL$2:$AL1029,'Training Responses'!$L$2:$L1029=$H27,'Training Responses'!$DU$2:$DU1029=1)),0))"),0)</f>
        <v>0</v>
      </c>
      <c r="L27" s="51" t="e">
        <f t="shared" si="0"/>
        <v>#REF!</v>
      </c>
      <c r="M27" s="52">
        <f ca="1">IFERROR(__xludf.DUMMYFUNCTION("IF($H27="""","""",iferror(average(filter('Training Responses'!$DZ$2:$DZ1029,'Training Responses'!$L$2:$L1029=H27)),0))"),0)</f>
        <v>0</v>
      </c>
      <c r="N27" s="53">
        <f ca="1">IFERROR(__xludf.DUMMYFUNCTION("IF($H27="""","""", average(filter('Wellness Responses'!$AS$2:$AS1029,'Wellness Responses'!$O$2:$O1029=H27)))"),0.642361111111111)</f>
        <v>0.64236111111111105</v>
      </c>
      <c r="O27" s="7"/>
      <c r="P27" s="54">
        <v>26</v>
      </c>
      <c r="Q27" s="19" t="e">
        <f t="shared" si="1"/>
        <v>#REF!</v>
      </c>
      <c r="R27" s="7" t="e">
        <f>IF(SUMIF(#REF!,$P27,#REF!)/#REF!=0,"",SUMIF(#REF!,$P27,#REF!)/#REF!)</f>
        <v>#REF!</v>
      </c>
      <c r="S27" s="7" t="e">
        <f>IF(SUMIF(#REF!,$P27,#REF!)/#REF!=0,"",SUMIF(#REF!,$P27,#REF!)/#REF!)</f>
        <v>#REF!</v>
      </c>
      <c r="T27" s="7" t="e">
        <f>IF(SUMIFS(#REF!,#REF!,$P27,#REF!,1)/#REF!=0,"",SUMIFS(#REF!,#REF!,$P27,#REF!,1)/#REF!)</f>
        <v>#REF!</v>
      </c>
      <c r="U27" s="7" t="e">
        <f t="shared" si="2"/>
        <v>#REF!</v>
      </c>
      <c r="V27" s="56" t="str">
        <f t="shared" si="3"/>
        <v/>
      </c>
      <c r="W27" s="57"/>
      <c r="X27" s="57"/>
    </row>
    <row r="28" spans="1:24" ht="12.5" x14ac:dyDescent="0.25">
      <c r="A28" s="34">
        <f ca="1">IFERROR(__xludf.DUMMYFUNCTION("""COMPUTED_VALUE"""),44962)</f>
        <v>44962</v>
      </c>
      <c r="B28" s="7"/>
      <c r="C28" s="19"/>
      <c r="D28" s="7"/>
      <c r="E28" s="7"/>
      <c r="F28" s="7"/>
      <c r="G28" s="50">
        <v>3</v>
      </c>
      <c r="H28" s="6" t="e">
        <f>IF(
(IF($H27&lt;1,"",_xludf.MaxIFS('Wellness Responses'!$P$2:$P1029,'Wellness Responses'!$R$2:$R1029,#REF!,'Wellness Responses'!$P$2:$P1029,"&lt;"&amp;$H27)))&lt;1,"",
(IF($H27&lt;1,"",_xludf.MaxIFS('Wellness Responses'!$P$2:$P1029,'Wellness Responses'!$R$2:$R1029,#REF!,'Wellness Responses'!$P$2:$P1029,"&lt;"&amp;$H27))))</f>
        <v>#REF!</v>
      </c>
      <c r="I28" s="51">
        <f ca="1">IFERROR(__xludf.DUMMYFUNCTION("IF($H28="""","""", iferror(average(filter('Training Responses'!$AR$2:$AR1029,'Training Responses'!$L$2:$L1029=$H28,'Training Responses'!$E$2:$E1029&lt;&gt;""Out"")),0))"),0)</f>
        <v>0</v>
      </c>
      <c r="J28" s="51">
        <f ca="1">IFERROR(__xludf.DUMMYFUNCTION("IF($H28="""","""",iferror(average(filter('Training Responses'!$AM$2:$AM1029,'Training Responses'!$L$2:$L1029=$H28)),0))"),0)</f>
        <v>0</v>
      </c>
      <c r="K28" s="51">
        <f ca="1">IFERROR(__xludf.DUMMYFUNCTION("IF($H28="""","""",iferror(average(filter('Training Responses'!$AL$2:$AL1029,'Training Responses'!$L$2:$L1029=$H28,'Training Responses'!$DU$2:$DU1029=1)),0))"),0)</f>
        <v>0</v>
      </c>
      <c r="L28" s="51" t="e">
        <f t="shared" si="0"/>
        <v>#REF!</v>
      </c>
      <c r="M28" s="52">
        <f ca="1">IFERROR(__xludf.DUMMYFUNCTION("IF($H28="""","""",iferror(average(filter('Training Responses'!$DZ$2:$DZ1029,'Training Responses'!$L$2:$L1029=H28)),0))"),0)</f>
        <v>0</v>
      </c>
      <c r="N28" s="53">
        <f ca="1">IFERROR(__xludf.DUMMYFUNCTION("IF($H28="""","""", average(filter('Wellness Responses'!$AS$2:$AS1029,'Wellness Responses'!$O$2:$O1029=H28)))"),0.78125)</f>
        <v>0.78125</v>
      </c>
      <c r="O28" s="7"/>
      <c r="P28" s="54">
        <v>27</v>
      </c>
      <c r="Q28" s="19" t="e">
        <f t="shared" si="1"/>
        <v>#REF!</v>
      </c>
      <c r="R28" s="7" t="e">
        <f>IF(SUMIF(#REF!,$P28,#REF!)/#REF!=0,"",SUMIF(#REF!,$P28,#REF!)/#REF!)</f>
        <v>#REF!</v>
      </c>
      <c r="S28" s="7" t="e">
        <f>IF(SUMIF(#REF!,$P28,#REF!)/#REF!=0,"",SUMIF(#REF!,$P28,#REF!)/#REF!)</f>
        <v>#REF!</v>
      </c>
      <c r="T28" s="7" t="e">
        <f>IF(SUMIFS(#REF!,#REF!,$P28,#REF!,1)/#REF!=0,"",SUMIFS(#REF!,#REF!,$P28,#REF!,1)/#REF!)</f>
        <v>#REF!</v>
      </c>
      <c r="U28" s="7" t="e">
        <f t="shared" si="2"/>
        <v>#REF!</v>
      </c>
      <c r="V28" s="56" t="str">
        <f t="shared" si="3"/>
        <v/>
      </c>
      <c r="W28" s="57"/>
      <c r="X28" s="57"/>
    </row>
    <row r="29" spans="1:24" ht="12.5" x14ac:dyDescent="0.25">
      <c r="A29" s="34">
        <f ca="1">IFERROR(__xludf.DUMMYFUNCTION("""COMPUTED_VALUE"""),44963)</f>
        <v>44963</v>
      </c>
      <c r="B29" s="7"/>
      <c r="C29" s="19"/>
      <c r="D29" s="7"/>
      <c r="E29" s="7"/>
      <c r="F29" s="7"/>
      <c r="G29" s="58">
        <v>2</v>
      </c>
      <c r="H29" s="59" t="e">
        <f>IF(
(IF($H28&lt;1,"",_xludf.MaxIFS('Wellness Responses'!$P$2:$P1029,'Wellness Responses'!$R$2:$R1029,#REF!,'Wellness Responses'!$P$2:$P1029,"&lt;"&amp;$H28)))&lt;1,"",
(IF($H28&lt;1,"",_xludf.MaxIFS('Wellness Responses'!$P$2:$P1029,'Wellness Responses'!$R$2:$R1029,#REF!,'Wellness Responses'!$P$2:$P1029,"&lt;"&amp;$H28))))</f>
        <v>#REF!</v>
      </c>
      <c r="I29" s="60">
        <f ca="1">IFERROR(__xludf.DUMMYFUNCTION("IF($H29="""","""", iferror(average(filter('Training Responses'!$AR$2:$AR1029,'Training Responses'!$L$2:$L1029=$H29,'Training Responses'!$E$2:$E1029&lt;&gt;""Out"")),0))"),0)</f>
        <v>0</v>
      </c>
      <c r="J29" s="60">
        <f ca="1">IFERROR(__xludf.DUMMYFUNCTION("IF($H29="""","""",iferror(average(filter('Training Responses'!$AM$2:$AM1029,'Training Responses'!$L$2:$L1029=$H29)),0))"),0)</f>
        <v>0</v>
      </c>
      <c r="K29" s="60">
        <f ca="1">IFERROR(__xludf.DUMMYFUNCTION("IF($H29="""","""",iferror(average(filter('Training Responses'!$AL$2:$AL1029,'Training Responses'!$L$2:$L1029=$H29,'Training Responses'!$DU$2:$DU1029=1)),0))"),0)</f>
        <v>0</v>
      </c>
      <c r="L29" s="60" t="e">
        <f t="shared" si="0"/>
        <v>#REF!</v>
      </c>
      <c r="M29" s="61">
        <f ca="1">IFERROR(__xludf.DUMMYFUNCTION("IF($H29="""","""",iferror(average(filter('Training Responses'!$DZ$2:$DZ1029,'Training Responses'!$L$2:$L1029=H29)),0))"),0)</f>
        <v>0</v>
      </c>
      <c r="N29" s="62">
        <f ca="1">IFERROR(__xludf.DUMMYFUNCTION("IF($H29="""","""", average(filter('Wellness Responses'!$AS$2:$AS1029,'Wellness Responses'!$O$2:$O1029=H29)))"),0.708333333333333)</f>
        <v>0.70833333333333304</v>
      </c>
      <c r="O29" s="7"/>
      <c r="P29" s="63">
        <v>28</v>
      </c>
      <c r="Q29" s="64" t="e">
        <f>IF(U29="","",28)</f>
        <v>#REF!</v>
      </c>
      <c r="R29" s="65" t="e">
        <f>IF(SUMIF(#REF!,$P29,#REF!)/#REF!=0,"",SUMIF(#REF!,$P29,#REF!)/#REF!)</f>
        <v>#REF!</v>
      </c>
      <c r="S29" s="65" t="e">
        <f>IF(SUMIF(#REF!,$P29,#REF!)/#REF!=0,"",SUMIF(#REF!,$P29,#REF!)/#REF!)</f>
        <v>#REF!</v>
      </c>
      <c r="T29" s="65" t="e">
        <f>IF(SUMIFS(#REF!,#REF!,$P29,#REF!,1)/#REF!=0,"",SUMIFS(#REF!,#REF!,$P29,#REF!,1)/#REF!)</f>
        <v>#REF!</v>
      </c>
      <c r="U29" s="65" t="e">
        <f t="shared" si="2"/>
        <v>#REF!</v>
      </c>
      <c r="V29" s="66" t="str">
        <f t="shared" si="3"/>
        <v/>
      </c>
      <c r="W29" s="57"/>
      <c r="X29" s="57"/>
    </row>
    <row r="30" spans="1:24" ht="12.5" x14ac:dyDescent="0.25">
      <c r="A30" s="34">
        <f ca="1">IFERROR(__xludf.DUMMYFUNCTION("""COMPUTED_VALUE"""),44964)</f>
        <v>44964</v>
      </c>
      <c r="B30" s="7"/>
      <c r="C30" s="19"/>
      <c r="D30" s="7"/>
      <c r="E30" s="7"/>
      <c r="F30" s="7"/>
      <c r="G30" s="7"/>
      <c r="H30" s="6"/>
      <c r="I30" s="7"/>
      <c r="J30" s="7"/>
      <c r="K30" s="7"/>
      <c r="L30" s="7"/>
      <c r="M30" s="52"/>
      <c r="N30" s="7"/>
      <c r="O30" s="7"/>
      <c r="P30" s="47"/>
      <c r="Q30" s="47"/>
      <c r="R30" s="7"/>
      <c r="S30" s="51"/>
      <c r="T30" s="51"/>
      <c r="U30" s="7"/>
      <c r="V30" s="57"/>
      <c r="W30" s="57"/>
      <c r="X30" s="57"/>
    </row>
    <row r="31" spans="1:24" ht="12.5" x14ac:dyDescent="0.25">
      <c r="A31" s="34">
        <f ca="1">IFERROR(__xludf.DUMMYFUNCTION("""COMPUTED_VALUE"""),44965)</f>
        <v>44965</v>
      </c>
      <c r="B31" s="7"/>
      <c r="C31" s="19"/>
      <c r="D31" s="7"/>
      <c r="E31" s="7"/>
      <c r="F31" s="7"/>
      <c r="G31" s="7"/>
      <c r="H31" s="6"/>
      <c r="I31" s="7"/>
      <c r="J31" s="7"/>
      <c r="K31" s="7"/>
      <c r="L31" s="7"/>
      <c r="M31" s="52"/>
      <c r="N31" s="7"/>
      <c r="O31" s="7"/>
      <c r="P31" s="47"/>
      <c r="Q31" s="47"/>
      <c r="R31" s="7"/>
      <c r="S31" s="51"/>
      <c r="T31" s="51"/>
      <c r="U31" s="7"/>
      <c r="V31" s="57"/>
      <c r="W31" s="57"/>
      <c r="X31" s="57"/>
    </row>
    <row r="32" spans="1:24" ht="12.5" x14ac:dyDescent="0.25">
      <c r="A32" s="34">
        <f ca="1">IFERROR(__xludf.DUMMYFUNCTION("""COMPUTED_VALUE"""),44966)</f>
        <v>44966</v>
      </c>
      <c r="B32" s="7"/>
      <c r="C32" s="19"/>
      <c r="D32" s="7"/>
      <c r="E32" s="7"/>
      <c r="F32" s="7"/>
      <c r="G32" s="7"/>
      <c r="H32" s="6"/>
      <c r="I32" s="7"/>
      <c r="J32" s="7"/>
      <c r="K32" s="7"/>
      <c r="L32" s="7"/>
      <c r="M32" s="52"/>
      <c r="N32" s="7"/>
      <c r="O32" s="7"/>
      <c r="P32" s="47"/>
      <c r="Q32" s="47"/>
      <c r="R32" s="7"/>
      <c r="S32" s="51"/>
      <c r="T32" s="51"/>
      <c r="U32" s="7"/>
      <c r="V32" s="57"/>
      <c r="W32" s="57"/>
      <c r="X32" s="57"/>
    </row>
    <row r="33" spans="1:24" ht="12.5" x14ac:dyDescent="0.25">
      <c r="A33" s="34">
        <f ca="1">IFERROR(__xludf.DUMMYFUNCTION("""COMPUTED_VALUE"""),44967)</f>
        <v>44967</v>
      </c>
      <c r="B33" s="7"/>
      <c r="C33" s="19"/>
      <c r="D33" s="7"/>
      <c r="E33" s="7"/>
      <c r="F33" s="7"/>
      <c r="G33" s="7"/>
      <c r="H33" s="6"/>
      <c r="I33" s="7"/>
      <c r="J33" s="7"/>
      <c r="K33" s="7"/>
      <c r="L33" s="7"/>
      <c r="M33" s="52"/>
      <c r="N33" s="7"/>
      <c r="O33" s="7"/>
      <c r="P33" s="47"/>
      <c r="Q33" s="47"/>
      <c r="R33" s="7"/>
      <c r="S33" s="51"/>
      <c r="T33" s="51"/>
      <c r="U33" s="7"/>
      <c r="V33" s="57"/>
      <c r="W33" s="57"/>
      <c r="X33" s="57"/>
    </row>
    <row r="34" spans="1:24" ht="12.5" x14ac:dyDescent="0.25">
      <c r="A34" s="34">
        <f ca="1">IFERROR(__xludf.DUMMYFUNCTION("""COMPUTED_VALUE"""),44968)</f>
        <v>44968</v>
      </c>
      <c r="B34" s="7"/>
      <c r="C34" s="19"/>
      <c r="D34" s="7"/>
      <c r="E34" s="7"/>
      <c r="F34" s="7"/>
      <c r="G34" s="7"/>
      <c r="H34" s="6"/>
      <c r="I34" s="7"/>
      <c r="J34" s="7"/>
      <c r="K34" s="7"/>
      <c r="L34" s="7"/>
      <c r="M34" s="52"/>
      <c r="N34" s="7"/>
      <c r="O34" s="7"/>
      <c r="P34" s="47"/>
      <c r="Q34" s="47"/>
      <c r="R34" s="7"/>
      <c r="S34" s="51"/>
      <c r="T34" s="51"/>
      <c r="U34" s="7"/>
      <c r="V34" s="57"/>
      <c r="W34" s="57"/>
      <c r="X34" s="57"/>
    </row>
    <row r="35" spans="1:24" ht="12.5" x14ac:dyDescent="0.25">
      <c r="A35" s="34">
        <f ca="1">IFERROR(__xludf.DUMMYFUNCTION("""COMPUTED_VALUE"""),44969)</f>
        <v>44969</v>
      </c>
      <c r="B35" s="7"/>
      <c r="C35" s="19"/>
      <c r="D35" s="7"/>
      <c r="E35" s="7"/>
      <c r="F35" s="7"/>
      <c r="G35" s="7"/>
      <c r="H35" s="6"/>
      <c r="I35" s="7"/>
      <c r="J35" s="7"/>
      <c r="K35" s="7"/>
      <c r="L35" s="7"/>
      <c r="M35" s="52"/>
      <c r="N35" s="7"/>
      <c r="O35" s="7"/>
      <c r="P35" s="47"/>
      <c r="Q35" s="47"/>
      <c r="R35" s="7"/>
      <c r="S35" s="51"/>
      <c r="T35" s="51"/>
      <c r="U35" s="7"/>
      <c r="V35" s="57"/>
      <c r="W35" s="57"/>
      <c r="X35" s="57"/>
    </row>
    <row r="36" spans="1:24" ht="12.5" x14ac:dyDescent="0.25">
      <c r="A36" s="34">
        <f ca="1">IFERROR(__xludf.DUMMYFUNCTION("""COMPUTED_VALUE"""),44970)</f>
        <v>44970</v>
      </c>
      <c r="B36" s="7"/>
      <c r="C36" s="19"/>
      <c r="D36" s="7"/>
      <c r="E36" s="7"/>
      <c r="F36" s="7"/>
      <c r="G36" s="7"/>
      <c r="H36" s="6"/>
      <c r="I36" s="7"/>
      <c r="J36" s="7"/>
      <c r="K36" s="7"/>
      <c r="L36" s="7"/>
      <c r="M36" s="52"/>
      <c r="N36" s="7"/>
      <c r="O36" s="7"/>
      <c r="P36" s="47"/>
      <c r="Q36" s="47"/>
      <c r="R36" s="7"/>
      <c r="S36" s="51"/>
      <c r="T36" s="51"/>
      <c r="U36" s="7"/>
      <c r="V36" s="57"/>
      <c r="W36" s="57"/>
      <c r="X36" s="57"/>
    </row>
    <row r="37" spans="1:24" ht="12.5" x14ac:dyDescent="0.25">
      <c r="A37" s="34">
        <f ca="1">IFERROR(__xludf.DUMMYFUNCTION("""COMPUTED_VALUE"""),44971)</f>
        <v>44971</v>
      </c>
      <c r="B37" s="7"/>
      <c r="C37" s="19"/>
      <c r="D37" s="7"/>
      <c r="E37" s="7"/>
      <c r="F37" s="7"/>
      <c r="G37" s="7"/>
      <c r="H37" s="6"/>
      <c r="I37" s="7"/>
      <c r="J37" s="7"/>
      <c r="K37" s="7"/>
      <c r="L37" s="7"/>
      <c r="M37" s="52"/>
      <c r="N37" s="7"/>
      <c r="O37" s="7"/>
      <c r="P37" s="47"/>
      <c r="Q37" s="47"/>
      <c r="R37" s="7"/>
      <c r="S37" s="51"/>
      <c r="T37" s="51"/>
      <c r="U37" s="7"/>
      <c r="V37" s="57"/>
      <c r="W37" s="57"/>
      <c r="X37" s="57"/>
    </row>
    <row r="38" spans="1:24" ht="12.5" x14ac:dyDescent="0.25">
      <c r="A38" s="34">
        <f ca="1">IFERROR(__xludf.DUMMYFUNCTION("""COMPUTED_VALUE"""),44972)</f>
        <v>44972</v>
      </c>
      <c r="B38" s="7"/>
      <c r="C38" s="19"/>
      <c r="D38" s="7"/>
      <c r="E38" s="7"/>
      <c r="F38" s="7"/>
      <c r="G38" s="7"/>
      <c r="H38" s="6"/>
      <c r="I38" s="7"/>
      <c r="J38" s="7"/>
      <c r="K38" s="7"/>
      <c r="L38" s="7"/>
      <c r="M38" s="52"/>
      <c r="N38" s="7"/>
      <c r="O38" s="7"/>
      <c r="P38" s="47"/>
      <c r="Q38" s="47"/>
      <c r="R38" s="7"/>
      <c r="S38" s="51"/>
      <c r="T38" s="51"/>
      <c r="U38" s="7"/>
      <c r="V38" s="57"/>
      <c r="W38" s="57"/>
      <c r="X38" s="57"/>
    </row>
    <row r="39" spans="1:24" ht="12.5" x14ac:dyDescent="0.25">
      <c r="A39" s="34">
        <f ca="1">IFERROR(__xludf.DUMMYFUNCTION("""COMPUTED_VALUE"""),44973)</f>
        <v>44973</v>
      </c>
      <c r="B39" s="7"/>
      <c r="C39" s="19"/>
      <c r="D39" s="7"/>
      <c r="E39" s="7"/>
      <c r="F39" s="7"/>
      <c r="G39" s="7"/>
      <c r="H39" s="6"/>
      <c r="I39" s="7"/>
      <c r="J39" s="7"/>
      <c r="K39" s="7"/>
      <c r="L39" s="7"/>
      <c r="M39" s="52"/>
      <c r="N39" s="7"/>
      <c r="O39" s="7"/>
      <c r="P39" s="47"/>
      <c r="Q39" s="47"/>
      <c r="R39" s="7"/>
      <c r="S39" s="51"/>
      <c r="T39" s="51"/>
      <c r="U39" s="7"/>
      <c r="V39" s="57"/>
      <c r="W39" s="57"/>
      <c r="X39" s="57"/>
    </row>
    <row r="40" spans="1:24" ht="12.5" x14ac:dyDescent="0.25">
      <c r="A40" s="34">
        <f ca="1">IFERROR(__xludf.DUMMYFUNCTION("""COMPUTED_VALUE"""),44974)</f>
        <v>44974</v>
      </c>
      <c r="B40" s="7"/>
      <c r="C40" s="19"/>
      <c r="D40" s="7"/>
      <c r="E40" s="7"/>
      <c r="F40" s="7"/>
      <c r="G40" s="7"/>
      <c r="H40" s="6"/>
      <c r="I40" s="7"/>
      <c r="J40" s="7"/>
      <c r="K40" s="7"/>
      <c r="L40" s="7"/>
      <c r="M40" s="52"/>
      <c r="N40" s="7"/>
      <c r="O40" s="7"/>
      <c r="P40" s="47"/>
      <c r="Q40" s="47"/>
      <c r="R40" s="7"/>
      <c r="S40" s="51"/>
      <c r="T40" s="51"/>
      <c r="U40" s="7"/>
      <c r="V40" s="57"/>
      <c r="W40" s="57"/>
      <c r="X40" s="57"/>
    </row>
    <row r="41" spans="1:24" ht="12.5" x14ac:dyDescent="0.25">
      <c r="A41" s="34"/>
      <c r="B41" s="7"/>
      <c r="C41" s="19"/>
      <c r="D41" s="7"/>
      <c r="E41" s="7"/>
      <c r="F41" s="7"/>
      <c r="G41" s="7"/>
      <c r="H41" s="6"/>
      <c r="I41" s="7"/>
      <c r="J41" s="7"/>
      <c r="K41" s="7"/>
      <c r="L41" s="7"/>
      <c r="M41" s="52"/>
      <c r="N41" s="7"/>
      <c r="O41" s="7"/>
      <c r="P41" s="47"/>
      <c r="Q41" s="47"/>
      <c r="R41" s="7"/>
      <c r="S41" s="51"/>
      <c r="T41" s="51"/>
      <c r="U41" s="7"/>
      <c r="V41" s="57"/>
      <c r="W41" s="57"/>
      <c r="X41" s="57"/>
    </row>
    <row r="42" spans="1:24" ht="12.5" x14ac:dyDescent="0.25">
      <c r="A42" s="34"/>
      <c r="B42" s="7"/>
      <c r="C42" s="19"/>
      <c r="D42" s="7"/>
      <c r="E42" s="7"/>
      <c r="F42" s="7"/>
      <c r="G42" s="7"/>
      <c r="H42" s="6"/>
      <c r="I42" s="7"/>
      <c r="J42" s="7"/>
      <c r="K42" s="7"/>
      <c r="L42" s="7"/>
      <c r="M42" s="52"/>
      <c r="N42" s="7"/>
      <c r="O42" s="7"/>
      <c r="P42" s="47"/>
      <c r="Q42" s="47"/>
      <c r="R42" s="7"/>
      <c r="S42" s="51"/>
      <c r="T42" s="51"/>
      <c r="U42" s="7"/>
      <c r="V42" s="57"/>
      <c r="W42" s="57"/>
      <c r="X42" s="57"/>
    </row>
    <row r="43" spans="1:24" ht="12.5" x14ac:dyDescent="0.25">
      <c r="A43" s="34"/>
      <c r="B43" s="7"/>
      <c r="C43" s="19"/>
      <c r="D43" s="7"/>
      <c r="E43" s="7"/>
      <c r="F43" s="7"/>
      <c r="G43" s="7"/>
      <c r="H43" s="6"/>
      <c r="I43" s="7"/>
      <c r="J43" s="7"/>
      <c r="K43" s="7"/>
      <c r="L43" s="7"/>
      <c r="M43" s="52"/>
      <c r="N43" s="7"/>
      <c r="O43" s="7"/>
      <c r="P43" s="47"/>
      <c r="Q43" s="47"/>
      <c r="R43" s="7"/>
      <c r="S43" s="51"/>
      <c r="T43" s="51"/>
      <c r="U43" s="7"/>
      <c r="V43" s="57"/>
      <c r="W43" s="57"/>
      <c r="X43" s="57"/>
    </row>
    <row r="44" spans="1:24" ht="12.5" x14ac:dyDescent="0.25">
      <c r="A44" s="34"/>
      <c r="B44" s="7"/>
      <c r="C44" s="19"/>
      <c r="D44" s="7"/>
      <c r="E44" s="7"/>
      <c r="F44" s="7"/>
      <c r="G44" s="7"/>
      <c r="H44" s="6"/>
      <c r="I44" s="7"/>
      <c r="J44" s="7"/>
      <c r="K44" s="7"/>
      <c r="L44" s="7"/>
      <c r="M44" s="52"/>
      <c r="N44" s="7"/>
      <c r="O44" s="7"/>
      <c r="P44" s="47"/>
      <c r="Q44" s="47"/>
      <c r="R44" s="7"/>
      <c r="S44" s="51"/>
      <c r="T44" s="51"/>
      <c r="U44" s="7"/>
      <c r="V44" s="57"/>
      <c r="W44" s="57"/>
      <c r="X44" s="57"/>
    </row>
    <row r="45" spans="1:24" ht="12.5" x14ac:dyDescent="0.25">
      <c r="A45" s="34"/>
      <c r="B45" s="7"/>
      <c r="C45" s="19"/>
      <c r="D45" s="7"/>
      <c r="E45" s="7"/>
      <c r="F45" s="7"/>
      <c r="G45" s="7"/>
      <c r="H45" s="6"/>
      <c r="I45" s="7"/>
      <c r="J45" s="7"/>
      <c r="K45" s="7"/>
      <c r="L45" s="7"/>
      <c r="M45" s="52"/>
      <c r="N45" s="7"/>
      <c r="O45" s="7"/>
      <c r="P45" s="47"/>
      <c r="Q45" s="47"/>
      <c r="R45" s="7"/>
      <c r="S45" s="51"/>
      <c r="T45" s="51"/>
      <c r="U45" s="7"/>
      <c r="V45" s="57"/>
      <c r="W45" s="57"/>
      <c r="X45" s="57"/>
    </row>
    <row r="46" spans="1:24" ht="12.5" x14ac:dyDescent="0.25">
      <c r="A46" s="34"/>
      <c r="B46" s="7"/>
      <c r="C46" s="19"/>
      <c r="D46" s="7"/>
      <c r="E46" s="7"/>
      <c r="F46" s="7"/>
      <c r="G46" s="7"/>
      <c r="H46" s="6"/>
      <c r="I46" s="7"/>
      <c r="J46" s="7"/>
      <c r="K46" s="7"/>
      <c r="L46" s="7"/>
      <c r="M46" s="52"/>
      <c r="N46" s="7"/>
      <c r="O46" s="7"/>
      <c r="P46" s="47"/>
      <c r="Q46" s="47"/>
      <c r="R46" s="7"/>
      <c r="S46" s="51"/>
      <c r="T46" s="51"/>
      <c r="U46" s="7"/>
      <c r="V46" s="57"/>
      <c r="W46" s="57"/>
      <c r="X46" s="57"/>
    </row>
    <row r="47" spans="1:24" ht="12.5" x14ac:dyDescent="0.25">
      <c r="A47" s="34"/>
      <c r="B47" s="7"/>
      <c r="C47" s="19"/>
      <c r="D47" s="7"/>
      <c r="E47" s="7"/>
      <c r="F47" s="7"/>
      <c r="G47" s="7"/>
      <c r="H47" s="6"/>
      <c r="I47" s="7"/>
      <c r="J47" s="7"/>
      <c r="K47" s="7"/>
      <c r="L47" s="7"/>
      <c r="M47" s="52"/>
      <c r="N47" s="7"/>
      <c r="O47" s="7"/>
      <c r="P47" s="47"/>
      <c r="Q47" s="47"/>
      <c r="R47" s="7"/>
      <c r="S47" s="51"/>
      <c r="T47" s="51"/>
      <c r="U47" s="7"/>
      <c r="V47" s="57"/>
      <c r="W47" s="57"/>
      <c r="X47" s="57"/>
    </row>
    <row r="48" spans="1:24" ht="12.5" x14ac:dyDescent="0.25">
      <c r="A48" s="34"/>
      <c r="B48" s="7"/>
      <c r="C48" s="19"/>
      <c r="D48" s="7"/>
      <c r="E48" s="7"/>
      <c r="F48" s="7"/>
      <c r="G48" s="7"/>
      <c r="H48" s="6"/>
      <c r="I48" s="7"/>
      <c r="J48" s="7"/>
      <c r="K48" s="7"/>
      <c r="L48" s="7"/>
      <c r="M48" s="52"/>
      <c r="N48" s="7"/>
      <c r="O48" s="7"/>
      <c r="P48" s="47"/>
      <c r="Q48" s="47"/>
      <c r="R48" s="7"/>
      <c r="S48" s="51"/>
      <c r="T48" s="51"/>
      <c r="U48" s="7"/>
      <c r="V48" s="57"/>
      <c r="W48" s="57"/>
      <c r="X48" s="57"/>
    </row>
    <row r="49" spans="1:24" ht="12.5" x14ac:dyDescent="0.25">
      <c r="A49" s="34"/>
      <c r="B49" s="7"/>
      <c r="C49" s="19"/>
      <c r="D49" s="7"/>
      <c r="E49" s="7"/>
      <c r="F49" s="7"/>
      <c r="G49" s="7"/>
      <c r="H49" s="6"/>
      <c r="I49" s="7"/>
      <c r="J49" s="7"/>
      <c r="K49" s="7"/>
      <c r="L49" s="7"/>
      <c r="M49" s="52"/>
      <c r="N49" s="7"/>
      <c r="O49" s="7"/>
      <c r="P49" s="47"/>
      <c r="Q49" s="47"/>
      <c r="R49" s="7"/>
      <c r="S49" s="51"/>
      <c r="T49" s="51"/>
      <c r="U49" s="7"/>
      <c r="V49" s="57"/>
      <c r="W49" s="57"/>
      <c r="X49" s="57"/>
    </row>
    <row r="50" spans="1:24" ht="12.5" x14ac:dyDescent="0.25">
      <c r="A50" s="34"/>
      <c r="B50" s="7"/>
      <c r="C50" s="19"/>
      <c r="D50" s="7"/>
      <c r="E50" s="7"/>
      <c r="F50" s="7"/>
      <c r="G50" s="7"/>
      <c r="H50" s="6"/>
      <c r="I50" s="7"/>
      <c r="J50" s="7"/>
      <c r="K50" s="7"/>
      <c r="L50" s="7"/>
      <c r="M50" s="52"/>
      <c r="N50" s="7"/>
      <c r="O50" s="7"/>
      <c r="P50" s="47"/>
      <c r="Q50" s="47"/>
      <c r="R50" s="7"/>
      <c r="S50" s="51"/>
      <c r="T50" s="51"/>
      <c r="U50" s="7"/>
      <c r="V50" s="57"/>
      <c r="W50" s="57"/>
      <c r="X50" s="57"/>
    </row>
    <row r="51" spans="1:24" ht="12.5" x14ac:dyDescent="0.25">
      <c r="A51" s="34"/>
      <c r="B51" s="7"/>
      <c r="C51" s="19"/>
      <c r="D51" s="7"/>
      <c r="E51" s="7"/>
      <c r="F51" s="7"/>
      <c r="G51" s="7"/>
      <c r="H51" s="6"/>
      <c r="I51" s="7"/>
      <c r="J51" s="7"/>
      <c r="K51" s="7"/>
      <c r="L51" s="7"/>
      <c r="M51" s="52"/>
      <c r="N51" s="7"/>
      <c r="O51" s="7"/>
      <c r="P51" s="47"/>
      <c r="Q51" s="47"/>
      <c r="R51" s="7"/>
      <c r="S51" s="51"/>
      <c r="T51" s="51"/>
      <c r="U51" s="7"/>
      <c r="V51" s="57"/>
      <c r="W51" s="57"/>
      <c r="X51" s="57"/>
    </row>
    <row r="52" spans="1:24" ht="12.5" x14ac:dyDescent="0.25">
      <c r="A52" s="34"/>
      <c r="B52" s="7"/>
      <c r="C52" s="19"/>
      <c r="D52" s="7"/>
      <c r="E52" s="7"/>
      <c r="F52" s="7"/>
      <c r="G52" s="7"/>
      <c r="H52" s="6"/>
      <c r="I52" s="7"/>
      <c r="J52" s="7"/>
      <c r="K52" s="7"/>
      <c r="L52" s="7"/>
      <c r="M52" s="52"/>
      <c r="N52" s="7"/>
      <c r="O52" s="7"/>
      <c r="P52" s="47"/>
      <c r="Q52" s="47"/>
      <c r="R52" s="7"/>
      <c r="S52" s="51"/>
      <c r="T52" s="51"/>
      <c r="U52" s="7"/>
      <c r="V52" s="57"/>
      <c r="W52" s="57"/>
      <c r="X52" s="57"/>
    </row>
    <row r="53" spans="1:24" ht="12.5" x14ac:dyDescent="0.25">
      <c r="A53" s="34"/>
      <c r="B53" s="7"/>
      <c r="C53" s="19"/>
      <c r="D53" s="7"/>
      <c r="E53" s="7"/>
      <c r="F53" s="7"/>
      <c r="G53" s="7"/>
      <c r="H53" s="6"/>
      <c r="I53" s="7"/>
      <c r="J53" s="7"/>
      <c r="K53" s="7"/>
      <c r="L53" s="7"/>
      <c r="M53" s="52"/>
      <c r="N53" s="7"/>
      <c r="O53" s="7"/>
      <c r="P53" s="47"/>
      <c r="Q53" s="47"/>
      <c r="R53" s="7"/>
      <c r="S53" s="51"/>
      <c r="T53" s="51"/>
      <c r="U53" s="7"/>
      <c r="V53" s="57"/>
      <c r="W53" s="57"/>
      <c r="X53" s="57"/>
    </row>
    <row r="54" spans="1:24" ht="12.5" x14ac:dyDescent="0.25">
      <c r="A54" s="34"/>
      <c r="B54" s="7"/>
      <c r="C54" s="19"/>
      <c r="D54" s="7"/>
      <c r="E54" s="7"/>
      <c r="F54" s="7"/>
      <c r="G54" s="7"/>
      <c r="H54" s="6"/>
      <c r="I54" s="7"/>
      <c r="J54" s="7"/>
      <c r="K54" s="7"/>
      <c r="L54" s="7"/>
      <c r="M54" s="52"/>
      <c r="N54" s="7"/>
      <c r="O54" s="7"/>
      <c r="P54" s="47"/>
      <c r="Q54" s="47"/>
      <c r="R54" s="7"/>
      <c r="S54" s="51"/>
      <c r="T54" s="51"/>
      <c r="U54" s="7"/>
      <c r="V54" s="57"/>
      <c r="W54" s="57"/>
      <c r="X54" s="57"/>
    </row>
    <row r="55" spans="1:24" ht="12.5" x14ac:dyDescent="0.25">
      <c r="A55" s="34"/>
      <c r="B55" s="7"/>
      <c r="C55" s="19"/>
      <c r="D55" s="7"/>
      <c r="E55" s="7"/>
      <c r="F55" s="7"/>
      <c r="G55" s="7"/>
      <c r="H55" s="6"/>
      <c r="I55" s="7"/>
      <c r="J55" s="7"/>
      <c r="K55" s="7"/>
      <c r="L55" s="7"/>
      <c r="M55" s="52"/>
      <c r="N55" s="7"/>
      <c r="O55" s="7"/>
      <c r="P55" s="47"/>
      <c r="Q55" s="47"/>
      <c r="R55" s="7"/>
      <c r="S55" s="51"/>
      <c r="T55" s="51"/>
      <c r="U55" s="7"/>
      <c r="V55" s="57"/>
      <c r="W55" s="57"/>
      <c r="X55" s="57"/>
    </row>
    <row r="56" spans="1:24" ht="12.5" x14ac:dyDescent="0.25">
      <c r="A56" s="34"/>
      <c r="B56" s="7"/>
      <c r="C56" s="19"/>
      <c r="D56" s="7"/>
      <c r="E56" s="7"/>
      <c r="F56" s="7"/>
      <c r="G56" s="7"/>
      <c r="H56" s="6"/>
      <c r="I56" s="7"/>
      <c r="J56" s="7"/>
      <c r="K56" s="7"/>
      <c r="L56" s="7"/>
      <c r="M56" s="52"/>
      <c r="N56" s="7"/>
      <c r="O56" s="7"/>
      <c r="P56" s="47"/>
      <c r="Q56" s="47"/>
      <c r="R56" s="7"/>
      <c r="S56" s="51"/>
      <c r="T56" s="51"/>
      <c r="U56" s="7"/>
      <c r="V56" s="57"/>
      <c r="W56" s="57"/>
      <c r="X56" s="57"/>
    </row>
    <row r="57" spans="1:24" ht="12.5" x14ac:dyDescent="0.25">
      <c r="A57" s="34"/>
      <c r="B57" s="7"/>
      <c r="C57" s="19"/>
      <c r="D57" s="7"/>
      <c r="E57" s="7"/>
      <c r="F57" s="7"/>
      <c r="G57" s="7"/>
      <c r="H57" s="6"/>
      <c r="I57" s="7"/>
      <c r="J57" s="7"/>
      <c r="K57" s="7"/>
      <c r="L57" s="7"/>
      <c r="M57" s="52"/>
      <c r="N57" s="7"/>
      <c r="O57" s="7"/>
      <c r="P57" s="47"/>
      <c r="Q57" s="47"/>
      <c r="R57" s="7"/>
      <c r="S57" s="51"/>
      <c r="T57" s="51"/>
      <c r="U57" s="7"/>
      <c r="V57" s="57"/>
      <c r="W57" s="57"/>
      <c r="X57" s="57"/>
    </row>
    <row r="58" spans="1:24" ht="12.5" x14ac:dyDescent="0.25">
      <c r="A58" s="34"/>
      <c r="B58" s="7"/>
      <c r="C58" s="19"/>
      <c r="D58" s="7"/>
      <c r="E58" s="7"/>
      <c r="F58" s="7"/>
      <c r="G58" s="7"/>
      <c r="H58" s="6"/>
      <c r="I58" s="7"/>
      <c r="J58" s="7"/>
      <c r="K58" s="7"/>
      <c r="L58" s="7"/>
      <c r="M58" s="52"/>
      <c r="N58" s="7"/>
      <c r="O58" s="7"/>
      <c r="P58" s="47"/>
      <c r="Q58" s="47"/>
      <c r="R58" s="7"/>
      <c r="S58" s="51"/>
      <c r="T58" s="51"/>
      <c r="U58" s="7"/>
      <c r="V58" s="57"/>
      <c r="W58" s="57"/>
      <c r="X58" s="57"/>
    </row>
    <row r="59" spans="1:24" ht="12.5" x14ac:dyDescent="0.25">
      <c r="A59" s="34"/>
      <c r="B59" s="7"/>
      <c r="C59" s="19"/>
      <c r="D59" s="7"/>
      <c r="E59" s="7"/>
      <c r="F59" s="7"/>
      <c r="G59" s="7"/>
      <c r="H59" s="6"/>
      <c r="I59" s="7"/>
      <c r="J59" s="7"/>
      <c r="K59" s="7"/>
      <c r="L59" s="7"/>
      <c r="M59" s="52"/>
      <c r="N59" s="7"/>
      <c r="O59" s="7"/>
      <c r="P59" s="47"/>
      <c r="Q59" s="47"/>
      <c r="R59" s="7"/>
      <c r="S59" s="51"/>
      <c r="T59" s="51"/>
      <c r="U59" s="7"/>
      <c r="V59" s="57"/>
      <c r="W59" s="57"/>
      <c r="X59" s="57"/>
    </row>
    <row r="60" spans="1:24" ht="12.5" x14ac:dyDescent="0.25">
      <c r="A60" s="34"/>
      <c r="B60" s="7"/>
      <c r="C60" s="19"/>
      <c r="D60" s="7"/>
      <c r="E60" s="7"/>
      <c r="F60" s="7"/>
      <c r="G60" s="7"/>
      <c r="H60" s="6"/>
      <c r="I60" s="7"/>
      <c r="J60" s="7"/>
      <c r="K60" s="7"/>
      <c r="L60" s="7"/>
      <c r="M60" s="52"/>
      <c r="N60" s="7"/>
      <c r="O60" s="7"/>
      <c r="P60" s="47"/>
      <c r="Q60" s="47"/>
      <c r="R60" s="7"/>
      <c r="S60" s="51"/>
      <c r="T60" s="51"/>
      <c r="U60" s="7"/>
      <c r="V60" s="57"/>
      <c r="W60" s="57"/>
      <c r="X60" s="57"/>
    </row>
    <row r="61" spans="1:24" ht="12.5" x14ac:dyDescent="0.25">
      <c r="A61" s="34"/>
      <c r="B61" s="7"/>
      <c r="C61" s="19"/>
      <c r="D61" s="7"/>
      <c r="E61" s="7"/>
      <c r="F61" s="7"/>
      <c r="G61" s="7"/>
      <c r="H61" s="6"/>
      <c r="I61" s="7"/>
      <c r="J61" s="7"/>
      <c r="K61" s="7"/>
      <c r="L61" s="7"/>
      <c r="M61" s="52"/>
      <c r="N61" s="7"/>
      <c r="O61" s="7"/>
      <c r="P61" s="47"/>
      <c r="Q61" s="47"/>
      <c r="R61" s="7"/>
      <c r="S61" s="51"/>
      <c r="T61" s="51"/>
      <c r="U61" s="7"/>
      <c r="V61" s="57"/>
      <c r="W61" s="57"/>
      <c r="X61" s="57"/>
    </row>
    <row r="62" spans="1:24" ht="12.5" x14ac:dyDescent="0.25">
      <c r="A62" s="34"/>
      <c r="B62" s="7"/>
      <c r="C62" s="19"/>
      <c r="D62" s="7"/>
      <c r="E62" s="7"/>
      <c r="F62" s="7"/>
      <c r="G62" s="7"/>
      <c r="H62" s="6"/>
      <c r="I62" s="7"/>
      <c r="J62" s="7"/>
      <c r="K62" s="7"/>
      <c r="L62" s="7"/>
      <c r="M62" s="52"/>
      <c r="N62" s="7"/>
      <c r="O62" s="7"/>
      <c r="P62" s="47"/>
      <c r="Q62" s="47"/>
      <c r="R62" s="7"/>
      <c r="S62" s="51"/>
      <c r="T62" s="51"/>
      <c r="U62" s="7"/>
      <c r="V62" s="57"/>
      <c r="W62" s="57"/>
      <c r="X62" s="57"/>
    </row>
    <row r="63" spans="1:24" ht="12.5" x14ac:dyDescent="0.25">
      <c r="A63" s="34"/>
      <c r="B63" s="7"/>
      <c r="C63" s="19"/>
      <c r="D63" s="7"/>
      <c r="E63" s="7"/>
      <c r="F63" s="7"/>
      <c r="G63" s="7"/>
      <c r="H63" s="6"/>
      <c r="I63" s="7"/>
      <c r="J63" s="7"/>
      <c r="K63" s="7"/>
      <c r="L63" s="7"/>
      <c r="M63" s="52"/>
      <c r="N63" s="7"/>
      <c r="O63" s="7"/>
      <c r="P63" s="47"/>
      <c r="Q63" s="47"/>
      <c r="R63" s="7"/>
      <c r="S63" s="51"/>
      <c r="T63" s="51"/>
      <c r="U63" s="7"/>
      <c r="V63" s="57"/>
      <c r="W63" s="57"/>
      <c r="X63" s="57"/>
    </row>
    <row r="64" spans="1:24" ht="12.5" x14ac:dyDescent="0.25">
      <c r="A64" s="34"/>
      <c r="B64" s="7"/>
      <c r="C64" s="19"/>
      <c r="D64" s="7"/>
      <c r="E64" s="7"/>
      <c r="F64" s="7"/>
      <c r="G64" s="7"/>
      <c r="H64" s="6"/>
      <c r="I64" s="7"/>
      <c r="J64" s="7"/>
      <c r="K64" s="7"/>
      <c r="L64" s="7"/>
      <c r="M64" s="52"/>
      <c r="N64" s="7"/>
      <c r="O64" s="7"/>
      <c r="P64" s="47"/>
      <c r="Q64" s="47"/>
      <c r="R64" s="7"/>
      <c r="S64" s="51"/>
      <c r="T64" s="51"/>
      <c r="U64" s="7"/>
      <c r="V64" s="57"/>
      <c r="W64" s="57"/>
      <c r="X64" s="57"/>
    </row>
    <row r="65" spans="1:24" ht="12.5" x14ac:dyDescent="0.25">
      <c r="A65" s="34"/>
      <c r="B65" s="7"/>
      <c r="C65" s="19"/>
      <c r="D65" s="7"/>
      <c r="E65" s="7"/>
      <c r="F65" s="7"/>
      <c r="G65" s="7"/>
      <c r="H65" s="6"/>
      <c r="I65" s="7"/>
      <c r="J65" s="7"/>
      <c r="K65" s="7"/>
      <c r="L65" s="7"/>
      <c r="M65" s="52"/>
      <c r="N65" s="7"/>
      <c r="O65" s="7"/>
      <c r="P65" s="47"/>
      <c r="Q65" s="47"/>
      <c r="R65" s="7"/>
      <c r="S65" s="51"/>
      <c r="T65" s="51"/>
      <c r="U65" s="7"/>
      <c r="V65" s="57"/>
      <c r="W65" s="57"/>
      <c r="X65" s="57"/>
    </row>
    <row r="66" spans="1:24" ht="12.5" x14ac:dyDescent="0.25">
      <c r="A66" s="34"/>
      <c r="B66" s="7"/>
      <c r="C66" s="19"/>
      <c r="D66" s="7"/>
      <c r="E66" s="7"/>
      <c r="F66" s="7"/>
      <c r="G66" s="7"/>
      <c r="H66" s="6"/>
      <c r="I66" s="7"/>
      <c r="J66" s="7"/>
      <c r="K66" s="7"/>
      <c r="L66" s="7"/>
      <c r="M66" s="52"/>
      <c r="N66" s="7"/>
      <c r="O66" s="7"/>
      <c r="P66" s="47"/>
      <c r="Q66" s="47"/>
      <c r="R66" s="7"/>
      <c r="S66" s="51"/>
      <c r="T66" s="51"/>
      <c r="U66" s="7"/>
      <c r="V66" s="57"/>
      <c r="W66" s="57"/>
      <c r="X66" s="57"/>
    </row>
    <row r="67" spans="1:24" ht="12.5" x14ac:dyDescent="0.25">
      <c r="A67" s="34"/>
      <c r="B67" s="7"/>
      <c r="C67" s="19"/>
      <c r="D67" s="7"/>
      <c r="E67" s="7"/>
      <c r="F67" s="7"/>
      <c r="G67" s="7"/>
      <c r="H67" s="6"/>
      <c r="I67" s="7"/>
      <c r="J67" s="7"/>
      <c r="K67" s="7"/>
      <c r="L67" s="7"/>
      <c r="M67" s="52"/>
      <c r="N67" s="7"/>
      <c r="O67" s="7"/>
      <c r="P67" s="47"/>
      <c r="Q67" s="47"/>
      <c r="R67" s="7"/>
      <c r="S67" s="51"/>
      <c r="T67" s="51"/>
      <c r="U67" s="7"/>
      <c r="V67" s="57"/>
      <c r="W67" s="57"/>
      <c r="X67" s="57"/>
    </row>
    <row r="68" spans="1:24" ht="12.5" x14ac:dyDescent="0.25">
      <c r="A68" s="34"/>
      <c r="B68" s="7"/>
      <c r="C68" s="19"/>
      <c r="D68" s="7"/>
      <c r="E68" s="7"/>
      <c r="F68" s="7"/>
      <c r="G68" s="7"/>
      <c r="H68" s="6"/>
      <c r="I68" s="7"/>
      <c r="J68" s="7"/>
      <c r="K68" s="7"/>
      <c r="L68" s="7"/>
      <c r="M68" s="52"/>
      <c r="N68" s="7"/>
      <c r="O68" s="7"/>
      <c r="P68" s="47"/>
      <c r="Q68" s="47"/>
      <c r="R68" s="7"/>
      <c r="S68" s="51"/>
      <c r="T68" s="51"/>
      <c r="U68" s="7"/>
      <c r="V68" s="57"/>
      <c r="W68" s="57"/>
      <c r="X68" s="57"/>
    </row>
    <row r="69" spans="1:24" ht="12.5" x14ac:dyDescent="0.25">
      <c r="A69" s="34"/>
      <c r="B69" s="7"/>
      <c r="C69" s="19"/>
      <c r="D69" s="7"/>
      <c r="E69" s="7"/>
      <c r="F69" s="7"/>
      <c r="G69" s="7"/>
      <c r="H69" s="6"/>
      <c r="I69" s="7"/>
      <c r="J69" s="7"/>
      <c r="K69" s="7"/>
      <c r="L69" s="7"/>
      <c r="M69" s="52"/>
      <c r="N69" s="7"/>
      <c r="O69" s="7"/>
      <c r="P69" s="47"/>
      <c r="Q69" s="47"/>
      <c r="R69" s="7"/>
      <c r="S69" s="51"/>
      <c r="T69" s="51"/>
      <c r="U69" s="7"/>
      <c r="V69" s="57"/>
      <c r="W69" s="57"/>
      <c r="X69" s="57"/>
    </row>
    <row r="70" spans="1:24" ht="12.5" x14ac:dyDescent="0.25">
      <c r="A70" s="34"/>
      <c r="B70" s="7"/>
      <c r="C70" s="19"/>
      <c r="D70" s="7"/>
      <c r="E70" s="7"/>
      <c r="F70" s="7"/>
      <c r="G70" s="7"/>
      <c r="H70" s="6"/>
      <c r="I70" s="7"/>
      <c r="J70" s="7"/>
      <c r="K70" s="7"/>
      <c r="L70" s="7"/>
      <c r="M70" s="52"/>
      <c r="N70" s="7"/>
      <c r="O70" s="7"/>
      <c r="P70" s="47"/>
      <c r="Q70" s="47"/>
      <c r="R70" s="7"/>
      <c r="S70" s="51"/>
      <c r="T70" s="51"/>
      <c r="U70" s="7"/>
      <c r="V70" s="57"/>
      <c r="W70" s="57"/>
      <c r="X70" s="57"/>
    </row>
    <row r="71" spans="1:24" ht="12.5" x14ac:dyDescent="0.25">
      <c r="A71" s="34"/>
      <c r="B71" s="7"/>
      <c r="C71" s="19"/>
      <c r="D71" s="7"/>
      <c r="E71" s="7"/>
      <c r="F71" s="7"/>
      <c r="G71" s="7"/>
      <c r="H71" s="6"/>
      <c r="I71" s="7"/>
      <c r="J71" s="7"/>
      <c r="K71" s="7"/>
      <c r="L71" s="7"/>
      <c r="M71" s="52"/>
      <c r="N71" s="7"/>
      <c r="O71" s="7"/>
      <c r="P71" s="47"/>
      <c r="Q71" s="47"/>
      <c r="R71" s="7"/>
      <c r="S71" s="51"/>
      <c r="T71" s="51"/>
      <c r="U71" s="7"/>
      <c r="V71" s="57"/>
      <c r="W71" s="57"/>
      <c r="X71" s="57"/>
    </row>
    <row r="72" spans="1:24" ht="12.5" x14ac:dyDescent="0.25">
      <c r="A72" s="34"/>
      <c r="B72" s="7"/>
      <c r="C72" s="19"/>
      <c r="D72" s="7"/>
      <c r="E72" s="7"/>
      <c r="F72" s="7"/>
      <c r="G72" s="7"/>
      <c r="H72" s="6"/>
      <c r="I72" s="7"/>
      <c r="J72" s="7"/>
      <c r="K72" s="7"/>
      <c r="L72" s="7"/>
      <c r="M72" s="52"/>
      <c r="N72" s="7"/>
      <c r="O72" s="7"/>
      <c r="P72" s="47"/>
      <c r="Q72" s="47"/>
      <c r="R72" s="7"/>
      <c r="S72" s="51"/>
      <c r="T72" s="51"/>
      <c r="U72" s="7"/>
      <c r="V72" s="57"/>
      <c r="W72" s="57"/>
      <c r="X72" s="57"/>
    </row>
    <row r="73" spans="1:24" ht="12.5" x14ac:dyDescent="0.25">
      <c r="A73" s="34"/>
      <c r="B73" s="7"/>
      <c r="C73" s="19"/>
      <c r="D73" s="7"/>
      <c r="E73" s="7"/>
      <c r="F73" s="7"/>
      <c r="G73" s="7"/>
      <c r="H73" s="6"/>
      <c r="I73" s="7"/>
      <c r="J73" s="7"/>
      <c r="K73" s="7"/>
      <c r="L73" s="7"/>
      <c r="M73" s="52"/>
      <c r="N73" s="7"/>
      <c r="O73" s="7"/>
      <c r="P73" s="47"/>
      <c r="Q73" s="47"/>
      <c r="R73" s="7"/>
      <c r="S73" s="51"/>
      <c r="T73" s="51"/>
      <c r="U73" s="7"/>
      <c r="V73" s="57"/>
      <c r="W73" s="57"/>
      <c r="X73" s="57"/>
    </row>
    <row r="74" spans="1:24" ht="12.5" x14ac:dyDescent="0.25">
      <c r="A74" s="34"/>
      <c r="B74" s="7"/>
      <c r="C74" s="19"/>
      <c r="D74" s="7"/>
      <c r="E74" s="7"/>
      <c r="F74" s="7"/>
      <c r="G74" s="7"/>
      <c r="H74" s="6"/>
      <c r="I74" s="7"/>
      <c r="J74" s="7"/>
      <c r="K74" s="7"/>
      <c r="L74" s="7"/>
      <c r="M74" s="52"/>
      <c r="N74" s="7"/>
      <c r="O74" s="7"/>
      <c r="P74" s="47"/>
      <c r="Q74" s="47"/>
      <c r="R74" s="7"/>
      <c r="S74" s="51"/>
      <c r="T74" s="51"/>
      <c r="U74" s="7"/>
      <c r="V74" s="57"/>
      <c r="W74" s="57"/>
      <c r="X74" s="57"/>
    </row>
    <row r="75" spans="1:24" ht="12.5" x14ac:dyDescent="0.25">
      <c r="A75" s="34"/>
      <c r="B75" s="7"/>
      <c r="C75" s="19"/>
      <c r="D75" s="7"/>
      <c r="E75" s="7"/>
      <c r="F75" s="7"/>
      <c r="G75" s="7"/>
      <c r="H75" s="6"/>
      <c r="I75" s="7"/>
      <c r="J75" s="7"/>
      <c r="K75" s="7"/>
      <c r="L75" s="7"/>
      <c r="M75" s="52"/>
      <c r="N75" s="7"/>
      <c r="O75" s="7"/>
      <c r="P75" s="47"/>
      <c r="Q75" s="47"/>
      <c r="R75" s="7"/>
      <c r="S75" s="51"/>
      <c r="T75" s="51"/>
      <c r="U75" s="7"/>
      <c r="V75" s="57"/>
      <c r="W75" s="57"/>
      <c r="X75" s="57"/>
    </row>
    <row r="76" spans="1:24" ht="12.5" x14ac:dyDescent="0.25">
      <c r="A76" s="34"/>
      <c r="B76" s="7"/>
      <c r="C76" s="19"/>
      <c r="D76" s="7"/>
      <c r="E76" s="7"/>
      <c r="F76" s="7"/>
      <c r="G76" s="7"/>
      <c r="H76" s="6"/>
      <c r="I76" s="7"/>
      <c r="J76" s="7"/>
      <c r="K76" s="7"/>
      <c r="L76" s="7"/>
      <c r="M76" s="52"/>
      <c r="N76" s="7"/>
      <c r="O76" s="7"/>
      <c r="P76" s="47"/>
      <c r="Q76" s="47"/>
      <c r="R76" s="7"/>
      <c r="S76" s="51"/>
      <c r="T76" s="51"/>
      <c r="U76" s="7"/>
      <c r="V76" s="57"/>
      <c r="W76" s="57"/>
      <c r="X76" s="57"/>
    </row>
    <row r="77" spans="1:24" ht="12.5" x14ac:dyDescent="0.25">
      <c r="A77" s="34"/>
      <c r="B77" s="7"/>
      <c r="C77" s="19"/>
      <c r="D77" s="7"/>
      <c r="E77" s="7"/>
      <c r="F77" s="7"/>
      <c r="G77" s="7"/>
      <c r="H77" s="6"/>
      <c r="I77" s="7"/>
      <c r="J77" s="7"/>
      <c r="K77" s="7"/>
      <c r="L77" s="7"/>
      <c r="M77" s="52"/>
      <c r="N77" s="7"/>
      <c r="O77" s="7"/>
      <c r="P77" s="47"/>
      <c r="Q77" s="47"/>
      <c r="R77" s="7"/>
      <c r="S77" s="51"/>
      <c r="T77" s="51"/>
      <c r="U77" s="7"/>
      <c r="V77" s="57"/>
      <c r="W77" s="57"/>
      <c r="X77" s="57"/>
    </row>
    <row r="78" spans="1:24" ht="12.5" x14ac:dyDescent="0.25">
      <c r="A78" s="34"/>
      <c r="B78" s="7"/>
      <c r="C78" s="19"/>
      <c r="D78" s="7"/>
      <c r="E78" s="7"/>
      <c r="F78" s="7"/>
      <c r="G78" s="7"/>
      <c r="H78" s="6"/>
      <c r="I78" s="7"/>
      <c r="J78" s="7"/>
      <c r="K78" s="7"/>
      <c r="L78" s="7"/>
      <c r="M78" s="52"/>
      <c r="N78" s="7"/>
      <c r="O78" s="7"/>
      <c r="P78" s="47"/>
      <c r="Q78" s="47"/>
      <c r="R78" s="7"/>
      <c r="S78" s="51"/>
      <c r="T78" s="51"/>
      <c r="U78" s="7"/>
      <c r="V78" s="57"/>
      <c r="W78" s="57"/>
      <c r="X78" s="57"/>
    </row>
    <row r="79" spans="1:24" ht="12.5" x14ac:dyDescent="0.25">
      <c r="A79" s="34"/>
      <c r="B79" s="7"/>
      <c r="C79" s="19"/>
      <c r="D79" s="7"/>
      <c r="E79" s="7"/>
      <c r="F79" s="7"/>
      <c r="G79" s="7"/>
      <c r="H79" s="6"/>
      <c r="I79" s="7"/>
      <c r="J79" s="7"/>
      <c r="K79" s="7"/>
      <c r="L79" s="7"/>
      <c r="M79" s="52"/>
      <c r="N79" s="7"/>
      <c r="O79" s="7"/>
      <c r="P79" s="47"/>
      <c r="Q79" s="47"/>
      <c r="R79" s="7"/>
      <c r="S79" s="51"/>
      <c r="T79" s="51"/>
      <c r="U79" s="7"/>
      <c r="V79" s="57"/>
      <c r="W79" s="57"/>
      <c r="X79" s="57"/>
    </row>
    <row r="80" spans="1:24" ht="12.5" x14ac:dyDescent="0.25">
      <c r="A80" s="34"/>
      <c r="B80" s="7"/>
      <c r="C80" s="19"/>
      <c r="D80" s="7"/>
      <c r="E80" s="7"/>
      <c r="F80" s="7"/>
      <c r="G80" s="7"/>
      <c r="H80" s="6"/>
      <c r="I80" s="7"/>
      <c r="J80" s="7"/>
      <c r="K80" s="7"/>
      <c r="L80" s="7"/>
      <c r="M80" s="52"/>
      <c r="N80" s="7"/>
      <c r="O80" s="7"/>
      <c r="P80" s="47"/>
      <c r="Q80" s="47"/>
      <c r="R80" s="7"/>
      <c r="S80" s="51"/>
      <c r="T80" s="51"/>
      <c r="U80" s="7"/>
      <c r="V80" s="57"/>
      <c r="W80" s="57"/>
      <c r="X80" s="57"/>
    </row>
    <row r="81" spans="1:24" ht="12.5" x14ac:dyDescent="0.25">
      <c r="A81" s="34"/>
      <c r="B81" s="7"/>
      <c r="C81" s="19"/>
      <c r="D81" s="7"/>
      <c r="E81" s="7"/>
      <c r="F81" s="7"/>
      <c r="G81" s="7"/>
      <c r="H81" s="6"/>
      <c r="I81" s="7"/>
      <c r="J81" s="7"/>
      <c r="K81" s="7"/>
      <c r="L81" s="7"/>
      <c r="M81" s="52"/>
      <c r="N81" s="7"/>
      <c r="O81" s="7"/>
      <c r="P81" s="47"/>
      <c r="Q81" s="47"/>
      <c r="R81" s="7"/>
      <c r="S81" s="51"/>
      <c r="T81" s="51"/>
      <c r="U81" s="7"/>
      <c r="V81" s="57"/>
      <c r="W81" s="57"/>
      <c r="X81" s="57"/>
    </row>
    <row r="82" spans="1:24" ht="12.5" x14ac:dyDescent="0.25">
      <c r="A82" s="34"/>
      <c r="B82" s="7"/>
      <c r="C82" s="19"/>
      <c r="D82" s="7"/>
      <c r="E82" s="7"/>
      <c r="F82" s="7"/>
      <c r="G82" s="7"/>
      <c r="H82" s="6"/>
      <c r="I82" s="7"/>
      <c r="J82" s="7"/>
      <c r="K82" s="7"/>
      <c r="L82" s="7"/>
      <c r="M82" s="52"/>
      <c r="N82" s="7"/>
      <c r="O82" s="7"/>
      <c r="P82" s="47"/>
      <c r="Q82" s="47"/>
      <c r="R82" s="7"/>
      <c r="S82" s="51"/>
      <c r="T82" s="51"/>
      <c r="U82" s="7"/>
      <c r="V82" s="57"/>
      <c r="W82" s="57"/>
      <c r="X82" s="57"/>
    </row>
    <row r="83" spans="1:24" ht="12.5" x14ac:dyDescent="0.25">
      <c r="A83" s="34"/>
      <c r="B83" s="7"/>
      <c r="C83" s="19"/>
      <c r="D83" s="7"/>
      <c r="E83" s="7"/>
      <c r="F83" s="7"/>
      <c r="G83" s="7"/>
      <c r="H83" s="6"/>
      <c r="I83" s="7"/>
      <c r="J83" s="7"/>
      <c r="K83" s="7"/>
      <c r="L83" s="7"/>
      <c r="M83" s="52"/>
      <c r="N83" s="7"/>
      <c r="O83" s="7"/>
      <c r="P83" s="47"/>
      <c r="Q83" s="47"/>
      <c r="R83" s="7"/>
      <c r="S83" s="51"/>
      <c r="T83" s="51"/>
      <c r="U83" s="7"/>
      <c r="V83" s="57"/>
      <c r="W83" s="57"/>
      <c r="X83" s="57"/>
    </row>
    <row r="84" spans="1:24" ht="12.5" x14ac:dyDescent="0.25">
      <c r="A84" s="34"/>
      <c r="B84" s="7"/>
      <c r="C84" s="19"/>
      <c r="D84" s="7"/>
      <c r="E84" s="7"/>
      <c r="F84" s="7"/>
      <c r="G84" s="7"/>
      <c r="H84" s="6"/>
      <c r="I84" s="7"/>
      <c r="J84" s="7"/>
      <c r="K84" s="7"/>
      <c r="L84" s="7"/>
      <c r="M84" s="52"/>
      <c r="N84" s="7"/>
      <c r="O84" s="7"/>
      <c r="P84" s="47"/>
      <c r="Q84" s="47"/>
      <c r="R84" s="7"/>
      <c r="S84" s="51"/>
      <c r="T84" s="51"/>
      <c r="U84" s="7"/>
      <c r="V84" s="57"/>
      <c r="W84" s="57"/>
      <c r="X84" s="57"/>
    </row>
    <row r="85" spans="1:24" ht="12.5" x14ac:dyDescent="0.25">
      <c r="A85" s="34"/>
      <c r="B85" s="7"/>
      <c r="C85" s="19"/>
      <c r="D85" s="7"/>
      <c r="E85" s="7"/>
      <c r="F85" s="7"/>
      <c r="G85" s="7"/>
      <c r="H85" s="6"/>
      <c r="I85" s="7"/>
      <c r="J85" s="7"/>
      <c r="K85" s="7"/>
      <c r="L85" s="7"/>
      <c r="M85" s="52"/>
      <c r="N85" s="7"/>
      <c r="O85" s="7"/>
      <c r="P85" s="47"/>
      <c r="Q85" s="47"/>
      <c r="R85" s="7"/>
      <c r="S85" s="51"/>
      <c r="T85" s="51"/>
      <c r="U85" s="7"/>
      <c r="V85" s="57"/>
      <c r="W85" s="57"/>
      <c r="X85" s="57"/>
    </row>
    <row r="86" spans="1:24" ht="12.5" x14ac:dyDescent="0.25">
      <c r="A86" s="34"/>
      <c r="B86" s="7"/>
      <c r="C86" s="19"/>
      <c r="D86" s="7"/>
      <c r="E86" s="7"/>
      <c r="F86" s="7"/>
      <c r="G86" s="7"/>
      <c r="H86" s="6"/>
      <c r="I86" s="7"/>
      <c r="J86" s="7"/>
      <c r="K86" s="7"/>
      <c r="L86" s="7"/>
      <c r="M86" s="52"/>
      <c r="N86" s="7"/>
      <c r="O86" s="7"/>
      <c r="P86" s="47"/>
      <c r="Q86" s="47"/>
      <c r="R86" s="7"/>
      <c r="S86" s="51"/>
      <c r="T86" s="51"/>
      <c r="U86" s="7"/>
      <c r="V86" s="57"/>
      <c r="W86" s="57"/>
      <c r="X86" s="57"/>
    </row>
    <row r="87" spans="1:24" ht="12.5" x14ac:dyDescent="0.25">
      <c r="A87" s="34"/>
      <c r="B87" s="7"/>
      <c r="C87" s="19"/>
      <c r="D87" s="7"/>
      <c r="E87" s="7"/>
      <c r="F87" s="7"/>
      <c r="G87" s="7"/>
      <c r="H87" s="6"/>
      <c r="I87" s="7"/>
      <c r="J87" s="7"/>
      <c r="K87" s="7"/>
      <c r="L87" s="7"/>
      <c r="M87" s="52"/>
      <c r="N87" s="7"/>
      <c r="O87" s="7"/>
      <c r="P87" s="47"/>
      <c r="Q87" s="47"/>
      <c r="R87" s="7"/>
      <c r="S87" s="51"/>
      <c r="T87" s="51"/>
      <c r="U87" s="7"/>
      <c r="V87" s="57"/>
      <c r="W87" s="57"/>
      <c r="X87" s="57"/>
    </row>
    <row r="88" spans="1:24" ht="12.5" x14ac:dyDescent="0.25">
      <c r="A88" s="34"/>
      <c r="B88" s="7"/>
      <c r="C88" s="19"/>
      <c r="D88" s="7"/>
      <c r="E88" s="7"/>
      <c r="F88" s="7"/>
      <c r="G88" s="7"/>
      <c r="H88" s="6"/>
      <c r="I88" s="7"/>
      <c r="J88" s="7"/>
      <c r="K88" s="7"/>
      <c r="L88" s="7"/>
      <c r="M88" s="52"/>
      <c r="N88" s="7"/>
      <c r="O88" s="7"/>
      <c r="P88" s="47"/>
      <c r="Q88" s="47"/>
      <c r="R88" s="7"/>
      <c r="S88" s="51"/>
      <c r="T88" s="51"/>
      <c r="U88" s="7"/>
      <c r="V88" s="57"/>
      <c r="W88" s="57"/>
      <c r="X88" s="57"/>
    </row>
    <row r="89" spans="1:24" ht="12.5" x14ac:dyDescent="0.25">
      <c r="A89" s="34"/>
      <c r="B89" s="7"/>
      <c r="C89" s="19"/>
      <c r="D89" s="7"/>
      <c r="E89" s="7"/>
      <c r="F89" s="7"/>
      <c r="G89" s="7"/>
      <c r="H89" s="6"/>
      <c r="I89" s="7"/>
      <c r="J89" s="7"/>
      <c r="K89" s="7"/>
      <c r="L89" s="7"/>
      <c r="M89" s="52"/>
      <c r="N89" s="7"/>
      <c r="O89" s="7"/>
      <c r="P89" s="47"/>
      <c r="Q89" s="47"/>
      <c r="R89" s="7"/>
      <c r="S89" s="51"/>
      <c r="T89" s="51"/>
      <c r="U89" s="7"/>
      <c r="V89" s="57"/>
      <c r="W89" s="57"/>
      <c r="X89" s="57"/>
    </row>
    <row r="90" spans="1:24" ht="12.5" x14ac:dyDescent="0.25">
      <c r="A90" s="34"/>
      <c r="B90" s="7"/>
      <c r="C90" s="19"/>
      <c r="D90" s="7"/>
      <c r="E90" s="7"/>
      <c r="F90" s="7"/>
      <c r="G90" s="7"/>
      <c r="H90" s="6"/>
      <c r="I90" s="7"/>
      <c r="J90" s="7"/>
      <c r="K90" s="7"/>
      <c r="L90" s="7"/>
      <c r="M90" s="52"/>
      <c r="N90" s="7"/>
      <c r="O90" s="7"/>
      <c r="P90" s="47"/>
      <c r="Q90" s="47"/>
      <c r="R90" s="7"/>
      <c r="S90" s="51"/>
      <c r="T90" s="51"/>
      <c r="U90" s="7"/>
      <c r="V90" s="57"/>
      <c r="W90" s="57"/>
      <c r="X90" s="57"/>
    </row>
    <row r="91" spans="1:24" ht="12.5" x14ac:dyDescent="0.25">
      <c r="A91" s="34"/>
      <c r="B91" s="7"/>
      <c r="C91" s="19"/>
      <c r="D91" s="7"/>
      <c r="E91" s="7"/>
      <c r="F91" s="7"/>
      <c r="G91" s="7"/>
      <c r="H91" s="6"/>
      <c r="I91" s="7"/>
      <c r="J91" s="7"/>
      <c r="K91" s="7"/>
      <c r="L91" s="7"/>
      <c r="M91" s="52"/>
      <c r="N91" s="7"/>
      <c r="O91" s="7"/>
      <c r="P91" s="47"/>
      <c r="Q91" s="47"/>
      <c r="R91" s="7"/>
      <c r="S91" s="51"/>
      <c r="T91" s="51"/>
      <c r="U91" s="7"/>
      <c r="V91" s="57"/>
      <c r="W91" s="57"/>
      <c r="X91" s="57"/>
    </row>
    <row r="92" spans="1:24" ht="12.5" x14ac:dyDescent="0.25">
      <c r="A92" s="34"/>
      <c r="B92" s="7"/>
      <c r="C92" s="19"/>
      <c r="D92" s="7"/>
      <c r="E92" s="7"/>
      <c r="F92" s="7"/>
      <c r="G92" s="7"/>
      <c r="H92" s="6"/>
      <c r="I92" s="7"/>
      <c r="J92" s="7"/>
      <c r="K92" s="7"/>
      <c r="L92" s="7"/>
      <c r="M92" s="52"/>
      <c r="N92" s="7"/>
      <c r="O92" s="7"/>
      <c r="P92" s="47"/>
      <c r="Q92" s="47"/>
      <c r="R92" s="7"/>
      <c r="S92" s="51"/>
      <c r="T92" s="51"/>
      <c r="U92" s="7"/>
      <c r="V92" s="57"/>
      <c r="W92" s="57"/>
      <c r="X92" s="57"/>
    </row>
    <row r="93" spans="1:24" ht="12.5" x14ac:dyDescent="0.25">
      <c r="A93" s="34"/>
      <c r="B93" s="7"/>
      <c r="C93" s="19"/>
      <c r="D93" s="7"/>
      <c r="E93" s="7"/>
      <c r="F93" s="7"/>
      <c r="G93" s="7"/>
      <c r="H93" s="6"/>
      <c r="I93" s="7"/>
      <c r="J93" s="7"/>
      <c r="K93" s="7"/>
      <c r="L93" s="7"/>
      <c r="M93" s="52"/>
      <c r="N93" s="7"/>
      <c r="O93" s="7"/>
      <c r="P93" s="47"/>
      <c r="Q93" s="47"/>
      <c r="R93" s="7"/>
      <c r="S93" s="51"/>
      <c r="T93" s="51"/>
      <c r="U93" s="7"/>
      <c r="V93" s="57"/>
      <c r="W93" s="57"/>
      <c r="X93" s="57"/>
    </row>
    <row r="94" spans="1:24" ht="12.5" x14ac:dyDescent="0.25">
      <c r="A94" s="34"/>
      <c r="B94" s="7"/>
      <c r="C94" s="19"/>
      <c r="D94" s="7"/>
      <c r="E94" s="7"/>
      <c r="F94" s="7"/>
      <c r="G94" s="7"/>
      <c r="H94" s="6"/>
      <c r="I94" s="7"/>
      <c r="J94" s="7"/>
      <c r="K94" s="7"/>
      <c r="L94" s="7"/>
      <c r="M94" s="52"/>
      <c r="N94" s="7"/>
      <c r="O94" s="7"/>
      <c r="P94" s="47"/>
      <c r="Q94" s="47"/>
      <c r="R94" s="7"/>
      <c r="S94" s="51"/>
      <c r="T94" s="51"/>
      <c r="U94" s="7"/>
      <c r="V94" s="57"/>
      <c r="W94" s="57"/>
      <c r="X94" s="57"/>
    </row>
    <row r="95" spans="1:24" ht="12.5" x14ac:dyDescent="0.25">
      <c r="A95" s="34"/>
      <c r="B95" s="7"/>
      <c r="C95" s="19"/>
      <c r="D95" s="7"/>
      <c r="E95" s="7"/>
      <c r="F95" s="7"/>
      <c r="G95" s="7"/>
      <c r="H95" s="6"/>
      <c r="I95" s="7"/>
      <c r="J95" s="7"/>
      <c r="K95" s="7"/>
      <c r="L95" s="7"/>
      <c r="M95" s="52"/>
      <c r="N95" s="7"/>
      <c r="O95" s="7"/>
      <c r="P95" s="47"/>
      <c r="Q95" s="47"/>
      <c r="R95" s="7"/>
      <c r="S95" s="51"/>
      <c r="T95" s="51"/>
      <c r="U95" s="7"/>
      <c r="V95" s="57"/>
      <c r="W95" s="57"/>
      <c r="X95" s="57"/>
    </row>
    <row r="96" spans="1:24" ht="12.5" x14ac:dyDescent="0.25">
      <c r="A96" s="34"/>
      <c r="B96" s="7"/>
      <c r="C96" s="19"/>
      <c r="D96" s="7"/>
      <c r="E96" s="7"/>
      <c r="F96" s="7"/>
      <c r="G96" s="7"/>
      <c r="H96" s="6"/>
      <c r="I96" s="7"/>
      <c r="J96" s="7"/>
      <c r="K96" s="7"/>
      <c r="L96" s="7"/>
      <c r="M96" s="52"/>
      <c r="N96" s="7"/>
      <c r="O96" s="7"/>
      <c r="P96" s="47"/>
      <c r="Q96" s="47"/>
      <c r="R96" s="7"/>
      <c r="S96" s="51"/>
      <c r="T96" s="51"/>
      <c r="U96" s="7"/>
      <c r="V96" s="57"/>
      <c r="W96" s="57"/>
      <c r="X96" s="57"/>
    </row>
    <row r="97" spans="1:24" ht="12.5" x14ac:dyDescent="0.25">
      <c r="A97" s="34"/>
      <c r="B97" s="7"/>
      <c r="C97" s="19"/>
      <c r="D97" s="7"/>
      <c r="E97" s="7"/>
      <c r="F97" s="7"/>
      <c r="G97" s="7"/>
      <c r="H97" s="6"/>
      <c r="I97" s="7"/>
      <c r="J97" s="7"/>
      <c r="K97" s="7"/>
      <c r="L97" s="7"/>
      <c r="M97" s="52"/>
      <c r="N97" s="7"/>
      <c r="O97" s="7"/>
      <c r="P97" s="47"/>
      <c r="Q97" s="47"/>
      <c r="R97" s="7"/>
      <c r="S97" s="51"/>
      <c r="T97" s="51"/>
      <c r="U97" s="7"/>
      <c r="V97" s="57"/>
      <c r="W97" s="57"/>
      <c r="X97" s="57"/>
    </row>
    <row r="98" spans="1:24" ht="12.5" x14ac:dyDescent="0.25">
      <c r="A98" s="34"/>
      <c r="B98" s="7"/>
      <c r="C98" s="19"/>
      <c r="D98" s="7"/>
      <c r="E98" s="7"/>
      <c r="F98" s="7"/>
      <c r="G98" s="7"/>
      <c r="H98" s="6"/>
      <c r="I98" s="7"/>
      <c r="J98" s="7"/>
      <c r="K98" s="7"/>
      <c r="L98" s="7"/>
      <c r="M98" s="52"/>
      <c r="N98" s="7"/>
      <c r="O98" s="7"/>
      <c r="P98" s="47"/>
      <c r="Q98" s="47"/>
      <c r="R98" s="7"/>
      <c r="S98" s="51"/>
      <c r="T98" s="51"/>
      <c r="U98" s="7"/>
      <c r="V98" s="57"/>
      <c r="W98" s="57"/>
      <c r="X98" s="57"/>
    </row>
    <row r="99" spans="1:24" ht="12.5" x14ac:dyDescent="0.25">
      <c r="A99" s="34"/>
      <c r="B99" s="7"/>
      <c r="C99" s="19"/>
      <c r="D99" s="7"/>
      <c r="E99" s="7"/>
      <c r="F99" s="7"/>
      <c r="G99" s="7"/>
      <c r="H99" s="6"/>
      <c r="I99" s="7"/>
      <c r="J99" s="7"/>
      <c r="K99" s="7"/>
      <c r="L99" s="7"/>
      <c r="M99" s="52"/>
      <c r="N99" s="7"/>
      <c r="O99" s="7"/>
      <c r="P99" s="47"/>
      <c r="Q99" s="47"/>
      <c r="R99" s="7"/>
      <c r="S99" s="51"/>
      <c r="T99" s="51"/>
      <c r="U99" s="7"/>
      <c r="V99" s="57"/>
      <c r="W99" s="57"/>
      <c r="X99" s="57"/>
    </row>
    <row r="100" spans="1:24" ht="12.5" x14ac:dyDescent="0.25">
      <c r="A100" s="34"/>
      <c r="B100" s="7"/>
      <c r="C100" s="19"/>
      <c r="D100" s="7"/>
      <c r="E100" s="7"/>
      <c r="F100" s="7"/>
      <c r="G100" s="7"/>
      <c r="H100" s="6"/>
      <c r="I100" s="7"/>
      <c r="J100" s="7"/>
      <c r="K100" s="7"/>
      <c r="L100" s="7"/>
      <c r="M100" s="52"/>
      <c r="N100" s="7"/>
      <c r="O100" s="7"/>
      <c r="P100" s="47"/>
      <c r="Q100" s="47"/>
      <c r="R100" s="7"/>
      <c r="S100" s="51"/>
      <c r="T100" s="51"/>
      <c r="U100" s="7"/>
      <c r="V100" s="57"/>
      <c r="W100" s="57"/>
      <c r="X100" s="57"/>
    </row>
    <row r="101" spans="1:24" ht="12.5" x14ac:dyDescent="0.25">
      <c r="A101" s="34"/>
      <c r="B101" s="7"/>
      <c r="C101" s="19"/>
      <c r="D101" s="7"/>
      <c r="E101" s="7"/>
      <c r="F101" s="7"/>
      <c r="G101" s="7"/>
      <c r="H101" s="6"/>
      <c r="I101" s="7"/>
      <c r="J101" s="7"/>
      <c r="K101" s="7"/>
      <c r="L101" s="7"/>
      <c r="M101" s="52"/>
      <c r="N101" s="7"/>
      <c r="O101" s="7"/>
      <c r="P101" s="47"/>
      <c r="Q101" s="47"/>
      <c r="R101" s="7"/>
      <c r="S101" s="51"/>
      <c r="T101" s="51"/>
      <c r="U101" s="7"/>
      <c r="V101" s="57"/>
      <c r="W101" s="57"/>
      <c r="X101" s="57"/>
    </row>
    <row r="102" spans="1:24" ht="12.5" x14ac:dyDescent="0.25">
      <c r="A102" s="34"/>
      <c r="B102" s="7"/>
      <c r="C102" s="19"/>
      <c r="D102" s="7"/>
      <c r="E102" s="7"/>
      <c r="F102" s="7"/>
      <c r="G102" s="7"/>
      <c r="H102" s="6"/>
      <c r="I102" s="7"/>
      <c r="J102" s="7"/>
      <c r="K102" s="7"/>
      <c r="L102" s="7"/>
      <c r="M102" s="52"/>
      <c r="N102" s="7"/>
      <c r="O102" s="7"/>
      <c r="P102" s="47"/>
      <c r="Q102" s="47"/>
      <c r="R102" s="7"/>
      <c r="S102" s="51"/>
      <c r="T102" s="51"/>
      <c r="U102" s="7"/>
      <c r="V102" s="57"/>
      <c r="W102" s="57"/>
      <c r="X102" s="57"/>
    </row>
    <row r="103" spans="1:24" ht="12.5" x14ac:dyDescent="0.25">
      <c r="A103" s="34"/>
      <c r="B103" s="7"/>
      <c r="C103" s="19"/>
      <c r="D103" s="7"/>
      <c r="E103" s="7"/>
      <c r="F103" s="7"/>
      <c r="G103" s="7"/>
      <c r="H103" s="6"/>
      <c r="I103" s="7"/>
      <c r="J103" s="7"/>
      <c r="K103" s="7"/>
      <c r="L103" s="7"/>
      <c r="M103" s="52"/>
      <c r="N103" s="7"/>
      <c r="O103" s="7"/>
      <c r="P103" s="47"/>
      <c r="Q103" s="47"/>
      <c r="R103" s="7"/>
      <c r="S103" s="51"/>
      <c r="T103" s="51"/>
      <c r="U103" s="7"/>
      <c r="V103" s="57"/>
      <c r="W103" s="57"/>
      <c r="X103" s="57"/>
    </row>
    <row r="104" spans="1:24" ht="12.5" x14ac:dyDescent="0.25">
      <c r="A104" s="34"/>
      <c r="B104" s="7"/>
      <c r="C104" s="19"/>
      <c r="D104" s="7"/>
      <c r="E104" s="7"/>
      <c r="F104" s="7"/>
      <c r="G104" s="7"/>
      <c r="H104" s="6"/>
      <c r="I104" s="7"/>
      <c r="J104" s="7"/>
      <c r="K104" s="7"/>
      <c r="L104" s="7"/>
      <c r="M104" s="52"/>
      <c r="N104" s="7"/>
      <c r="O104" s="7"/>
      <c r="P104" s="47"/>
      <c r="Q104" s="47"/>
      <c r="R104" s="7"/>
      <c r="S104" s="51"/>
      <c r="T104" s="51"/>
      <c r="U104" s="7"/>
      <c r="V104" s="57"/>
      <c r="W104" s="57"/>
      <c r="X104" s="57"/>
    </row>
    <row r="105" spans="1:24" ht="12.5" x14ac:dyDescent="0.25">
      <c r="A105" s="34"/>
      <c r="B105" s="7"/>
      <c r="C105" s="19"/>
      <c r="D105" s="7"/>
      <c r="E105" s="7"/>
      <c r="F105" s="7"/>
      <c r="G105" s="7"/>
      <c r="H105" s="6"/>
      <c r="I105" s="7"/>
      <c r="J105" s="7"/>
      <c r="K105" s="7"/>
      <c r="L105" s="7"/>
      <c r="M105" s="52"/>
      <c r="N105" s="7"/>
      <c r="O105" s="7"/>
      <c r="P105" s="47"/>
      <c r="Q105" s="47"/>
      <c r="R105" s="7"/>
      <c r="S105" s="51"/>
      <c r="T105" s="51"/>
      <c r="U105" s="7"/>
      <c r="V105" s="57"/>
      <c r="W105" s="57"/>
      <c r="X105" s="57"/>
    </row>
    <row r="106" spans="1:24" ht="12.5" x14ac:dyDescent="0.25">
      <c r="A106" s="34"/>
      <c r="B106" s="7"/>
      <c r="C106" s="19"/>
      <c r="D106" s="7"/>
      <c r="E106" s="7"/>
      <c r="F106" s="7"/>
      <c r="G106" s="7"/>
      <c r="H106" s="6"/>
      <c r="I106" s="7"/>
      <c r="J106" s="7"/>
      <c r="K106" s="7"/>
      <c r="L106" s="7"/>
      <c r="M106" s="52"/>
      <c r="N106" s="7"/>
      <c r="O106" s="7"/>
      <c r="P106" s="47"/>
      <c r="Q106" s="47"/>
      <c r="R106" s="7"/>
      <c r="S106" s="51"/>
      <c r="T106" s="51"/>
      <c r="U106" s="7"/>
      <c r="V106" s="57"/>
      <c r="W106" s="57"/>
      <c r="X106" s="57"/>
    </row>
    <row r="107" spans="1:24" ht="12.5" x14ac:dyDescent="0.25">
      <c r="A107" s="34"/>
      <c r="B107" s="7"/>
      <c r="C107" s="19"/>
      <c r="D107" s="7"/>
      <c r="E107" s="7"/>
      <c r="F107" s="7"/>
      <c r="G107" s="7"/>
      <c r="H107" s="6"/>
      <c r="I107" s="7"/>
      <c r="J107" s="7"/>
      <c r="K107" s="7"/>
      <c r="L107" s="7"/>
      <c r="M107" s="52"/>
      <c r="N107" s="7"/>
      <c r="O107" s="7"/>
      <c r="P107" s="47"/>
      <c r="Q107" s="47"/>
      <c r="R107" s="7"/>
      <c r="S107" s="51"/>
      <c r="T107" s="51"/>
      <c r="U107" s="7"/>
      <c r="V107" s="57"/>
      <c r="W107" s="57"/>
      <c r="X107" s="57"/>
    </row>
    <row r="108" spans="1:24" ht="12.5" x14ac:dyDescent="0.25">
      <c r="A108" s="34"/>
      <c r="B108" s="7"/>
      <c r="C108" s="19"/>
      <c r="D108" s="7"/>
      <c r="E108" s="7"/>
      <c r="F108" s="7"/>
      <c r="G108" s="7"/>
      <c r="H108" s="6"/>
      <c r="I108" s="7"/>
      <c r="J108" s="7"/>
      <c r="K108" s="7"/>
      <c r="L108" s="7"/>
      <c r="M108" s="52"/>
      <c r="N108" s="7"/>
      <c r="O108" s="7"/>
      <c r="P108" s="47"/>
      <c r="Q108" s="47"/>
      <c r="R108" s="7"/>
      <c r="S108" s="51"/>
      <c r="T108" s="51"/>
      <c r="U108" s="7"/>
      <c r="V108" s="57"/>
      <c r="W108" s="57"/>
      <c r="X108" s="57"/>
    </row>
    <row r="109" spans="1:24" ht="12.5" x14ac:dyDescent="0.25">
      <c r="A109" s="34"/>
      <c r="B109" s="7"/>
      <c r="C109" s="19"/>
      <c r="D109" s="7"/>
      <c r="E109" s="7"/>
      <c r="F109" s="7"/>
      <c r="G109" s="7"/>
      <c r="H109" s="6"/>
      <c r="I109" s="7"/>
      <c r="J109" s="7"/>
      <c r="K109" s="7"/>
      <c r="L109" s="7"/>
      <c r="M109" s="52"/>
      <c r="N109" s="7"/>
      <c r="O109" s="7"/>
      <c r="P109" s="47"/>
      <c r="Q109" s="47"/>
      <c r="R109" s="7"/>
      <c r="S109" s="51"/>
      <c r="T109" s="51"/>
      <c r="U109" s="7"/>
      <c r="V109" s="57"/>
      <c r="W109" s="57"/>
      <c r="X109" s="57"/>
    </row>
    <row r="110" spans="1:24" ht="12.5" x14ac:dyDescent="0.25">
      <c r="A110" s="34"/>
      <c r="B110" s="7"/>
      <c r="C110" s="19"/>
      <c r="D110" s="7"/>
      <c r="E110" s="7"/>
      <c r="F110" s="7"/>
      <c r="G110" s="7"/>
      <c r="H110" s="6"/>
      <c r="I110" s="7"/>
      <c r="J110" s="7"/>
      <c r="K110" s="7"/>
      <c r="L110" s="7"/>
      <c r="M110" s="52"/>
      <c r="N110" s="7"/>
      <c r="O110" s="7"/>
      <c r="P110" s="47"/>
      <c r="Q110" s="47"/>
      <c r="R110" s="7"/>
      <c r="S110" s="51"/>
      <c r="T110" s="51"/>
      <c r="U110" s="7"/>
      <c r="V110" s="57"/>
      <c r="W110" s="57"/>
      <c r="X110" s="57"/>
    </row>
    <row r="111" spans="1:24" ht="12.5" x14ac:dyDescent="0.25">
      <c r="A111" s="34"/>
      <c r="B111" s="7"/>
      <c r="C111" s="19"/>
      <c r="D111" s="7"/>
      <c r="E111" s="7"/>
      <c r="F111" s="7"/>
      <c r="G111" s="7"/>
      <c r="H111" s="6"/>
      <c r="I111" s="7"/>
      <c r="J111" s="7"/>
      <c r="K111" s="7"/>
      <c r="L111" s="7"/>
      <c r="M111" s="52"/>
      <c r="N111" s="7"/>
      <c r="O111" s="7"/>
      <c r="P111" s="47"/>
      <c r="Q111" s="47"/>
      <c r="R111" s="7"/>
      <c r="S111" s="51"/>
      <c r="T111" s="51"/>
      <c r="U111" s="7"/>
      <c r="V111" s="57"/>
      <c r="W111" s="57"/>
      <c r="X111" s="57"/>
    </row>
    <row r="112" spans="1:24" ht="12.5" x14ac:dyDescent="0.25">
      <c r="A112" s="34"/>
      <c r="B112" s="7"/>
      <c r="C112" s="19"/>
      <c r="D112" s="7"/>
      <c r="E112" s="7"/>
      <c r="F112" s="7"/>
      <c r="G112" s="7"/>
      <c r="H112" s="6"/>
      <c r="I112" s="7"/>
      <c r="J112" s="7"/>
      <c r="K112" s="7"/>
      <c r="L112" s="7"/>
      <c r="M112" s="52"/>
      <c r="N112" s="7"/>
      <c r="O112" s="7"/>
      <c r="P112" s="47"/>
      <c r="Q112" s="47"/>
      <c r="R112" s="7"/>
      <c r="S112" s="51"/>
      <c r="T112" s="51"/>
      <c r="U112" s="7"/>
      <c r="V112" s="57"/>
      <c r="W112" s="57"/>
      <c r="X112" s="57"/>
    </row>
    <row r="113" spans="1:24" ht="12.5" x14ac:dyDescent="0.25">
      <c r="A113" s="34"/>
      <c r="B113" s="7"/>
      <c r="C113" s="19"/>
      <c r="D113" s="7"/>
      <c r="E113" s="7"/>
      <c r="F113" s="7"/>
      <c r="G113" s="7"/>
      <c r="H113" s="6"/>
      <c r="I113" s="7"/>
      <c r="J113" s="7"/>
      <c r="K113" s="7"/>
      <c r="L113" s="7"/>
      <c r="M113" s="52"/>
      <c r="N113" s="7"/>
      <c r="O113" s="7"/>
      <c r="P113" s="47"/>
      <c r="Q113" s="47"/>
      <c r="R113" s="7"/>
      <c r="S113" s="51"/>
      <c r="T113" s="51"/>
      <c r="U113" s="7"/>
      <c r="V113" s="57"/>
      <c r="W113" s="57"/>
      <c r="X113" s="57"/>
    </row>
    <row r="114" spans="1:24" ht="12.5" x14ac:dyDescent="0.25">
      <c r="A114" s="34"/>
      <c r="B114" s="7"/>
      <c r="C114" s="19"/>
      <c r="D114" s="7"/>
      <c r="E114" s="7"/>
      <c r="F114" s="7"/>
      <c r="G114" s="7"/>
      <c r="H114" s="6"/>
      <c r="I114" s="7"/>
      <c r="J114" s="7"/>
      <c r="K114" s="7"/>
      <c r="L114" s="7"/>
      <c r="M114" s="52"/>
      <c r="N114" s="7"/>
      <c r="O114" s="7"/>
      <c r="P114" s="47"/>
      <c r="Q114" s="47"/>
      <c r="R114" s="7"/>
      <c r="S114" s="51"/>
      <c r="T114" s="51"/>
      <c r="U114" s="7"/>
      <c r="V114" s="57"/>
      <c r="W114" s="57"/>
      <c r="X114" s="57"/>
    </row>
    <row r="115" spans="1:24" ht="12.5" x14ac:dyDescent="0.25">
      <c r="A115" s="34"/>
      <c r="B115" s="7"/>
      <c r="C115" s="19"/>
      <c r="D115" s="7"/>
      <c r="E115" s="7"/>
      <c r="F115" s="7"/>
      <c r="G115" s="7"/>
      <c r="H115" s="6"/>
      <c r="I115" s="7"/>
      <c r="J115" s="7"/>
      <c r="K115" s="7"/>
      <c r="L115" s="7"/>
      <c r="M115" s="52"/>
      <c r="N115" s="7"/>
      <c r="O115" s="7"/>
      <c r="P115" s="47"/>
      <c r="Q115" s="47"/>
      <c r="R115" s="7"/>
      <c r="S115" s="51"/>
      <c r="T115" s="51"/>
      <c r="U115" s="7"/>
      <c r="V115" s="57"/>
      <c r="W115" s="57"/>
      <c r="X115" s="57"/>
    </row>
    <row r="116" spans="1:24" ht="12.5" x14ac:dyDescent="0.25">
      <c r="A116" s="34"/>
      <c r="B116" s="7"/>
      <c r="C116" s="19"/>
      <c r="D116" s="7"/>
      <c r="E116" s="7"/>
      <c r="F116" s="7"/>
      <c r="G116" s="7"/>
      <c r="H116" s="6"/>
      <c r="I116" s="7"/>
      <c r="J116" s="7"/>
      <c r="K116" s="7"/>
      <c r="L116" s="7"/>
      <c r="M116" s="52"/>
      <c r="N116" s="7"/>
      <c r="O116" s="7"/>
      <c r="P116" s="47"/>
      <c r="Q116" s="47"/>
      <c r="R116" s="7"/>
      <c r="S116" s="51"/>
      <c r="T116" s="51"/>
      <c r="U116" s="7"/>
      <c r="V116" s="57"/>
      <c r="W116" s="57"/>
      <c r="X116" s="57"/>
    </row>
    <row r="117" spans="1:24" ht="12.5" x14ac:dyDescent="0.25">
      <c r="A117" s="34"/>
      <c r="B117" s="7"/>
      <c r="C117" s="19"/>
      <c r="D117" s="7"/>
      <c r="E117" s="7"/>
      <c r="F117" s="7"/>
      <c r="G117" s="7"/>
      <c r="H117" s="6"/>
      <c r="I117" s="7"/>
      <c r="J117" s="7"/>
      <c r="K117" s="7"/>
      <c r="L117" s="7"/>
      <c r="M117" s="52"/>
      <c r="N117" s="7"/>
      <c r="O117" s="7"/>
      <c r="P117" s="47"/>
      <c r="Q117" s="47"/>
      <c r="R117" s="7"/>
      <c r="S117" s="51"/>
      <c r="T117" s="51"/>
      <c r="U117" s="7"/>
      <c r="V117" s="57"/>
      <c r="W117" s="57"/>
      <c r="X117" s="57"/>
    </row>
    <row r="118" spans="1:24" ht="12.5" x14ac:dyDescent="0.25">
      <c r="A118" s="34"/>
      <c r="B118" s="7"/>
      <c r="C118" s="19"/>
      <c r="D118" s="7"/>
      <c r="E118" s="7"/>
      <c r="F118" s="7"/>
      <c r="G118" s="7"/>
      <c r="H118" s="6"/>
      <c r="I118" s="7"/>
      <c r="J118" s="7"/>
      <c r="K118" s="7"/>
      <c r="L118" s="7"/>
      <c r="M118" s="52"/>
      <c r="N118" s="7"/>
      <c r="O118" s="7"/>
      <c r="P118" s="47"/>
      <c r="Q118" s="47"/>
      <c r="R118" s="7"/>
      <c r="S118" s="51"/>
      <c r="T118" s="51"/>
      <c r="U118" s="7"/>
      <c r="V118" s="57"/>
      <c r="W118" s="57"/>
      <c r="X118" s="57"/>
    </row>
    <row r="119" spans="1:24" ht="12.5" x14ac:dyDescent="0.25">
      <c r="A119" s="34"/>
      <c r="B119" s="7"/>
      <c r="C119" s="19"/>
      <c r="D119" s="7"/>
      <c r="E119" s="7"/>
      <c r="F119" s="7"/>
      <c r="G119" s="7"/>
      <c r="H119" s="6"/>
      <c r="I119" s="7"/>
      <c r="J119" s="7"/>
      <c r="K119" s="7"/>
      <c r="L119" s="7"/>
      <c r="M119" s="52"/>
      <c r="N119" s="7"/>
      <c r="O119" s="7"/>
      <c r="P119" s="47"/>
      <c r="Q119" s="47"/>
      <c r="R119" s="7"/>
      <c r="S119" s="51"/>
      <c r="T119" s="51"/>
      <c r="U119" s="7"/>
      <c r="V119" s="57"/>
      <c r="W119" s="57"/>
      <c r="X119" s="57"/>
    </row>
    <row r="120" spans="1:24" ht="12.5" x14ac:dyDescent="0.25">
      <c r="A120" s="34"/>
      <c r="B120" s="7"/>
      <c r="C120" s="19"/>
      <c r="D120" s="7"/>
      <c r="E120" s="7"/>
      <c r="F120" s="7"/>
      <c r="G120" s="7"/>
      <c r="H120" s="6"/>
      <c r="I120" s="7"/>
      <c r="J120" s="7"/>
      <c r="K120" s="7"/>
      <c r="L120" s="7"/>
      <c r="M120" s="52"/>
      <c r="N120" s="7"/>
      <c r="O120" s="7"/>
      <c r="P120" s="47"/>
      <c r="Q120" s="47"/>
      <c r="R120" s="7"/>
      <c r="S120" s="51"/>
      <c r="T120" s="51"/>
      <c r="U120" s="7"/>
      <c r="V120" s="57"/>
      <c r="W120" s="57"/>
      <c r="X120" s="57"/>
    </row>
    <row r="121" spans="1:24" ht="12.5" x14ac:dyDescent="0.25">
      <c r="A121" s="34"/>
      <c r="B121" s="7"/>
      <c r="C121" s="19"/>
      <c r="D121" s="7"/>
      <c r="E121" s="7"/>
      <c r="F121" s="7"/>
      <c r="G121" s="7"/>
      <c r="H121" s="6"/>
      <c r="I121" s="7"/>
      <c r="J121" s="7"/>
      <c r="K121" s="7"/>
      <c r="L121" s="7"/>
      <c r="M121" s="52"/>
      <c r="N121" s="7"/>
      <c r="O121" s="7"/>
      <c r="P121" s="47"/>
      <c r="Q121" s="47"/>
      <c r="R121" s="7"/>
      <c r="S121" s="51"/>
      <c r="T121" s="51"/>
      <c r="U121" s="7"/>
      <c r="V121" s="57"/>
      <c r="W121" s="57"/>
      <c r="X121" s="57"/>
    </row>
    <row r="122" spans="1:24" ht="12.5" x14ac:dyDescent="0.25">
      <c r="A122" s="34"/>
      <c r="B122" s="7"/>
      <c r="C122" s="19"/>
      <c r="D122" s="7"/>
      <c r="E122" s="7"/>
      <c r="F122" s="7"/>
      <c r="G122" s="7"/>
      <c r="H122" s="6"/>
      <c r="I122" s="7"/>
      <c r="J122" s="7"/>
      <c r="K122" s="7"/>
      <c r="L122" s="7"/>
      <c r="M122" s="52"/>
      <c r="N122" s="7"/>
      <c r="O122" s="7"/>
      <c r="P122" s="47"/>
      <c r="Q122" s="47"/>
      <c r="R122" s="7"/>
      <c r="S122" s="51"/>
      <c r="T122" s="51"/>
      <c r="U122" s="7"/>
      <c r="V122" s="57"/>
      <c r="W122" s="57"/>
      <c r="X122" s="57"/>
    </row>
    <row r="123" spans="1:24" ht="12.5" x14ac:dyDescent="0.25">
      <c r="A123" s="34"/>
      <c r="B123" s="7"/>
      <c r="C123" s="19"/>
      <c r="D123" s="7"/>
      <c r="E123" s="7"/>
      <c r="F123" s="7"/>
      <c r="G123" s="7"/>
      <c r="H123" s="6"/>
      <c r="I123" s="7"/>
      <c r="J123" s="7"/>
      <c r="K123" s="7"/>
      <c r="L123" s="7"/>
      <c r="M123" s="52"/>
      <c r="N123" s="7"/>
      <c r="O123" s="7"/>
      <c r="P123" s="47"/>
      <c r="Q123" s="47"/>
      <c r="R123" s="7"/>
      <c r="S123" s="51"/>
      <c r="T123" s="51"/>
      <c r="U123" s="7"/>
      <c r="V123" s="57"/>
      <c r="W123" s="57"/>
      <c r="X123" s="57"/>
    </row>
    <row r="124" spans="1:24" ht="12.5" x14ac:dyDescent="0.25">
      <c r="A124" s="34"/>
      <c r="B124" s="7"/>
      <c r="C124" s="19"/>
      <c r="D124" s="7"/>
      <c r="E124" s="7"/>
      <c r="F124" s="7"/>
      <c r="G124" s="7"/>
      <c r="H124" s="6"/>
      <c r="I124" s="7"/>
      <c r="J124" s="7"/>
      <c r="K124" s="7"/>
      <c r="L124" s="7"/>
      <c r="M124" s="52"/>
      <c r="N124" s="7"/>
      <c r="O124" s="7"/>
      <c r="P124" s="47"/>
      <c r="Q124" s="47"/>
      <c r="R124" s="7"/>
      <c r="S124" s="51"/>
      <c r="T124" s="51"/>
      <c r="U124" s="7"/>
      <c r="V124" s="57"/>
      <c r="W124" s="57"/>
      <c r="X124" s="57"/>
    </row>
    <row r="125" spans="1:24" ht="12.5" x14ac:dyDescent="0.25">
      <c r="A125" s="34"/>
      <c r="B125" s="7"/>
      <c r="C125" s="19"/>
      <c r="D125" s="7"/>
      <c r="E125" s="7"/>
      <c r="F125" s="7"/>
      <c r="G125" s="7"/>
      <c r="H125" s="6"/>
      <c r="I125" s="7"/>
      <c r="J125" s="7"/>
      <c r="K125" s="7"/>
      <c r="L125" s="7"/>
      <c r="M125" s="52"/>
      <c r="N125" s="7"/>
      <c r="O125" s="7"/>
      <c r="P125" s="47"/>
      <c r="Q125" s="47"/>
      <c r="R125" s="7"/>
      <c r="S125" s="51"/>
      <c r="T125" s="51"/>
      <c r="U125" s="7"/>
      <c r="V125" s="57"/>
      <c r="W125" s="57"/>
      <c r="X125" s="57"/>
    </row>
    <row r="126" spans="1:24" ht="12.5" x14ac:dyDescent="0.25">
      <c r="A126" s="34"/>
      <c r="B126" s="7"/>
      <c r="C126" s="19"/>
      <c r="D126" s="7"/>
      <c r="E126" s="7"/>
      <c r="F126" s="7"/>
      <c r="G126" s="7"/>
      <c r="H126" s="6"/>
      <c r="I126" s="7"/>
      <c r="J126" s="7"/>
      <c r="K126" s="7"/>
      <c r="L126" s="7"/>
      <c r="M126" s="52"/>
      <c r="N126" s="7"/>
      <c r="O126" s="7"/>
      <c r="P126" s="47"/>
      <c r="Q126" s="47"/>
      <c r="R126" s="7"/>
      <c r="S126" s="51"/>
      <c r="T126" s="51"/>
      <c r="U126" s="7"/>
      <c r="V126" s="57"/>
      <c r="W126" s="57"/>
      <c r="X126" s="57"/>
    </row>
    <row r="127" spans="1:24" ht="12.5" x14ac:dyDescent="0.25">
      <c r="A127" s="34"/>
      <c r="B127" s="7"/>
      <c r="C127" s="19"/>
      <c r="D127" s="7"/>
      <c r="E127" s="7"/>
      <c r="F127" s="7"/>
      <c r="G127" s="7"/>
      <c r="H127" s="6"/>
      <c r="I127" s="7"/>
      <c r="J127" s="7"/>
      <c r="K127" s="7"/>
      <c r="L127" s="7"/>
      <c r="M127" s="52"/>
      <c r="N127" s="7"/>
      <c r="O127" s="7"/>
      <c r="P127" s="47"/>
      <c r="Q127" s="47"/>
      <c r="R127" s="7"/>
      <c r="S127" s="51"/>
      <c r="T127" s="51"/>
      <c r="U127" s="7"/>
      <c r="V127" s="57"/>
      <c r="W127" s="57"/>
      <c r="X127" s="57"/>
    </row>
    <row r="128" spans="1:24" ht="12.5" x14ac:dyDescent="0.25">
      <c r="A128" s="34"/>
      <c r="B128" s="7"/>
      <c r="C128" s="19"/>
      <c r="D128" s="7"/>
      <c r="E128" s="7"/>
      <c r="F128" s="7"/>
      <c r="G128" s="7"/>
      <c r="H128" s="6"/>
      <c r="I128" s="7"/>
      <c r="J128" s="7"/>
      <c r="K128" s="7"/>
      <c r="L128" s="7"/>
      <c r="M128" s="52"/>
      <c r="N128" s="7"/>
      <c r="O128" s="7"/>
      <c r="P128" s="47"/>
      <c r="Q128" s="47"/>
      <c r="R128" s="7"/>
      <c r="S128" s="51"/>
      <c r="T128" s="51"/>
      <c r="U128" s="7"/>
      <c r="V128" s="57"/>
      <c r="W128" s="57"/>
      <c r="X128" s="57"/>
    </row>
    <row r="129" spans="1:24" ht="12.5" x14ac:dyDescent="0.25">
      <c r="A129" s="34"/>
      <c r="B129" s="7"/>
      <c r="C129" s="19"/>
      <c r="D129" s="7"/>
      <c r="E129" s="7"/>
      <c r="F129" s="7"/>
      <c r="G129" s="7"/>
      <c r="H129" s="6"/>
      <c r="I129" s="7"/>
      <c r="J129" s="7"/>
      <c r="K129" s="7"/>
      <c r="L129" s="7"/>
      <c r="M129" s="52"/>
      <c r="N129" s="7"/>
      <c r="O129" s="7"/>
      <c r="P129" s="47"/>
      <c r="Q129" s="47"/>
      <c r="R129" s="7"/>
      <c r="S129" s="51"/>
      <c r="T129" s="51"/>
      <c r="U129" s="7"/>
      <c r="V129" s="57"/>
      <c r="W129" s="57"/>
      <c r="X129" s="57"/>
    </row>
    <row r="130" spans="1:24" ht="12.5" x14ac:dyDescent="0.25">
      <c r="A130" s="34"/>
      <c r="B130" s="7"/>
      <c r="C130" s="19"/>
      <c r="D130" s="7"/>
      <c r="E130" s="7"/>
      <c r="F130" s="7"/>
      <c r="G130" s="7"/>
      <c r="H130" s="6"/>
      <c r="I130" s="7"/>
      <c r="J130" s="7"/>
      <c r="K130" s="7"/>
      <c r="L130" s="7"/>
      <c r="M130" s="52"/>
      <c r="N130" s="7"/>
      <c r="O130" s="7"/>
      <c r="P130" s="47"/>
      <c r="Q130" s="47"/>
      <c r="R130" s="7"/>
      <c r="S130" s="51"/>
      <c r="T130" s="51"/>
      <c r="U130" s="7"/>
      <c r="V130" s="57"/>
      <c r="W130" s="57"/>
      <c r="X130" s="57"/>
    </row>
    <row r="131" spans="1:24" ht="12.5" x14ac:dyDescent="0.25">
      <c r="A131" s="34"/>
      <c r="B131" s="7"/>
      <c r="C131" s="19"/>
      <c r="D131" s="7"/>
      <c r="E131" s="7"/>
      <c r="F131" s="7"/>
      <c r="G131" s="7"/>
      <c r="H131" s="6"/>
      <c r="I131" s="7"/>
      <c r="J131" s="7"/>
      <c r="K131" s="7"/>
      <c r="L131" s="7"/>
      <c r="M131" s="52"/>
      <c r="N131" s="7"/>
      <c r="O131" s="7"/>
      <c r="P131" s="47"/>
      <c r="Q131" s="47"/>
      <c r="R131" s="7"/>
      <c r="S131" s="51"/>
      <c r="T131" s="51"/>
      <c r="U131" s="7"/>
      <c r="V131" s="57"/>
      <c r="W131" s="57"/>
      <c r="X131" s="57"/>
    </row>
    <row r="132" spans="1:24" ht="12.5" x14ac:dyDescent="0.25">
      <c r="A132" s="34"/>
      <c r="B132" s="7"/>
      <c r="C132" s="19"/>
      <c r="D132" s="7"/>
      <c r="E132" s="7"/>
      <c r="F132" s="7"/>
      <c r="G132" s="7"/>
      <c r="H132" s="6"/>
      <c r="I132" s="7"/>
      <c r="J132" s="7"/>
      <c r="K132" s="7"/>
      <c r="L132" s="7"/>
      <c r="M132" s="52"/>
      <c r="N132" s="7"/>
      <c r="O132" s="7"/>
      <c r="P132" s="47"/>
      <c r="Q132" s="47"/>
      <c r="R132" s="7"/>
      <c r="S132" s="51"/>
      <c r="T132" s="51"/>
      <c r="U132" s="7"/>
      <c r="V132" s="57"/>
      <c r="W132" s="57"/>
      <c r="X132" s="57"/>
    </row>
    <row r="133" spans="1:24" ht="12.5" x14ac:dyDescent="0.25">
      <c r="A133" s="34"/>
      <c r="B133" s="7"/>
      <c r="C133" s="19"/>
      <c r="D133" s="7"/>
      <c r="E133" s="7"/>
      <c r="F133" s="7"/>
      <c r="G133" s="7"/>
      <c r="H133" s="6"/>
      <c r="I133" s="7"/>
      <c r="J133" s="7"/>
      <c r="K133" s="7"/>
      <c r="L133" s="7"/>
      <c r="M133" s="52"/>
      <c r="N133" s="7"/>
      <c r="O133" s="7"/>
      <c r="P133" s="47"/>
      <c r="Q133" s="47"/>
      <c r="R133" s="7"/>
      <c r="S133" s="51"/>
      <c r="T133" s="51"/>
      <c r="U133" s="7"/>
      <c r="V133" s="57"/>
      <c r="W133" s="57"/>
      <c r="X133" s="57"/>
    </row>
    <row r="134" spans="1:24" ht="12.5" x14ac:dyDescent="0.25">
      <c r="A134" s="34"/>
      <c r="B134" s="7"/>
      <c r="C134" s="19"/>
      <c r="D134" s="7"/>
      <c r="E134" s="7"/>
      <c r="F134" s="7"/>
      <c r="G134" s="7"/>
      <c r="H134" s="6"/>
      <c r="I134" s="7"/>
      <c r="J134" s="7"/>
      <c r="K134" s="7"/>
      <c r="L134" s="7"/>
      <c r="M134" s="52"/>
      <c r="N134" s="7"/>
      <c r="O134" s="7"/>
      <c r="P134" s="47"/>
      <c r="Q134" s="47"/>
      <c r="R134" s="7"/>
      <c r="S134" s="51"/>
      <c r="T134" s="51"/>
      <c r="U134" s="7"/>
      <c r="V134" s="57"/>
      <c r="W134" s="57"/>
      <c r="X134" s="57"/>
    </row>
    <row r="135" spans="1:24" ht="12.5" x14ac:dyDescent="0.25">
      <c r="A135" s="34"/>
      <c r="B135" s="7"/>
      <c r="C135" s="19"/>
      <c r="D135" s="7"/>
      <c r="E135" s="7"/>
      <c r="F135" s="7"/>
      <c r="G135" s="7"/>
      <c r="H135" s="6"/>
      <c r="I135" s="7"/>
      <c r="J135" s="7"/>
      <c r="K135" s="7"/>
      <c r="L135" s="7"/>
      <c r="M135" s="52"/>
      <c r="N135" s="7"/>
      <c r="O135" s="7"/>
      <c r="P135" s="47"/>
      <c r="Q135" s="47"/>
      <c r="R135" s="7"/>
      <c r="S135" s="51"/>
      <c r="T135" s="51"/>
      <c r="U135" s="7"/>
      <c r="V135" s="57"/>
      <c r="W135" s="57"/>
      <c r="X135" s="57"/>
    </row>
    <row r="136" spans="1:24" ht="12.5" x14ac:dyDescent="0.25">
      <c r="A136" s="34"/>
      <c r="B136" s="7"/>
      <c r="C136" s="19"/>
      <c r="D136" s="7"/>
      <c r="E136" s="7"/>
      <c r="F136" s="7"/>
      <c r="G136" s="7"/>
      <c r="H136" s="6"/>
      <c r="I136" s="7"/>
      <c r="J136" s="7"/>
      <c r="K136" s="7"/>
      <c r="L136" s="7"/>
      <c r="M136" s="52"/>
      <c r="N136" s="7"/>
      <c r="O136" s="7"/>
      <c r="P136" s="47"/>
      <c r="Q136" s="47"/>
      <c r="R136" s="7"/>
      <c r="S136" s="51"/>
      <c r="T136" s="51"/>
      <c r="U136" s="7"/>
      <c r="V136" s="57"/>
      <c r="W136" s="57"/>
      <c r="X136" s="57"/>
    </row>
    <row r="137" spans="1:24" ht="12.5" x14ac:dyDescent="0.25">
      <c r="A137" s="34"/>
      <c r="B137" s="7"/>
      <c r="C137" s="19"/>
      <c r="D137" s="7"/>
      <c r="E137" s="7"/>
      <c r="F137" s="7"/>
      <c r="G137" s="7"/>
      <c r="H137" s="6"/>
      <c r="I137" s="7"/>
      <c r="J137" s="7"/>
      <c r="K137" s="7"/>
      <c r="L137" s="7"/>
      <c r="M137" s="52"/>
      <c r="N137" s="7"/>
      <c r="O137" s="7"/>
      <c r="P137" s="47"/>
      <c r="Q137" s="47"/>
      <c r="R137" s="7"/>
      <c r="S137" s="51"/>
      <c r="T137" s="51"/>
      <c r="U137" s="7"/>
      <c r="V137" s="57"/>
      <c r="W137" s="57"/>
      <c r="X137" s="57"/>
    </row>
    <row r="138" spans="1:24" ht="12.5" x14ac:dyDescent="0.25">
      <c r="A138" s="34"/>
      <c r="B138" s="7"/>
      <c r="C138" s="19"/>
      <c r="D138" s="7"/>
      <c r="E138" s="7"/>
      <c r="F138" s="7"/>
      <c r="G138" s="7"/>
      <c r="H138" s="6"/>
      <c r="I138" s="7"/>
      <c r="J138" s="7"/>
      <c r="K138" s="7"/>
      <c r="L138" s="7"/>
      <c r="M138" s="52"/>
      <c r="N138" s="7"/>
      <c r="O138" s="7"/>
      <c r="P138" s="47"/>
      <c r="Q138" s="47"/>
      <c r="R138" s="7"/>
      <c r="S138" s="51"/>
      <c r="T138" s="51"/>
      <c r="U138" s="7"/>
      <c r="V138" s="57"/>
      <c r="W138" s="57"/>
      <c r="X138" s="57"/>
    </row>
    <row r="139" spans="1:24" ht="12.5" x14ac:dyDescent="0.25">
      <c r="A139" s="34"/>
      <c r="B139" s="7"/>
      <c r="C139" s="19"/>
      <c r="D139" s="7"/>
      <c r="E139" s="7"/>
      <c r="F139" s="7"/>
      <c r="G139" s="7"/>
      <c r="H139" s="6"/>
      <c r="I139" s="7"/>
      <c r="J139" s="7"/>
      <c r="K139" s="7"/>
      <c r="L139" s="7"/>
      <c r="M139" s="52"/>
      <c r="N139" s="7"/>
      <c r="O139" s="7"/>
      <c r="P139" s="47"/>
      <c r="Q139" s="47"/>
      <c r="R139" s="7"/>
      <c r="S139" s="51"/>
      <c r="T139" s="51"/>
      <c r="U139" s="7"/>
      <c r="V139" s="57"/>
      <c r="W139" s="57"/>
      <c r="X139" s="57"/>
    </row>
    <row r="140" spans="1:24" ht="12.5" x14ac:dyDescent="0.25">
      <c r="A140" s="34"/>
      <c r="B140" s="7"/>
      <c r="C140" s="19"/>
      <c r="D140" s="7"/>
      <c r="E140" s="7"/>
      <c r="F140" s="7"/>
      <c r="G140" s="7"/>
      <c r="H140" s="6"/>
      <c r="I140" s="7"/>
      <c r="J140" s="7"/>
      <c r="K140" s="7"/>
      <c r="L140" s="7"/>
      <c r="M140" s="52"/>
      <c r="N140" s="7"/>
      <c r="O140" s="7"/>
      <c r="P140" s="47"/>
      <c r="Q140" s="47"/>
      <c r="R140" s="7"/>
      <c r="S140" s="51"/>
      <c r="T140" s="51"/>
      <c r="U140" s="7"/>
      <c r="V140" s="57"/>
      <c r="W140" s="57"/>
      <c r="X140" s="57"/>
    </row>
    <row r="141" spans="1:24" ht="12.5" x14ac:dyDescent="0.25">
      <c r="A141" s="34"/>
      <c r="B141" s="7"/>
      <c r="C141" s="19"/>
      <c r="D141" s="7"/>
      <c r="E141" s="7"/>
      <c r="F141" s="7"/>
      <c r="G141" s="7"/>
      <c r="H141" s="6"/>
      <c r="I141" s="7"/>
      <c r="J141" s="7"/>
      <c r="K141" s="7"/>
      <c r="L141" s="7"/>
      <c r="M141" s="52"/>
      <c r="N141" s="7"/>
      <c r="O141" s="7"/>
      <c r="P141" s="47"/>
      <c r="Q141" s="47"/>
      <c r="R141" s="7"/>
      <c r="S141" s="51"/>
      <c r="T141" s="51"/>
      <c r="U141" s="7"/>
      <c r="V141" s="57"/>
      <c r="W141" s="57"/>
      <c r="X141" s="57"/>
    </row>
    <row r="142" spans="1:24" ht="12.5" x14ac:dyDescent="0.25">
      <c r="A142" s="34"/>
      <c r="B142" s="7"/>
      <c r="C142" s="19"/>
      <c r="D142" s="7"/>
      <c r="E142" s="7"/>
      <c r="F142" s="7"/>
      <c r="G142" s="7"/>
      <c r="H142" s="6"/>
      <c r="I142" s="7"/>
      <c r="J142" s="7"/>
      <c r="K142" s="7"/>
      <c r="L142" s="7"/>
      <c r="M142" s="52"/>
      <c r="N142" s="7"/>
      <c r="O142" s="7"/>
      <c r="P142" s="47"/>
      <c r="Q142" s="47"/>
      <c r="R142" s="7"/>
      <c r="S142" s="51"/>
      <c r="T142" s="51"/>
      <c r="U142" s="7"/>
      <c r="V142" s="57"/>
      <c r="W142" s="57"/>
      <c r="X142" s="57"/>
    </row>
    <row r="143" spans="1:24" ht="12.5" x14ac:dyDescent="0.25">
      <c r="A143" s="34"/>
      <c r="B143" s="7"/>
      <c r="C143" s="19"/>
      <c r="D143" s="7"/>
      <c r="E143" s="7"/>
      <c r="F143" s="7"/>
      <c r="G143" s="7"/>
      <c r="H143" s="6"/>
      <c r="I143" s="7"/>
      <c r="J143" s="7"/>
      <c r="K143" s="7"/>
      <c r="L143" s="7"/>
      <c r="M143" s="52"/>
      <c r="N143" s="7"/>
      <c r="O143" s="7"/>
      <c r="P143" s="47"/>
      <c r="Q143" s="47"/>
      <c r="R143" s="7"/>
      <c r="S143" s="51"/>
      <c r="T143" s="51"/>
      <c r="U143" s="7"/>
      <c r="V143" s="57"/>
      <c r="W143" s="57"/>
      <c r="X143" s="57"/>
    </row>
    <row r="144" spans="1:24" ht="12.5" x14ac:dyDescent="0.25">
      <c r="A144" s="34"/>
      <c r="B144" s="7"/>
      <c r="C144" s="19"/>
      <c r="D144" s="7"/>
      <c r="E144" s="7"/>
      <c r="F144" s="7"/>
      <c r="G144" s="7"/>
      <c r="H144" s="6"/>
      <c r="I144" s="7"/>
      <c r="J144" s="7"/>
      <c r="K144" s="7"/>
      <c r="L144" s="7"/>
      <c r="M144" s="52"/>
      <c r="N144" s="7"/>
      <c r="O144" s="7"/>
      <c r="P144" s="47"/>
      <c r="Q144" s="47"/>
      <c r="R144" s="7"/>
      <c r="S144" s="51"/>
      <c r="T144" s="51"/>
      <c r="U144" s="7"/>
      <c r="V144" s="57"/>
      <c r="W144" s="57"/>
      <c r="X144" s="57"/>
    </row>
    <row r="145" spans="1:24" ht="12.5" x14ac:dyDescent="0.25">
      <c r="A145" s="34"/>
      <c r="B145" s="7"/>
      <c r="C145" s="19"/>
      <c r="D145" s="7"/>
      <c r="E145" s="7"/>
      <c r="F145" s="7"/>
      <c r="G145" s="7"/>
      <c r="H145" s="6"/>
      <c r="I145" s="7"/>
      <c r="J145" s="7"/>
      <c r="K145" s="7"/>
      <c r="L145" s="7"/>
      <c r="M145" s="52"/>
      <c r="N145" s="7"/>
      <c r="O145" s="7"/>
      <c r="P145" s="47"/>
      <c r="Q145" s="47"/>
      <c r="R145" s="7"/>
      <c r="S145" s="51"/>
      <c r="T145" s="51"/>
      <c r="U145" s="7"/>
      <c r="V145" s="57"/>
      <c r="W145" s="57"/>
      <c r="X145" s="57"/>
    </row>
    <row r="146" spans="1:24" ht="12.5" x14ac:dyDescent="0.25">
      <c r="A146" s="34"/>
      <c r="B146" s="7"/>
      <c r="C146" s="19"/>
      <c r="D146" s="7"/>
      <c r="E146" s="7"/>
      <c r="F146" s="7"/>
      <c r="G146" s="7"/>
      <c r="H146" s="6"/>
      <c r="I146" s="7"/>
      <c r="J146" s="7"/>
      <c r="K146" s="7"/>
      <c r="L146" s="7"/>
      <c r="M146" s="52"/>
      <c r="N146" s="7"/>
      <c r="O146" s="7"/>
      <c r="P146" s="47"/>
      <c r="Q146" s="47"/>
      <c r="R146" s="7"/>
      <c r="S146" s="51"/>
      <c r="T146" s="51"/>
      <c r="U146" s="7"/>
      <c r="V146" s="57"/>
      <c r="W146" s="57"/>
      <c r="X146" s="57"/>
    </row>
    <row r="147" spans="1:24" ht="12.5" x14ac:dyDescent="0.25">
      <c r="A147" s="34"/>
      <c r="B147" s="7"/>
      <c r="C147" s="19"/>
      <c r="D147" s="7"/>
      <c r="E147" s="7"/>
      <c r="F147" s="7"/>
      <c r="G147" s="7"/>
      <c r="H147" s="6"/>
      <c r="I147" s="7"/>
      <c r="J147" s="7"/>
      <c r="K147" s="7"/>
      <c r="L147" s="7"/>
      <c r="M147" s="52"/>
      <c r="N147" s="7"/>
      <c r="O147" s="7"/>
      <c r="P147" s="47"/>
      <c r="Q147" s="47"/>
      <c r="R147" s="7"/>
      <c r="S147" s="51"/>
      <c r="T147" s="51"/>
      <c r="U147" s="7"/>
      <c r="V147" s="57"/>
      <c r="W147" s="57"/>
      <c r="X147" s="57"/>
    </row>
    <row r="148" spans="1:24" ht="12.5" x14ac:dyDescent="0.25">
      <c r="A148" s="34"/>
      <c r="B148" s="7"/>
      <c r="C148" s="19"/>
      <c r="D148" s="7"/>
      <c r="E148" s="7"/>
      <c r="F148" s="7"/>
      <c r="G148" s="7"/>
      <c r="H148" s="6"/>
      <c r="I148" s="7"/>
      <c r="J148" s="7"/>
      <c r="K148" s="7"/>
      <c r="L148" s="7"/>
      <c r="M148" s="52"/>
      <c r="N148" s="7"/>
      <c r="O148" s="7"/>
      <c r="P148" s="47"/>
      <c r="Q148" s="47"/>
      <c r="R148" s="7"/>
      <c r="S148" s="51"/>
      <c r="T148" s="51"/>
      <c r="U148" s="7"/>
      <c r="V148" s="57"/>
      <c r="W148" s="57"/>
      <c r="X148" s="57"/>
    </row>
    <row r="149" spans="1:24" ht="12.5" x14ac:dyDescent="0.25">
      <c r="A149" s="34"/>
      <c r="B149" s="7"/>
      <c r="C149" s="19"/>
      <c r="D149" s="7"/>
      <c r="E149" s="7"/>
      <c r="F149" s="7"/>
      <c r="G149" s="7"/>
      <c r="H149" s="6"/>
      <c r="I149" s="7"/>
      <c r="J149" s="7"/>
      <c r="K149" s="7"/>
      <c r="L149" s="7"/>
      <c r="M149" s="52"/>
      <c r="N149" s="7"/>
      <c r="O149" s="7"/>
      <c r="P149" s="47"/>
      <c r="Q149" s="47"/>
      <c r="R149" s="7"/>
      <c r="S149" s="51"/>
      <c r="T149" s="51"/>
      <c r="U149" s="7"/>
      <c r="V149" s="57"/>
      <c r="W149" s="57"/>
      <c r="X149" s="57"/>
    </row>
    <row r="150" spans="1:24" ht="12.5" x14ac:dyDescent="0.25">
      <c r="A150" s="34"/>
      <c r="B150" s="7"/>
      <c r="C150" s="19"/>
      <c r="D150" s="7"/>
      <c r="E150" s="7"/>
      <c r="F150" s="7"/>
      <c r="G150" s="7"/>
      <c r="H150" s="6"/>
      <c r="I150" s="7"/>
      <c r="J150" s="7"/>
      <c r="K150" s="7"/>
      <c r="L150" s="7"/>
      <c r="M150" s="52"/>
      <c r="N150" s="7"/>
      <c r="O150" s="7"/>
      <c r="P150" s="47"/>
      <c r="Q150" s="47"/>
      <c r="R150" s="7"/>
      <c r="S150" s="51"/>
      <c r="T150" s="51"/>
      <c r="U150" s="7"/>
      <c r="V150" s="57"/>
      <c r="W150" s="57"/>
      <c r="X150" s="57"/>
    </row>
    <row r="151" spans="1:24" ht="12.5" x14ac:dyDescent="0.25">
      <c r="A151" s="34"/>
      <c r="B151" s="7"/>
      <c r="C151" s="19"/>
      <c r="D151" s="7"/>
      <c r="E151" s="7"/>
      <c r="F151" s="7"/>
      <c r="G151" s="7"/>
      <c r="H151" s="6"/>
      <c r="I151" s="7"/>
      <c r="J151" s="7"/>
      <c r="K151" s="7"/>
      <c r="L151" s="7"/>
      <c r="M151" s="52"/>
      <c r="N151" s="7"/>
      <c r="O151" s="7"/>
      <c r="P151" s="47"/>
      <c r="Q151" s="47"/>
      <c r="R151" s="7"/>
      <c r="S151" s="51"/>
      <c r="T151" s="51"/>
      <c r="U151" s="7"/>
      <c r="V151" s="57"/>
      <c r="W151" s="57"/>
      <c r="X151" s="57"/>
    </row>
    <row r="152" spans="1:24" ht="12.5" x14ac:dyDescent="0.25">
      <c r="A152" s="34"/>
      <c r="B152" s="7"/>
      <c r="C152" s="19"/>
      <c r="D152" s="7"/>
      <c r="E152" s="7"/>
      <c r="F152" s="7"/>
      <c r="G152" s="7"/>
      <c r="H152" s="6"/>
      <c r="I152" s="7"/>
      <c r="J152" s="7"/>
      <c r="K152" s="7"/>
      <c r="L152" s="7"/>
      <c r="M152" s="52"/>
      <c r="N152" s="7"/>
      <c r="O152" s="7"/>
      <c r="P152" s="47"/>
      <c r="Q152" s="47"/>
      <c r="R152" s="7"/>
      <c r="S152" s="51"/>
      <c r="T152" s="51"/>
      <c r="U152" s="7"/>
      <c r="V152" s="57"/>
      <c r="W152" s="57"/>
      <c r="X152" s="57"/>
    </row>
    <row r="153" spans="1:24" ht="12.5" x14ac:dyDescent="0.25">
      <c r="A153" s="34"/>
      <c r="B153" s="7"/>
      <c r="C153" s="19"/>
      <c r="D153" s="7"/>
      <c r="E153" s="7"/>
      <c r="F153" s="7"/>
      <c r="G153" s="7"/>
      <c r="H153" s="6"/>
      <c r="I153" s="7"/>
      <c r="J153" s="7"/>
      <c r="K153" s="7"/>
      <c r="L153" s="7"/>
      <c r="M153" s="52"/>
      <c r="N153" s="7"/>
      <c r="O153" s="7"/>
      <c r="P153" s="47"/>
      <c r="Q153" s="47"/>
      <c r="R153" s="7"/>
      <c r="S153" s="51"/>
      <c r="T153" s="51"/>
      <c r="U153" s="7"/>
      <c r="V153" s="57"/>
      <c r="W153" s="57"/>
      <c r="X153" s="57"/>
    </row>
    <row r="154" spans="1:24" ht="12.5" x14ac:dyDescent="0.25">
      <c r="A154" s="34"/>
      <c r="B154" s="7"/>
      <c r="C154" s="19"/>
      <c r="D154" s="7"/>
      <c r="E154" s="7"/>
      <c r="F154" s="7"/>
      <c r="G154" s="7"/>
      <c r="H154" s="6"/>
      <c r="I154" s="7"/>
      <c r="J154" s="7"/>
      <c r="K154" s="7"/>
      <c r="L154" s="7"/>
      <c r="M154" s="52"/>
      <c r="N154" s="7"/>
      <c r="O154" s="7"/>
      <c r="P154" s="47"/>
      <c r="Q154" s="47"/>
      <c r="R154" s="7"/>
      <c r="S154" s="51"/>
      <c r="T154" s="51"/>
      <c r="U154" s="7"/>
      <c r="V154" s="57"/>
      <c r="W154" s="57"/>
      <c r="X154" s="57"/>
    </row>
    <row r="155" spans="1:24" ht="12.5" x14ac:dyDescent="0.25">
      <c r="A155" s="34"/>
      <c r="B155" s="7"/>
      <c r="C155" s="19"/>
      <c r="D155" s="7"/>
      <c r="E155" s="7"/>
      <c r="F155" s="7"/>
      <c r="G155" s="7"/>
      <c r="H155" s="6"/>
      <c r="I155" s="7"/>
      <c r="J155" s="7"/>
      <c r="K155" s="7"/>
      <c r="L155" s="7"/>
      <c r="M155" s="52"/>
      <c r="N155" s="7"/>
      <c r="O155" s="7"/>
      <c r="P155" s="47"/>
      <c r="Q155" s="47"/>
      <c r="R155" s="7"/>
      <c r="S155" s="51"/>
      <c r="T155" s="51"/>
      <c r="U155" s="7"/>
      <c r="V155" s="57"/>
      <c r="W155" s="57"/>
      <c r="X155" s="57"/>
    </row>
    <row r="156" spans="1:24" ht="12.5" x14ac:dyDescent="0.25">
      <c r="A156" s="34"/>
      <c r="B156" s="7"/>
      <c r="C156" s="19"/>
      <c r="D156" s="7"/>
      <c r="E156" s="7"/>
      <c r="F156" s="7"/>
      <c r="G156" s="7"/>
      <c r="H156" s="6"/>
      <c r="I156" s="7"/>
      <c r="J156" s="7"/>
      <c r="K156" s="7"/>
      <c r="L156" s="7"/>
      <c r="M156" s="52"/>
      <c r="N156" s="7"/>
      <c r="O156" s="7"/>
      <c r="P156" s="47"/>
      <c r="Q156" s="47"/>
      <c r="R156" s="7"/>
      <c r="S156" s="51"/>
      <c r="T156" s="51"/>
      <c r="U156" s="7"/>
      <c r="V156" s="57"/>
      <c r="W156" s="57"/>
      <c r="X156" s="57"/>
    </row>
    <row r="157" spans="1:24" ht="12.5" x14ac:dyDescent="0.25">
      <c r="A157" s="34"/>
      <c r="B157" s="7"/>
      <c r="C157" s="19"/>
      <c r="D157" s="7"/>
      <c r="E157" s="7"/>
      <c r="F157" s="7"/>
      <c r="G157" s="7"/>
      <c r="H157" s="6"/>
      <c r="I157" s="7"/>
      <c r="J157" s="7"/>
      <c r="K157" s="7"/>
      <c r="L157" s="7"/>
      <c r="M157" s="52"/>
      <c r="N157" s="7"/>
      <c r="O157" s="7"/>
      <c r="P157" s="47"/>
      <c r="Q157" s="47"/>
      <c r="R157" s="7"/>
      <c r="S157" s="51"/>
      <c r="T157" s="51"/>
      <c r="U157" s="7"/>
      <c r="V157" s="57"/>
      <c r="W157" s="57"/>
      <c r="X157" s="57"/>
    </row>
    <row r="158" spans="1:24" ht="12.5" x14ac:dyDescent="0.25">
      <c r="A158" s="34"/>
      <c r="B158" s="7"/>
      <c r="C158" s="19"/>
      <c r="D158" s="7"/>
      <c r="E158" s="7"/>
      <c r="F158" s="7"/>
      <c r="G158" s="7"/>
      <c r="H158" s="6"/>
      <c r="I158" s="7"/>
      <c r="J158" s="7"/>
      <c r="K158" s="7"/>
      <c r="L158" s="7"/>
      <c r="M158" s="52"/>
      <c r="N158" s="7"/>
      <c r="O158" s="7"/>
      <c r="P158" s="47"/>
      <c r="Q158" s="47"/>
      <c r="R158" s="7"/>
      <c r="S158" s="51"/>
      <c r="T158" s="51"/>
      <c r="U158" s="7"/>
      <c r="V158" s="57"/>
      <c r="W158" s="57"/>
      <c r="X158" s="57"/>
    </row>
    <row r="159" spans="1:24" ht="12.5" x14ac:dyDescent="0.25">
      <c r="A159" s="34"/>
      <c r="B159" s="7"/>
      <c r="C159" s="19"/>
      <c r="D159" s="7"/>
      <c r="E159" s="7"/>
      <c r="F159" s="7"/>
      <c r="G159" s="7"/>
      <c r="H159" s="6"/>
      <c r="I159" s="7"/>
      <c r="J159" s="7"/>
      <c r="K159" s="7"/>
      <c r="L159" s="7"/>
      <c r="M159" s="52"/>
      <c r="N159" s="7"/>
      <c r="O159" s="7"/>
      <c r="P159" s="47"/>
      <c r="Q159" s="47"/>
      <c r="R159" s="7"/>
      <c r="S159" s="51"/>
      <c r="T159" s="51"/>
      <c r="U159" s="7"/>
      <c r="V159" s="57"/>
      <c r="W159" s="57"/>
      <c r="X159" s="57"/>
    </row>
    <row r="160" spans="1:24" ht="12.5" x14ac:dyDescent="0.25">
      <c r="A160" s="34"/>
      <c r="B160" s="7"/>
      <c r="C160" s="19"/>
      <c r="D160" s="7"/>
      <c r="E160" s="7"/>
      <c r="F160" s="7"/>
      <c r="G160" s="7"/>
      <c r="H160" s="6"/>
      <c r="I160" s="7"/>
      <c r="J160" s="7"/>
      <c r="K160" s="7"/>
      <c r="L160" s="7"/>
      <c r="M160" s="52"/>
      <c r="N160" s="7"/>
      <c r="O160" s="7"/>
      <c r="P160" s="47"/>
      <c r="Q160" s="47"/>
      <c r="R160" s="7"/>
      <c r="S160" s="51"/>
      <c r="T160" s="51"/>
      <c r="U160" s="7"/>
      <c r="V160" s="57"/>
      <c r="W160" s="57"/>
      <c r="X160" s="57"/>
    </row>
    <row r="161" spans="1:24" ht="12.5" x14ac:dyDescent="0.25">
      <c r="A161" s="34"/>
      <c r="B161" s="7"/>
      <c r="C161" s="19"/>
      <c r="D161" s="7"/>
      <c r="E161" s="7"/>
      <c r="F161" s="7"/>
      <c r="G161" s="7"/>
      <c r="H161" s="6"/>
      <c r="I161" s="7"/>
      <c r="J161" s="7"/>
      <c r="K161" s="7"/>
      <c r="L161" s="7"/>
      <c r="M161" s="52"/>
      <c r="N161" s="7"/>
      <c r="O161" s="7"/>
      <c r="P161" s="47"/>
      <c r="Q161" s="47"/>
      <c r="R161" s="7"/>
      <c r="S161" s="51"/>
      <c r="T161" s="51"/>
      <c r="U161" s="7"/>
      <c r="V161" s="57"/>
      <c r="W161" s="57"/>
      <c r="X161" s="57"/>
    </row>
    <row r="162" spans="1:24" ht="12.5" x14ac:dyDescent="0.25">
      <c r="A162" s="34"/>
      <c r="B162" s="7"/>
      <c r="C162" s="19"/>
      <c r="D162" s="7"/>
      <c r="E162" s="7"/>
      <c r="F162" s="7"/>
      <c r="G162" s="7"/>
      <c r="H162" s="6"/>
      <c r="I162" s="7"/>
      <c r="J162" s="7"/>
      <c r="K162" s="7"/>
      <c r="L162" s="7"/>
      <c r="M162" s="52"/>
      <c r="N162" s="7"/>
      <c r="O162" s="7"/>
      <c r="P162" s="47"/>
      <c r="Q162" s="47"/>
      <c r="R162" s="7"/>
      <c r="S162" s="51"/>
      <c r="T162" s="51"/>
      <c r="U162" s="7"/>
      <c r="V162" s="57"/>
      <c r="W162" s="57"/>
      <c r="X162" s="57"/>
    </row>
    <row r="163" spans="1:24" ht="12.5" x14ac:dyDescent="0.25">
      <c r="A163" s="34"/>
      <c r="B163" s="7"/>
      <c r="C163" s="19"/>
      <c r="D163" s="7"/>
      <c r="E163" s="7"/>
      <c r="F163" s="7"/>
      <c r="G163" s="7"/>
      <c r="H163" s="6"/>
      <c r="I163" s="7"/>
      <c r="J163" s="7"/>
      <c r="K163" s="7"/>
      <c r="L163" s="7"/>
      <c r="M163" s="52"/>
      <c r="N163" s="7"/>
      <c r="O163" s="7"/>
      <c r="P163" s="47"/>
      <c r="Q163" s="47"/>
      <c r="R163" s="7"/>
      <c r="S163" s="51"/>
      <c r="T163" s="51"/>
      <c r="U163" s="7"/>
      <c r="V163" s="57"/>
      <c r="W163" s="57"/>
      <c r="X163" s="57"/>
    </row>
    <row r="164" spans="1:24" ht="12.5" x14ac:dyDescent="0.25">
      <c r="A164" s="34"/>
      <c r="B164" s="7"/>
      <c r="C164" s="19"/>
      <c r="D164" s="7"/>
      <c r="E164" s="7"/>
      <c r="F164" s="7"/>
      <c r="G164" s="7"/>
      <c r="H164" s="6"/>
      <c r="I164" s="7"/>
      <c r="J164" s="7"/>
      <c r="K164" s="7"/>
      <c r="L164" s="7"/>
      <c r="M164" s="52"/>
      <c r="N164" s="7"/>
      <c r="O164" s="7"/>
      <c r="P164" s="47"/>
      <c r="Q164" s="47"/>
      <c r="R164" s="7"/>
      <c r="S164" s="51"/>
      <c r="T164" s="51"/>
      <c r="U164" s="7"/>
      <c r="V164" s="57"/>
      <c r="W164" s="57"/>
      <c r="X164" s="57"/>
    </row>
    <row r="165" spans="1:24" ht="12.5" x14ac:dyDescent="0.25">
      <c r="A165" s="34"/>
      <c r="B165" s="7"/>
      <c r="C165" s="19"/>
      <c r="D165" s="7"/>
      <c r="E165" s="7"/>
      <c r="F165" s="7"/>
      <c r="G165" s="7"/>
      <c r="H165" s="6"/>
      <c r="I165" s="7"/>
      <c r="J165" s="7"/>
      <c r="K165" s="7"/>
      <c r="L165" s="7"/>
      <c r="M165" s="52"/>
      <c r="N165" s="7"/>
      <c r="O165" s="7"/>
      <c r="P165" s="47"/>
      <c r="Q165" s="47"/>
      <c r="R165" s="7"/>
      <c r="S165" s="51"/>
      <c r="T165" s="51"/>
      <c r="U165" s="7"/>
      <c r="V165" s="57"/>
      <c r="W165" s="57"/>
      <c r="X165" s="57"/>
    </row>
    <row r="166" spans="1:24" ht="12.5" x14ac:dyDescent="0.25">
      <c r="A166" s="34"/>
      <c r="B166" s="7"/>
      <c r="C166" s="19"/>
      <c r="D166" s="7"/>
      <c r="E166" s="7"/>
      <c r="F166" s="7"/>
      <c r="G166" s="7"/>
      <c r="H166" s="6"/>
      <c r="I166" s="7"/>
      <c r="J166" s="7"/>
      <c r="K166" s="7"/>
      <c r="L166" s="7"/>
      <c r="M166" s="52"/>
      <c r="N166" s="7"/>
      <c r="O166" s="7"/>
      <c r="P166" s="47"/>
      <c r="Q166" s="47"/>
      <c r="R166" s="7"/>
      <c r="S166" s="51"/>
      <c r="T166" s="51"/>
      <c r="U166" s="7"/>
      <c r="V166" s="57"/>
      <c r="W166" s="57"/>
      <c r="X166" s="57"/>
    </row>
    <row r="167" spans="1:24" ht="12.5" x14ac:dyDescent="0.25">
      <c r="A167" s="34"/>
      <c r="B167" s="7"/>
      <c r="C167" s="19"/>
      <c r="D167" s="7"/>
      <c r="E167" s="7"/>
      <c r="F167" s="7"/>
      <c r="G167" s="7"/>
      <c r="H167" s="6"/>
      <c r="I167" s="7"/>
      <c r="J167" s="7"/>
      <c r="K167" s="7"/>
      <c r="L167" s="7"/>
      <c r="M167" s="52"/>
      <c r="N167" s="7"/>
      <c r="O167" s="7"/>
      <c r="P167" s="47"/>
      <c r="Q167" s="47"/>
      <c r="R167" s="7"/>
      <c r="S167" s="51"/>
      <c r="T167" s="51"/>
      <c r="U167" s="7"/>
      <c r="V167" s="57"/>
      <c r="W167" s="57"/>
      <c r="X167" s="57"/>
    </row>
    <row r="168" spans="1:24" ht="12.5" x14ac:dyDescent="0.25">
      <c r="A168" s="34"/>
      <c r="B168" s="7"/>
      <c r="C168" s="19"/>
      <c r="D168" s="7"/>
      <c r="E168" s="7"/>
      <c r="F168" s="7"/>
      <c r="G168" s="7"/>
      <c r="H168" s="6"/>
      <c r="I168" s="7"/>
      <c r="J168" s="7"/>
      <c r="K168" s="7"/>
      <c r="L168" s="7"/>
      <c r="M168" s="52"/>
      <c r="N168" s="7"/>
      <c r="O168" s="7"/>
      <c r="P168" s="47"/>
      <c r="Q168" s="47"/>
      <c r="R168" s="7"/>
      <c r="S168" s="51"/>
      <c r="T168" s="51"/>
      <c r="U168" s="7"/>
      <c r="V168" s="57"/>
      <c r="W168" s="57"/>
      <c r="X168" s="57"/>
    </row>
    <row r="169" spans="1:24" ht="12.5" x14ac:dyDescent="0.25">
      <c r="A169" s="34"/>
      <c r="B169" s="7"/>
      <c r="C169" s="19"/>
      <c r="D169" s="7"/>
      <c r="E169" s="7"/>
      <c r="F169" s="7"/>
      <c r="G169" s="7"/>
      <c r="H169" s="6"/>
      <c r="I169" s="7"/>
      <c r="J169" s="7"/>
      <c r="K169" s="7"/>
      <c r="L169" s="7"/>
      <c r="M169" s="52"/>
      <c r="N169" s="7"/>
      <c r="O169" s="7"/>
      <c r="P169" s="47"/>
      <c r="Q169" s="47"/>
      <c r="R169" s="7"/>
      <c r="S169" s="51"/>
      <c r="T169" s="51"/>
      <c r="U169" s="7"/>
      <c r="V169" s="57"/>
      <c r="W169" s="57"/>
      <c r="X169" s="57"/>
    </row>
    <row r="170" spans="1:24" ht="12.5" x14ac:dyDescent="0.25">
      <c r="A170" s="34"/>
      <c r="B170" s="7"/>
      <c r="C170" s="19"/>
      <c r="D170" s="7"/>
      <c r="E170" s="7"/>
      <c r="F170" s="7"/>
      <c r="G170" s="7"/>
      <c r="H170" s="6"/>
      <c r="I170" s="7"/>
      <c r="J170" s="7"/>
      <c r="K170" s="7"/>
      <c r="L170" s="7"/>
      <c r="M170" s="52"/>
      <c r="N170" s="7"/>
      <c r="O170" s="7"/>
      <c r="P170" s="47"/>
      <c r="Q170" s="47"/>
      <c r="R170" s="7"/>
      <c r="S170" s="51"/>
      <c r="T170" s="51"/>
      <c r="U170" s="7"/>
      <c r="V170" s="57"/>
      <c r="W170" s="57"/>
      <c r="X170" s="57"/>
    </row>
    <row r="171" spans="1:24" ht="12.5" x14ac:dyDescent="0.25">
      <c r="A171" s="34"/>
      <c r="B171" s="7"/>
      <c r="C171" s="19"/>
      <c r="D171" s="7"/>
      <c r="E171" s="7"/>
      <c r="F171" s="7"/>
      <c r="G171" s="7"/>
      <c r="H171" s="6"/>
      <c r="I171" s="7"/>
      <c r="J171" s="7"/>
      <c r="K171" s="7"/>
      <c r="L171" s="7"/>
      <c r="M171" s="52"/>
      <c r="N171" s="7"/>
      <c r="O171" s="7"/>
      <c r="P171" s="47"/>
      <c r="Q171" s="47"/>
      <c r="R171" s="7"/>
      <c r="S171" s="51"/>
      <c r="T171" s="51"/>
      <c r="U171" s="7"/>
      <c r="V171" s="57"/>
      <c r="W171" s="57"/>
      <c r="X171" s="57"/>
    </row>
    <row r="172" spans="1:24" ht="12.5" x14ac:dyDescent="0.25">
      <c r="A172" s="34"/>
      <c r="B172" s="7"/>
      <c r="C172" s="19"/>
      <c r="D172" s="7"/>
      <c r="E172" s="7"/>
      <c r="F172" s="7"/>
      <c r="G172" s="7"/>
      <c r="H172" s="6"/>
      <c r="I172" s="7"/>
      <c r="J172" s="7"/>
      <c r="K172" s="7"/>
      <c r="L172" s="7"/>
      <c r="M172" s="52"/>
      <c r="N172" s="7"/>
      <c r="O172" s="7"/>
      <c r="P172" s="47"/>
      <c r="Q172" s="47"/>
      <c r="R172" s="7"/>
      <c r="S172" s="51"/>
      <c r="T172" s="51"/>
      <c r="U172" s="7"/>
      <c r="V172" s="57"/>
      <c r="W172" s="57"/>
      <c r="X172" s="57"/>
    </row>
    <row r="173" spans="1:24" ht="12.5" x14ac:dyDescent="0.25">
      <c r="A173" s="34"/>
      <c r="B173" s="7"/>
      <c r="C173" s="19"/>
      <c r="D173" s="7"/>
      <c r="E173" s="7"/>
      <c r="F173" s="7"/>
      <c r="G173" s="7"/>
      <c r="H173" s="6"/>
      <c r="I173" s="7"/>
      <c r="J173" s="7"/>
      <c r="K173" s="7"/>
      <c r="L173" s="7"/>
      <c r="M173" s="52"/>
      <c r="N173" s="7"/>
      <c r="O173" s="7"/>
      <c r="P173" s="47"/>
      <c r="Q173" s="47"/>
      <c r="R173" s="7"/>
      <c r="S173" s="51"/>
      <c r="T173" s="51"/>
      <c r="U173" s="7"/>
      <c r="V173" s="57"/>
      <c r="W173" s="57"/>
      <c r="X173" s="57"/>
    </row>
    <row r="174" spans="1:24" ht="12.5" x14ac:dyDescent="0.25">
      <c r="A174" s="34"/>
      <c r="B174" s="7"/>
      <c r="C174" s="19"/>
      <c r="D174" s="7"/>
      <c r="E174" s="7"/>
      <c r="F174" s="7"/>
      <c r="G174" s="7"/>
      <c r="H174" s="6"/>
      <c r="I174" s="7"/>
      <c r="J174" s="7"/>
      <c r="K174" s="7"/>
      <c r="L174" s="7"/>
      <c r="M174" s="52"/>
      <c r="N174" s="7"/>
      <c r="O174" s="7"/>
      <c r="P174" s="47"/>
      <c r="Q174" s="47"/>
      <c r="R174" s="7"/>
      <c r="S174" s="51"/>
      <c r="T174" s="51"/>
      <c r="U174" s="7"/>
      <c r="V174" s="57"/>
      <c r="W174" s="57"/>
      <c r="X174" s="57"/>
    </row>
    <row r="175" spans="1:24" ht="12.5" x14ac:dyDescent="0.25">
      <c r="A175" s="34"/>
      <c r="B175" s="7"/>
      <c r="C175" s="19"/>
      <c r="D175" s="7"/>
      <c r="E175" s="7"/>
      <c r="F175" s="7"/>
      <c r="G175" s="7"/>
      <c r="H175" s="6"/>
      <c r="I175" s="7"/>
      <c r="J175" s="7"/>
      <c r="K175" s="7"/>
      <c r="L175" s="7"/>
      <c r="M175" s="52"/>
      <c r="N175" s="7"/>
      <c r="O175" s="7"/>
      <c r="P175" s="47"/>
      <c r="Q175" s="47"/>
      <c r="R175" s="7"/>
      <c r="S175" s="51"/>
      <c r="T175" s="51"/>
      <c r="U175" s="7"/>
      <c r="V175" s="57"/>
      <c r="W175" s="57"/>
      <c r="X175" s="57"/>
    </row>
    <row r="176" spans="1:24" ht="12.5" x14ac:dyDescent="0.25">
      <c r="A176" s="34"/>
      <c r="B176" s="7"/>
      <c r="C176" s="19"/>
      <c r="D176" s="7"/>
      <c r="E176" s="7"/>
      <c r="F176" s="7"/>
      <c r="G176" s="7"/>
      <c r="H176" s="6"/>
      <c r="I176" s="7"/>
      <c r="J176" s="7"/>
      <c r="K176" s="7"/>
      <c r="L176" s="7"/>
      <c r="M176" s="52"/>
      <c r="N176" s="7"/>
      <c r="O176" s="7"/>
      <c r="P176" s="47"/>
      <c r="Q176" s="47"/>
      <c r="R176" s="7"/>
      <c r="S176" s="51"/>
      <c r="T176" s="51"/>
      <c r="U176" s="7"/>
      <c r="V176" s="57"/>
      <c r="W176" s="57"/>
      <c r="X176" s="57"/>
    </row>
    <row r="177" spans="1:24" ht="12.5" x14ac:dyDescent="0.25">
      <c r="A177" s="34"/>
      <c r="B177" s="7"/>
      <c r="C177" s="19"/>
      <c r="D177" s="7"/>
      <c r="E177" s="7"/>
      <c r="F177" s="7"/>
      <c r="G177" s="7"/>
      <c r="H177" s="6"/>
      <c r="I177" s="7"/>
      <c r="J177" s="7"/>
      <c r="K177" s="7"/>
      <c r="L177" s="7"/>
      <c r="M177" s="52"/>
      <c r="N177" s="7"/>
      <c r="O177" s="7"/>
      <c r="P177" s="47"/>
      <c r="Q177" s="47"/>
      <c r="R177" s="7"/>
      <c r="S177" s="51"/>
      <c r="T177" s="51"/>
      <c r="U177" s="7"/>
      <c r="V177" s="57"/>
      <c r="W177" s="57"/>
      <c r="X177" s="57"/>
    </row>
    <row r="178" spans="1:24" ht="12.5" x14ac:dyDescent="0.25">
      <c r="A178" s="34"/>
      <c r="B178" s="7"/>
      <c r="C178" s="19"/>
      <c r="D178" s="7"/>
      <c r="E178" s="7"/>
      <c r="F178" s="7"/>
      <c r="G178" s="7"/>
      <c r="H178" s="6"/>
      <c r="I178" s="7"/>
      <c r="J178" s="7"/>
      <c r="K178" s="7"/>
      <c r="L178" s="7"/>
      <c r="M178" s="52"/>
      <c r="N178" s="7"/>
      <c r="O178" s="7"/>
      <c r="P178" s="47"/>
      <c r="Q178" s="47"/>
      <c r="R178" s="7"/>
      <c r="S178" s="51"/>
      <c r="T178" s="51"/>
      <c r="U178" s="7"/>
      <c r="V178" s="57"/>
      <c r="W178" s="57"/>
      <c r="X178" s="57"/>
    </row>
    <row r="179" spans="1:24" ht="12.5" x14ac:dyDescent="0.25">
      <c r="A179" s="34"/>
      <c r="B179" s="7"/>
      <c r="C179" s="19"/>
      <c r="D179" s="7"/>
      <c r="E179" s="7"/>
      <c r="F179" s="7"/>
      <c r="G179" s="7"/>
      <c r="H179" s="6"/>
      <c r="I179" s="7"/>
      <c r="J179" s="7"/>
      <c r="K179" s="7"/>
      <c r="L179" s="7"/>
      <c r="M179" s="52"/>
      <c r="N179" s="7"/>
      <c r="O179" s="7"/>
      <c r="P179" s="47"/>
      <c r="Q179" s="47"/>
      <c r="R179" s="7"/>
      <c r="S179" s="51"/>
      <c r="T179" s="51"/>
      <c r="U179" s="7"/>
      <c r="V179" s="57"/>
      <c r="W179" s="57"/>
      <c r="X179" s="57"/>
    </row>
    <row r="180" spans="1:24" ht="12.5" x14ac:dyDescent="0.25">
      <c r="A180" s="34"/>
      <c r="B180" s="7"/>
      <c r="C180" s="19"/>
      <c r="D180" s="7"/>
      <c r="E180" s="7"/>
      <c r="F180" s="7"/>
      <c r="G180" s="7"/>
      <c r="H180" s="6"/>
      <c r="I180" s="7"/>
      <c r="J180" s="7"/>
      <c r="K180" s="7"/>
      <c r="L180" s="7"/>
      <c r="M180" s="52"/>
      <c r="N180" s="7"/>
      <c r="O180" s="7"/>
      <c r="P180" s="47"/>
      <c r="Q180" s="47"/>
      <c r="R180" s="7"/>
      <c r="S180" s="51"/>
      <c r="T180" s="51"/>
      <c r="U180" s="7"/>
      <c r="V180" s="57"/>
      <c r="W180" s="57"/>
      <c r="X180" s="57"/>
    </row>
    <row r="181" spans="1:24" ht="12.5" x14ac:dyDescent="0.25">
      <c r="A181" s="34"/>
      <c r="B181" s="7"/>
      <c r="C181" s="19"/>
      <c r="D181" s="7"/>
      <c r="E181" s="7"/>
      <c r="F181" s="7"/>
      <c r="G181" s="7"/>
      <c r="H181" s="6"/>
      <c r="I181" s="7"/>
      <c r="J181" s="7"/>
      <c r="K181" s="7"/>
      <c r="L181" s="7"/>
      <c r="M181" s="52"/>
      <c r="N181" s="7"/>
      <c r="O181" s="7"/>
      <c r="P181" s="47"/>
      <c r="Q181" s="47"/>
      <c r="R181" s="7"/>
      <c r="S181" s="51"/>
      <c r="T181" s="51"/>
      <c r="U181" s="7"/>
      <c r="V181" s="57"/>
      <c r="W181" s="57"/>
      <c r="X181" s="57"/>
    </row>
    <row r="182" spans="1:24" ht="12.5" x14ac:dyDescent="0.25">
      <c r="A182" s="34"/>
      <c r="B182" s="7"/>
      <c r="C182" s="19"/>
      <c r="D182" s="7"/>
      <c r="E182" s="7"/>
      <c r="F182" s="7"/>
      <c r="G182" s="7"/>
      <c r="H182" s="6"/>
      <c r="I182" s="7"/>
      <c r="J182" s="7"/>
      <c r="K182" s="7"/>
      <c r="L182" s="7"/>
      <c r="M182" s="52"/>
      <c r="N182" s="7"/>
      <c r="O182" s="7"/>
      <c r="P182" s="47"/>
      <c r="Q182" s="47"/>
      <c r="R182" s="7"/>
      <c r="S182" s="51"/>
      <c r="T182" s="51"/>
      <c r="U182" s="7"/>
      <c r="V182" s="57"/>
      <c r="W182" s="57"/>
      <c r="X182" s="57"/>
    </row>
    <row r="183" spans="1:24" ht="12.5" x14ac:dyDescent="0.25">
      <c r="A183" s="34"/>
      <c r="B183" s="7"/>
      <c r="C183" s="19"/>
      <c r="D183" s="7"/>
      <c r="E183" s="7"/>
      <c r="F183" s="7"/>
      <c r="G183" s="7"/>
      <c r="H183" s="6"/>
      <c r="I183" s="7"/>
      <c r="J183" s="7"/>
      <c r="K183" s="7"/>
      <c r="L183" s="7"/>
      <c r="M183" s="52"/>
      <c r="N183" s="7"/>
      <c r="O183" s="7"/>
      <c r="P183" s="47"/>
      <c r="Q183" s="47"/>
      <c r="R183" s="7"/>
      <c r="S183" s="51"/>
      <c r="T183" s="51"/>
      <c r="U183" s="7"/>
      <c r="V183" s="57"/>
      <c r="W183" s="57"/>
      <c r="X183" s="57"/>
    </row>
    <row r="184" spans="1:24" ht="12.5" x14ac:dyDescent="0.25">
      <c r="A184" s="34"/>
      <c r="B184" s="7"/>
      <c r="C184" s="19"/>
      <c r="D184" s="7"/>
      <c r="E184" s="7"/>
      <c r="F184" s="7"/>
      <c r="G184" s="7"/>
      <c r="H184" s="6"/>
      <c r="I184" s="7"/>
      <c r="J184" s="7"/>
      <c r="K184" s="7"/>
      <c r="L184" s="7"/>
      <c r="M184" s="52"/>
      <c r="N184" s="7"/>
      <c r="O184" s="7"/>
      <c r="P184" s="47"/>
      <c r="Q184" s="47"/>
      <c r="R184" s="7"/>
      <c r="S184" s="51"/>
      <c r="T184" s="51"/>
      <c r="U184" s="7"/>
      <c r="V184" s="57"/>
      <c r="W184" s="57"/>
      <c r="X184" s="57"/>
    </row>
    <row r="185" spans="1:24" ht="12.5" x14ac:dyDescent="0.25">
      <c r="A185" s="34"/>
      <c r="B185" s="7"/>
      <c r="C185" s="19"/>
      <c r="D185" s="7"/>
      <c r="E185" s="7"/>
      <c r="F185" s="7"/>
      <c r="G185" s="7"/>
      <c r="H185" s="6"/>
      <c r="I185" s="7"/>
      <c r="J185" s="7"/>
      <c r="K185" s="7"/>
      <c r="L185" s="7"/>
      <c r="M185" s="52"/>
      <c r="N185" s="7"/>
      <c r="O185" s="7"/>
      <c r="P185" s="47"/>
      <c r="Q185" s="47"/>
      <c r="R185" s="7"/>
      <c r="S185" s="51"/>
      <c r="T185" s="51"/>
      <c r="U185" s="7"/>
      <c r="V185" s="57"/>
      <c r="W185" s="57"/>
      <c r="X185" s="57"/>
    </row>
    <row r="186" spans="1:24" ht="12.5" x14ac:dyDescent="0.25">
      <c r="A186" s="34"/>
      <c r="B186" s="7"/>
      <c r="C186" s="19"/>
      <c r="D186" s="7"/>
      <c r="E186" s="7"/>
      <c r="F186" s="7"/>
      <c r="G186" s="7"/>
      <c r="H186" s="6"/>
      <c r="I186" s="7"/>
      <c r="J186" s="7"/>
      <c r="K186" s="7"/>
      <c r="L186" s="7"/>
      <c r="M186" s="52"/>
      <c r="N186" s="7"/>
      <c r="O186" s="7"/>
      <c r="P186" s="47"/>
      <c r="Q186" s="47"/>
      <c r="R186" s="7"/>
      <c r="S186" s="51"/>
      <c r="T186" s="51"/>
      <c r="U186" s="7"/>
      <c r="V186" s="57"/>
      <c r="W186" s="57"/>
      <c r="X186" s="57"/>
    </row>
    <row r="187" spans="1:24" ht="12.5" x14ac:dyDescent="0.25">
      <c r="A187" s="34"/>
      <c r="B187" s="7"/>
      <c r="C187" s="19"/>
      <c r="D187" s="7"/>
      <c r="E187" s="7"/>
      <c r="F187" s="7"/>
      <c r="G187" s="7"/>
      <c r="H187" s="6"/>
      <c r="I187" s="7"/>
      <c r="J187" s="7"/>
      <c r="K187" s="7"/>
      <c r="L187" s="7"/>
      <c r="M187" s="52"/>
      <c r="N187" s="7"/>
      <c r="O187" s="7"/>
      <c r="P187" s="47"/>
      <c r="Q187" s="47"/>
      <c r="R187" s="7"/>
      <c r="S187" s="51"/>
      <c r="T187" s="51"/>
      <c r="U187" s="7"/>
      <c r="V187" s="57"/>
      <c r="W187" s="57"/>
      <c r="X187" s="57"/>
    </row>
    <row r="188" spans="1:24" ht="12.5" x14ac:dyDescent="0.25">
      <c r="A188" s="34"/>
      <c r="B188" s="7"/>
      <c r="C188" s="19"/>
      <c r="D188" s="7"/>
      <c r="E188" s="7"/>
      <c r="F188" s="7"/>
      <c r="G188" s="7"/>
      <c r="H188" s="6"/>
      <c r="I188" s="7"/>
      <c r="J188" s="7"/>
      <c r="K188" s="7"/>
      <c r="L188" s="7"/>
      <c r="M188" s="52"/>
      <c r="N188" s="7"/>
      <c r="O188" s="7"/>
      <c r="P188" s="47"/>
      <c r="Q188" s="47"/>
      <c r="R188" s="7"/>
      <c r="S188" s="51"/>
      <c r="T188" s="51"/>
      <c r="U188" s="7"/>
      <c r="V188" s="57"/>
      <c r="W188" s="57"/>
      <c r="X188" s="57"/>
    </row>
    <row r="189" spans="1:24" ht="12.5" x14ac:dyDescent="0.25">
      <c r="A189" s="34"/>
      <c r="B189" s="7"/>
      <c r="C189" s="19"/>
      <c r="D189" s="7"/>
      <c r="E189" s="7"/>
      <c r="F189" s="7"/>
      <c r="G189" s="7"/>
      <c r="H189" s="6"/>
      <c r="I189" s="7"/>
      <c r="J189" s="7"/>
      <c r="K189" s="7"/>
      <c r="L189" s="7"/>
      <c r="M189" s="52"/>
      <c r="N189" s="7"/>
      <c r="O189" s="7"/>
      <c r="P189" s="47"/>
      <c r="Q189" s="47"/>
      <c r="R189" s="7"/>
      <c r="S189" s="51"/>
      <c r="T189" s="51"/>
      <c r="U189" s="7"/>
      <c r="V189" s="57"/>
      <c r="W189" s="57"/>
      <c r="X189" s="57"/>
    </row>
    <row r="190" spans="1:24" ht="12.5" x14ac:dyDescent="0.25">
      <c r="A190" s="34"/>
      <c r="B190" s="7"/>
      <c r="C190" s="19"/>
      <c r="D190" s="7"/>
      <c r="E190" s="7"/>
      <c r="F190" s="7"/>
      <c r="G190" s="7"/>
      <c r="H190" s="6"/>
      <c r="I190" s="7"/>
      <c r="J190" s="7"/>
      <c r="K190" s="7"/>
      <c r="L190" s="7"/>
      <c r="M190" s="52"/>
      <c r="N190" s="7"/>
      <c r="O190" s="7"/>
      <c r="P190" s="47"/>
      <c r="Q190" s="47"/>
      <c r="R190" s="7"/>
      <c r="S190" s="51"/>
      <c r="T190" s="51"/>
      <c r="U190" s="7"/>
      <c r="V190" s="57"/>
      <c r="W190" s="57"/>
      <c r="X190" s="57"/>
    </row>
    <row r="191" spans="1:24" ht="12.5" x14ac:dyDescent="0.25">
      <c r="A191" s="34"/>
      <c r="B191" s="7"/>
      <c r="C191" s="19"/>
      <c r="D191" s="7"/>
      <c r="E191" s="7"/>
      <c r="F191" s="7"/>
      <c r="G191" s="7"/>
      <c r="H191" s="6"/>
      <c r="I191" s="7"/>
      <c r="J191" s="7"/>
      <c r="K191" s="7"/>
      <c r="L191" s="7"/>
      <c r="M191" s="52"/>
      <c r="N191" s="7"/>
      <c r="O191" s="7"/>
      <c r="P191" s="47"/>
      <c r="Q191" s="47"/>
      <c r="R191" s="7"/>
      <c r="S191" s="51"/>
      <c r="T191" s="51"/>
      <c r="U191" s="7"/>
      <c r="V191" s="57"/>
      <c r="W191" s="57"/>
      <c r="X191" s="57"/>
    </row>
    <row r="192" spans="1:24" ht="12.5" x14ac:dyDescent="0.25">
      <c r="A192" s="34"/>
      <c r="B192" s="7"/>
      <c r="C192" s="19"/>
      <c r="D192" s="7"/>
      <c r="E192" s="7"/>
      <c r="F192" s="7"/>
      <c r="G192" s="7"/>
      <c r="H192" s="6"/>
      <c r="I192" s="7"/>
      <c r="J192" s="7"/>
      <c r="K192" s="7"/>
      <c r="L192" s="7"/>
      <c r="M192" s="52"/>
      <c r="N192" s="7"/>
      <c r="O192" s="7"/>
      <c r="P192" s="47"/>
      <c r="Q192" s="47"/>
      <c r="R192" s="7"/>
      <c r="S192" s="51"/>
      <c r="T192" s="51"/>
      <c r="U192" s="7"/>
      <c r="V192" s="57"/>
      <c r="W192" s="57"/>
      <c r="X192" s="57"/>
    </row>
    <row r="193" spans="1:24" ht="12.5" x14ac:dyDescent="0.25">
      <c r="A193" s="34"/>
      <c r="B193" s="7"/>
      <c r="C193" s="19"/>
      <c r="D193" s="7"/>
      <c r="E193" s="7"/>
      <c r="F193" s="7"/>
      <c r="G193" s="7"/>
      <c r="H193" s="6"/>
      <c r="I193" s="7"/>
      <c r="J193" s="7"/>
      <c r="K193" s="7"/>
      <c r="L193" s="7"/>
      <c r="M193" s="52"/>
      <c r="N193" s="7"/>
      <c r="O193" s="7"/>
      <c r="P193" s="47"/>
      <c r="Q193" s="47"/>
      <c r="R193" s="7"/>
      <c r="S193" s="51"/>
      <c r="T193" s="51"/>
      <c r="U193" s="7"/>
      <c r="V193" s="57"/>
      <c r="W193" s="57"/>
      <c r="X193" s="57"/>
    </row>
    <row r="194" spans="1:24" ht="12.5" x14ac:dyDescent="0.25">
      <c r="A194" s="34"/>
      <c r="B194" s="7"/>
      <c r="C194" s="19"/>
      <c r="D194" s="7"/>
      <c r="E194" s="7"/>
      <c r="F194" s="7"/>
      <c r="G194" s="7"/>
      <c r="H194" s="6"/>
      <c r="I194" s="7"/>
      <c r="J194" s="7"/>
      <c r="K194" s="7"/>
      <c r="L194" s="7"/>
      <c r="M194" s="52"/>
      <c r="N194" s="7"/>
      <c r="O194" s="7"/>
      <c r="P194" s="47"/>
      <c r="Q194" s="47"/>
      <c r="R194" s="7"/>
      <c r="S194" s="51"/>
      <c r="T194" s="51"/>
      <c r="U194" s="7"/>
      <c r="V194" s="57"/>
      <c r="W194" s="57"/>
      <c r="X194" s="57"/>
    </row>
    <row r="195" spans="1:24" ht="12.5" x14ac:dyDescent="0.25">
      <c r="A195" s="34"/>
      <c r="B195" s="7"/>
      <c r="C195" s="19"/>
      <c r="D195" s="7"/>
      <c r="E195" s="7"/>
      <c r="F195" s="7"/>
      <c r="G195" s="7"/>
      <c r="H195" s="6"/>
      <c r="I195" s="7"/>
      <c r="J195" s="7"/>
      <c r="K195" s="7"/>
      <c r="L195" s="7"/>
      <c r="M195" s="52"/>
      <c r="N195" s="7"/>
      <c r="O195" s="7"/>
      <c r="P195" s="47"/>
      <c r="Q195" s="47"/>
      <c r="R195" s="7"/>
      <c r="S195" s="51"/>
      <c r="T195" s="51"/>
      <c r="U195" s="7"/>
      <c r="V195" s="57"/>
      <c r="W195" s="57"/>
      <c r="X195" s="57"/>
    </row>
    <row r="196" spans="1:24" ht="12.5" x14ac:dyDescent="0.25">
      <c r="A196" s="34"/>
      <c r="B196" s="7"/>
      <c r="C196" s="19"/>
      <c r="D196" s="7"/>
      <c r="E196" s="7"/>
      <c r="F196" s="7"/>
      <c r="G196" s="7"/>
      <c r="H196" s="6"/>
      <c r="I196" s="7"/>
      <c r="J196" s="7"/>
      <c r="K196" s="7"/>
      <c r="L196" s="7"/>
      <c r="M196" s="52"/>
      <c r="N196" s="7"/>
      <c r="O196" s="7"/>
      <c r="P196" s="47"/>
      <c r="Q196" s="47"/>
      <c r="R196" s="7"/>
      <c r="S196" s="51"/>
      <c r="T196" s="51"/>
      <c r="U196" s="7"/>
      <c r="V196" s="57"/>
      <c r="W196" s="57"/>
      <c r="X196" s="57"/>
    </row>
    <row r="197" spans="1:24" ht="12.5" x14ac:dyDescent="0.25">
      <c r="A197" s="34"/>
      <c r="B197" s="7"/>
      <c r="C197" s="19"/>
      <c r="D197" s="7"/>
      <c r="E197" s="7"/>
      <c r="F197" s="7"/>
      <c r="G197" s="7"/>
      <c r="H197" s="6"/>
      <c r="I197" s="7"/>
      <c r="J197" s="7"/>
      <c r="K197" s="7"/>
      <c r="L197" s="7"/>
      <c r="M197" s="52"/>
      <c r="N197" s="7"/>
      <c r="O197" s="7"/>
      <c r="P197" s="47"/>
      <c r="Q197" s="47"/>
      <c r="R197" s="7"/>
      <c r="S197" s="51"/>
      <c r="T197" s="51"/>
      <c r="U197" s="7"/>
      <c r="V197" s="57"/>
      <c r="W197" s="57"/>
      <c r="X197" s="57"/>
    </row>
    <row r="198" spans="1:24" ht="12.5" x14ac:dyDescent="0.25">
      <c r="A198" s="34"/>
      <c r="B198" s="7"/>
      <c r="C198" s="19"/>
      <c r="D198" s="7"/>
      <c r="E198" s="7"/>
      <c r="F198" s="7"/>
      <c r="G198" s="7"/>
      <c r="H198" s="6"/>
      <c r="I198" s="7"/>
      <c r="J198" s="7"/>
      <c r="K198" s="7"/>
      <c r="L198" s="7"/>
      <c r="M198" s="52"/>
      <c r="N198" s="7"/>
      <c r="O198" s="7"/>
      <c r="P198" s="47"/>
      <c r="Q198" s="47"/>
      <c r="R198" s="7"/>
      <c r="S198" s="51"/>
      <c r="T198" s="51"/>
      <c r="U198" s="7"/>
      <c r="V198" s="57"/>
      <c r="W198" s="57"/>
      <c r="X198" s="57"/>
    </row>
    <row r="199" spans="1:24" ht="12.5" x14ac:dyDescent="0.25">
      <c r="A199" s="34"/>
      <c r="B199" s="7"/>
      <c r="C199" s="19"/>
      <c r="D199" s="7"/>
      <c r="E199" s="7"/>
      <c r="F199" s="7"/>
      <c r="G199" s="7"/>
      <c r="H199" s="6"/>
      <c r="I199" s="7"/>
      <c r="J199" s="7"/>
      <c r="K199" s="7"/>
      <c r="L199" s="7"/>
      <c r="M199" s="52"/>
      <c r="N199" s="7"/>
      <c r="O199" s="7"/>
      <c r="P199" s="47"/>
      <c r="Q199" s="47"/>
      <c r="R199" s="7"/>
      <c r="S199" s="51"/>
      <c r="T199" s="51"/>
      <c r="U199" s="7"/>
      <c r="V199" s="57"/>
      <c r="W199" s="57"/>
      <c r="X199" s="57"/>
    </row>
    <row r="200" spans="1:24" ht="12.5" x14ac:dyDescent="0.25">
      <c r="A200" s="34"/>
      <c r="B200" s="7"/>
      <c r="C200" s="19"/>
      <c r="D200" s="7"/>
      <c r="E200" s="7"/>
      <c r="F200" s="7"/>
      <c r="G200" s="7"/>
      <c r="H200" s="6"/>
      <c r="I200" s="7"/>
      <c r="J200" s="7"/>
      <c r="K200" s="7"/>
      <c r="L200" s="7"/>
      <c r="M200" s="52"/>
      <c r="N200" s="7"/>
      <c r="O200" s="7"/>
      <c r="P200" s="47"/>
      <c r="Q200" s="47"/>
      <c r="R200" s="7"/>
      <c r="S200" s="51"/>
      <c r="T200" s="51"/>
      <c r="U200" s="7"/>
      <c r="V200" s="57"/>
      <c r="W200" s="57"/>
      <c r="X200" s="57"/>
    </row>
    <row r="201" spans="1:24" ht="12.5" x14ac:dyDescent="0.25">
      <c r="A201" s="34"/>
      <c r="B201" s="7"/>
      <c r="C201" s="19"/>
      <c r="D201" s="7"/>
      <c r="E201" s="7"/>
      <c r="F201" s="7"/>
      <c r="G201" s="7"/>
      <c r="H201" s="6"/>
      <c r="I201" s="7"/>
      <c r="J201" s="7"/>
      <c r="K201" s="7"/>
      <c r="L201" s="7"/>
      <c r="M201" s="52"/>
      <c r="N201" s="7"/>
      <c r="O201" s="7"/>
      <c r="P201" s="47"/>
      <c r="Q201" s="47"/>
      <c r="R201" s="7"/>
      <c r="S201" s="51"/>
      <c r="T201" s="51"/>
      <c r="U201" s="7"/>
      <c r="V201" s="57"/>
      <c r="W201" s="57"/>
      <c r="X201" s="57"/>
    </row>
    <row r="202" spans="1:24" ht="12.5" x14ac:dyDescent="0.25">
      <c r="A202" s="34"/>
      <c r="B202" s="7"/>
      <c r="C202" s="19"/>
      <c r="D202" s="7"/>
      <c r="E202" s="7"/>
      <c r="F202" s="7"/>
      <c r="G202" s="7"/>
      <c r="H202" s="6"/>
      <c r="I202" s="7"/>
      <c r="J202" s="7"/>
      <c r="K202" s="7"/>
      <c r="L202" s="7"/>
      <c r="M202" s="52"/>
      <c r="N202" s="7"/>
      <c r="O202" s="7"/>
      <c r="P202" s="47"/>
      <c r="Q202" s="47"/>
      <c r="R202" s="7"/>
      <c r="S202" s="51"/>
      <c r="T202" s="51"/>
      <c r="U202" s="7"/>
      <c r="V202" s="57"/>
      <c r="W202" s="57"/>
      <c r="X202" s="57"/>
    </row>
    <row r="203" spans="1:24" ht="12.5" x14ac:dyDescent="0.25">
      <c r="A203" s="34"/>
      <c r="B203" s="7"/>
      <c r="C203" s="19"/>
      <c r="D203" s="7"/>
      <c r="E203" s="7"/>
      <c r="F203" s="7"/>
      <c r="G203" s="7"/>
      <c r="H203" s="6"/>
      <c r="I203" s="7"/>
      <c r="J203" s="7"/>
      <c r="K203" s="7"/>
      <c r="L203" s="7"/>
      <c r="M203" s="52"/>
      <c r="N203" s="7"/>
      <c r="O203" s="7"/>
      <c r="P203" s="47"/>
      <c r="Q203" s="47"/>
      <c r="R203" s="7"/>
      <c r="S203" s="51"/>
      <c r="T203" s="51"/>
      <c r="U203" s="7"/>
      <c r="V203" s="57"/>
      <c r="W203" s="57"/>
      <c r="X203" s="57"/>
    </row>
    <row r="204" spans="1:24" ht="12.5" x14ac:dyDescent="0.25">
      <c r="A204" s="34"/>
      <c r="B204" s="7"/>
      <c r="C204" s="19"/>
      <c r="D204" s="7"/>
      <c r="E204" s="7"/>
      <c r="F204" s="7"/>
      <c r="G204" s="7"/>
      <c r="H204" s="6"/>
      <c r="I204" s="7"/>
      <c r="J204" s="7"/>
      <c r="K204" s="7"/>
      <c r="L204" s="7"/>
      <c r="M204" s="52"/>
      <c r="N204" s="7"/>
      <c r="O204" s="7"/>
      <c r="P204" s="47"/>
      <c r="Q204" s="47"/>
      <c r="R204" s="7"/>
      <c r="S204" s="51"/>
      <c r="T204" s="51"/>
      <c r="U204" s="7"/>
      <c r="V204" s="57"/>
      <c r="W204" s="57"/>
      <c r="X204" s="57"/>
    </row>
    <row r="205" spans="1:24" ht="12.5" x14ac:dyDescent="0.25">
      <c r="A205" s="34"/>
      <c r="B205" s="7"/>
      <c r="C205" s="19"/>
      <c r="D205" s="7"/>
      <c r="E205" s="7"/>
      <c r="F205" s="7"/>
      <c r="G205" s="7"/>
      <c r="H205" s="6"/>
      <c r="I205" s="7"/>
      <c r="J205" s="7"/>
      <c r="K205" s="7"/>
      <c r="L205" s="7"/>
      <c r="M205" s="52"/>
      <c r="N205" s="7"/>
      <c r="O205" s="7"/>
      <c r="P205" s="47"/>
      <c r="Q205" s="47"/>
      <c r="R205" s="7"/>
      <c r="S205" s="51"/>
      <c r="T205" s="51"/>
      <c r="U205" s="7"/>
      <c r="V205" s="57"/>
      <c r="W205" s="57"/>
      <c r="X205" s="57"/>
    </row>
    <row r="206" spans="1:24" ht="12.5" x14ac:dyDescent="0.25">
      <c r="A206" s="34"/>
      <c r="B206" s="7"/>
      <c r="C206" s="19"/>
      <c r="D206" s="7"/>
      <c r="E206" s="7"/>
      <c r="F206" s="7"/>
      <c r="G206" s="7"/>
      <c r="H206" s="6"/>
      <c r="I206" s="7"/>
      <c r="J206" s="7"/>
      <c r="K206" s="7"/>
      <c r="L206" s="7"/>
      <c r="M206" s="52"/>
      <c r="N206" s="7"/>
      <c r="O206" s="7"/>
      <c r="P206" s="47"/>
      <c r="Q206" s="47"/>
      <c r="R206" s="7"/>
      <c r="S206" s="51"/>
      <c r="T206" s="51"/>
      <c r="U206" s="7"/>
      <c r="V206" s="57"/>
      <c r="W206" s="57"/>
      <c r="X206" s="57"/>
    </row>
    <row r="207" spans="1:24" ht="12.5" x14ac:dyDescent="0.25">
      <c r="A207" s="34"/>
      <c r="B207" s="7"/>
      <c r="C207" s="19"/>
      <c r="D207" s="7"/>
      <c r="E207" s="7"/>
      <c r="F207" s="7"/>
      <c r="G207" s="7"/>
      <c r="H207" s="6"/>
      <c r="I207" s="7"/>
      <c r="J207" s="7"/>
      <c r="K207" s="7"/>
      <c r="L207" s="7"/>
      <c r="M207" s="52"/>
      <c r="N207" s="7"/>
      <c r="O207" s="7"/>
      <c r="P207" s="47"/>
      <c r="Q207" s="47"/>
      <c r="R207" s="7"/>
      <c r="S207" s="51"/>
      <c r="T207" s="51"/>
      <c r="U207" s="7"/>
      <c r="V207" s="57"/>
      <c r="W207" s="57"/>
      <c r="X207" s="57"/>
    </row>
    <row r="208" spans="1:24" ht="12.5" x14ac:dyDescent="0.25">
      <c r="A208" s="34"/>
      <c r="B208" s="7"/>
      <c r="C208" s="19"/>
      <c r="D208" s="7"/>
      <c r="E208" s="7"/>
      <c r="F208" s="7"/>
      <c r="G208" s="7"/>
      <c r="H208" s="6"/>
      <c r="I208" s="7"/>
      <c r="J208" s="7"/>
      <c r="K208" s="7"/>
      <c r="L208" s="7"/>
      <c r="M208" s="52"/>
      <c r="N208" s="7"/>
      <c r="O208" s="7"/>
      <c r="P208" s="47"/>
      <c r="Q208" s="47"/>
      <c r="R208" s="7"/>
      <c r="S208" s="51"/>
      <c r="T208" s="51"/>
      <c r="U208" s="7"/>
      <c r="V208" s="57"/>
      <c r="W208" s="57"/>
      <c r="X208" s="57"/>
    </row>
    <row r="209" spans="1:24" ht="12.5" x14ac:dyDescent="0.25">
      <c r="A209" s="34"/>
      <c r="B209" s="7"/>
      <c r="C209" s="19"/>
      <c r="D209" s="7"/>
      <c r="E209" s="7"/>
      <c r="F209" s="7"/>
      <c r="G209" s="7"/>
      <c r="H209" s="6"/>
      <c r="I209" s="7"/>
      <c r="J209" s="7"/>
      <c r="K209" s="7"/>
      <c r="L209" s="7"/>
      <c r="M209" s="52"/>
      <c r="N209" s="7"/>
      <c r="O209" s="7"/>
      <c r="P209" s="47"/>
      <c r="Q209" s="47"/>
      <c r="R209" s="7"/>
      <c r="S209" s="51"/>
      <c r="T209" s="51"/>
      <c r="U209" s="7"/>
      <c r="V209" s="57"/>
      <c r="W209" s="57"/>
      <c r="X209" s="57"/>
    </row>
    <row r="210" spans="1:24" ht="12.5" x14ac:dyDescent="0.25">
      <c r="A210" s="34"/>
      <c r="B210" s="7"/>
      <c r="C210" s="19"/>
      <c r="D210" s="7"/>
      <c r="E210" s="7"/>
      <c r="F210" s="7"/>
      <c r="G210" s="7"/>
      <c r="H210" s="6"/>
      <c r="I210" s="7"/>
      <c r="J210" s="7"/>
      <c r="K210" s="7"/>
      <c r="L210" s="7"/>
      <c r="M210" s="52"/>
      <c r="N210" s="7"/>
      <c r="O210" s="7"/>
      <c r="P210" s="47"/>
      <c r="Q210" s="47"/>
      <c r="R210" s="7"/>
      <c r="S210" s="51"/>
      <c r="T210" s="51"/>
      <c r="U210" s="7"/>
      <c r="V210" s="57"/>
      <c r="W210" s="57"/>
      <c r="X210" s="57"/>
    </row>
    <row r="211" spans="1:24" ht="12.5" x14ac:dyDescent="0.25">
      <c r="A211" s="34"/>
      <c r="B211" s="7"/>
      <c r="C211" s="19"/>
      <c r="D211" s="7"/>
      <c r="E211" s="7"/>
      <c r="F211" s="7"/>
      <c r="G211" s="7"/>
      <c r="H211" s="6"/>
      <c r="I211" s="7"/>
      <c r="J211" s="7"/>
      <c r="K211" s="7"/>
      <c r="L211" s="7"/>
      <c r="M211" s="52"/>
      <c r="N211" s="7"/>
      <c r="O211" s="7"/>
      <c r="P211" s="47"/>
      <c r="Q211" s="47"/>
      <c r="R211" s="7"/>
      <c r="S211" s="51"/>
      <c r="T211" s="51"/>
      <c r="U211" s="7"/>
      <c r="V211" s="57"/>
      <c r="W211" s="57"/>
      <c r="X211" s="57"/>
    </row>
    <row r="212" spans="1:24" ht="12.5" x14ac:dyDescent="0.25">
      <c r="A212" s="34"/>
      <c r="B212" s="7"/>
      <c r="C212" s="19"/>
      <c r="D212" s="7"/>
      <c r="E212" s="7"/>
      <c r="F212" s="7"/>
      <c r="G212" s="7"/>
      <c r="H212" s="6"/>
      <c r="I212" s="7"/>
      <c r="J212" s="7"/>
      <c r="K212" s="7"/>
      <c r="L212" s="7"/>
      <c r="M212" s="52"/>
      <c r="N212" s="7"/>
      <c r="O212" s="7"/>
      <c r="P212" s="47"/>
      <c r="Q212" s="47"/>
      <c r="R212" s="7"/>
      <c r="S212" s="51"/>
      <c r="T212" s="51"/>
      <c r="U212" s="7"/>
      <c r="V212" s="57"/>
      <c r="W212" s="57"/>
      <c r="X212" s="57"/>
    </row>
    <row r="213" spans="1:24" ht="12.5" x14ac:dyDescent="0.25">
      <c r="A213" s="34"/>
      <c r="B213" s="7"/>
      <c r="C213" s="19"/>
      <c r="D213" s="7"/>
      <c r="E213" s="7"/>
      <c r="F213" s="7"/>
      <c r="G213" s="7"/>
      <c r="H213" s="6"/>
      <c r="I213" s="7"/>
      <c r="J213" s="7"/>
      <c r="K213" s="7"/>
      <c r="L213" s="7"/>
      <c r="M213" s="52"/>
      <c r="N213" s="7"/>
      <c r="O213" s="7"/>
      <c r="P213" s="47"/>
      <c r="Q213" s="47"/>
      <c r="R213" s="7"/>
      <c r="S213" s="51"/>
      <c r="T213" s="51"/>
      <c r="U213" s="7"/>
      <c r="V213" s="57"/>
      <c r="W213" s="57"/>
      <c r="X213" s="57"/>
    </row>
    <row r="214" spans="1:24" ht="12.5" x14ac:dyDescent="0.25">
      <c r="A214" s="34"/>
      <c r="B214" s="7"/>
      <c r="C214" s="19"/>
      <c r="D214" s="7"/>
      <c r="E214" s="7"/>
      <c r="F214" s="7"/>
      <c r="G214" s="7"/>
      <c r="H214" s="6"/>
      <c r="I214" s="7"/>
      <c r="J214" s="7"/>
      <c r="K214" s="7"/>
      <c r="L214" s="7"/>
      <c r="M214" s="52"/>
      <c r="N214" s="7"/>
      <c r="O214" s="7"/>
      <c r="P214" s="47"/>
      <c r="Q214" s="47"/>
      <c r="R214" s="7"/>
      <c r="S214" s="51"/>
      <c r="T214" s="51"/>
      <c r="U214" s="7"/>
      <c r="V214" s="57"/>
      <c r="W214" s="57"/>
      <c r="X214" s="57"/>
    </row>
    <row r="215" spans="1:24" ht="12.5" x14ac:dyDescent="0.25">
      <c r="A215" s="34"/>
      <c r="B215" s="7"/>
      <c r="C215" s="19"/>
      <c r="D215" s="7"/>
      <c r="E215" s="7"/>
      <c r="F215" s="7"/>
      <c r="G215" s="7"/>
      <c r="H215" s="6"/>
      <c r="I215" s="7"/>
      <c r="J215" s="7"/>
      <c r="K215" s="7"/>
      <c r="L215" s="7"/>
      <c r="M215" s="52"/>
      <c r="N215" s="7"/>
      <c r="O215" s="7"/>
      <c r="P215" s="47"/>
      <c r="Q215" s="47"/>
      <c r="R215" s="7"/>
      <c r="S215" s="51"/>
      <c r="T215" s="51"/>
      <c r="U215" s="7"/>
      <c r="V215" s="57"/>
      <c r="W215" s="57"/>
      <c r="X215" s="57"/>
    </row>
    <row r="216" spans="1:24" ht="12.5" x14ac:dyDescent="0.25">
      <c r="A216" s="34"/>
      <c r="B216" s="7"/>
      <c r="C216" s="19"/>
      <c r="D216" s="7"/>
      <c r="E216" s="7"/>
      <c r="F216" s="7"/>
      <c r="G216" s="7"/>
      <c r="H216" s="6"/>
      <c r="I216" s="7"/>
      <c r="J216" s="7"/>
      <c r="K216" s="7"/>
      <c r="L216" s="7"/>
      <c r="M216" s="52"/>
      <c r="N216" s="7"/>
      <c r="O216" s="7"/>
      <c r="P216" s="47"/>
      <c r="Q216" s="47"/>
      <c r="R216" s="7"/>
      <c r="S216" s="51"/>
      <c r="T216" s="51"/>
      <c r="U216" s="7"/>
      <c r="V216" s="57"/>
      <c r="W216" s="57"/>
      <c r="X216" s="57"/>
    </row>
    <row r="217" spans="1:24" ht="12.5" x14ac:dyDescent="0.25">
      <c r="A217" s="34"/>
      <c r="B217" s="7"/>
      <c r="C217" s="19"/>
      <c r="D217" s="7"/>
      <c r="E217" s="7"/>
      <c r="F217" s="7"/>
      <c r="G217" s="7"/>
      <c r="H217" s="6"/>
      <c r="I217" s="7"/>
      <c r="J217" s="7"/>
      <c r="K217" s="7"/>
      <c r="L217" s="7"/>
      <c r="M217" s="52"/>
      <c r="N217" s="7"/>
      <c r="O217" s="7"/>
      <c r="P217" s="47"/>
      <c r="Q217" s="47"/>
      <c r="R217" s="7"/>
      <c r="S217" s="51"/>
      <c r="T217" s="51"/>
      <c r="U217" s="7"/>
      <c r="V217" s="57"/>
      <c r="W217" s="57"/>
      <c r="X217" s="57"/>
    </row>
    <row r="218" spans="1:24" ht="12.5" x14ac:dyDescent="0.25">
      <c r="A218" s="34"/>
      <c r="B218" s="7"/>
      <c r="C218" s="19"/>
      <c r="D218" s="7"/>
      <c r="E218" s="7"/>
      <c r="F218" s="7"/>
      <c r="G218" s="7"/>
      <c r="H218" s="6"/>
      <c r="I218" s="7"/>
      <c r="J218" s="7"/>
      <c r="K218" s="7"/>
      <c r="L218" s="7"/>
      <c r="M218" s="52"/>
      <c r="N218" s="7"/>
      <c r="O218" s="7"/>
      <c r="P218" s="47"/>
      <c r="Q218" s="47"/>
      <c r="R218" s="7"/>
      <c r="S218" s="51"/>
      <c r="T218" s="51"/>
      <c r="U218" s="7"/>
      <c r="V218" s="57"/>
      <c r="W218" s="57"/>
      <c r="X218" s="57"/>
    </row>
    <row r="219" spans="1:24" ht="12.5" x14ac:dyDescent="0.25">
      <c r="A219" s="34"/>
      <c r="B219" s="7"/>
      <c r="C219" s="19"/>
      <c r="D219" s="7"/>
      <c r="E219" s="7"/>
      <c r="F219" s="7"/>
      <c r="G219" s="7"/>
      <c r="H219" s="6"/>
      <c r="I219" s="7"/>
      <c r="J219" s="7"/>
      <c r="K219" s="7"/>
      <c r="L219" s="7"/>
      <c r="M219" s="52"/>
      <c r="N219" s="7"/>
      <c r="O219" s="7"/>
      <c r="P219" s="47"/>
      <c r="Q219" s="47"/>
      <c r="R219" s="7"/>
      <c r="S219" s="51"/>
      <c r="T219" s="51"/>
      <c r="U219" s="7"/>
      <c r="V219" s="57"/>
      <c r="W219" s="57"/>
      <c r="X219" s="57"/>
    </row>
    <row r="220" spans="1:24" ht="12.5" x14ac:dyDescent="0.25">
      <c r="A220" s="34"/>
      <c r="B220" s="7"/>
      <c r="C220" s="19"/>
      <c r="D220" s="7"/>
      <c r="E220" s="7"/>
      <c r="F220" s="7"/>
      <c r="G220" s="7"/>
      <c r="H220" s="6"/>
      <c r="I220" s="7"/>
      <c r="J220" s="7"/>
      <c r="K220" s="7"/>
      <c r="L220" s="7"/>
      <c r="M220" s="52"/>
      <c r="N220" s="7"/>
      <c r="O220" s="7"/>
      <c r="P220" s="47"/>
      <c r="Q220" s="47"/>
      <c r="R220" s="7"/>
      <c r="S220" s="51"/>
      <c r="T220" s="51"/>
      <c r="U220" s="7"/>
      <c r="V220" s="57"/>
      <c r="W220" s="57"/>
      <c r="X220" s="57"/>
    </row>
    <row r="221" spans="1:24" ht="12.5" x14ac:dyDescent="0.25">
      <c r="A221" s="34"/>
      <c r="B221" s="7"/>
      <c r="C221" s="19"/>
      <c r="D221" s="7"/>
      <c r="E221" s="7"/>
      <c r="F221" s="7"/>
      <c r="G221" s="7"/>
      <c r="H221" s="6"/>
      <c r="I221" s="7"/>
      <c r="J221" s="7"/>
      <c r="K221" s="7"/>
      <c r="L221" s="7"/>
      <c r="M221" s="52"/>
      <c r="N221" s="7"/>
      <c r="O221" s="7"/>
      <c r="P221" s="47"/>
      <c r="Q221" s="47"/>
      <c r="R221" s="7"/>
      <c r="S221" s="51"/>
      <c r="T221" s="51"/>
      <c r="U221" s="7"/>
      <c r="V221" s="57"/>
      <c r="W221" s="57"/>
      <c r="X221" s="57"/>
    </row>
    <row r="222" spans="1:24" ht="12.5" x14ac:dyDescent="0.25">
      <c r="A222" s="34"/>
      <c r="B222" s="7"/>
      <c r="C222" s="19"/>
      <c r="D222" s="7"/>
      <c r="E222" s="7"/>
      <c r="F222" s="7"/>
      <c r="G222" s="7"/>
      <c r="H222" s="6"/>
      <c r="I222" s="7"/>
      <c r="J222" s="7"/>
      <c r="K222" s="7"/>
      <c r="L222" s="7"/>
      <c r="M222" s="52"/>
      <c r="N222" s="7"/>
      <c r="O222" s="7"/>
      <c r="P222" s="47"/>
      <c r="Q222" s="47"/>
      <c r="R222" s="7"/>
      <c r="S222" s="51"/>
      <c r="T222" s="51"/>
      <c r="U222" s="7"/>
      <c r="V222" s="57"/>
      <c r="W222" s="57"/>
      <c r="X222" s="57"/>
    </row>
    <row r="223" spans="1:24" ht="12.5" x14ac:dyDescent="0.25">
      <c r="A223" s="34"/>
      <c r="B223" s="7"/>
      <c r="C223" s="19"/>
      <c r="D223" s="7"/>
      <c r="E223" s="7"/>
      <c r="F223" s="7"/>
      <c r="G223" s="7"/>
      <c r="H223" s="6"/>
      <c r="I223" s="7"/>
      <c r="J223" s="7"/>
      <c r="K223" s="7"/>
      <c r="L223" s="7"/>
      <c r="M223" s="52"/>
      <c r="N223" s="7"/>
      <c r="O223" s="7"/>
      <c r="P223" s="47"/>
      <c r="Q223" s="47"/>
      <c r="R223" s="7"/>
      <c r="S223" s="51"/>
      <c r="T223" s="51"/>
      <c r="U223" s="7"/>
      <c r="V223" s="57"/>
      <c r="W223" s="57"/>
      <c r="X223" s="57"/>
    </row>
    <row r="224" spans="1:24" ht="12.5" x14ac:dyDescent="0.25">
      <c r="A224" s="34"/>
      <c r="B224" s="7"/>
      <c r="C224" s="19"/>
      <c r="D224" s="7"/>
      <c r="E224" s="7"/>
      <c r="F224" s="7"/>
      <c r="G224" s="7"/>
      <c r="H224" s="6"/>
      <c r="I224" s="7"/>
      <c r="J224" s="7"/>
      <c r="K224" s="7"/>
      <c r="L224" s="7"/>
      <c r="M224" s="52"/>
      <c r="N224" s="7"/>
      <c r="O224" s="7"/>
      <c r="P224" s="47"/>
      <c r="Q224" s="47"/>
      <c r="R224" s="7"/>
      <c r="S224" s="51"/>
      <c r="T224" s="51"/>
      <c r="U224" s="7"/>
      <c r="V224" s="57"/>
      <c r="W224" s="57"/>
      <c r="X224" s="57"/>
    </row>
    <row r="225" spans="1:24" ht="12.5" x14ac:dyDescent="0.25">
      <c r="A225" s="34"/>
      <c r="B225" s="7"/>
      <c r="C225" s="19"/>
      <c r="D225" s="7"/>
      <c r="E225" s="7"/>
      <c r="F225" s="7"/>
      <c r="G225" s="7"/>
      <c r="H225" s="6"/>
      <c r="I225" s="7"/>
      <c r="J225" s="7"/>
      <c r="K225" s="7"/>
      <c r="L225" s="7"/>
      <c r="M225" s="52"/>
      <c r="N225" s="7"/>
      <c r="O225" s="7"/>
      <c r="P225" s="47"/>
      <c r="Q225" s="47"/>
      <c r="R225" s="7"/>
      <c r="S225" s="51"/>
      <c r="T225" s="51"/>
      <c r="U225" s="7"/>
      <c r="V225" s="57"/>
      <c r="W225" s="57"/>
      <c r="X225" s="57"/>
    </row>
    <row r="226" spans="1:24" ht="12.5" x14ac:dyDescent="0.25">
      <c r="A226" s="34"/>
      <c r="B226" s="7"/>
      <c r="C226" s="19"/>
      <c r="D226" s="7"/>
      <c r="E226" s="7"/>
      <c r="F226" s="7"/>
      <c r="G226" s="7"/>
      <c r="H226" s="6"/>
      <c r="I226" s="7"/>
      <c r="J226" s="7"/>
      <c r="K226" s="7"/>
      <c r="L226" s="7"/>
      <c r="M226" s="52"/>
      <c r="N226" s="7"/>
      <c r="O226" s="7"/>
      <c r="P226" s="47"/>
      <c r="Q226" s="47"/>
      <c r="R226" s="7"/>
      <c r="S226" s="51"/>
      <c r="T226" s="51"/>
      <c r="U226" s="7"/>
      <c r="V226" s="57"/>
      <c r="W226" s="57"/>
      <c r="X226" s="57"/>
    </row>
    <row r="227" spans="1:24" ht="12.5" x14ac:dyDescent="0.25">
      <c r="A227" s="34"/>
      <c r="B227" s="7"/>
      <c r="C227" s="19"/>
      <c r="D227" s="7"/>
      <c r="E227" s="7"/>
      <c r="F227" s="7"/>
      <c r="G227" s="7"/>
      <c r="H227" s="6"/>
      <c r="I227" s="7"/>
      <c r="J227" s="7"/>
      <c r="K227" s="7"/>
      <c r="L227" s="7"/>
      <c r="M227" s="52"/>
      <c r="N227" s="7"/>
      <c r="O227" s="7"/>
      <c r="P227" s="47"/>
      <c r="Q227" s="47"/>
      <c r="R227" s="7"/>
      <c r="S227" s="51"/>
      <c r="T227" s="51"/>
      <c r="U227" s="7"/>
      <c r="V227" s="57"/>
      <c r="W227" s="57"/>
      <c r="X227" s="57"/>
    </row>
    <row r="228" spans="1:24" ht="12.5" x14ac:dyDescent="0.25">
      <c r="A228" s="34"/>
      <c r="B228" s="7"/>
      <c r="C228" s="19"/>
      <c r="D228" s="7"/>
      <c r="E228" s="7"/>
      <c r="F228" s="7"/>
      <c r="G228" s="7"/>
      <c r="H228" s="6"/>
      <c r="I228" s="7"/>
      <c r="J228" s="7"/>
      <c r="K228" s="7"/>
      <c r="L228" s="7"/>
      <c r="M228" s="52"/>
      <c r="N228" s="7"/>
      <c r="O228" s="7"/>
      <c r="P228" s="47"/>
      <c r="Q228" s="47"/>
      <c r="R228" s="7"/>
      <c r="S228" s="51"/>
      <c r="T228" s="51"/>
      <c r="U228" s="7"/>
      <c r="V228" s="57"/>
      <c r="W228" s="57"/>
      <c r="X228" s="57"/>
    </row>
    <row r="229" spans="1:24" ht="12.5" x14ac:dyDescent="0.25">
      <c r="A229" s="34"/>
      <c r="B229" s="7"/>
      <c r="C229" s="19"/>
      <c r="D229" s="7"/>
      <c r="E229" s="7"/>
      <c r="F229" s="7"/>
      <c r="G229" s="7"/>
      <c r="H229" s="6"/>
      <c r="I229" s="7"/>
      <c r="J229" s="7"/>
      <c r="K229" s="7"/>
      <c r="L229" s="7"/>
      <c r="M229" s="52"/>
      <c r="N229" s="7"/>
      <c r="O229" s="7"/>
      <c r="P229" s="47"/>
      <c r="Q229" s="47"/>
      <c r="R229" s="7"/>
      <c r="S229" s="51"/>
      <c r="T229" s="51"/>
      <c r="U229" s="7"/>
      <c r="V229" s="57"/>
      <c r="W229" s="57"/>
      <c r="X229" s="57"/>
    </row>
    <row r="230" spans="1:24" ht="12.5" x14ac:dyDescent="0.25">
      <c r="A230" s="34"/>
      <c r="B230" s="7"/>
      <c r="C230" s="19"/>
      <c r="D230" s="7"/>
      <c r="E230" s="7"/>
      <c r="F230" s="7"/>
      <c r="G230" s="7"/>
      <c r="H230" s="6"/>
      <c r="I230" s="7"/>
      <c r="J230" s="7"/>
      <c r="K230" s="7"/>
      <c r="L230" s="7"/>
      <c r="M230" s="52"/>
      <c r="N230" s="7"/>
      <c r="O230" s="7"/>
      <c r="P230" s="47"/>
      <c r="Q230" s="47"/>
      <c r="R230" s="7"/>
      <c r="S230" s="51"/>
      <c r="T230" s="51"/>
      <c r="U230" s="7"/>
      <c r="V230" s="57"/>
      <c r="W230" s="57"/>
      <c r="X230" s="57"/>
    </row>
    <row r="231" spans="1:24" ht="12.5" x14ac:dyDescent="0.25">
      <c r="A231" s="34"/>
      <c r="B231" s="7"/>
      <c r="C231" s="19"/>
      <c r="D231" s="7"/>
      <c r="E231" s="7"/>
      <c r="F231" s="7"/>
      <c r="G231" s="7"/>
      <c r="H231" s="6"/>
      <c r="I231" s="7"/>
      <c r="J231" s="7"/>
      <c r="K231" s="7"/>
      <c r="L231" s="7"/>
      <c r="M231" s="52"/>
      <c r="N231" s="7"/>
      <c r="O231" s="7"/>
      <c r="P231" s="47"/>
      <c r="Q231" s="47"/>
      <c r="R231" s="7"/>
      <c r="S231" s="51"/>
      <c r="T231" s="51"/>
      <c r="U231" s="7"/>
      <c r="V231" s="57"/>
      <c r="W231" s="57"/>
      <c r="X231" s="57"/>
    </row>
    <row r="232" spans="1:24" ht="12.5" x14ac:dyDescent="0.25">
      <c r="A232" s="34"/>
      <c r="B232" s="7"/>
      <c r="C232" s="19"/>
      <c r="D232" s="7"/>
      <c r="E232" s="7"/>
      <c r="F232" s="7"/>
      <c r="G232" s="7"/>
      <c r="H232" s="6"/>
      <c r="I232" s="7"/>
      <c r="J232" s="7"/>
      <c r="K232" s="7"/>
      <c r="L232" s="7"/>
      <c r="M232" s="52"/>
      <c r="N232" s="7"/>
      <c r="O232" s="7"/>
      <c r="P232" s="47"/>
      <c r="Q232" s="47"/>
      <c r="R232" s="7"/>
      <c r="S232" s="51"/>
      <c r="T232" s="51"/>
      <c r="U232" s="7"/>
      <c r="V232" s="57"/>
      <c r="W232" s="57"/>
      <c r="X232" s="57"/>
    </row>
    <row r="233" spans="1:24" ht="12.5" x14ac:dyDescent="0.25">
      <c r="A233" s="34"/>
      <c r="B233" s="7"/>
      <c r="C233" s="19"/>
      <c r="D233" s="7"/>
      <c r="E233" s="7"/>
      <c r="F233" s="7"/>
      <c r="G233" s="7"/>
      <c r="H233" s="6"/>
      <c r="I233" s="7"/>
      <c r="J233" s="7"/>
      <c r="K233" s="7"/>
      <c r="L233" s="7"/>
      <c r="M233" s="52"/>
      <c r="N233" s="7"/>
      <c r="O233" s="7"/>
      <c r="P233" s="47"/>
      <c r="Q233" s="47"/>
      <c r="R233" s="7"/>
      <c r="S233" s="51"/>
      <c r="T233" s="51"/>
      <c r="U233" s="7"/>
      <c r="V233" s="57"/>
      <c r="W233" s="57"/>
      <c r="X233" s="57"/>
    </row>
    <row r="234" spans="1:24" ht="12.5" x14ac:dyDescent="0.25">
      <c r="A234" s="34"/>
      <c r="B234" s="7"/>
      <c r="C234" s="19"/>
      <c r="D234" s="7"/>
      <c r="E234" s="7"/>
      <c r="F234" s="7"/>
      <c r="G234" s="7"/>
      <c r="H234" s="6"/>
      <c r="I234" s="7"/>
      <c r="J234" s="7"/>
      <c r="K234" s="7"/>
      <c r="L234" s="7"/>
      <c r="M234" s="52"/>
      <c r="N234" s="7"/>
      <c r="O234" s="7"/>
      <c r="P234" s="47"/>
      <c r="Q234" s="47"/>
      <c r="R234" s="7"/>
      <c r="S234" s="51"/>
      <c r="T234" s="51"/>
      <c r="U234" s="7"/>
      <c r="V234" s="57"/>
      <c r="W234" s="57"/>
      <c r="X234" s="57"/>
    </row>
    <row r="235" spans="1:24" ht="12.5" x14ac:dyDescent="0.25">
      <c r="A235" s="34"/>
      <c r="B235" s="7"/>
      <c r="C235" s="19"/>
      <c r="D235" s="7"/>
      <c r="E235" s="7"/>
      <c r="F235" s="7"/>
      <c r="G235" s="7"/>
      <c r="H235" s="6"/>
      <c r="I235" s="7"/>
      <c r="J235" s="7"/>
      <c r="K235" s="7"/>
      <c r="L235" s="7"/>
      <c r="M235" s="52"/>
      <c r="N235" s="7"/>
      <c r="O235" s="7"/>
      <c r="P235" s="47"/>
      <c r="Q235" s="47"/>
      <c r="R235" s="7"/>
      <c r="S235" s="51"/>
      <c r="T235" s="51"/>
      <c r="U235" s="7"/>
      <c r="V235" s="57"/>
      <c r="W235" s="57"/>
      <c r="X235" s="57"/>
    </row>
    <row r="236" spans="1:24" ht="12.5" x14ac:dyDescent="0.25">
      <c r="A236" s="34"/>
      <c r="B236" s="7"/>
      <c r="C236" s="19"/>
      <c r="D236" s="7"/>
      <c r="E236" s="7"/>
      <c r="F236" s="7"/>
      <c r="G236" s="7"/>
      <c r="H236" s="6"/>
      <c r="I236" s="7"/>
      <c r="J236" s="7"/>
      <c r="K236" s="7"/>
      <c r="L236" s="7"/>
      <c r="M236" s="52"/>
      <c r="N236" s="7"/>
      <c r="O236" s="7"/>
      <c r="P236" s="47"/>
      <c r="Q236" s="47"/>
      <c r="R236" s="7"/>
      <c r="S236" s="51"/>
      <c r="T236" s="51"/>
      <c r="U236" s="7"/>
      <c r="V236" s="57"/>
      <c r="W236" s="57"/>
      <c r="X236" s="57"/>
    </row>
    <row r="237" spans="1:24" ht="12.5" x14ac:dyDescent="0.25">
      <c r="A237" s="34"/>
      <c r="B237" s="7"/>
      <c r="C237" s="19"/>
      <c r="D237" s="7"/>
      <c r="E237" s="7"/>
      <c r="F237" s="7"/>
      <c r="G237" s="7"/>
      <c r="H237" s="6"/>
      <c r="I237" s="7"/>
      <c r="J237" s="7"/>
      <c r="K237" s="7"/>
      <c r="L237" s="7"/>
      <c r="M237" s="52"/>
      <c r="N237" s="7"/>
      <c r="O237" s="7"/>
      <c r="P237" s="47"/>
      <c r="Q237" s="47"/>
      <c r="R237" s="7"/>
      <c r="S237" s="51"/>
      <c r="T237" s="51"/>
      <c r="U237" s="7"/>
      <c r="V237" s="57"/>
      <c r="W237" s="57"/>
      <c r="X237" s="57"/>
    </row>
    <row r="238" spans="1:24" ht="12.5" x14ac:dyDescent="0.25">
      <c r="A238" s="34"/>
      <c r="B238" s="7"/>
      <c r="C238" s="19"/>
      <c r="D238" s="7"/>
      <c r="E238" s="7"/>
      <c r="F238" s="7"/>
      <c r="G238" s="7"/>
      <c r="H238" s="6"/>
      <c r="I238" s="7"/>
      <c r="J238" s="7"/>
      <c r="K238" s="7"/>
      <c r="L238" s="7"/>
      <c r="M238" s="52"/>
      <c r="N238" s="7"/>
      <c r="O238" s="7"/>
      <c r="P238" s="47"/>
      <c r="Q238" s="47"/>
      <c r="R238" s="7"/>
      <c r="S238" s="51"/>
      <c r="T238" s="51"/>
      <c r="U238" s="7"/>
      <c r="V238" s="57"/>
      <c r="W238" s="57"/>
      <c r="X238" s="57"/>
    </row>
    <row r="239" spans="1:24" ht="12.5" x14ac:dyDescent="0.25">
      <c r="A239" s="34"/>
      <c r="B239" s="7"/>
      <c r="C239" s="19"/>
      <c r="D239" s="7"/>
      <c r="E239" s="7"/>
      <c r="F239" s="7"/>
      <c r="G239" s="7"/>
      <c r="H239" s="6"/>
      <c r="I239" s="7"/>
      <c r="J239" s="7"/>
      <c r="K239" s="7"/>
      <c r="L239" s="7"/>
      <c r="M239" s="52"/>
      <c r="N239" s="7"/>
      <c r="O239" s="7"/>
      <c r="P239" s="47"/>
      <c r="Q239" s="47"/>
      <c r="R239" s="7"/>
      <c r="S239" s="51"/>
      <c r="T239" s="51"/>
      <c r="U239" s="7"/>
      <c r="V239" s="57"/>
      <c r="W239" s="57"/>
      <c r="X239" s="57"/>
    </row>
    <row r="240" spans="1:24" ht="12.5" x14ac:dyDescent="0.25">
      <c r="A240" s="34"/>
      <c r="B240" s="7"/>
      <c r="C240" s="19"/>
      <c r="D240" s="7"/>
      <c r="E240" s="7"/>
      <c r="F240" s="7"/>
      <c r="G240" s="7"/>
      <c r="H240" s="6"/>
      <c r="I240" s="7"/>
      <c r="J240" s="7"/>
      <c r="K240" s="7"/>
      <c r="L240" s="7"/>
      <c r="M240" s="52"/>
      <c r="N240" s="7"/>
      <c r="O240" s="7"/>
      <c r="P240" s="47"/>
      <c r="Q240" s="47"/>
      <c r="R240" s="7"/>
      <c r="S240" s="51"/>
      <c r="T240" s="51"/>
      <c r="U240" s="7"/>
      <c r="V240" s="57"/>
      <c r="W240" s="57"/>
      <c r="X240" s="57"/>
    </row>
    <row r="241" spans="1:24" ht="12.5" x14ac:dyDescent="0.25">
      <c r="A241" s="34"/>
      <c r="B241" s="7"/>
      <c r="C241" s="19"/>
      <c r="D241" s="7"/>
      <c r="E241" s="7"/>
      <c r="F241" s="7"/>
      <c r="G241" s="7"/>
      <c r="H241" s="6"/>
      <c r="I241" s="7"/>
      <c r="J241" s="7"/>
      <c r="K241" s="7"/>
      <c r="L241" s="7"/>
      <c r="M241" s="52"/>
      <c r="N241" s="7"/>
      <c r="O241" s="7"/>
      <c r="P241" s="47"/>
      <c r="Q241" s="47"/>
      <c r="R241" s="7"/>
      <c r="S241" s="51"/>
      <c r="T241" s="51"/>
      <c r="U241" s="7"/>
      <c r="V241" s="57"/>
      <c r="W241" s="57"/>
      <c r="X241" s="57"/>
    </row>
    <row r="242" spans="1:24" ht="12.5" x14ac:dyDescent="0.25">
      <c r="A242" s="34"/>
      <c r="B242" s="7"/>
      <c r="C242" s="19"/>
      <c r="D242" s="7"/>
      <c r="E242" s="7"/>
      <c r="F242" s="7"/>
      <c r="G242" s="7"/>
      <c r="H242" s="6"/>
      <c r="I242" s="7"/>
      <c r="J242" s="7"/>
      <c r="K242" s="7"/>
      <c r="L242" s="7"/>
      <c r="M242" s="52"/>
      <c r="N242" s="7"/>
      <c r="O242" s="7"/>
      <c r="P242" s="47"/>
      <c r="Q242" s="47"/>
      <c r="R242" s="7"/>
      <c r="S242" s="51"/>
      <c r="T242" s="51"/>
      <c r="U242" s="7"/>
      <c r="V242" s="57"/>
      <c r="W242" s="57"/>
      <c r="X242" s="57"/>
    </row>
    <row r="243" spans="1:24" ht="12.5" x14ac:dyDescent="0.25">
      <c r="A243" s="34"/>
      <c r="B243" s="7"/>
      <c r="C243" s="19"/>
      <c r="D243" s="7"/>
      <c r="E243" s="7"/>
      <c r="F243" s="7"/>
      <c r="G243" s="7"/>
      <c r="H243" s="6"/>
      <c r="I243" s="7"/>
      <c r="J243" s="7"/>
      <c r="K243" s="7"/>
      <c r="L243" s="7"/>
      <c r="M243" s="52"/>
      <c r="N243" s="7"/>
      <c r="O243" s="7"/>
      <c r="P243" s="47"/>
      <c r="Q243" s="47"/>
      <c r="R243" s="7"/>
      <c r="S243" s="51"/>
      <c r="T243" s="51"/>
      <c r="U243" s="7"/>
      <c r="V243" s="57"/>
      <c r="W243" s="57"/>
      <c r="X243" s="57"/>
    </row>
    <row r="244" spans="1:24" ht="12.5" x14ac:dyDescent="0.25">
      <c r="A244" s="34"/>
      <c r="B244" s="7"/>
      <c r="C244" s="19"/>
      <c r="D244" s="7"/>
      <c r="E244" s="7"/>
      <c r="F244" s="7"/>
      <c r="G244" s="7"/>
      <c r="H244" s="6"/>
      <c r="I244" s="7"/>
      <c r="J244" s="7"/>
      <c r="K244" s="7"/>
      <c r="L244" s="7"/>
      <c r="M244" s="52"/>
      <c r="N244" s="7"/>
      <c r="O244" s="7"/>
      <c r="P244" s="47"/>
      <c r="Q244" s="47"/>
      <c r="R244" s="7"/>
      <c r="S244" s="51"/>
      <c r="T244" s="51"/>
      <c r="U244" s="7"/>
      <c r="V244" s="57"/>
      <c r="W244" s="57"/>
      <c r="X244" s="57"/>
    </row>
    <row r="245" spans="1:24" ht="12.5" x14ac:dyDescent="0.25">
      <c r="A245" s="34"/>
      <c r="B245" s="7"/>
      <c r="C245" s="19"/>
      <c r="D245" s="7"/>
      <c r="E245" s="7"/>
      <c r="F245" s="7"/>
      <c r="G245" s="7"/>
      <c r="H245" s="6"/>
      <c r="I245" s="7"/>
      <c r="J245" s="7"/>
      <c r="K245" s="7"/>
      <c r="L245" s="7"/>
      <c r="M245" s="52"/>
      <c r="N245" s="7"/>
      <c r="O245" s="7"/>
      <c r="P245" s="47"/>
      <c r="Q245" s="47"/>
      <c r="R245" s="7"/>
      <c r="S245" s="51"/>
      <c r="T245" s="51"/>
      <c r="U245" s="7"/>
      <c r="V245" s="57"/>
      <c r="W245" s="57"/>
      <c r="X245" s="57"/>
    </row>
    <row r="246" spans="1:24" ht="12.5" x14ac:dyDescent="0.25">
      <c r="A246" s="34"/>
      <c r="B246" s="7"/>
      <c r="C246" s="19"/>
      <c r="D246" s="7"/>
      <c r="E246" s="7"/>
      <c r="F246" s="7"/>
      <c r="G246" s="7"/>
      <c r="H246" s="6"/>
      <c r="I246" s="7"/>
      <c r="J246" s="7"/>
      <c r="K246" s="7"/>
      <c r="L246" s="7"/>
      <c r="M246" s="52"/>
      <c r="N246" s="7"/>
      <c r="O246" s="7"/>
      <c r="P246" s="47"/>
      <c r="Q246" s="47"/>
      <c r="R246" s="7"/>
      <c r="S246" s="51"/>
      <c r="T246" s="51"/>
      <c r="U246" s="7"/>
      <c r="V246" s="57"/>
      <c r="W246" s="57"/>
      <c r="X246" s="57"/>
    </row>
    <row r="247" spans="1:24" ht="12.5" x14ac:dyDescent="0.25">
      <c r="A247" s="34"/>
      <c r="B247" s="7"/>
      <c r="C247" s="19"/>
      <c r="D247" s="7"/>
      <c r="E247" s="7"/>
      <c r="F247" s="7"/>
      <c r="G247" s="7"/>
      <c r="H247" s="6"/>
      <c r="I247" s="7"/>
      <c r="J247" s="7"/>
      <c r="K247" s="7"/>
      <c r="L247" s="7"/>
      <c r="M247" s="52"/>
      <c r="N247" s="7"/>
      <c r="O247" s="7"/>
      <c r="P247" s="47"/>
      <c r="Q247" s="47"/>
      <c r="R247" s="7"/>
      <c r="S247" s="51"/>
      <c r="T247" s="51"/>
      <c r="U247" s="7"/>
      <c r="V247" s="57"/>
      <c r="W247" s="57"/>
      <c r="X247" s="57"/>
    </row>
    <row r="248" spans="1:24" ht="12.5" x14ac:dyDescent="0.25">
      <c r="A248" s="34"/>
      <c r="B248" s="7"/>
      <c r="C248" s="19"/>
      <c r="D248" s="7"/>
      <c r="E248" s="7"/>
      <c r="F248" s="7"/>
      <c r="G248" s="7"/>
      <c r="H248" s="6"/>
      <c r="I248" s="7"/>
      <c r="J248" s="7"/>
      <c r="K248" s="7"/>
      <c r="L248" s="7"/>
      <c r="M248" s="52"/>
      <c r="N248" s="7"/>
      <c r="O248" s="7"/>
      <c r="P248" s="47"/>
      <c r="Q248" s="47"/>
      <c r="R248" s="7"/>
      <c r="S248" s="51"/>
      <c r="T248" s="51"/>
      <c r="U248" s="7"/>
      <c r="V248" s="57"/>
      <c r="W248" s="57"/>
      <c r="X248" s="57"/>
    </row>
    <row r="249" spans="1:24" ht="12.5" x14ac:dyDescent="0.25">
      <c r="A249" s="34"/>
      <c r="B249" s="7"/>
      <c r="C249" s="19"/>
      <c r="D249" s="7"/>
      <c r="E249" s="7"/>
      <c r="F249" s="7"/>
      <c r="G249" s="7"/>
      <c r="H249" s="6"/>
      <c r="I249" s="7"/>
      <c r="J249" s="7"/>
      <c r="K249" s="7"/>
      <c r="L249" s="7"/>
      <c r="M249" s="52"/>
      <c r="N249" s="7"/>
      <c r="O249" s="7"/>
      <c r="P249" s="47"/>
      <c r="Q249" s="47"/>
      <c r="R249" s="7"/>
      <c r="S249" s="51"/>
      <c r="T249" s="51"/>
      <c r="U249" s="7"/>
      <c r="V249" s="57"/>
      <c r="W249" s="57"/>
      <c r="X249" s="57"/>
    </row>
    <row r="250" spans="1:24" ht="12.5" x14ac:dyDescent="0.25">
      <c r="A250" s="34"/>
      <c r="B250" s="7"/>
      <c r="C250" s="19"/>
      <c r="D250" s="7"/>
      <c r="E250" s="7"/>
      <c r="F250" s="7"/>
      <c r="G250" s="7"/>
      <c r="H250" s="6"/>
      <c r="I250" s="7"/>
      <c r="J250" s="7"/>
      <c r="K250" s="7"/>
      <c r="L250" s="7"/>
      <c r="M250" s="52"/>
      <c r="N250" s="7"/>
      <c r="O250" s="7"/>
      <c r="P250" s="47"/>
      <c r="Q250" s="47"/>
      <c r="R250" s="7"/>
      <c r="S250" s="51"/>
      <c r="T250" s="51"/>
      <c r="U250" s="7"/>
      <c r="V250" s="57"/>
      <c r="W250" s="57"/>
      <c r="X250" s="57"/>
    </row>
    <row r="251" spans="1:24" ht="12.5" x14ac:dyDescent="0.25">
      <c r="A251" s="34"/>
      <c r="B251" s="7"/>
      <c r="C251" s="19"/>
      <c r="D251" s="7"/>
      <c r="E251" s="7"/>
      <c r="F251" s="7"/>
      <c r="G251" s="7"/>
      <c r="H251" s="6"/>
      <c r="I251" s="7"/>
      <c r="J251" s="7"/>
      <c r="K251" s="7"/>
      <c r="L251" s="7"/>
      <c r="M251" s="52"/>
      <c r="N251" s="7"/>
      <c r="O251" s="7"/>
      <c r="P251" s="47"/>
      <c r="Q251" s="47"/>
      <c r="R251" s="7"/>
      <c r="S251" s="51"/>
      <c r="T251" s="51"/>
      <c r="U251" s="7"/>
      <c r="V251" s="57"/>
      <c r="W251" s="57"/>
      <c r="X251" s="57"/>
    </row>
    <row r="252" spans="1:24" ht="12.5" x14ac:dyDescent="0.25">
      <c r="A252" s="34"/>
      <c r="B252" s="7"/>
      <c r="C252" s="19"/>
      <c r="D252" s="7"/>
      <c r="E252" s="7"/>
      <c r="F252" s="7"/>
      <c r="G252" s="7"/>
      <c r="H252" s="6"/>
      <c r="I252" s="7"/>
      <c r="J252" s="7"/>
      <c r="K252" s="7"/>
      <c r="L252" s="7"/>
      <c r="M252" s="52"/>
      <c r="N252" s="7"/>
      <c r="O252" s="7"/>
      <c r="P252" s="47"/>
      <c r="Q252" s="47"/>
      <c r="R252" s="7"/>
      <c r="S252" s="51"/>
      <c r="T252" s="51"/>
      <c r="U252" s="7"/>
      <c r="V252" s="57"/>
      <c r="W252" s="57"/>
      <c r="X252" s="57"/>
    </row>
    <row r="253" spans="1:24" ht="12.5" x14ac:dyDescent="0.25">
      <c r="A253" s="34"/>
      <c r="B253" s="7"/>
      <c r="C253" s="19"/>
      <c r="D253" s="7"/>
      <c r="E253" s="7"/>
      <c r="F253" s="7"/>
      <c r="G253" s="7"/>
      <c r="H253" s="6"/>
      <c r="I253" s="7"/>
      <c r="J253" s="7"/>
      <c r="K253" s="7"/>
      <c r="L253" s="7"/>
      <c r="M253" s="52"/>
      <c r="N253" s="7"/>
      <c r="O253" s="7"/>
      <c r="P253" s="47"/>
      <c r="Q253" s="47"/>
      <c r="R253" s="7"/>
      <c r="S253" s="51"/>
      <c r="T253" s="51"/>
      <c r="U253" s="7"/>
      <c r="V253" s="57"/>
      <c r="W253" s="57"/>
      <c r="X253" s="57"/>
    </row>
    <row r="254" spans="1:24" ht="12.5" x14ac:dyDescent="0.25">
      <c r="A254" s="34"/>
      <c r="B254" s="7"/>
      <c r="C254" s="19"/>
      <c r="D254" s="7"/>
      <c r="E254" s="7"/>
      <c r="F254" s="7"/>
      <c r="G254" s="7"/>
      <c r="H254" s="6"/>
      <c r="I254" s="7"/>
      <c r="J254" s="7"/>
      <c r="K254" s="7"/>
      <c r="L254" s="7"/>
      <c r="M254" s="52"/>
      <c r="N254" s="7"/>
      <c r="O254" s="7"/>
      <c r="P254" s="47"/>
      <c r="Q254" s="47"/>
      <c r="R254" s="7"/>
      <c r="S254" s="51"/>
      <c r="T254" s="51"/>
      <c r="U254" s="7"/>
      <c r="V254" s="57"/>
      <c r="W254" s="57"/>
      <c r="X254" s="57"/>
    </row>
    <row r="255" spans="1:24" ht="12.5" x14ac:dyDescent="0.25">
      <c r="A255" s="34"/>
      <c r="B255" s="7"/>
      <c r="C255" s="19"/>
      <c r="D255" s="7"/>
      <c r="E255" s="7"/>
      <c r="F255" s="7"/>
      <c r="G255" s="7"/>
      <c r="H255" s="6"/>
      <c r="I255" s="7"/>
      <c r="J255" s="7"/>
      <c r="K255" s="7"/>
      <c r="L255" s="7"/>
      <c r="M255" s="52"/>
      <c r="N255" s="7"/>
      <c r="O255" s="7"/>
      <c r="P255" s="47"/>
      <c r="Q255" s="47"/>
      <c r="R255" s="7"/>
      <c r="S255" s="51"/>
      <c r="T255" s="51"/>
      <c r="U255" s="7"/>
      <c r="V255" s="57"/>
      <c r="W255" s="57"/>
      <c r="X255" s="57"/>
    </row>
    <row r="256" spans="1:24" ht="12.5" x14ac:dyDescent="0.25">
      <c r="A256" s="34"/>
      <c r="B256" s="7"/>
      <c r="C256" s="19"/>
      <c r="D256" s="7"/>
      <c r="E256" s="7"/>
      <c r="F256" s="7"/>
      <c r="G256" s="7"/>
      <c r="H256" s="6"/>
      <c r="I256" s="7"/>
      <c r="J256" s="7"/>
      <c r="K256" s="7"/>
      <c r="L256" s="7"/>
      <c r="M256" s="52"/>
      <c r="N256" s="7"/>
      <c r="O256" s="7"/>
      <c r="P256" s="47"/>
      <c r="Q256" s="47"/>
      <c r="R256" s="7"/>
      <c r="S256" s="51"/>
      <c r="T256" s="51"/>
      <c r="U256" s="7"/>
      <c r="V256" s="57"/>
      <c r="W256" s="57"/>
      <c r="X256" s="57"/>
    </row>
    <row r="257" spans="1:24" ht="12.5" x14ac:dyDescent="0.25">
      <c r="A257" s="34"/>
      <c r="B257" s="7"/>
      <c r="C257" s="19"/>
      <c r="D257" s="7"/>
      <c r="E257" s="7"/>
      <c r="F257" s="7"/>
      <c r="G257" s="7"/>
      <c r="H257" s="6"/>
      <c r="I257" s="7"/>
      <c r="J257" s="7"/>
      <c r="K257" s="7"/>
      <c r="L257" s="7"/>
      <c r="M257" s="52"/>
      <c r="N257" s="7"/>
      <c r="O257" s="7"/>
      <c r="P257" s="47"/>
      <c r="Q257" s="47"/>
      <c r="R257" s="7"/>
      <c r="S257" s="51"/>
      <c r="T257" s="51"/>
      <c r="U257" s="7"/>
      <c r="V257" s="57"/>
      <c r="W257" s="57"/>
      <c r="X257" s="57"/>
    </row>
    <row r="258" spans="1:24" ht="12.5" x14ac:dyDescent="0.25">
      <c r="A258" s="34"/>
      <c r="B258" s="7"/>
      <c r="C258" s="19"/>
      <c r="D258" s="7"/>
      <c r="E258" s="7"/>
      <c r="F258" s="7"/>
      <c r="G258" s="7"/>
      <c r="H258" s="6"/>
      <c r="I258" s="7"/>
      <c r="J258" s="7"/>
      <c r="K258" s="7"/>
      <c r="L258" s="7"/>
      <c r="M258" s="52"/>
      <c r="N258" s="7"/>
      <c r="O258" s="7"/>
      <c r="P258" s="47"/>
      <c r="Q258" s="47"/>
      <c r="R258" s="7"/>
      <c r="S258" s="51"/>
      <c r="T258" s="51"/>
      <c r="U258" s="7"/>
      <c r="V258" s="57"/>
      <c r="W258" s="57"/>
      <c r="X258" s="57"/>
    </row>
    <row r="259" spans="1:24" ht="12.5" x14ac:dyDescent="0.25">
      <c r="A259" s="34"/>
      <c r="B259" s="7"/>
      <c r="C259" s="19"/>
      <c r="D259" s="7"/>
      <c r="E259" s="7"/>
      <c r="F259" s="7"/>
      <c r="G259" s="7"/>
      <c r="H259" s="6"/>
      <c r="I259" s="7"/>
      <c r="J259" s="7"/>
      <c r="K259" s="7"/>
      <c r="L259" s="7"/>
      <c r="M259" s="52"/>
      <c r="N259" s="7"/>
      <c r="O259" s="7"/>
      <c r="P259" s="47"/>
      <c r="Q259" s="47"/>
      <c r="R259" s="7"/>
      <c r="S259" s="51"/>
      <c r="T259" s="51"/>
      <c r="U259" s="7"/>
      <c r="V259" s="57"/>
      <c r="W259" s="57"/>
      <c r="X259" s="57"/>
    </row>
    <row r="260" spans="1:24" ht="12.5" x14ac:dyDescent="0.25">
      <c r="A260" s="34"/>
      <c r="B260" s="7"/>
      <c r="C260" s="19"/>
      <c r="D260" s="7"/>
      <c r="E260" s="7"/>
      <c r="F260" s="7"/>
      <c r="G260" s="7"/>
      <c r="H260" s="6"/>
      <c r="I260" s="7"/>
      <c r="J260" s="7"/>
      <c r="K260" s="7"/>
      <c r="L260" s="7"/>
      <c r="M260" s="52"/>
      <c r="N260" s="7"/>
      <c r="O260" s="7"/>
      <c r="P260" s="47"/>
      <c r="Q260" s="47"/>
      <c r="R260" s="7"/>
      <c r="S260" s="51"/>
      <c r="T260" s="51"/>
      <c r="U260" s="7"/>
      <c r="V260" s="57"/>
      <c r="W260" s="57"/>
      <c r="X260" s="57"/>
    </row>
    <row r="261" spans="1:24" ht="12.5" x14ac:dyDescent="0.25">
      <c r="A261" s="34"/>
      <c r="B261" s="7"/>
      <c r="C261" s="19"/>
      <c r="D261" s="7"/>
      <c r="E261" s="7"/>
      <c r="F261" s="7"/>
      <c r="G261" s="7"/>
      <c r="H261" s="6"/>
      <c r="I261" s="7"/>
      <c r="J261" s="7"/>
      <c r="K261" s="7"/>
      <c r="L261" s="7"/>
      <c r="M261" s="52"/>
      <c r="N261" s="7"/>
      <c r="O261" s="7"/>
      <c r="P261" s="47"/>
      <c r="Q261" s="47"/>
      <c r="R261" s="7"/>
      <c r="S261" s="51"/>
      <c r="T261" s="51"/>
      <c r="U261" s="7"/>
      <c r="V261" s="57"/>
      <c r="W261" s="57"/>
      <c r="X261" s="57"/>
    </row>
    <row r="262" spans="1:24" ht="12.5" x14ac:dyDescent="0.25">
      <c r="A262" s="34"/>
      <c r="B262" s="7"/>
      <c r="C262" s="19"/>
      <c r="D262" s="7"/>
      <c r="E262" s="7"/>
      <c r="F262" s="7"/>
      <c r="G262" s="7"/>
      <c r="H262" s="6"/>
      <c r="I262" s="7"/>
      <c r="J262" s="7"/>
      <c r="K262" s="7"/>
      <c r="L262" s="7"/>
      <c r="M262" s="52"/>
      <c r="N262" s="7"/>
      <c r="O262" s="7"/>
      <c r="P262" s="47"/>
      <c r="Q262" s="47"/>
      <c r="R262" s="7"/>
      <c r="S262" s="51"/>
      <c r="T262" s="51"/>
      <c r="U262" s="7"/>
      <c r="V262" s="57"/>
      <c r="W262" s="57"/>
      <c r="X262" s="57"/>
    </row>
    <row r="263" spans="1:24" ht="12.5" x14ac:dyDescent="0.25">
      <c r="A263" s="34"/>
      <c r="B263" s="7"/>
      <c r="C263" s="19"/>
      <c r="D263" s="7"/>
      <c r="E263" s="7"/>
      <c r="F263" s="7"/>
      <c r="G263" s="7"/>
      <c r="H263" s="6"/>
      <c r="I263" s="7"/>
      <c r="J263" s="7"/>
      <c r="K263" s="7"/>
      <c r="L263" s="7"/>
      <c r="M263" s="52"/>
      <c r="N263" s="7"/>
      <c r="O263" s="7"/>
      <c r="P263" s="47"/>
      <c r="Q263" s="47"/>
      <c r="R263" s="7"/>
      <c r="S263" s="51"/>
      <c r="T263" s="51"/>
      <c r="U263" s="7"/>
      <c r="V263" s="57"/>
      <c r="W263" s="57"/>
      <c r="X263" s="57"/>
    </row>
    <row r="264" spans="1:24" ht="12.5" x14ac:dyDescent="0.25">
      <c r="A264" s="34"/>
      <c r="B264" s="7"/>
      <c r="C264" s="19"/>
      <c r="D264" s="7"/>
      <c r="E264" s="7"/>
      <c r="F264" s="7"/>
      <c r="G264" s="7"/>
      <c r="H264" s="6"/>
      <c r="I264" s="7"/>
      <c r="J264" s="7"/>
      <c r="K264" s="7"/>
      <c r="L264" s="7"/>
      <c r="M264" s="52"/>
      <c r="N264" s="7"/>
      <c r="O264" s="7"/>
      <c r="P264" s="47"/>
      <c r="Q264" s="47"/>
      <c r="R264" s="7"/>
      <c r="S264" s="51"/>
      <c r="T264" s="51"/>
      <c r="U264" s="7"/>
      <c r="V264" s="57"/>
      <c r="W264" s="57"/>
      <c r="X264" s="57"/>
    </row>
    <row r="265" spans="1:24" ht="12.5" x14ac:dyDescent="0.25">
      <c r="A265" s="34"/>
      <c r="B265" s="7"/>
      <c r="C265" s="19"/>
      <c r="D265" s="7"/>
      <c r="E265" s="7"/>
      <c r="F265" s="7"/>
      <c r="G265" s="7"/>
      <c r="H265" s="6"/>
      <c r="I265" s="7"/>
      <c r="J265" s="7"/>
      <c r="K265" s="7"/>
      <c r="L265" s="7"/>
      <c r="M265" s="52"/>
      <c r="N265" s="7"/>
      <c r="O265" s="7"/>
      <c r="P265" s="47"/>
      <c r="Q265" s="47"/>
      <c r="R265" s="7"/>
      <c r="S265" s="51"/>
      <c r="T265" s="51"/>
      <c r="U265" s="7"/>
      <c r="V265" s="57"/>
      <c r="W265" s="57"/>
      <c r="X265" s="57"/>
    </row>
    <row r="266" spans="1:24" ht="12.5" x14ac:dyDescent="0.25">
      <c r="A266" s="34"/>
      <c r="B266" s="7"/>
      <c r="C266" s="19"/>
      <c r="D266" s="7"/>
      <c r="E266" s="7"/>
      <c r="F266" s="7"/>
      <c r="G266" s="7"/>
      <c r="H266" s="6"/>
      <c r="I266" s="7"/>
      <c r="J266" s="7"/>
      <c r="K266" s="7"/>
      <c r="L266" s="7"/>
      <c r="M266" s="52"/>
      <c r="N266" s="7"/>
      <c r="O266" s="7"/>
      <c r="P266" s="47"/>
      <c r="Q266" s="47"/>
      <c r="R266" s="7"/>
      <c r="S266" s="51"/>
      <c r="T266" s="51"/>
      <c r="U266" s="7"/>
      <c r="V266" s="57"/>
      <c r="W266" s="57"/>
      <c r="X266" s="57"/>
    </row>
    <row r="267" spans="1:24" ht="12.5" x14ac:dyDescent="0.25">
      <c r="A267" s="34"/>
      <c r="B267" s="7"/>
      <c r="C267" s="19"/>
      <c r="D267" s="7"/>
      <c r="E267" s="7"/>
      <c r="F267" s="7"/>
      <c r="G267" s="7"/>
      <c r="H267" s="6"/>
      <c r="I267" s="7"/>
      <c r="J267" s="7"/>
      <c r="K267" s="7"/>
      <c r="L267" s="7"/>
      <c r="M267" s="52"/>
      <c r="N267" s="7"/>
      <c r="O267" s="7"/>
      <c r="P267" s="47"/>
      <c r="Q267" s="47"/>
      <c r="R267" s="7"/>
      <c r="S267" s="51"/>
      <c r="T267" s="51"/>
      <c r="U267" s="7"/>
      <c r="V267" s="57"/>
      <c r="W267" s="57"/>
      <c r="X267" s="57"/>
    </row>
    <row r="268" spans="1:24" ht="12.5" x14ac:dyDescent="0.25">
      <c r="A268" s="34"/>
      <c r="B268" s="7"/>
      <c r="C268" s="19"/>
      <c r="D268" s="7"/>
      <c r="E268" s="7"/>
      <c r="F268" s="7"/>
      <c r="G268" s="7"/>
      <c r="H268" s="6"/>
      <c r="I268" s="7"/>
      <c r="J268" s="7"/>
      <c r="K268" s="7"/>
      <c r="L268" s="7"/>
      <c r="M268" s="52"/>
      <c r="N268" s="7"/>
      <c r="O268" s="7"/>
      <c r="P268" s="47"/>
      <c r="Q268" s="47"/>
      <c r="R268" s="7"/>
      <c r="S268" s="51"/>
      <c r="T268" s="51"/>
      <c r="U268" s="7"/>
      <c r="V268" s="57"/>
      <c r="W268" s="57"/>
      <c r="X268" s="57"/>
    </row>
    <row r="269" spans="1:24" ht="12.5" x14ac:dyDescent="0.25">
      <c r="A269" s="34"/>
      <c r="B269" s="7"/>
      <c r="C269" s="19"/>
      <c r="D269" s="7"/>
      <c r="E269" s="7"/>
      <c r="F269" s="7"/>
      <c r="G269" s="7"/>
      <c r="H269" s="6"/>
      <c r="I269" s="7"/>
      <c r="J269" s="7"/>
      <c r="K269" s="7"/>
      <c r="L269" s="7"/>
      <c r="M269" s="52"/>
      <c r="N269" s="7"/>
      <c r="O269" s="7"/>
      <c r="P269" s="47"/>
      <c r="Q269" s="47"/>
      <c r="R269" s="7"/>
      <c r="S269" s="51"/>
      <c r="T269" s="51"/>
      <c r="U269" s="7"/>
      <c r="V269" s="57"/>
      <c r="W269" s="57"/>
      <c r="X269" s="57"/>
    </row>
    <row r="270" spans="1:24" ht="12.5" x14ac:dyDescent="0.25">
      <c r="A270" s="34"/>
      <c r="B270" s="7"/>
      <c r="C270" s="19"/>
      <c r="D270" s="7"/>
      <c r="E270" s="7"/>
      <c r="F270" s="7"/>
      <c r="G270" s="7"/>
      <c r="H270" s="6"/>
      <c r="I270" s="7"/>
      <c r="J270" s="7"/>
      <c r="K270" s="7"/>
      <c r="L270" s="7"/>
      <c r="M270" s="52"/>
      <c r="N270" s="7"/>
      <c r="O270" s="7"/>
      <c r="P270" s="47"/>
      <c r="Q270" s="47"/>
      <c r="R270" s="7"/>
      <c r="S270" s="51"/>
      <c r="T270" s="51"/>
      <c r="U270" s="7"/>
      <c r="V270" s="57"/>
      <c r="W270" s="57"/>
      <c r="X270" s="57"/>
    </row>
    <row r="271" spans="1:24" ht="12.5" x14ac:dyDescent="0.25">
      <c r="A271" s="34"/>
      <c r="B271" s="7"/>
      <c r="C271" s="19"/>
      <c r="D271" s="7"/>
      <c r="E271" s="7"/>
      <c r="F271" s="7"/>
      <c r="G271" s="7"/>
      <c r="H271" s="6"/>
      <c r="I271" s="7"/>
      <c r="J271" s="7"/>
      <c r="K271" s="7"/>
      <c r="L271" s="7"/>
      <c r="M271" s="52"/>
      <c r="N271" s="7"/>
      <c r="O271" s="7"/>
      <c r="P271" s="47"/>
      <c r="Q271" s="47"/>
      <c r="R271" s="7"/>
      <c r="S271" s="51"/>
      <c r="T271" s="51"/>
      <c r="U271" s="7"/>
      <c r="V271" s="57"/>
      <c r="W271" s="57"/>
      <c r="X271" s="57"/>
    </row>
    <row r="272" spans="1:24" ht="12.5" x14ac:dyDescent="0.25">
      <c r="A272" s="34"/>
      <c r="B272" s="7"/>
      <c r="C272" s="19"/>
      <c r="D272" s="7"/>
      <c r="E272" s="7"/>
      <c r="F272" s="7"/>
      <c r="G272" s="7"/>
      <c r="H272" s="6"/>
      <c r="I272" s="7"/>
      <c r="J272" s="7"/>
      <c r="K272" s="7"/>
      <c r="L272" s="7"/>
      <c r="M272" s="52"/>
      <c r="N272" s="7"/>
      <c r="O272" s="7"/>
      <c r="P272" s="47"/>
      <c r="Q272" s="47"/>
      <c r="R272" s="7"/>
      <c r="S272" s="51"/>
      <c r="T272" s="51"/>
      <c r="U272" s="7"/>
      <c r="V272" s="57"/>
      <c r="W272" s="57"/>
      <c r="X272" s="57"/>
    </row>
    <row r="273" spans="1:24" ht="12.5" x14ac:dyDescent="0.25">
      <c r="A273" s="34"/>
      <c r="B273" s="7"/>
      <c r="C273" s="19"/>
      <c r="D273" s="7"/>
      <c r="E273" s="7"/>
      <c r="F273" s="7"/>
      <c r="G273" s="7"/>
      <c r="H273" s="6"/>
      <c r="I273" s="7"/>
      <c r="J273" s="7"/>
      <c r="K273" s="7"/>
      <c r="L273" s="7"/>
      <c r="M273" s="52"/>
      <c r="N273" s="7"/>
      <c r="O273" s="7"/>
      <c r="P273" s="47"/>
      <c r="Q273" s="47"/>
      <c r="R273" s="7"/>
      <c r="S273" s="51"/>
      <c r="T273" s="51"/>
      <c r="U273" s="7"/>
      <c r="V273" s="57"/>
      <c r="W273" s="57"/>
      <c r="X273" s="57"/>
    </row>
    <row r="274" spans="1:24" ht="12.5" x14ac:dyDescent="0.25">
      <c r="A274" s="34"/>
      <c r="B274" s="7"/>
      <c r="C274" s="19"/>
      <c r="D274" s="7"/>
      <c r="E274" s="7"/>
      <c r="F274" s="7"/>
      <c r="G274" s="7"/>
      <c r="H274" s="6"/>
      <c r="I274" s="7"/>
      <c r="J274" s="7"/>
      <c r="K274" s="7"/>
      <c r="L274" s="7"/>
      <c r="M274" s="52"/>
      <c r="N274" s="7"/>
      <c r="O274" s="7"/>
      <c r="P274" s="47"/>
      <c r="Q274" s="47"/>
      <c r="R274" s="7"/>
      <c r="S274" s="51"/>
      <c r="T274" s="51"/>
      <c r="U274" s="7"/>
      <c r="V274" s="57"/>
      <c r="W274" s="57"/>
      <c r="X274" s="57"/>
    </row>
    <row r="275" spans="1:24" ht="12.5" x14ac:dyDescent="0.25">
      <c r="A275" s="34"/>
      <c r="B275" s="7"/>
      <c r="C275" s="19"/>
      <c r="D275" s="7"/>
      <c r="E275" s="7"/>
      <c r="F275" s="7"/>
      <c r="G275" s="7"/>
      <c r="H275" s="6"/>
      <c r="I275" s="7"/>
      <c r="J275" s="7"/>
      <c r="K275" s="7"/>
      <c r="L275" s="7"/>
      <c r="M275" s="52"/>
      <c r="N275" s="7"/>
      <c r="O275" s="7"/>
      <c r="P275" s="47"/>
      <c r="Q275" s="47"/>
      <c r="R275" s="7"/>
      <c r="S275" s="51"/>
      <c r="T275" s="51"/>
      <c r="U275" s="7"/>
      <c r="V275" s="57"/>
      <c r="W275" s="57"/>
      <c r="X275" s="57"/>
    </row>
    <row r="276" spans="1:24" ht="12.5" x14ac:dyDescent="0.25">
      <c r="A276" s="34"/>
      <c r="B276" s="7"/>
      <c r="C276" s="19"/>
      <c r="D276" s="7"/>
      <c r="E276" s="7"/>
      <c r="F276" s="7"/>
      <c r="G276" s="7"/>
      <c r="H276" s="6"/>
      <c r="I276" s="7"/>
      <c r="J276" s="7"/>
      <c r="K276" s="7"/>
      <c r="L276" s="7"/>
      <c r="M276" s="52"/>
      <c r="N276" s="7"/>
      <c r="O276" s="7"/>
      <c r="P276" s="47"/>
      <c r="Q276" s="47"/>
      <c r="R276" s="7"/>
      <c r="S276" s="51"/>
      <c r="T276" s="51"/>
      <c r="U276" s="7"/>
      <c r="V276" s="57"/>
      <c r="W276" s="57"/>
      <c r="X276" s="57"/>
    </row>
    <row r="277" spans="1:24" ht="12.5" x14ac:dyDescent="0.25">
      <c r="A277" s="34"/>
      <c r="B277" s="7"/>
      <c r="C277" s="19"/>
      <c r="D277" s="7"/>
      <c r="E277" s="7"/>
      <c r="F277" s="7"/>
      <c r="G277" s="7"/>
      <c r="H277" s="6"/>
      <c r="I277" s="7"/>
      <c r="J277" s="7"/>
      <c r="K277" s="7"/>
      <c r="L277" s="7"/>
      <c r="M277" s="52"/>
      <c r="N277" s="7"/>
      <c r="O277" s="7"/>
      <c r="P277" s="47"/>
      <c r="Q277" s="47"/>
      <c r="R277" s="7"/>
      <c r="S277" s="51"/>
      <c r="T277" s="51"/>
      <c r="U277" s="7"/>
      <c r="V277" s="57"/>
      <c r="W277" s="57"/>
      <c r="X277" s="57"/>
    </row>
    <row r="278" spans="1:24" ht="12.5" x14ac:dyDescent="0.25">
      <c r="A278" s="34"/>
      <c r="B278" s="7"/>
      <c r="C278" s="19"/>
      <c r="D278" s="7"/>
      <c r="E278" s="7"/>
      <c r="F278" s="7"/>
      <c r="G278" s="7"/>
      <c r="H278" s="6"/>
      <c r="I278" s="7"/>
      <c r="J278" s="7"/>
      <c r="K278" s="7"/>
      <c r="L278" s="7"/>
      <c r="M278" s="52"/>
      <c r="N278" s="7"/>
      <c r="O278" s="7"/>
      <c r="P278" s="47"/>
      <c r="Q278" s="47"/>
      <c r="R278" s="7"/>
      <c r="S278" s="51"/>
      <c r="T278" s="51"/>
      <c r="U278" s="7"/>
      <c r="V278" s="57"/>
      <c r="W278" s="57"/>
      <c r="X278" s="57"/>
    </row>
    <row r="279" spans="1:24" ht="12.5" x14ac:dyDescent="0.25">
      <c r="A279" s="34"/>
      <c r="B279" s="7"/>
      <c r="C279" s="19"/>
      <c r="D279" s="7"/>
      <c r="E279" s="7"/>
      <c r="F279" s="7"/>
      <c r="G279" s="7"/>
      <c r="H279" s="6"/>
      <c r="I279" s="7"/>
      <c r="J279" s="7"/>
      <c r="K279" s="7"/>
      <c r="L279" s="7"/>
      <c r="M279" s="52"/>
      <c r="N279" s="7"/>
      <c r="O279" s="7"/>
      <c r="P279" s="47"/>
      <c r="Q279" s="47"/>
      <c r="R279" s="7"/>
      <c r="S279" s="51"/>
      <c r="T279" s="51"/>
      <c r="U279" s="7"/>
      <c r="V279" s="57"/>
      <c r="W279" s="57"/>
      <c r="X279" s="57"/>
    </row>
    <row r="280" spans="1:24" ht="12.5" x14ac:dyDescent="0.25">
      <c r="A280" s="34"/>
      <c r="B280" s="7"/>
      <c r="C280" s="19"/>
      <c r="D280" s="7"/>
      <c r="E280" s="7"/>
      <c r="F280" s="7"/>
      <c r="G280" s="7"/>
      <c r="H280" s="6"/>
      <c r="I280" s="7"/>
      <c r="J280" s="7"/>
      <c r="K280" s="7"/>
      <c r="L280" s="7"/>
      <c r="M280" s="52"/>
      <c r="N280" s="7"/>
      <c r="O280" s="7"/>
      <c r="P280" s="47"/>
      <c r="Q280" s="47"/>
      <c r="R280" s="7"/>
      <c r="S280" s="51"/>
      <c r="T280" s="51"/>
      <c r="U280" s="7"/>
      <c r="V280" s="57"/>
      <c r="W280" s="57"/>
      <c r="X280" s="57"/>
    </row>
    <row r="281" spans="1:24" ht="12.5" x14ac:dyDescent="0.25">
      <c r="A281" s="34"/>
      <c r="B281" s="7"/>
      <c r="C281" s="19"/>
      <c r="D281" s="7"/>
      <c r="E281" s="7"/>
      <c r="F281" s="7"/>
      <c r="G281" s="7"/>
      <c r="H281" s="6"/>
      <c r="I281" s="7"/>
      <c r="J281" s="7"/>
      <c r="K281" s="7"/>
      <c r="L281" s="7"/>
      <c r="M281" s="52"/>
      <c r="N281" s="7"/>
      <c r="O281" s="7"/>
      <c r="P281" s="47"/>
      <c r="Q281" s="47"/>
      <c r="R281" s="7"/>
      <c r="S281" s="51"/>
      <c r="T281" s="51"/>
      <c r="U281" s="7"/>
      <c r="V281" s="57"/>
      <c r="W281" s="57"/>
      <c r="X281" s="57"/>
    </row>
    <row r="282" spans="1:24" ht="12.5" x14ac:dyDescent="0.25">
      <c r="A282" s="34"/>
      <c r="B282" s="7"/>
      <c r="C282" s="19"/>
      <c r="D282" s="7"/>
      <c r="E282" s="7"/>
      <c r="F282" s="7"/>
      <c r="G282" s="7"/>
      <c r="H282" s="6"/>
      <c r="I282" s="7"/>
      <c r="J282" s="7"/>
      <c r="K282" s="7"/>
      <c r="L282" s="7"/>
      <c r="M282" s="52"/>
      <c r="N282" s="7"/>
      <c r="O282" s="7"/>
      <c r="P282" s="47"/>
      <c r="Q282" s="47"/>
      <c r="R282" s="7"/>
      <c r="S282" s="51"/>
      <c r="T282" s="51"/>
      <c r="U282" s="7"/>
      <c r="V282" s="57"/>
      <c r="W282" s="57"/>
      <c r="X282" s="57"/>
    </row>
    <row r="283" spans="1:24" ht="12.5" x14ac:dyDescent="0.25">
      <c r="A283" s="34"/>
      <c r="B283" s="7"/>
      <c r="C283" s="19"/>
      <c r="D283" s="7"/>
      <c r="E283" s="7"/>
      <c r="F283" s="7"/>
      <c r="G283" s="7"/>
      <c r="H283" s="6"/>
      <c r="I283" s="7"/>
      <c r="J283" s="7"/>
      <c r="K283" s="7"/>
      <c r="L283" s="7"/>
      <c r="M283" s="52"/>
      <c r="N283" s="7"/>
      <c r="O283" s="7"/>
      <c r="P283" s="47"/>
      <c r="Q283" s="47"/>
      <c r="R283" s="7"/>
      <c r="S283" s="51"/>
      <c r="T283" s="51"/>
      <c r="U283" s="7"/>
      <c r="V283" s="57"/>
      <c r="W283" s="57"/>
      <c r="X283" s="57"/>
    </row>
    <row r="284" spans="1:24" ht="12.5" x14ac:dyDescent="0.25">
      <c r="A284" s="34"/>
      <c r="B284" s="7"/>
      <c r="C284" s="19"/>
      <c r="D284" s="7"/>
      <c r="E284" s="7"/>
      <c r="F284" s="7"/>
      <c r="G284" s="7"/>
      <c r="H284" s="6"/>
      <c r="I284" s="7"/>
      <c r="J284" s="7"/>
      <c r="K284" s="7"/>
      <c r="L284" s="7"/>
      <c r="M284" s="52"/>
      <c r="N284" s="7"/>
      <c r="O284" s="7"/>
      <c r="P284" s="47"/>
      <c r="Q284" s="47"/>
      <c r="R284" s="7"/>
      <c r="S284" s="51"/>
      <c r="T284" s="51"/>
      <c r="U284" s="7"/>
      <c r="V284" s="57"/>
      <c r="W284" s="57"/>
      <c r="X284" s="57"/>
    </row>
    <row r="285" spans="1:24" ht="12.5" x14ac:dyDescent="0.25">
      <c r="A285" s="34"/>
      <c r="B285" s="7"/>
      <c r="C285" s="19"/>
      <c r="D285" s="7"/>
      <c r="E285" s="7"/>
      <c r="F285" s="7"/>
      <c r="G285" s="7"/>
      <c r="H285" s="6"/>
      <c r="I285" s="7"/>
      <c r="J285" s="7"/>
      <c r="K285" s="7"/>
      <c r="L285" s="7"/>
      <c r="M285" s="52"/>
      <c r="N285" s="7"/>
      <c r="O285" s="7"/>
      <c r="P285" s="47"/>
      <c r="Q285" s="47"/>
      <c r="R285" s="7"/>
      <c r="S285" s="51"/>
      <c r="T285" s="51"/>
      <c r="U285" s="7"/>
      <c r="V285" s="57"/>
      <c r="W285" s="57"/>
      <c r="X285" s="57"/>
    </row>
    <row r="286" spans="1:24" ht="12.5" x14ac:dyDescent="0.25">
      <c r="A286" s="34"/>
      <c r="B286" s="7"/>
      <c r="C286" s="19"/>
      <c r="D286" s="7"/>
      <c r="E286" s="7"/>
      <c r="F286" s="7"/>
      <c r="G286" s="7"/>
      <c r="H286" s="6"/>
      <c r="I286" s="7"/>
      <c r="J286" s="7"/>
      <c r="K286" s="7"/>
      <c r="L286" s="7"/>
      <c r="M286" s="52"/>
      <c r="N286" s="7"/>
      <c r="O286" s="7"/>
      <c r="P286" s="47"/>
      <c r="Q286" s="47"/>
      <c r="R286" s="7"/>
      <c r="S286" s="51"/>
      <c r="T286" s="51"/>
      <c r="U286" s="7"/>
      <c r="V286" s="57"/>
      <c r="W286" s="57"/>
      <c r="X286" s="57"/>
    </row>
    <row r="287" spans="1:24" ht="12.5" x14ac:dyDescent="0.25">
      <c r="A287" s="34"/>
      <c r="B287" s="7"/>
      <c r="C287" s="19"/>
      <c r="D287" s="7"/>
      <c r="E287" s="7"/>
      <c r="F287" s="7"/>
      <c r="G287" s="7"/>
      <c r="H287" s="6"/>
      <c r="I287" s="7"/>
      <c r="J287" s="7"/>
      <c r="K287" s="7"/>
      <c r="L287" s="7"/>
      <c r="M287" s="52"/>
      <c r="N287" s="7"/>
      <c r="O287" s="7"/>
      <c r="P287" s="47"/>
      <c r="Q287" s="47"/>
      <c r="R287" s="7"/>
      <c r="S287" s="51"/>
      <c r="T287" s="51"/>
      <c r="U287" s="7"/>
      <c r="V287" s="57"/>
      <c r="W287" s="57"/>
      <c r="X287" s="57"/>
    </row>
    <row r="288" spans="1:24" ht="12.5" x14ac:dyDescent="0.25">
      <c r="A288" s="34"/>
      <c r="B288" s="7"/>
      <c r="C288" s="19"/>
      <c r="D288" s="7"/>
      <c r="E288" s="7"/>
      <c r="F288" s="7"/>
      <c r="G288" s="7"/>
      <c r="H288" s="6"/>
      <c r="I288" s="7"/>
      <c r="J288" s="7"/>
      <c r="K288" s="7"/>
      <c r="L288" s="7"/>
      <c r="M288" s="52"/>
      <c r="N288" s="7"/>
      <c r="O288" s="7"/>
      <c r="P288" s="47"/>
      <c r="Q288" s="47"/>
      <c r="R288" s="7"/>
      <c r="S288" s="51"/>
      <c r="T288" s="51"/>
      <c r="U288" s="7"/>
      <c r="V288" s="57"/>
      <c r="W288" s="57"/>
      <c r="X288" s="57"/>
    </row>
    <row r="289" spans="1:24" ht="12.5" x14ac:dyDescent="0.25">
      <c r="A289" s="34"/>
      <c r="B289" s="7"/>
      <c r="C289" s="19"/>
      <c r="D289" s="7"/>
      <c r="E289" s="7"/>
      <c r="F289" s="7"/>
      <c r="G289" s="7"/>
      <c r="H289" s="6"/>
      <c r="I289" s="7"/>
      <c r="J289" s="7"/>
      <c r="K289" s="7"/>
      <c r="L289" s="7"/>
      <c r="M289" s="52"/>
      <c r="N289" s="7"/>
      <c r="O289" s="7"/>
      <c r="P289" s="47"/>
      <c r="Q289" s="47"/>
      <c r="R289" s="7"/>
      <c r="S289" s="51"/>
      <c r="T289" s="51"/>
      <c r="U289" s="7"/>
      <c r="V289" s="57"/>
      <c r="W289" s="57"/>
      <c r="X289" s="57"/>
    </row>
    <row r="290" spans="1:24" ht="12.5" x14ac:dyDescent="0.25">
      <c r="A290" s="34"/>
      <c r="B290" s="7"/>
      <c r="C290" s="19"/>
      <c r="D290" s="7"/>
      <c r="E290" s="7"/>
      <c r="F290" s="7"/>
      <c r="G290" s="7"/>
      <c r="H290" s="6"/>
      <c r="I290" s="7"/>
      <c r="J290" s="7"/>
      <c r="K290" s="7"/>
      <c r="L290" s="7"/>
      <c r="M290" s="52"/>
      <c r="N290" s="7"/>
      <c r="O290" s="7"/>
      <c r="P290" s="47"/>
      <c r="Q290" s="47"/>
      <c r="R290" s="7"/>
      <c r="S290" s="51"/>
      <c r="T290" s="51"/>
      <c r="U290" s="7"/>
      <c r="V290" s="57"/>
      <c r="W290" s="57"/>
      <c r="X290" s="57"/>
    </row>
    <row r="291" spans="1:24" ht="12.5" x14ac:dyDescent="0.25">
      <c r="A291" s="34"/>
      <c r="B291" s="7"/>
      <c r="C291" s="19"/>
      <c r="D291" s="7"/>
      <c r="E291" s="7"/>
      <c r="F291" s="7"/>
      <c r="G291" s="7"/>
      <c r="H291" s="6"/>
      <c r="I291" s="7"/>
      <c r="J291" s="7"/>
      <c r="K291" s="7"/>
      <c r="L291" s="7"/>
      <c r="M291" s="52"/>
      <c r="N291" s="7"/>
      <c r="O291" s="7"/>
      <c r="P291" s="47"/>
      <c r="Q291" s="47"/>
      <c r="R291" s="7"/>
      <c r="S291" s="51"/>
      <c r="T291" s="51"/>
      <c r="U291" s="7"/>
      <c r="V291" s="57"/>
      <c r="W291" s="57"/>
      <c r="X291" s="57"/>
    </row>
    <row r="292" spans="1:24" ht="12.5" x14ac:dyDescent="0.25">
      <c r="A292" s="34"/>
      <c r="B292" s="7"/>
      <c r="C292" s="19"/>
      <c r="D292" s="7"/>
      <c r="E292" s="7"/>
      <c r="F292" s="7"/>
      <c r="G292" s="7"/>
      <c r="H292" s="6"/>
      <c r="I292" s="7"/>
      <c r="J292" s="7"/>
      <c r="K292" s="7"/>
      <c r="L292" s="7"/>
      <c r="M292" s="52"/>
      <c r="N292" s="7"/>
      <c r="O292" s="7"/>
      <c r="P292" s="47"/>
      <c r="Q292" s="47"/>
      <c r="R292" s="7"/>
      <c r="S292" s="51"/>
      <c r="T292" s="51"/>
      <c r="U292" s="7"/>
      <c r="V292" s="57"/>
      <c r="W292" s="57"/>
      <c r="X292" s="57"/>
    </row>
    <row r="293" spans="1:24" ht="12.5" x14ac:dyDescent="0.25">
      <c r="A293" s="34"/>
      <c r="B293" s="7"/>
      <c r="C293" s="19"/>
      <c r="D293" s="7"/>
      <c r="E293" s="7"/>
      <c r="F293" s="7"/>
      <c r="G293" s="7"/>
      <c r="H293" s="6"/>
      <c r="I293" s="7"/>
      <c r="J293" s="7"/>
      <c r="K293" s="7"/>
      <c r="L293" s="7"/>
      <c r="M293" s="52"/>
      <c r="N293" s="7"/>
      <c r="O293" s="7"/>
      <c r="P293" s="47"/>
      <c r="Q293" s="47"/>
      <c r="R293" s="7"/>
      <c r="S293" s="51"/>
      <c r="T293" s="51"/>
      <c r="U293" s="7"/>
      <c r="V293" s="57"/>
      <c r="W293" s="57"/>
      <c r="X293" s="57"/>
    </row>
    <row r="294" spans="1:24" ht="12.5" x14ac:dyDescent="0.25">
      <c r="A294" s="34"/>
      <c r="B294" s="7"/>
      <c r="C294" s="19"/>
      <c r="D294" s="7"/>
      <c r="E294" s="7"/>
      <c r="F294" s="7"/>
      <c r="G294" s="7"/>
      <c r="H294" s="6"/>
      <c r="I294" s="7"/>
      <c r="J294" s="7"/>
      <c r="K294" s="7"/>
      <c r="L294" s="7"/>
      <c r="M294" s="52"/>
      <c r="N294" s="7"/>
      <c r="O294" s="7"/>
      <c r="P294" s="47"/>
      <c r="Q294" s="47"/>
      <c r="R294" s="7"/>
      <c r="S294" s="51"/>
      <c r="T294" s="51"/>
      <c r="U294" s="7"/>
      <c r="V294" s="57"/>
      <c r="W294" s="57"/>
      <c r="X294" s="57"/>
    </row>
    <row r="295" spans="1:24" ht="12.5" x14ac:dyDescent="0.25">
      <c r="A295" s="34"/>
      <c r="B295" s="7"/>
      <c r="C295" s="19"/>
      <c r="D295" s="7"/>
      <c r="E295" s="7"/>
      <c r="F295" s="7"/>
      <c r="G295" s="7"/>
      <c r="H295" s="6"/>
      <c r="I295" s="7"/>
      <c r="J295" s="7"/>
      <c r="K295" s="7"/>
      <c r="L295" s="7"/>
      <c r="M295" s="52"/>
      <c r="N295" s="7"/>
      <c r="O295" s="7"/>
      <c r="P295" s="47"/>
      <c r="Q295" s="47"/>
      <c r="R295" s="7"/>
      <c r="S295" s="51"/>
      <c r="T295" s="51"/>
      <c r="U295" s="7"/>
      <c r="V295" s="57"/>
      <c r="W295" s="57"/>
      <c r="X295" s="57"/>
    </row>
    <row r="296" spans="1:24" ht="12.5" x14ac:dyDescent="0.25">
      <c r="A296" s="34"/>
      <c r="B296" s="7"/>
      <c r="C296" s="19"/>
      <c r="D296" s="7"/>
      <c r="E296" s="7"/>
      <c r="F296" s="7"/>
      <c r="G296" s="7"/>
      <c r="H296" s="6"/>
      <c r="I296" s="7"/>
      <c r="J296" s="7"/>
      <c r="K296" s="7"/>
      <c r="L296" s="7"/>
      <c r="M296" s="52"/>
      <c r="N296" s="7"/>
      <c r="O296" s="7"/>
      <c r="P296" s="47"/>
      <c r="Q296" s="47"/>
      <c r="R296" s="7"/>
      <c r="S296" s="51"/>
      <c r="T296" s="51"/>
      <c r="U296" s="7"/>
      <c r="V296" s="57"/>
      <c r="W296" s="57"/>
      <c r="X296" s="57"/>
    </row>
    <row r="297" spans="1:24" ht="12.5" x14ac:dyDescent="0.25">
      <c r="A297" s="34"/>
      <c r="B297" s="7"/>
      <c r="C297" s="19"/>
      <c r="D297" s="7"/>
      <c r="E297" s="7"/>
      <c r="F297" s="7"/>
      <c r="G297" s="7"/>
      <c r="H297" s="6"/>
      <c r="I297" s="7"/>
      <c r="J297" s="7"/>
      <c r="K297" s="7"/>
      <c r="L297" s="7"/>
      <c r="M297" s="52"/>
      <c r="N297" s="7"/>
      <c r="O297" s="7"/>
      <c r="P297" s="47"/>
      <c r="Q297" s="47"/>
      <c r="R297" s="7"/>
      <c r="S297" s="51"/>
      <c r="T297" s="51"/>
      <c r="U297" s="7"/>
      <c r="V297" s="57"/>
      <c r="W297" s="57"/>
      <c r="X297" s="57"/>
    </row>
    <row r="298" spans="1:24" ht="12.5" x14ac:dyDescent="0.25">
      <c r="A298" s="34"/>
      <c r="B298" s="7"/>
      <c r="C298" s="19"/>
      <c r="D298" s="7"/>
      <c r="E298" s="7"/>
      <c r="F298" s="7"/>
      <c r="G298" s="7"/>
      <c r="H298" s="6"/>
      <c r="I298" s="7"/>
      <c r="J298" s="7"/>
      <c r="K298" s="7"/>
      <c r="L298" s="7"/>
      <c r="M298" s="52"/>
      <c r="N298" s="7"/>
      <c r="O298" s="7"/>
      <c r="P298" s="47"/>
      <c r="Q298" s="47"/>
      <c r="R298" s="7"/>
      <c r="S298" s="51"/>
      <c r="T298" s="51"/>
      <c r="U298" s="7"/>
      <c r="V298" s="57"/>
      <c r="W298" s="57"/>
      <c r="X298" s="57"/>
    </row>
    <row r="299" spans="1:24" ht="12.5" x14ac:dyDescent="0.25">
      <c r="A299" s="34"/>
      <c r="B299" s="7"/>
      <c r="C299" s="19"/>
      <c r="D299" s="7"/>
      <c r="E299" s="7"/>
      <c r="F299" s="7"/>
      <c r="G299" s="7"/>
      <c r="H299" s="6"/>
      <c r="I299" s="7"/>
      <c r="J299" s="7"/>
      <c r="K299" s="7"/>
      <c r="L299" s="7"/>
      <c r="M299" s="52"/>
      <c r="N299" s="7"/>
      <c r="O299" s="7"/>
      <c r="P299" s="47"/>
      <c r="Q299" s="47"/>
      <c r="R299" s="7"/>
      <c r="S299" s="51"/>
      <c r="T299" s="51"/>
      <c r="U299" s="7"/>
      <c r="V299" s="57"/>
      <c r="W299" s="57"/>
      <c r="X299" s="57"/>
    </row>
    <row r="300" spans="1:24" ht="12.5" x14ac:dyDescent="0.25">
      <c r="A300" s="34"/>
      <c r="B300" s="7"/>
      <c r="C300" s="19"/>
      <c r="D300" s="7"/>
      <c r="E300" s="7"/>
      <c r="F300" s="7"/>
      <c r="G300" s="7"/>
      <c r="H300" s="6"/>
      <c r="I300" s="7"/>
      <c r="J300" s="7"/>
      <c r="K300" s="7"/>
      <c r="L300" s="7"/>
      <c r="M300" s="52"/>
      <c r="N300" s="7"/>
      <c r="O300" s="7"/>
      <c r="P300" s="47"/>
      <c r="Q300" s="47"/>
      <c r="R300" s="7"/>
      <c r="S300" s="51"/>
      <c r="T300" s="51"/>
      <c r="U300" s="7"/>
      <c r="V300" s="57"/>
      <c r="W300" s="57"/>
      <c r="X300" s="57"/>
    </row>
    <row r="301" spans="1:24" ht="12.5" x14ac:dyDescent="0.25">
      <c r="A301" s="34"/>
      <c r="B301" s="7"/>
      <c r="C301" s="19"/>
      <c r="D301" s="7"/>
      <c r="E301" s="7"/>
      <c r="F301" s="7"/>
      <c r="G301" s="7"/>
      <c r="H301" s="6"/>
      <c r="I301" s="7"/>
      <c r="J301" s="7"/>
      <c r="K301" s="7"/>
      <c r="L301" s="7"/>
      <c r="M301" s="52"/>
      <c r="N301" s="7"/>
      <c r="O301" s="7"/>
      <c r="P301" s="47"/>
      <c r="Q301" s="47"/>
      <c r="R301" s="7"/>
      <c r="S301" s="51"/>
      <c r="T301" s="51"/>
      <c r="U301" s="7"/>
      <c r="V301" s="57"/>
      <c r="W301" s="57"/>
      <c r="X301" s="57"/>
    </row>
    <row r="302" spans="1:24" ht="12.5" x14ac:dyDescent="0.25">
      <c r="A302" s="34"/>
      <c r="B302" s="7"/>
      <c r="C302" s="19"/>
      <c r="D302" s="7"/>
      <c r="E302" s="7"/>
      <c r="F302" s="7"/>
      <c r="G302" s="7"/>
      <c r="H302" s="6"/>
      <c r="I302" s="7"/>
      <c r="J302" s="7"/>
      <c r="K302" s="7"/>
      <c r="L302" s="7"/>
      <c r="M302" s="52"/>
      <c r="N302" s="7"/>
      <c r="O302" s="7"/>
      <c r="P302" s="47"/>
      <c r="Q302" s="47"/>
      <c r="R302" s="7"/>
      <c r="S302" s="51"/>
      <c r="T302" s="51"/>
      <c r="U302" s="7"/>
      <c r="V302" s="57"/>
      <c r="W302" s="57"/>
      <c r="X302" s="57"/>
    </row>
    <row r="303" spans="1:24" ht="12.5" x14ac:dyDescent="0.25">
      <c r="A303" s="34"/>
      <c r="B303" s="7"/>
      <c r="C303" s="19"/>
      <c r="D303" s="7"/>
      <c r="E303" s="7"/>
      <c r="F303" s="7"/>
      <c r="G303" s="7"/>
      <c r="H303" s="6"/>
      <c r="I303" s="7"/>
      <c r="J303" s="7"/>
      <c r="K303" s="7"/>
      <c r="L303" s="7"/>
      <c r="M303" s="52"/>
      <c r="N303" s="7"/>
      <c r="O303" s="7"/>
      <c r="P303" s="47"/>
      <c r="Q303" s="47"/>
      <c r="R303" s="7"/>
      <c r="S303" s="51"/>
      <c r="T303" s="51"/>
      <c r="U303" s="7"/>
      <c r="V303" s="57"/>
      <c r="W303" s="57"/>
      <c r="X303" s="57"/>
    </row>
    <row r="304" spans="1:24" ht="12.5" x14ac:dyDescent="0.25">
      <c r="A304" s="34"/>
      <c r="B304" s="7"/>
      <c r="C304" s="19"/>
      <c r="D304" s="7"/>
      <c r="E304" s="7"/>
      <c r="F304" s="7"/>
      <c r="G304" s="7"/>
      <c r="H304" s="6"/>
      <c r="I304" s="7"/>
      <c r="J304" s="7"/>
      <c r="K304" s="7"/>
      <c r="L304" s="7"/>
      <c r="M304" s="52"/>
      <c r="N304" s="7"/>
      <c r="O304" s="7"/>
      <c r="P304" s="47"/>
      <c r="Q304" s="47"/>
      <c r="R304" s="7"/>
      <c r="S304" s="51"/>
      <c r="T304" s="51"/>
      <c r="U304" s="7"/>
      <c r="V304" s="57"/>
      <c r="W304" s="57"/>
      <c r="X304" s="57"/>
    </row>
    <row r="305" spans="1:24" ht="12.5" x14ac:dyDescent="0.25">
      <c r="A305" s="34"/>
      <c r="B305" s="7"/>
      <c r="C305" s="19"/>
      <c r="D305" s="7"/>
      <c r="E305" s="7"/>
      <c r="F305" s="7"/>
      <c r="G305" s="7"/>
      <c r="H305" s="6"/>
      <c r="I305" s="7"/>
      <c r="J305" s="7"/>
      <c r="K305" s="7"/>
      <c r="L305" s="7"/>
      <c r="M305" s="52"/>
      <c r="N305" s="7"/>
      <c r="O305" s="7"/>
      <c r="P305" s="47"/>
      <c r="Q305" s="47"/>
      <c r="R305" s="7"/>
      <c r="S305" s="51"/>
      <c r="T305" s="51"/>
      <c r="U305" s="7"/>
      <c r="V305" s="57"/>
      <c r="W305" s="57"/>
      <c r="X305" s="57"/>
    </row>
    <row r="306" spans="1:24" ht="12.5" x14ac:dyDescent="0.25">
      <c r="A306" s="34"/>
      <c r="B306" s="7"/>
      <c r="C306" s="19"/>
      <c r="D306" s="7"/>
      <c r="E306" s="7"/>
      <c r="F306" s="7"/>
      <c r="G306" s="7"/>
      <c r="H306" s="6"/>
      <c r="I306" s="7"/>
      <c r="J306" s="7"/>
      <c r="K306" s="7"/>
      <c r="L306" s="7"/>
      <c r="M306" s="52"/>
      <c r="N306" s="7"/>
      <c r="O306" s="7"/>
      <c r="P306" s="47"/>
      <c r="Q306" s="47"/>
      <c r="R306" s="7"/>
      <c r="S306" s="51"/>
      <c r="T306" s="51"/>
      <c r="U306" s="7"/>
      <c r="V306" s="57"/>
      <c r="W306" s="57"/>
      <c r="X306" s="57"/>
    </row>
    <row r="307" spans="1:24" ht="12.5" x14ac:dyDescent="0.25">
      <c r="A307" s="34"/>
      <c r="B307" s="7"/>
      <c r="C307" s="19"/>
      <c r="D307" s="7"/>
      <c r="E307" s="7"/>
      <c r="F307" s="7"/>
      <c r="G307" s="7"/>
      <c r="H307" s="6"/>
      <c r="I307" s="7"/>
      <c r="J307" s="7"/>
      <c r="K307" s="7"/>
      <c r="L307" s="7"/>
      <c r="M307" s="52"/>
      <c r="N307" s="7"/>
      <c r="O307" s="7"/>
      <c r="P307" s="47"/>
      <c r="Q307" s="47"/>
      <c r="R307" s="7"/>
      <c r="S307" s="51"/>
      <c r="T307" s="51"/>
      <c r="U307" s="7"/>
      <c r="V307" s="57"/>
      <c r="W307" s="57"/>
      <c r="X307" s="57"/>
    </row>
    <row r="308" spans="1:24" ht="12.5" x14ac:dyDescent="0.25">
      <c r="A308" s="34"/>
      <c r="B308" s="7"/>
      <c r="C308" s="19"/>
      <c r="D308" s="7"/>
      <c r="E308" s="7"/>
      <c r="F308" s="7"/>
      <c r="G308" s="7"/>
      <c r="H308" s="6"/>
      <c r="I308" s="7"/>
      <c r="J308" s="7"/>
      <c r="K308" s="7"/>
      <c r="L308" s="7"/>
      <c r="M308" s="52"/>
      <c r="N308" s="7"/>
      <c r="O308" s="7"/>
      <c r="P308" s="47"/>
      <c r="Q308" s="47"/>
      <c r="R308" s="7"/>
      <c r="S308" s="51"/>
      <c r="T308" s="51"/>
      <c r="U308" s="7"/>
      <c r="V308" s="57"/>
      <c r="W308" s="57"/>
      <c r="X308" s="57"/>
    </row>
    <row r="309" spans="1:24" ht="12.5" x14ac:dyDescent="0.25">
      <c r="A309" s="34"/>
      <c r="B309" s="7"/>
      <c r="C309" s="19"/>
      <c r="D309" s="7"/>
      <c r="E309" s="7"/>
      <c r="F309" s="7"/>
      <c r="G309" s="7"/>
      <c r="H309" s="6"/>
      <c r="I309" s="7"/>
      <c r="J309" s="7"/>
      <c r="K309" s="7"/>
      <c r="L309" s="7"/>
      <c r="M309" s="52"/>
      <c r="N309" s="7"/>
      <c r="O309" s="7"/>
      <c r="P309" s="47"/>
      <c r="Q309" s="47"/>
      <c r="R309" s="7"/>
      <c r="S309" s="51"/>
      <c r="T309" s="51"/>
      <c r="U309" s="7"/>
      <c r="V309" s="57"/>
      <c r="W309" s="57"/>
      <c r="X309" s="57"/>
    </row>
    <row r="310" spans="1:24" ht="12.5" x14ac:dyDescent="0.25">
      <c r="A310" s="34"/>
      <c r="B310" s="7"/>
      <c r="C310" s="19"/>
      <c r="D310" s="7"/>
      <c r="E310" s="7"/>
      <c r="F310" s="7"/>
      <c r="G310" s="7"/>
      <c r="H310" s="6"/>
      <c r="I310" s="7"/>
      <c r="J310" s="7"/>
      <c r="K310" s="7"/>
      <c r="L310" s="7"/>
      <c r="M310" s="52"/>
      <c r="N310" s="7"/>
      <c r="O310" s="7"/>
      <c r="P310" s="47"/>
      <c r="Q310" s="47"/>
      <c r="R310" s="7"/>
      <c r="S310" s="51"/>
      <c r="T310" s="51"/>
      <c r="U310" s="7"/>
      <c r="V310" s="57"/>
      <c r="W310" s="57"/>
      <c r="X310" s="57"/>
    </row>
    <row r="311" spans="1:24" ht="12.5" x14ac:dyDescent="0.25">
      <c r="A311" s="34"/>
      <c r="B311" s="7"/>
      <c r="C311" s="19"/>
      <c r="D311" s="7"/>
      <c r="E311" s="7"/>
      <c r="F311" s="7"/>
      <c r="G311" s="7"/>
      <c r="H311" s="6"/>
      <c r="I311" s="7"/>
      <c r="J311" s="7"/>
      <c r="K311" s="7"/>
      <c r="L311" s="7"/>
      <c r="M311" s="52"/>
      <c r="N311" s="7"/>
      <c r="O311" s="7"/>
      <c r="P311" s="47"/>
      <c r="Q311" s="47"/>
      <c r="R311" s="7"/>
      <c r="S311" s="51"/>
      <c r="T311" s="51"/>
      <c r="U311" s="7"/>
      <c r="V311" s="57"/>
      <c r="W311" s="57"/>
      <c r="X311" s="57"/>
    </row>
    <row r="312" spans="1:24" ht="12.5" x14ac:dyDescent="0.25">
      <c r="A312" s="34"/>
      <c r="B312" s="7"/>
      <c r="C312" s="19"/>
      <c r="D312" s="7"/>
      <c r="E312" s="7"/>
      <c r="F312" s="7"/>
      <c r="G312" s="7"/>
      <c r="H312" s="6"/>
      <c r="I312" s="7"/>
      <c r="J312" s="7"/>
      <c r="K312" s="7"/>
      <c r="L312" s="7"/>
      <c r="M312" s="52"/>
      <c r="N312" s="7"/>
      <c r="O312" s="7"/>
      <c r="P312" s="47"/>
      <c r="Q312" s="47"/>
      <c r="R312" s="7"/>
      <c r="S312" s="51"/>
      <c r="T312" s="51"/>
      <c r="U312" s="7"/>
      <c r="V312" s="57"/>
      <c r="W312" s="57"/>
      <c r="X312" s="57"/>
    </row>
    <row r="313" spans="1:24" ht="12.5" x14ac:dyDescent="0.25">
      <c r="A313" s="34"/>
      <c r="B313" s="7"/>
      <c r="C313" s="19"/>
      <c r="D313" s="7"/>
      <c r="E313" s="7"/>
      <c r="F313" s="7"/>
      <c r="G313" s="7"/>
      <c r="H313" s="6"/>
      <c r="I313" s="7"/>
      <c r="J313" s="7"/>
      <c r="K313" s="7"/>
      <c r="L313" s="7"/>
      <c r="M313" s="52"/>
      <c r="N313" s="7"/>
      <c r="O313" s="7"/>
      <c r="P313" s="47"/>
      <c r="Q313" s="47"/>
      <c r="R313" s="7"/>
      <c r="S313" s="51"/>
      <c r="T313" s="51"/>
      <c r="U313" s="7"/>
      <c r="V313" s="57"/>
      <c r="W313" s="57"/>
      <c r="X313" s="57"/>
    </row>
    <row r="314" spans="1:24" ht="12.5" x14ac:dyDescent="0.25">
      <c r="A314" s="34"/>
      <c r="B314" s="7"/>
      <c r="C314" s="19"/>
      <c r="D314" s="7"/>
      <c r="E314" s="7"/>
      <c r="F314" s="7"/>
      <c r="G314" s="7"/>
      <c r="H314" s="6"/>
      <c r="I314" s="7"/>
      <c r="J314" s="7"/>
      <c r="K314" s="7"/>
      <c r="L314" s="7"/>
      <c r="M314" s="52"/>
      <c r="N314" s="7"/>
      <c r="O314" s="7"/>
      <c r="P314" s="47"/>
      <c r="Q314" s="47"/>
      <c r="R314" s="7"/>
      <c r="S314" s="51"/>
      <c r="T314" s="51"/>
      <c r="U314" s="7"/>
      <c r="V314" s="57"/>
      <c r="W314" s="57"/>
      <c r="X314" s="57"/>
    </row>
    <row r="315" spans="1:24" ht="12.5" x14ac:dyDescent="0.25">
      <c r="A315" s="34"/>
      <c r="B315" s="7"/>
      <c r="C315" s="19"/>
      <c r="D315" s="7"/>
      <c r="E315" s="7"/>
      <c r="F315" s="7"/>
      <c r="G315" s="7"/>
      <c r="H315" s="6"/>
      <c r="I315" s="7"/>
      <c r="J315" s="7"/>
      <c r="K315" s="7"/>
      <c r="L315" s="7"/>
      <c r="M315" s="52"/>
      <c r="N315" s="7"/>
      <c r="O315" s="7"/>
      <c r="P315" s="47"/>
      <c r="Q315" s="47"/>
      <c r="R315" s="7"/>
      <c r="S315" s="51"/>
      <c r="T315" s="51"/>
      <c r="U315" s="7"/>
      <c r="V315" s="57"/>
      <c r="W315" s="57"/>
      <c r="X315" s="57"/>
    </row>
    <row r="316" spans="1:24" ht="12.5" x14ac:dyDescent="0.25">
      <c r="A316" s="34"/>
      <c r="B316" s="7"/>
      <c r="C316" s="19"/>
      <c r="D316" s="7"/>
      <c r="E316" s="7"/>
      <c r="F316" s="7"/>
      <c r="G316" s="7"/>
      <c r="H316" s="6"/>
      <c r="I316" s="7"/>
      <c r="J316" s="7"/>
      <c r="K316" s="7"/>
      <c r="L316" s="7"/>
      <c r="M316" s="52"/>
      <c r="N316" s="7"/>
      <c r="O316" s="7"/>
      <c r="P316" s="47"/>
      <c r="Q316" s="47"/>
      <c r="R316" s="7"/>
      <c r="S316" s="51"/>
      <c r="T316" s="51"/>
      <c r="U316" s="7"/>
      <c r="V316" s="57"/>
      <c r="W316" s="57"/>
      <c r="X316" s="57"/>
    </row>
    <row r="317" spans="1:24" ht="12.5" x14ac:dyDescent="0.25">
      <c r="A317" s="34"/>
      <c r="B317" s="7"/>
      <c r="C317" s="19"/>
      <c r="D317" s="7"/>
      <c r="E317" s="7"/>
      <c r="F317" s="7"/>
      <c r="G317" s="7"/>
      <c r="H317" s="6"/>
      <c r="I317" s="7"/>
      <c r="J317" s="7"/>
      <c r="K317" s="7"/>
      <c r="L317" s="7"/>
      <c r="M317" s="52"/>
      <c r="N317" s="7"/>
      <c r="O317" s="7"/>
      <c r="P317" s="47"/>
      <c r="Q317" s="47"/>
      <c r="R317" s="7"/>
      <c r="S317" s="51"/>
      <c r="T317" s="51"/>
      <c r="U317" s="7"/>
      <c r="V317" s="57"/>
      <c r="W317" s="57"/>
      <c r="X317" s="57"/>
    </row>
    <row r="318" spans="1:24" ht="12.5" x14ac:dyDescent="0.25">
      <c r="A318" s="34"/>
      <c r="B318" s="7"/>
      <c r="C318" s="19"/>
      <c r="D318" s="7"/>
      <c r="E318" s="7"/>
      <c r="F318" s="7"/>
      <c r="G318" s="7"/>
      <c r="H318" s="6"/>
      <c r="I318" s="7"/>
      <c r="J318" s="7"/>
      <c r="K318" s="7"/>
      <c r="L318" s="7"/>
      <c r="M318" s="52"/>
      <c r="N318" s="7"/>
      <c r="O318" s="7"/>
      <c r="P318" s="47"/>
      <c r="Q318" s="47"/>
      <c r="R318" s="7"/>
      <c r="S318" s="51"/>
      <c r="T318" s="51"/>
      <c r="U318" s="7"/>
      <c r="V318" s="57"/>
      <c r="W318" s="57"/>
      <c r="X318" s="57"/>
    </row>
    <row r="319" spans="1:24" ht="12.5" x14ac:dyDescent="0.25">
      <c r="A319" s="34"/>
      <c r="B319" s="7"/>
      <c r="C319" s="19"/>
      <c r="D319" s="7"/>
      <c r="E319" s="7"/>
      <c r="F319" s="7"/>
      <c r="G319" s="7"/>
      <c r="H319" s="6"/>
      <c r="I319" s="7"/>
      <c r="J319" s="7"/>
      <c r="K319" s="7"/>
      <c r="L319" s="7"/>
      <c r="M319" s="52"/>
      <c r="N319" s="7"/>
      <c r="O319" s="7"/>
      <c r="P319" s="47"/>
      <c r="Q319" s="47"/>
      <c r="R319" s="7"/>
      <c r="S319" s="51"/>
      <c r="T319" s="51"/>
      <c r="U319" s="7"/>
      <c r="V319" s="57"/>
      <c r="W319" s="57"/>
      <c r="X319" s="57"/>
    </row>
    <row r="320" spans="1:24" ht="12.5" x14ac:dyDescent="0.25">
      <c r="A320" s="34"/>
      <c r="B320" s="7"/>
      <c r="C320" s="19"/>
      <c r="D320" s="7"/>
      <c r="E320" s="7"/>
      <c r="F320" s="7"/>
      <c r="G320" s="7"/>
      <c r="H320" s="6"/>
      <c r="I320" s="7"/>
      <c r="J320" s="7"/>
      <c r="K320" s="7"/>
      <c r="L320" s="7"/>
      <c r="M320" s="52"/>
      <c r="N320" s="7"/>
      <c r="O320" s="7"/>
      <c r="P320" s="47"/>
      <c r="Q320" s="47"/>
      <c r="R320" s="7"/>
      <c r="S320" s="51"/>
      <c r="T320" s="51"/>
      <c r="U320" s="7"/>
      <c r="V320" s="57"/>
      <c r="W320" s="57"/>
      <c r="X320" s="57"/>
    </row>
    <row r="321" spans="1:24" ht="12.5" x14ac:dyDescent="0.25">
      <c r="A321" s="34"/>
      <c r="B321" s="7"/>
      <c r="C321" s="19"/>
      <c r="D321" s="7"/>
      <c r="E321" s="7"/>
      <c r="F321" s="7"/>
      <c r="G321" s="7"/>
      <c r="H321" s="6"/>
      <c r="I321" s="7"/>
      <c r="J321" s="7"/>
      <c r="K321" s="7"/>
      <c r="L321" s="7"/>
      <c r="M321" s="52"/>
      <c r="N321" s="7"/>
      <c r="O321" s="7"/>
      <c r="P321" s="47"/>
      <c r="Q321" s="47"/>
      <c r="R321" s="7"/>
      <c r="S321" s="51"/>
      <c r="T321" s="51"/>
      <c r="U321" s="7"/>
      <c r="V321" s="57"/>
      <c r="W321" s="57"/>
      <c r="X321" s="57"/>
    </row>
    <row r="322" spans="1:24" ht="12.5" x14ac:dyDescent="0.25">
      <c r="A322" s="34"/>
      <c r="B322" s="7"/>
      <c r="C322" s="19"/>
      <c r="D322" s="7"/>
      <c r="E322" s="7"/>
      <c r="F322" s="7"/>
      <c r="G322" s="7"/>
      <c r="H322" s="6"/>
      <c r="I322" s="7"/>
      <c r="J322" s="7"/>
      <c r="K322" s="7"/>
      <c r="L322" s="7"/>
      <c r="M322" s="52"/>
      <c r="N322" s="7"/>
      <c r="O322" s="7"/>
      <c r="P322" s="47"/>
      <c r="Q322" s="47"/>
      <c r="R322" s="7"/>
      <c r="S322" s="51"/>
      <c r="T322" s="51"/>
      <c r="U322" s="7"/>
      <c r="V322" s="57"/>
      <c r="W322" s="57"/>
      <c r="X322" s="57"/>
    </row>
    <row r="323" spans="1:24" ht="12.5" x14ac:dyDescent="0.25">
      <c r="A323" s="34"/>
      <c r="B323" s="7"/>
      <c r="C323" s="19"/>
      <c r="D323" s="7"/>
      <c r="E323" s="7"/>
      <c r="F323" s="7"/>
      <c r="G323" s="7"/>
      <c r="H323" s="6"/>
      <c r="I323" s="7"/>
      <c r="J323" s="7"/>
      <c r="K323" s="7"/>
      <c r="L323" s="7"/>
      <c r="M323" s="52"/>
      <c r="N323" s="7"/>
      <c r="O323" s="7"/>
      <c r="P323" s="47"/>
      <c r="Q323" s="47"/>
      <c r="R323" s="7"/>
      <c r="S323" s="51"/>
      <c r="T323" s="51"/>
      <c r="U323" s="7"/>
      <c r="V323" s="57"/>
      <c r="W323" s="57"/>
      <c r="X323" s="57"/>
    </row>
    <row r="324" spans="1:24" ht="12.5" x14ac:dyDescent="0.25">
      <c r="A324" s="34"/>
      <c r="B324" s="7"/>
      <c r="C324" s="19"/>
      <c r="D324" s="7"/>
      <c r="E324" s="7"/>
      <c r="F324" s="7"/>
      <c r="G324" s="7"/>
      <c r="H324" s="6"/>
      <c r="I324" s="7"/>
      <c r="J324" s="7"/>
      <c r="K324" s="7"/>
      <c r="L324" s="7"/>
      <c r="M324" s="52"/>
      <c r="N324" s="7"/>
      <c r="O324" s="7"/>
      <c r="P324" s="47"/>
      <c r="Q324" s="47"/>
      <c r="R324" s="7"/>
      <c r="S324" s="51"/>
      <c r="T324" s="51"/>
      <c r="U324" s="7"/>
      <c r="V324" s="57"/>
      <c r="W324" s="57"/>
      <c r="X324" s="57"/>
    </row>
    <row r="325" spans="1:24" ht="12.5" x14ac:dyDescent="0.25">
      <c r="A325" s="34"/>
      <c r="B325" s="7"/>
      <c r="C325" s="19"/>
      <c r="D325" s="7"/>
      <c r="E325" s="7"/>
      <c r="F325" s="7"/>
      <c r="G325" s="7"/>
      <c r="H325" s="6"/>
      <c r="I325" s="7"/>
      <c r="J325" s="7"/>
      <c r="K325" s="7"/>
      <c r="L325" s="7"/>
      <c r="M325" s="52"/>
      <c r="N325" s="7"/>
      <c r="O325" s="7"/>
      <c r="P325" s="47"/>
      <c r="Q325" s="47"/>
      <c r="R325" s="7"/>
      <c r="S325" s="51"/>
      <c r="T325" s="51"/>
      <c r="U325" s="7"/>
      <c r="V325" s="57"/>
      <c r="W325" s="57"/>
      <c r="X325" s="57"/>
    </row>
    <row r="326" spans="1:24" ht="12.5" x14ac:dyDescent="0.25">
      <c r="A326" s="34"/>
      <c r="B326" s="7"/>
      <c r="C326" s="19"/>
      <c r="D326" s="7"/>
      <c r="E326" s="7"/>
      <c r="F326" s="7"/>
      <c r="G326" s="7"/>
      <c r="H326" s="6"/>
      <c r="I326" s="7"/>
      <c r="J326" s="7"/>
      <c r="K326" s="7"/>
      <c r="L326" s="7"/>
      <c r="M326" s="52"/>
      <c r="N326" s="7"/>
      <c r="O326" s="7"/>
      <c r="P326" s="47"/>
      <c r="Q326" s="47"/>
      <c r="R326" s="7"/>
      <c r="S326" s="51"/>
      <c r="T326" s="51"/>
      <c r="U326" s="7"/>
      <c r="V326" s="57"/>
      <c r="W326" s="57"/>
      <c r="X326" s="57"/>
    </row>
    <row r="327" spans="1:24" ht="12.5" x14ac:dyDescent="0.25">
      <c r="A327" s="34"/>
      <c r="B327" s="7"/>
      <c r="C327" s="19"/>
      <c r="D327" s="7"/>
      <c r="E327" s="7"/>
      <c r="F327" s="7"/>
      <c r="G327" s="7"/>
      <c r="H327" s="6"/>
      <c r="I327" s="7"/>
      <c r="J327" s="7"/>
      <c r="K327" s="7"/>
      <c r="L327" s="7"/>
      <c r="M327" s="52"/>
      <c r="N327" s="7"/>
      <c r="O327" s="7"/>
      <c r="P327" s="47"/>
      <c r="Q327" s="47"/>
      <c r="R327" s="7"/>
      <c r="S327" s="51"/>
      <c r="T327" s="51"/>
      <c r="U327" s="7"/>
      <c r="V327" s="57"/>
      <c r="W327" s="57"/>
      <c r="X327" s="57"/>
    </row>
    <row r="328" spans="1:24" ht="12.5" x14ac:dyDescent="0.25">
      <c r="A328" s="34"/>
      <c r="B328" s="7"/>
      <c r="C328" s="19"/>
      <c r="D328" s="7"/>
      <c r="E328" s="7"/>
      <c r="F328" s="7"/>
      <c r="G328" s="7"/>
      <c r="H328" s="6"/>
      <c r="I328" s="7"/>
      <c r="J328" s="7"/>
      <c r="K328" s="7"/>
      <c r="L328" s="7"/>
      <c r="M328" s="52"/>
      <c r="N328" s="7"/>
      <c r="O328" s="7"/>
      <c r="P328" s="47"/>
      <c r="Q328" s="47"/>
      <c r="R328" s="7"/>
      <c r="S328" s="51"/>
      <c r="T328" s="51"/>
      <c r="U328" s="7"/>
      <c r="V328" s="57"/>
      <c r="W328" s="57"/>
      <c r="X328" s="57"/>
    </row>
    <row r="329" spans="1:24" ht="12.5" x14ac:dyDescent="0.25">
      <c r="A329" s="34"/>
      <c r="B329" s="7"/>
      <c r="C329" s="19"/>
      <c r="D329" s="7"/>
      <c r="E329" s="7"/>
      <c r="F329" s="7"/>
      <c r="G329" s="7"/>
      <c r="H329" s="6"/>
      <c r="I329" s="7"/>
      <c r="J329" s="7"/>
      <c r="K329" s="7"/>
      <c r="L329" s="7"/>
      <c r="M329" s="52"/>
      <c r="N329" s="7"/>
      <c r="O329" s="7"/>
      <c r="P329" s="47"/>
      <c r="Q329" s="47"/>
      <c r="R329" s="7"/>
      <c r="S329" s="51"/>
      <c r="T329" s="51"/>
      <c r="U329" s="7"/>
      <c r="V329" s="57"/>
      <c r="W329" s="57"/>
      <c r="X329" s="57"/>
    </row>
    <row r="330" spans="1:24" ht="12.5" x14ac:dyDescent="0.25">
      <c r="A330" s="34"/>
      <c r="B330" s="7"/>
      <c r="C330" s="19"/>
      <c r="D330" s="7"/>
      <c r="E330" s="7"/>
      <c r="F330" s="7"/>
      <c r="G330" s="7"/>
      <c r="H330" s="6"/>
      <c r="I330" s="7"/>
      <c r="J330" s="7"/>
      <c r="K330" s="7"/>
      <c r="L330" s="7"/>
      <c r="M330" s="52"/>
      <c r="N330" s="7"/>
      <c r="O330" s="7"/>
      <c r="P330" s="47"/>
      <c r="Q330" s="47"/>
      <c r="R330" s="7"/>
      <c r="S330" s="51"/>
      <c r="T330" s="51"/>
      <c r="U330" s="7"/>
      <c r="V330" s="57"/>
      <c r="W330" s="57"/>
      <c r="X330" s="57"/>
    </row>
    <row r="331" spans="1:24" ht="12.5" x14ac:dyDescent="0.25">
      <c r="A331" s="34"/>
      <c r="B331" s="7"/>
      <c r="C331" s="19"/>
      <c r="D331" s="7"/>
      <c r="E331" s="7"/>
      <c r="F331" s="7"/>
      <c r="G331" s="7"/>
      <c r="H331" s="6"/>
      <c r="I331" s="7"/>
      <c r="J331" s="7"/>
      <c r="K331" s="7"/>
      <c r="L331" s="7"/>
      <c r="M331" s="52"/>
      <c r="N331" s="7"/>
      <c r="O331" s="7"/>
      <c r="P331" s="47"/>
      <c r="Q331" s="47"/>
      <c r="R331" s="7"/>
      <c r="S331" s="51"/>
      <c r="T331" s="51"/>
      <c r="U331" s="7"/>
      <c r="V331" s="57"/>
      <c r="W331" s="57"/>
      <c r="X331" s="57"/>
    </row>
    <row r="332" spans="1:24" ht="12.5" x14ac:dyDescent="0.25">
      <c r="A332" s="34"/>
      <c r="B332" s="7"/>
      <c r="C332" s="19"/>
      <c r="D332" s="7"/>
      <c r="E332" s="7"/>
      <c r="F332" s="7"/>
      <c r="G332" s="7"/>
      <c r="H332" s="6"/>
      <c r="I332" s="7"/>
      <c r="J332" s="7"/>
      <c r="K332" s="7"/>
      <c r="L332" s="7"/>
      <c r="M332" s="52"/>
      <c r="N332" s="7"/>
      <c r="O332" s="7"/>
      <c r="P332" s="47"/>
      <c r="Q332" s="47"/>
      <c r="R332" s="7"/>
      <c r="S332" s="51"/>
      <c r="T332" s="51"/>
      <c r="U332" s="7"/>
      <c r="V332" s="57"/>
      <c r="W332" s="57"/>
      <c r="X332" s="57"/>
    </row>
    <row r="333" spans="1:24" ht="12.5" x14ac:dyDescent="0.25">
      <c r="A333" s="34"/>
      <c r="B333" s="7"/>
      <c r="C333" s="19"/>
      <c r="D333" s="7"/>
      <c r="E333" s="7"/>
      <c r="F333" s="7"/>
      <c r="G333" s="7"/>
      <c r="H333" s="6"/>
      <c r="I333" s="7"/>
      <c r="J333" s="7"/>
      <c r="K333" s="7"/>
      <c r="L333" s="7"/>
      <c r="M333" s="52"/>
      <c r="N333" s="7"/>
      <c r="O333" s="7"/>
      <c r="P333" s="47"/>
      <c r="Q333" s="47"/>
      <c r="R333" s="7"/>
      <c r="S333" s="51"/>
      <c r="T333" s="51"/>
      <c r="U333" s="7"/>
      <c r="V333" s="57"/>
      <c r="W333" s="57"/>
      <c r="X333" s="57"/>
    </row>
    <row r="334" spans="1:24" ht="12.5" x14ac:dyDescent="0.25">
      <c r="A334" s="34"/>
      <c r="B334" s="7"/>
      <c r="C334" s="19"/>
      <c r="D334" s="7"/>
      <c r="E334" s="7"/>
      <c r="F334" s="7"/>
      <c r="G334" s="7"/>
      <c r="H334" s="6"/>
      <c r="I334" s="7"/>
      <c r="J334" s="7"/>
      <c r="K334" s="7"/>
      <c r="L334" s="7"/>
      <c r="M334" s="52"/>
      <c r="N334" s="7"/>
      <c r="O334" s="7"/>
      <c r="P334" s="47"/>
      <c r="Q334" s="47"/>
      <c r="R334" s="7"/>
      <c r="S334" s="51"/>
      <c r="T334" s="51"/>
      <c r="U334" s="7"/>
      <c r="V334" s="57"/>
      <c r="W334" s="57"/>
      <c r="X334" s="57"/>
    </row>
    <row r="335" spans="1:24" ht="12.5" x14ac:dyDescent="0.25">
      <c r="A335" s="34"/>
      <c r="B335" s="7"/>
      <c r="C335" s="19"/>
      <c r="D335" s="7"/>
      <c r="E335" s="7"/>
      <c r="F335" s="7"/>
      <c r="G335" s="7"/>
      <c r="H335" s="6"/>
      <c r="I335" s="7"/>
      <c r="J335" s="7"/>
      <c r="K335" s="7"/>
      <c r="L335" s="7"/>
      <c r="M335" s="52"/>
      <c r="N335" s="7"/>
      <c r="O335" s="7"/>
      <c r="P335" s="47"/>
      <c r="Q335" s="47"/>
      <c r="R335" s="7"/>
      <c r="S335" s="51"/>
      <c r="T335" s="51"/>
      <c r="U335" s="7"/>
      <c r="V335" s="57"/>
      <c r="W335" s="57"/>
      <c r="X335" s="57"/>
    </row>
    <row r="336" spans="1:24" ht="12.5" x14ac:dyDescent="0.25">
      <c r="A336" s="34"/>
      <c r="B336" s="7"/>
      <c r="C336" s="19"/>
      <c r="D336" s="7"/>
      <c r="E336" s="7"/>
      <c r="F336" s="7"/>
      <c r="G336" s="7"/>
      <c r="H336" s="6"/>
      <c r="I336" s="7"/>
      <c r="J336" s="7"/>
      <c r="K336" s="7"/>
      <c r="L336" s="7"/>
      <c r="M336" s="52"/>
      <c r="N336" s="7"/>
      <c r="O336" s="7"/>
      <c r="P336" s="47"/>
      <c r="Q336" s="47"/>
      <c r="R336" s="7"/>
      <c r="S336" s="51"/>
      <c r="T336" s="51"/>
      <c r="U336" s="7"/>
      <c r="V336" s="57"/>
      <c r="W336" s="57"/>
      <c r="X336" s="57"/>
    </row>
    <row r="337" spans="1:24" ht="12.5" x14ac:dyDescent="0.25">
      <c r="A337" s="34"/>
      <c r="B337" s="7"/>
      <c r="C337" s="19"/>
      <c r="D337" s="7"/>
      <c r="E337" s="7"/>
      <c r="F337" s="7"/>
      <c r="G337" s="7"/>
      <c r="H337" s="6"/>
      <c r="I337" s="7"/>
      <c r="J337" s="7"/>
      <c r="K337" s="7"/>
      <c r="L337" s="7"/>
      <c r="M337" s="52"/>
      <c r="N337" s="7"/>
      <c r="O337" s="7"/>
      <c r="P337" s="47"/>
      <c r="Q337" s="47"/>
      <c r="R337" s="7"/>
      <c r="S337" s="51"/>
      <c r="T337" s="51"/>
      <c r="U337" s="7"/>
      <c r="V337" s="57"/>
      <c r="W337" s="57"/>
      <c r="X337" s="57"/>
    </row>
    <row r="338" spans="1:24" ht="12.5" x14ac:dyDescent="0.25">
      <c r="A338" s="34"/>
      <c r="B338" s="7"/>
      <c r="C338" s="19"/>
      <c r="D338" s="7"/>
      <c r="E338" s="7"/>
      <c r="F338" s="7"/>
      <c r="G338" s="7"/>
      <c r="H338" s="6"/>
      <c r="I338" s="7"/>
      <c r="J338" s="7"/>
      <c r="K338" s="7"/>
      <c r="L338" s="7"/>
      <c r="M338" s="52"/>
      <c r="N338" s="7"/>
      <c r="O338" s="7"/>
      <c r="P338" s="47"/>
      <c r="Q338" s="47"/>
      <c r="R338" s="7"/>
      <c r="S338" s="51"/>
      <c r="T338" s="51"/>
      <c r="U338" s="7"/>
      <c r="V338" s="57"/>
      <c r="W338" s="57"/>
      <c r="X338" s="57"/>
    </row>
    <row r="339" spans="1:24" ht="12.5" x14ac:dyDescent="0.25">
      <c r="A339" s="34"/>
      <c r="B339" s="7"/>
      <c r="C339" s="19"/>
      <c r="D339" s="7"/>
      <c r="E339" s="7"/>
      <c r="F339" s="7"/>
      <c r="G339" s="7"/>
      <c r="H339" s="6"/>
      <c r="I339" s="7"/>
      <c r="J339" s="7"/>
      <c r="K339" s="7"/>
      <c r="L339" s="7"/>
      <c r="M339" s="52"/>
      <c r="N339" s="7"/>
      <c r="O339" s="7"/>
      <c r="P339" s="47"/>
      <c r="Q339" s="47"/>
      <c r="R339" s="7"/>
      <c r="S339" s="51"/>
      <c r="T339" s="51"/>
      <c r="U339" s="7"/>
      <c r="V339" s="57"/>
      <c r="W339" s="57"/>
      <c r="X339" s="57"/>
    </row>
    <row r="340" spans="1:24" ht="12.5" x14ac:dyDescent="0.25">
      <c r="A340" s="34"/>
      <c r="B340" s="7"/>
      <c r="C340" s="19"/>
      <c r="D340" s="7"/>
      <c r="E340" s="7"/>
      <c r="F340" s="7"/>
      <c r="G340" s="7"/>
      <c r="H340" s="6"/>
      <c r="I340" s="7"/>
      <c r="J340" s="7"/>
      <c r="K340" s="7"/>
      <c r="L340" s="7"/>
      <c r="M340" s="52"/>
      <c r="N340" s="7"/>
      <c r="O340" s="7"/>
      <c r="P340" s="47"/>
      <c r="Q340" s="47"/>
      <c r="R340" s="7"/>
      <c r="S340" s="51"/>
      <c r="T340" s="51"/>
      <c r="U340" s="7"/>
      <c r="V340" s="57"/>
      <c r="W340" s="57"/>
      <c r="X340" s="57"/>
    </row>
    <row r="341" spans="1:24" ht="12.5" x14ac:dyDescent="0.25">
      <c r="A341" s="34"/>
      <c r="B341" s="7"/>
      <c r="C341" s="19"/>
      <c r="D341" s="7"/>
      <c r="E341" s="7"/>
      <c r="F341" s="7"/>
      <c r="G341" s="7"/>
      <c r="H341" s="6"/>
      <c r="I341" s="7"/>
      <c r="J341" s="7"/>
      <c r="K341" s="7"/>
      <c r="L341" s="7"/>
      <c r="M341" s="52"/>
      <c r="N341" s="7"/>
      <c r="O341" s="7"/>
      <c r="P341" s="47"/>
      <c r="Q341" s="47"/>
      <c r="R341" s="7"/>
      <c r="S341" s="51"/>
      <c r="T341" s="51"/>
      <c r="U341" s="7"/>
      <c r="V341" s="57"/>
      <c r="W341" s="57"/>
      <c r="X341" s="57"/>
    </row>
    <row r="342" spans="1:24" ht="12.5" x14ac:dyDescent="0.25">
      <c r="A342" s="34"/>
      <c r="B342" s="7"/>
      <c r="C342" s="19"/>
      <c r="D342" s="7"/>
      <c r="E342" s="7"/>
      <c r="F342" s="7"/>
      <c r="G342" s="7"/>
      <c r="H342" s="6"/>
      <c r="I342" s="7"/>
      <c r="J342" s="7"/>
      <c r="K342" s="7"/>
      <c r="L342" s="7"/>
      <c r="M342" s="52"/>
      <c r="N342" s="7"/>
      <c r="O342" s="7"/>
      <c r="P342" s="47"/>
      <c r="Q342" s="47"/>
      <c r="R342" s="7"/>
      <c r="S342" s="51"/>
      <c r="T342" s="51"/>
      <c r="U342" s="7"/>
      <c r="V342" s="57"/>
      <c r="W342" s="57"/>
      <c r="X342" s="57"/>
    </row>
    <row r="343" spans="1:24" ht="12.5" x14ac:dyDescent="0.25">
      <c r="A343" s="34"/>
      <c r="B343" s="7"/>
      <c r="C343" s="19"/>
      <c r="D343" s="7"/>
      <c r="E343" s="7"/>
      <c r="F343" s="7"/>
      <c r="G343" s="7"/>
      <c r="H343" s="6"/>
      <c r="I343" s="7"/>
      <c r="J343" s="7"/>
      <c r="K343" s="7"/>
      <c r="L343" s="7"/>
      <c r="M343" s="52"/>
      <c r="N343" s="7"/>
      <c r="O343" s="7"/>
      <c r="P343" s="47"/>
      <c r="Q343" s="47"/>
      <c r="R343" s="7"/>
      <c r="S343" s="51"/>
      <c r="T343" s="51"/>
      <c r="U343" s="7"/>
      <c r="V343" s="57"/>
      <c r="W343" s="57"/>
      <c r="X343" s="57"/>
    </row>
    <row r="344" spans="1:24" ht="12.5" x14ac:dyDescent="0.25">
      <c r="A344" s="34"/>
      <c r="B344" s="7"/>
      <c r="C344" s="19"/>
      <c r="D344" s="7"/>
      <c r="E344" s="7"/>
      <c r="F344" s="7"/>
      <c r="G344" s="7"/>
      <c r="H344" s="6"/>
      <c r="I344" s="7"/>
      <c r="J344" s="7"/>
      <c r="K344" s="7"/>
      <c r="L344" s="7"/>
      <c r="M344" s="52"/>
      <c r="N344" s="7"/>
      <c r="O344" s="7"/>
      <c r="P344" s="47"/>
      <c r="Q344" s="47"/>
      <c r="R344" s="7"/>
      <c r="S344" s="51"/>
      <c r="T344" s="51"/>
      <c r="U344" s="7"/>
      <c r="V344" s="57"/>
      <c r="W344" s="57"/>
      <c r="X344" s="57"/>
    </row>
    <row r="345" spans="1:24" ht="12.5" x14ac:dyDescent="0.25">
      <c r="A345" s="34"/>
      <c r="B345" s="7"/>
      <c r="C345" s="19"/>
      <c r="D345" s="7"/>
      <c r="E345" s="7"/>
      <c r="F345" s="7"/>
      <c r="G345" s="7"/>
      <c r="H345" s="6"/>
      <c r="I345" s="7"/>
      <c r="J345" s="7"/>
      <c r="K345" s="7"/>
      <c r="L345" s="7"/>
      <c r="M345" s="52"/>
      <c r="N345" s="7"/>
      <c r="O345" s="7"/>
      <c r="P345" s="47"/>
      <c r="Q345" s="47"/>
      <c r="R345" s="7"/>
      <c r="S345" s="51"/>
      <c r="T345" s="51"/>
      <c r="U345" s="7"/>
      <c r="V345" s="57"/>
      <c r="W345" s="57"/>
      <c r="X345" s="57"/>
    </row>
    <row r="346" spans="1:24" ht="12.5" x14ac:dyDescent="0.25">
      <c r="A346" s="34"/>
      <c r="B346" s="7"/>
      <c r="C346" s="19"/>
      <c r="D346" s="7"/>
      <c r="E346" s="7"/>
      <c r="F346" s="7"/>
      <c r="G346" s="7"/>
      <c r="H346" s="6"/>
      <c r="I346" s="7"/>
      <c r="J346" s="7"/>
      <c r="K346" s="7"/>
      <c r="L346" s="7"/>
      <c r="M346" s="52"/>
      <c r="N346" s="7"/>
      <c r="O346" s="7"/>
      <c r="P346" s="47"/>
      <c r="Q346" s="47"/>
      <c r="R346" s="7"/>
      <c r="S346" s="51"/>
      <c r="T346" s="51"/>
      <c r="U346" s="7"/>
      <c r="V346" s="57"/>
      <c r="W346" s="57"/>
      <c r="X346" s="57"/>
    </row>
    <row r="347" spans="1:24" ht="12.5" x14ac:dyDescent="0.25">
      <c r="A347" s="34"/>
      <c r="B347" s="7"/>
      <c r="C347" s="19"/>
      <c r="D347" s="7"/>
      <c r="E347" s="7"/>
      <c r="F347" s="7"/>
      <c r="G347" s="7"/>
      <c r="H347" s="6"/>
      <c r="I347" s="7"/>
      <c r="J347" s="7"/>
      <c r="K347" s="7"/>
      <c r="L347" s="7"/>
      <c r="M347" s="52"/>
      <c r="N347" s="7"/>
      <c r="O347" s="7"/>
      <c r="P347" s="47"/>
      <c r="Q347" s="47"/>
      <c r="R347" s="7"/>
      <c r="S347" s="51"/>
      <c r="T347" s="51"/>
      <c r="U347" s="7"/>
      <c r="V347" s="57"/>
      <c r="W347" s="57"/>
      <c r="X347" s="57"/>
    </row>
    <row r="348" spans="1:24" ht="12.5" x14ac:dyDescent="0.25">
      <c r="A348" s="34"/>
      <c r="B348" s="7"/>
      <c r="C348" s="19"/>
      <c r="D348" s="7"/>
      <c r="E348" s="7"/>
      <c r="F348" s="7"/>
      <c r="G348" s="7"/>
      <c r="H348" s="6"/>
      <c r="I348" s="7"/>
      <c r="J348" s="7"/>
      <c r="K348" s="7"/>
      <c r="L348" s="7"/>
      <c r="M348" s="52"/>
      <c r="N348" s="7"/>
      <c r="O348" s="7"/>
      <c r="P348" s="47"/>
      <c r="Q348" s="47"/>
      <c r="R348" s="7"/>
      <c r="S348" s="51"/>
      <c r="T348" s="51"/>
      <c r="U348" s="7"/>
      <c r="V348" s="57"/>
      <c r="W348" s="57"/>
      <c r="X348" s="57"/>
    </row>
    <row r="349" spans="1:24" ht="12.5" x14ac:dyDescent="0.25">
      <c r="A349" s="34"/>
      <c r="B349" s="7"/>
      <c r="C349" s="19"/>
      <c r="D349" s="7"/>
      <c r="E349" s="7"/>
      <c r="F349" s="7"/>
      <c r="G349" s="7"/>
      <c r="H349" s="6"/>
      <c r="I349" s="7"/>
      <c r="J349" s="7"/>
      <c r="K349" s="7"/>
      <c r="L349" s="7"/>
      <c r="M349" s="52"/>
      <c r="N349" s="7"/>
      <c r="O349" s="7"/>
      <c r="P349" s="47"/>
      <c r="Q349" s="47"/>
      <c r="R349" s="7"/>
      <c r="S349" s="51"/>
      <c r="T349" s="51"/>
      <c r="U349" s="7"/>
      <c r="V349" s="57"/>
      <c r="W349" s="57"/>
      <c r="X349" s="57"/>
    </row>
    <row r="350" spans="1:24" ht="12.5" x14ac:dyDescent="0.25">
      <c r="A350" s="34"/>
      <c r="B350" s="7"/>
      <c r="C350" s="19"/>
      <c r="D350" s="7"/>
      <c r="E350" s="7"/>
      <c r="F350" s="7"/>
      <c r="G350" s="7"/>
      <c r="H350" s="6"/>
      <c r="I350" s="7"/>
      <c r="J350" s="7"/>
      <c r="K350" s="7"/>
      <c r="L350" s="7"/>
      <c r="M350" s="52"/>
      <c r="N350" s="7"/>
      <c r="O350" s="7"/>
      <c r="P350" s="47"/>
      <c r="Q350" s="47"/>
      <c r="R350" s="7"/>
      <c r="S350" s="51"/>
      <c r="T350" s="51"/>
      <c r="U350" s="7"/>
      <c r="V350" s="57"/>
      <c r="W350" s="57"/>
      <c r="X350" s="57"/>
    </row>
    <row r="351" spans="1:24" ht="12.5" x14ac:dyDescent="0.25">
      <c r="A351" s="34"/>
      <c r="B351" s="7"/>
      <c r="C351" s="19"/>
      <c r="D351" s="7"/>
      <c r="E351" s="7"/>
      <c r="F351" s="7"/>
      <c r="G351" s="7"/>
      <c r="H351" s="6"/>
      <c r="I351" s="7"/>
      <c r="J351" s="7"/>
      <c r="K351" s="7"/>
      <c r="L351" s="7"/>
      <c r="M351" s="52"/>
      <c r="N351" s="7"/>
      <c r="O351" s="7"/>
      <c r="P351" s="47"/>
      <c r="Q351" s="47"/>
      <c r="R351" s="7"/>
      <c r="S351" s="51"/>
      <c r="T351" s="51"/>
      <c r="U351" s="7"/>
      <c r="V351" s="57"/>
      <c r="W351" s="57"/>
      <c r="X351" s="57"/>
    </row>
    <row r="352" spans="1:24" ht="12.5" x14ac:dyDescent="0.25">
      <c r="A352" s="34"/>
      <c r="B352" s="7"/>
      <c r="C352" s="19"/>
      <c r="D352" s="7"/>
      <c r="E352" s="7"/>
      <c r="F352" s="7"/>
      <c r="G352" s="7"/>
      <c r="H352" s="6"/>
      <c r="I352" s="7"/>
      <c r="J352" s="7"/>
      <c r="K352" s="7"/>
      <c r="L352" s="7"/>
      <c r="M352" s="52"/>
      <c r="N352" s="7"/>
      <c r="O352" s="7"/>
      <c r="P352" s="47"/>
      <c r="Q352" s="47"/>
      <c r="R352" s="7"/>
      <c r="S352" s="51"/>
      <c r="T352" s="51"/>
      <c r="U352" s="7"/>
      <c r="V352" s="57"/>
      <c r="W352" s="57"/>
      <c r="X352" s="57"/>
    </row>
    <row r="353" spans="1:24" ht="12.5" x14ac:dyDescent="0.25">
      <c r="A353" s="34"/>
      <c r="B353" s="7"/>
      <c r="C353" s="19"/>
      <c r="D353" s="7"/>
      <c r="E353" s="7"/>
      <c r="F353" s="7"/>
      <c r="G353" s="7"/>
      <c r="H353" s="6"/>
      <c r="I353" s="7"/>
      <c r="J353" s="7"/>
      <c r="K353" s="7"/>
      <c r="L353" s="7"/>
      <c r="M353" s="52"/>
      <c r="N353" s="7"/>
      <c r="O353" s="7"/>
      <c r="P353" s="47"/>
      <c r="Q353" s="47"/>
      <c r="R353" s="7"/>
      <c r="S353" s="51"/>
      <c r="T353" s="51"/>
      <c r="U353" s="7"/>
      <c r="V353" s="57"/>
      <c r="W353" s="57"/>
      <c r="X353" s="57"/>
    </row>
    <row r="354" spans="1:24" ht="12.5" x14ac:dyDescent="0.25">
      <c r="A354" s="34"/>
      <c r="B354" s="7"/>
      <c r="C354" s="19"/>
      <c r="D354" s="7"/>
      <c r="E354" s="7"/>
      <c r="F354" s="7"/>
      <c r="G354" s="7"/>
      <c r="H354" s="6"/>
      <c r="I354" s="7"/>
      <c r="J354" s="7"/>
      <c r="K354" s="7"/>
      <c r="L354" s="7"/>
      <c r="M354" s="52"/>
      <c r="N354" s="7"/>
      <c r="O354" s="7"/>
      <c r="P354" s="47"/>
      <c r="Q354" s="47"/>
      <c r="R354" s="7"/>
      <c r="S354" s="51"/>
      <c r="T354" s="51"/>
      <c r="U354" s="7"/>
      <c r="V354" s="57"/>
      <c r="W354" s="57"/>
      <c r="X354" s="57"/>
    </row>
    <row r="355" spans="1:24" ht="12.5" x14ac:dyDescent="0.25">
      <c r="A355" s="34"/>
      <c r="B355" s="7"/>
      <c r="C355" s="19"/>
      <c r="D355" s="7"/>
      <c r="E355" s="7"/>
      <c r="F355" s="7"/>
      <c r="G355" s="7"/>
      <c r="H355" s="6"/>
      <c r="I355" s="7"/>
      <c r="J355" s="7"/>
      <c r="K355" s="7"/>
      <c r="L355" s="7"/>
      <c r="M355" s="52"/>
      <c r="N355" s="7"/>
      <c r="O355" s="7"/>
      <c r="P355" s="47"/>
      <c r="Q355" s="47"/>
      <c r="R355" s="7"/>
      <c r="S355" s="51"/>
      <c r="T355" s="51"/>
      <c r="U355" s="7"/>
      <c r="V355" s="57"/>
      <c r="W355" s="57"/>
      <c r="X355" s="57"/>
    </row>
    <row r="356" spans="1:24" ht="12.5" x14ac:dyDescent="0.25">
      <c r="A356" s="34"/>
      <c r="B356" s="7"/>
      <c r="C356" s="19"/>
      <c r="D356" s="7"/>
      <c r="E356" s="7"/>
      <c r="F356" s="7"/>
      <c r="G356" s="7"/>
      <c r="H356" s="6"/>
      <c r="I356" s="7"/>
      <c r="J356" s="7"/>
      <c r="K356" s="7"/>
      <c r="L356" s="7"/>
      <c r="M356" s="52"/>
      <c r="N356" s="7"/>
      <c r="O356" s="7"/>
      <c r="P356" s="47"/>
      <c r="Q356" s="47"/>
      <c r="R356" s="7"/>
      <c r="S356" s="51"/>
      <c r="T356" s="51"/>
      <c r="U356" s="7"/>
      <c r="V356" s="57"/>
      <c r="W356" s="57"/>
      <c r="X356" s="57"/>
    </row>
    <row r="357" spans="1:24" ht="12.5" x14ac:dyDescent="0.25">
      <c r="A357" s="34"/>
      <c r="B357" s="7"/>
      <c r="C357" s="19"/>
      <c r="D357" s="7"/>
      <c r="E357" s="7"/>
      <c r="F357" s="7"/>
      <c r="G357" s="7"/>
      <c r="H357" s="6"/>
      <c r="I357" s="7"/>
      <c r="J357" s="7"/>
      <c r="K357" s="7"/>
      <c r="L357" s="7"/>
      <c r="M357" s="52"/>
      <c r="N357" s="7"/>
      <c r="O357" s="7"/>
      <c r="P357" s="47"/>
      <c r="Q357" s="47"/>
      <c r="R357" s="7"/>
      <c r="S357" s="51"/>
      <c r="T357" s="51"/>
      <c r="U357" s="7"/>
      <c r="V357" s="57"/>
      <c r="W357" s="57"/>
      <c r="X357" s="57"/>
    </row>
    <row r="358" spans="1:24" ht="12.5" x14ac:dyDescent="0.25">
      <c r="A358" s="34"/>
      <c r="B358" s="7"/>
      <c r="C358" s="19"/>
      <c r="D358" s="7"/>
      <c r="E358" s="7"/>
      <c r="F358" s="7"/>
      <c r="G358" s="7"/>
      <c r="H358" s="6"/>
      <c r="I358" s="7"/>
      <c r="J358" s="7"/>
      <c r="K358" s="7"/>
      <c r="L358" s="7"/>
      <c r="M358" s="52"/>
      <c r="N358" s="7"/>
      <c r="O358" s="7"/>
      <c r="P358" s="47"/>
      <c r="Q358" s="47"/>
      <c r="R358" s="7"/>
      <c r="S358" s="51"/>
      <c r="T358" s="51"/>
      <c r="U358" s="7"/>
      <c r="V358" s="57"/>
      <c r="W358" s="57"/>
      <c r="X358" s="57"/>
    </row>
    <row r="359" spans="1:24" ht="12.5" x14ac:dyDescent="0.25">
      <c r="A359" s="34"/>
      <c r="B359" s="7"/>
      <c r="C359" s="19"/>
      <c r="D359" s="7"/>
      <c r="E359" s="7"/>
      <c r="F359" s="7"/>
      <c r="G359" s="7"/>
      <c r="H359" s="6"/>
      <c r="I359" s="7"/>
      <c r="J359" s="7"/>
      <c r="K359" s="7"/>
      <c r="L359" s="7"/>
      <c r="M359" s="52"/>
      <c r="N359" s="7"/>
      <c r="O359" s="7"/>
      <c r="P359" s="47"/>
      <c r="Q359" s="47"/>
      <c r="R359" s="7"/>
      <c r="S359" s="51"/>
      <c r="T359" s="51"/>
      <c r="U359" s="7"/>
      <c r="V359" s="57"/>
      <c r="W359" s="57"/>
      <c r="X359" s="57"/>
    </row>
    <row r="360" spans="1:24" ht="12.5" x14ac:dyDescent="0.25">
      <c r="A360" s="34"/>
      <c r="B360" s="7"/>
      <c r="C360" s="19"/>
      <c r="D360" s="7"/>
      <c r="E360" s="7"/>
      <c r="F360" s="7"/>
      <c r="G360" s="7"/>
      <c r="H360" s="6"/>
      <c r="I360" s="7"/>
      <c r="J360" s="7"/>
      <c r="K360" s="7"/>
      <c r="L360" s="7"/>
      <c r="M360" s="52"/>
      <c r="N360" s="7"/>
      <c r="O360" s="7"/>
      <c r="P360" s="47"/>
      <c r="Q360" s="47"/>
      <c r="R360" s="7"/>
      <c r="S360" s="51"/>
      <c r="T360" s="51"/>
      <c r="U360" s="7"/>
      <c r="V360" s="57"/>
      <c r="W360" s="57"/>
      <c r="X360" s="57"/>
    </row>
    <row r="361" spans="1:24" ht="12.5" x14ac:dyDescent="0.25">
      <c r="A361" s="34"/>
      <c r="B361" s="7"/>
      <c r="C361" s="19"/>
      <c r="D361" s="7"/>
      <c r="E361" s="7"/>
      <c r="F361" s="7"/>
      <c r="G361" s="7"/>
      <c r="H361" s="6"/>
      <c r="I361" s="7"/>
      <c r="J361" s="7"/>
      <c r="K361" s="7"/>
      <c r="L361" s="7"/>
      <c r="M361" s="52"/>
      <c r="N361" s="7"/>
      <c r="O361" s="7"/>
      <c r="P361" s="47"/>
      <c r="Q361" s="47"/>
      <c r="R361" s="7"/>
      <c r="S361" s="51"/>
      <c r="T361" s="51"/>
      <c r="U361" s="7"/>
      <c r="V361" s="57"/>
      <c r="W361" s="57"/>
      <c r="X361" s="57"/>
    </row>
    <row r="362" spans="1:24" ht="12.5" x14ac:dyDescent="0.25">
      <c r="A362" s="34"/>
      <c r="B362" s="7"/>
      <c r="C362" s="19"/>
      <c r="D362" s="7"/>
      <c r="E362" s="7"/>
      <c r="F362" s="7"/>
      <c r="G362" s="7"/>
      <c r="H362" s="6"/>
      <c r="I362" s="7"/>
      <c r="J362" s="7"/>
      <c r="K362" s="7"/>
      <c r="L362" s="7"/>
      <c r="M362" s="52"/>
      <c r="N362" s="7"/>
      <c r="O362" s="7"/>
      <c r="P362" s="47"/>
      <c r="Q362" s="47"/>
      <c r="R362" s="7"/>
      <c r="S362" s="51"/>
      <c r="T362" s="51"/>
      <c r="U362" s="7"/>
      <c r="V362" s="57"/>
      <c r="W362" s="57"/>
      <c r="X362" s="57"/>
    </row>
    <row r="363" spans="1:24" ht="12.5" x14ac:dyDescent="0.25">
      <c r="A363" s="34"/>
      <c r="B363" s="7"/>
      <c r="C363" s="19"/>
      <c r="D363" s="7"/>
      <c r="E363" s="7"/>
      <c r="F363" s="7"/>
      <c r="G363" s="7"/>
      <c r="H363" s="6"/>
      <c r="I363" s="7"/>
      <c r="J363" s="7"/>
      <c r="K363" s="7"/>
      <c r="L363" s="7"/>
      <c r="M363" s="52"/>
      <c r="N363" s="7"/>
      <c r="O363" s="7"/>
      <c r="P363" s="47"/>
      <c r="Q363" s="47"/>
      <c r="R363" s="7"/>
      <c r="S363" s="51"/>
      <c r="T363" s="51"/>
      <c r="U363" s="7"/>
      <c r="V363" s="57"/>
      <c r="W363" s="57"/>
      <c r="X363" s="57"/>
    </row>
    <row r="364" spans="1:24" ht="12.5" x14ac:dyDescent="0.25">
      <c r="A364" s="34"/>
      <c r="B364" s="7"/>
      <c r="C364" s="19"/>
      <c r="D364" s="7"/>
      <c r="E364" s="7"/>
      <c r="F364" s="7"/>
      <c r="G364" s="7"/>
      <c r="H364" s="6"/>
      <c r="I364" s="7"/>
      <c r="J364" s="7"/>
      <c r="K364" s="7"/>
      <c r="L364" s="7"/>
      <c r="M364" s="52"/>
      <c r="N364" s="7"/>
      <c r="O364" s="7"/>
      <c r="P364" s="47"/>
      <c r="Q364" s="47"/>
      <c r="R364" s="7"/>
      <c r="S364" s="51"/>
      <c r="T364" s="51"/>
      <c r="U364" s="7"/>
      <c r="V364" s="57"/>
      <c r="W364" s="57"/>
      <c r="X364" s="57"/>
    </row>
    <row r="365" spans="1:24" ht="12.5" x14ac:dyDescent="0.25">
      <c r="A365" s="34"/>
      <c r="B365" s="7"/>
      <c r="C365" s="19"/>
      <c r="D365" s="7"/>
      <c r="E365" s="7"/>
      <c r="F365" s="7"/>
      <c r="G365" s="7"/>
      <c r="H365" s="6"/>
      <c r="I365" s="7"/>
      <c r="J365" s="7"/>
      <c r="K365" s="7"/>
      <c r="L365" s="7"/>
      <c r="M365" s="52"/>
      <c r="N365" s="7"/>
      <c r="O365" s="7"/>
      <c r="P365" s="47"/>
      <c r="Q365" s="47"/>
      <c r="R365" s="7"/>
      <c r="S365" s="51"/>
      <c r="T365" s="51"/>
      <c r="U365" s="7"/>
      <c r="V365" s="57"/>
      <c r="W365" s="57"/>
      <c r="X365" s="57"/>
    </row>
    <row r="366" spans="1:24" ht="12.5" x14ac:dyDescent="0.25">
      <c r="A366" s="34"/>
      <c r="B366" s="7"/>
      <c r="C366" s="19"/>
      <c r="D366" s="7"/>
      <c r="E366" s="7"/>
      <c r="F366" s="7"/>
      <c r="G366" s="7"/>
      <c r="H366" s="6"/>
      <c r="I366" s="7"/>
      <c r="J366" s="7"/>
      <c r="K366" s="7"/>
      <c r="L366" s="7"/>
      <c r="M366" s="52"/>
      <c r="N366" s="7"/>
      <c r="O366" s="7"/>
      <c r="P366" s="47"/>
      <c r="Q366" s="47"/>
      <c r="R366" s="7"/>
      <c r="S366" s="51"/>
      <c r="T366" s="51"/>
      <c r="U366" s="7"/>
      <c r="V366" s="57"/>
      <c r="W366" s="57"/>
      <c r="X366" s="57"/>
    </row>
    <row r="367" spans="1:24" ht="12.5" x14ac:dyDescent="0.25">
      <c r="A367" s="34"/>
      <c r="B367" s="7"/>
      <c r="C367" s="19"/>
      <c r="D367" s="7"/>
      <c r="E367" s="7"/>
      <c r="F367" s="7"/>
      <c r="G367" s="7"/>
      <c r="H367" s="6"/>
      <c r="I367" s="7"/>
      <c r="J367" s="7"/>
      <c r="K367" s="7"/>
      <c r="L367" s="7"/>
      <c r="M367" s="52"/>
      <c r="N367" s="7"/>
      <c r="O367" s="7"/>
      <c r="P367" s="47"/>
      <c r="Q367" s="47"/>
      <c r="R367" s="7"/>
      <c r="S367" s="51"/>
      <c r="T367" s="51"/>
      <c r="U367" s="7"/>
      <c r="V367" s="57"/>
      <c r="W367" s="57"/>
      <c r="X367" s="57"/>
    </row>
    <row r="368" spans="1:24" ht="12.5" x14ac:dyDescent="0.25">
      <c r="A368" s="34"/>
      <c r="B368" s="7"/>
      <c r="C368" s="19"/>
      <c r="D368" s="7"/>
      <c r="E368" s="7"/>
      <c r="F368" s="7"/>
      <c r="G368" s="7"/>
      <c r="H368" s="6"/>
      <c r="I368" s="7"/>
      <c r="J368" s="7"/>
      <c r="K368" s="7"/>
      <c r="L368" s="7"/>
      <c r="M368" s="52"/>
      <c r="N368" s="7"/>
      <c r="O368" s="7"/>
      <c r="P368" s="47"/>
      <c r="Q368" s="47"/>
      <c r="R368" s="7"/>
      <c r="S368" s="51"/>
      <c r="T368" s="51"/>
      <c r="U368" s="7"/>
      <c r="V368" s="57"/>
      <c r="W368" s="57"/>
      <c r="X368" s="57"/>
    </row>
    <row r="369" spans="1:24" ht="12.5" x14ac:dyDescent="0.25">
      <c r="A369" s="34"/>
      <c r="B369" s="7"/>
      <c r="C369" s="19"/>
      <c r="D369" s="7"/>
      <c r="E369" s="7"/>
      <c r="F369" s="7"/>
      <c r="G369" s="7"/>
      <c r="H369" s="6"/>
      <c r="I369" s="7"/>
      <c r="J369" s="7"/>
      <c r="K369" s="7"/>
      <c r="L369" s="7"/>
      <c r="M369" s="52"/>
      <c r="N369" s="7"/>
      <c r="O369" s="7"/>
      <c r="P369" s="47"/>
      <c r="Q369" s="47"/>
      <c r="R369" s="7"/>
      <c r="S369" s="51"/>
      <c r="T369" s="51"/>
      <c r="U369" s="7"/>
      <c r="V369" s="57"/>
      <c r="W369" s="57"/>
      <c r="X369" s="57"/>
    </row>
    <row r="370" spans="1:24" ht="12.5" x14ac:dyDescent="0.25">
      <c r="A370" s="34"/>
      <c r="B370" s="7"/>
      <c r="C370" s="19"/>
      <c r="D370" s="7"/>
      <c r="E370" s="7"/>
      <c r="F370" s="7"/>
      <c r="G370" s="7"/>
      <c r="H370" s="6"/>
      <c r="I370" s="7"/>
      <c r="J370" s="7"/>
      <c r="K370" s="7"/>
      <c r="L370" s="7"/>
      <c r="M370" s="52"/>
      <c r="N370" s="7"/>
      <c r="O370" s="7"/>
      <c r="P370" s="47"/>
      <c r="Q370" s="47"/>
      <c r="R370" s="7"/>
      <c r="S370" s="51"/>
      <c r="T370" s="51"/>
      <c r="U370" s="7"/>
      <c r="V370" s="57"/>
      <c r="W370" s="57"/>
      <c r="X370" s="57"/>
    </row>
    <row r="371" spans="1:24" ht="12.5" x14ac:dyDescent="0.25">
      <c r="A371" s="34"/>
      <c r="B371" s="7"/>
      <c r="C371" s="19"/>
      <c r="D371" s="7"/>
      <c r="E371" s="7"/>
      <c r="F371" s="7"/>
      <c r="G371" s="7"/>
      <c r="H371" s="6"/>
      <c r="I371" s="7"/>
      <c r="J371" s="7"/>
      <c r="K371" s="7"/>
      <c r="L371" s="7"/>
      <c r="M371" s="52"/>
      <c r="N371" s="7"/>
      <c r="O371" s="7"/>
      <c r="P371" s="47"/>
      <c r="Q371" s="47"/>
      <c r="R371" s="7"/>
      <c r="S371" s="51"/>
      <c r="T371" s="51"/>
      <c r="U371" s="7"/>
      <c r="V371" s="57"/>
      <c r="W371" s="57"/>
      <c r="X371" s="57"/>
    </row>
    <row r="372" spans="1:24" ht="12.5" x14ac:dyDescent="0.25">
      <c r="A372" s="34"/>
      <c r="B372" s="7"/>
      <c r="C372" s="19"/>
      <c r="D372" s="7"/>
      <c r="E372" s="7"/>
      <c r="F372" s="7"/>
      <c r="G372" s="7"/>
      <c r="H372" s="6"/>
      <c r="I372" s="7"/>
      <c r="J372" s="7"/>
      <c r="K372" s="7"/>
      <c r="L372" s="7"/>
      <c r="M372" s="52"/>
      <c r="N372" s="7"/>
      <c r="O372" s="7"/>
      <c r="P372" s="47"/>
      <c r="Q372" s="47"/>
      <c r="R372" s="7"/>
      <c r="S372" s="51"/>
      <c r="T372" s="51"/>
      <c r="U372" s="7"/>
      <c r="V372" s="57"/>
      <c r="W372" s="57"/>
      <c r="X372" s="57"/>
    </row>
    <row r="373" spans="1:24" ht="12.5" x14ac:dyDescent="0.25">
      <c r="A373" s="34"/>
      <c r="B373" s="7"/>
      <c r="C373" s="19"/>
      <c r="D373" s="7"/>
      <c r="E373" s="7"/>
      <c r="F373" s="7"/>
      <c r="G373" s="7"/>
      <c r="H373" s="6"/>
      <c r="I373" s="7"/>
      <c r="J373" s="7"/>
      <c r="K373" s="7"/>
      <c r="L373" s="7"/>
      <c r="M373" s="52"/>
      <c r="N373" s="7"/>
      <c r="O373" s="7"/>
      <c r="P373" s="47"/>
      <c r="Q373" s="47"/>
      <c r="R373" s="7"/>
      <c r="S373" s="51"/>
      <c r="T373" s="51"/>
      <c r="U373" s="7"/>
      <c r="V373" s="57"/>
      <c r="W373" s="57"/>
      <c r="X373" s="57"/>
    </row>
    <row r="374" spans="1:24" ht="12.5" x14ac:dyDescent="0.25">
      <c r="A374" s="34"/>
      <c r="B374" s="7"/>
      <c r="C374" s="19"/>
      <c r="D374" s="7"/>
      <c r="E374" s="7"/>
      <c r="F374" s="7"/>
      <c r="G374" s="7"/>
      <c r="H374" s="6"/>
      <c r="I374" s="7"/>
      <c r="J374" s="7"/>
      <c r="K374" s="7"/>
      <c r="L374" s="7"/>
      <c r="M374" s="52"/>
      <c r="N374" s="7"/>
      <c r="O374" s="7"/>
      <c r="P374" s="47"/>
      <c r="Q374" s="47"/>
      <c r="R374" s="7"/>
      <c r="S374" s="51"/>
      <c r="T374" s="51"/>
      <c r="U374" s="7"/>
      <c r="V374" s="57"/>
      <c r="W374" s="57"/>
      <c r="X374" s="57"/>
    </row>
    <row r="375" spans="1:24" ht="12.5" x14ac:dyDescent="0.25">
      <c r="A375" s="34"/>
      <c r="B375" s="7"/>
      <c r="C375" s="19"/>
      <c r="D375" s="7"/>
      <c r="E375" s="7"/>
      <c r="F375" s="7"/>
      <c r="G375" s="7"/>
      <c r="H375" s="6"/>
      <c r="I375" s="7"/>
      <c r="J375" s="7"/>
      <c r="K375" s="7"/>
      <c r="L375" s="7"/>
      <c r="M375" s="52"/>
      <c r="N375" s="7"/>
      <c r="O375" s="7"/>
      <c r="P375" s="47"/>
      <c r="Q375" s="47"/>
      <c r="R375" s="7"/>
      <c r="S375" s="51"/>
      <c r="T375" s="51"/>
      <c r="U375" s="7"/>
      <c r="V375" s="57"/>
      <c r="W375" s="57"/>
      <c r="X375" s="57"/>
    </row>
    <row r="376" spans="1:24" ht="12.5" x14ac:dyDescent="0.25">
      <c r="A376" s="34"/>
      <c r="B376" s="7"/>
      <c r="C376" s="19"/>
      <c r="D376" s="7"/>
      <c r="E376" s="7"/>
      <c r="F376" s="7"/>
      <c r="G376" s="7"/>
      <c r="H376" s="6"/>
      <c r="I376" s="7"/>
      <c r="J376" s="7"/>
      <c r="K376" s="7"/>
      <c r="L376" s="7"/>
      <c r="M376" s="52"/>
      <c r="N376" s="7"/>
      <c r="O376" s="7"/>
      <c r="P376" s="47"/>
      <c r="Q376" s="47"/>
      <c r="R376" s="7"/>
      <c r="S376" s="51"/>
      <c r="T376" s="51"/>
      <c r="U376" s="7"/>
      <c r="V376" s="57"/>
      <c r="W376" s="57"/>
      <c r="X376" s="57"/>
    </row>
    <row r="377" spans="1:24" ht="12.5" x14ac:dyDescent="0.25">
      <c r="A377" s="34"/>
      <c r="B377" s="7"/>
      <c r="C377" s="19"/>
      <c r="D377" s="7"/>
      <c r="E377" s="7"/>
      <c r="F377" s="7"/>
      <c r="G377" s="7"/>
      <c r="H377" s="6"/>
      <c r="I377" s="7"/>
      <c r="J377" s="7"/>
      <c r="K377" s="7"/>
      <c r="L377" s="7"/>
      <c r="M377" s="52"/>
      <c r="N377" s="7"/>
      <c r="O377" s="7"/>
      <c r="P377" s="47"/>
      <c r="Q377" s="47"/>
      <c r="R377" s="7"/>
      <c r="S377" s="51"/>
      <c r="T377" s="51"/>
      <c r="U377" s="7"/>
      <c r="V377" s="57"/>
      <c r="W377" s="57"/>
      <c r="X377" s="57"/>
    </row>
    <row r="378" spans="1:24" ht="12.5" x14ac:dyDescent="0.25">
      <c r="A378" s="34"/>
      <c r="B378" s="7"/>
      <c r="C378" s="19"/>
      <c r="D378" s="7"/>
      <c r="E378" s="7"/>
      <c r="F378" s="7"/>
      <c r="G378" s="7"/>
      <c r="H378" s="6"/>
      <c r="I378" s="7"/>
      <c r="J378" s="7"/>
      <c r="K378" s="7"/>
      <c r="L378" s="7"/>
      <c r="M378" s="52"/>
      <c r="N378" s="7"/>
      <c r="O378" s="7"/>
      <c r="P378" s="47"/>
      <c r="Q378" s="47"/>
      <c r="R378" s="7"/>
      <c r="S378" s="51"/>
      <c r="T378" s="51"/>
      <c r="U378" s="7"/>
      <c r="V378" s="57"/>
      <c r="W378" s="57"/>
      <c r="X378" s="57"/>
    </row>
    <row r="379" spans="1:24" ht="12.5" x14ac:dyDescent="0.25">
      <c r="A379" s="34"/>
      <c r="B379" s="7"/>
      <c r="C379" s="19"/>
      <c r="D379" s="7"/>
      <c r="E379" s="7"/>
      <c r="F379" s="7"/>
      <c r="G379" s="7"/>
      <c r="H379" s="6"/>
      <c r="I379" s="7"/>
      <c r="J379" s="7"/>
      <c r="K379" s="7"/>
      <c r="L379" s="7"/>
      <c r="M379" s="52"/>
      <c r="N379" s="7"/>
      <c r="O379" s="7"/>
      <c r="P379" s="47"/>
      <c r="Q379" s="47"/>
      <c r="R379" s="7"/>
      <c r="S379" s="51"/>
      <c r="T379" s="51"/>
      <c r="U379" s="7"/>
      <c r="V379" s="57"/>
      <c r="W379" s="57"/>
      <c r="X379" s="57"/>
    </row>
    <row r="380" spans="1:24" ht="12.5" x14ac:dyDescent="0.25">
      <c r="A380" s="34"/>
      <c r="B380" s="7"/>
      <c r="C380" s="19"/>
      <c r="D380" s="7"/>
      <c r="E380" s="7"/>
      <c r="F380" s="7"/>
      <c r="G380" s="7"/>
      <c r="H380" s="6"/>
      <c r="I380" s="7"/>
      <c r="J380" s="7"/>
      <c r="K380" s="7"/>
      <c r="L380" s="7"/>
      <c r="M380" s="52"/>
      <c r="N380" s="7"/>
      <c r="O380" s="7"/>
      <c r="P380" s="47"/>
      <c r="Q380" s="47"/>
      <c r="R380" s="7"/>
      <c r="S380" s="51"/>
      <c r="T380" s="51"/>
      <c r="U380" s="7"/>
      <c r="V380" s="57"/>
      <c r="W380" s="57"/>
      <c r="X380" s="57"/>
    </row>
    <row r="381" spans="1:24" ht="12.5" x14ac:dyDescent="0.25">
      <c r="A381" s="34"/>
      <c r="B381" s="7"/>
      <c r="C381" s="19"/>
      <c r="D381" s="7"/>
      <c r="E381" s="7"/>
      <c r="F381" s="7"/>
      <c r="G381" s="7"/>
      <c r="H381" s="6"/>
      <c r="I381" s="7"/>
      <c r="J381" s="7"/>
      <c r="K381" s="7"/>
      <c r="L381" s="7"/>
      <c r="M381" s="52"/>
      <c r="N381" s="7"/>
      <c r="O381" s="7"/>
      <c r="P381" s="47"/>
      <c r="Q381" s="47"/>
      <c r="R381" s="7"/>
      <c r="S381" s="51"/>
      <c r="T381" s="51"/>
      <c r="U381" s="7"/>
      <c r="V381" s="57"/>
      <c r="W381" s="57"/>
      <c r="X381" s="57"/>
    </row>
    <row r="382" spans="1:24" ht="12.5" x14ac:dyDescent="0.25">
      <c r="A382" s="34"/>
      <c r="B382" s="7"/>
      <c r="C382" s="19"/>
      <c r="D382" s="7"/>
      <c r="E382" s="7"/>
      <c r="F382" s="7"/>
      <c r="G382" s="7"/>
      <c r="H382" s="6"/>
      <c r="I382" s="7"/>
      <c r="J382" s="7"/>
      <c r="K382" s="7"/>
      <c r="L382" s="7"/>
      <c r="M382" s="52"/>
      <c r="N382" s="7"/>
      <c r="O382" s="7"/>
      <c r="P382" s="47"/>
      <c r="Q382" s="47"/>
      <c r="R382" s="7"/>
      <c r="S382" s="51"/>
      <c r="T382" s="51"/>
      <c r="U382" s="7"/>
      <c r="V382" s="57"/>
      <c r="W382" s="57"/>
      <c r="X382" s="57"/>
    </row>
    <row r="383" spans="1:24" ht="12.5" x14ac:dyDescent="0.25">
      <c r="A383" s="34"/>
      <c r="B383" s="7"/>
      <c r="C383" s="19"/>
      <c r="D383" s="7"/>
      <c r="E383" s="7"/>
      <c r="F383" s="7"/>
      <c r="G383" s="7"/>
      <c r="H383" s="6"/>
      <c r="I383" s="7"/>
      <c r="J383" s="7"/>
      <c r="K383" s="7"/>
      <c r="L383" s="7"/>
      <c r="M383" s="52"/>
      <c r="N383" s="7"/>
      <c r="O383" s="7"/>
      <c r="P383" s="47"/>
      <c r="Q383" s="47"/>
      <c r="R383" s="7"/>
      <c r="S383" s="51"/>
      <c r="T383" s="51"/>
      <c r="U383" s="7"/>
      <c r="V383" s="57"/>
      <c r="W383" s="57"/>
      <c r="X383" s="57"/>
    </row>
    <row r="384" spans="1:24" ht="12.5" x14ac:dyDescent="0.25">
      <c r="A384" s="34"/>
      <c r="B384" s="7"/>
      <c r="C384" s="19"/>
      <c r="D384" s="7"/>
      <c r="E384" s="7"/>
      <c r="F384" s="7"/>
      <c r="G384" s="7"/>
      <c r="H384" s="6"/>
      <c r="I384" s="7"/>
      <c r="J384" s="7"/>
      <c r="K384" s="7"/>
      <c r="L384" s="7"/>
      <c r="M384" s="52"/>
      <c r="N384" s="7"/>
      <c r="O384" s="7"/>
      <c r="P384" s="47"/>
      <c r="Q384" s="47"/>
      <c r="R384" s="7"/>
      <c r="S384" s="51"/>
      <c r="T384" s="51"/>
      <c r="U384" s="7"/>
      <c r="V384" s="57"/>
      <c r="W384" s="57"/>
      <c r="X384" s="57"/>
    </row>
    <row r="385" spans="1:24" ht="12.5" x14ac:dyDescent="0.25">
      <c r="A385" s="34"/>
      <c r="B385" s="7"/>
      <c r="C385" s="19"/>
      <c r="D385" s="7"/>
      <c r="E385" s="7"/>
      <c r="F385" s="7"/>
      <c r="G385" s="7"/>
      <c r="H385" s="6"/>
      <c r="I385" s="7"/>
      <c r="J385" s="7"/>
      <c r="K385" s="7"/>
      <c r="L385" s="7"/>
      <c r="M385" s="52"/>
      <c r="N385" s="7"/>
      <c r="O385" s="7"/>
      <c r="P385" s="47"/>
      <c r="Q385" s="47"/>
      <c r="R385" s="7"/>
      <c r="S385" s="51"/>
      <c r="T385" s="51"/>
      <c r="U385" s="7"/>
      <c r="V385" s="57"/>
      <c r="W385" s="57"/>
      <c r="X385" s="57"/>
    </row>
    <row r="386" spans="1:24" ht="12.5" x14ac:dyDescent="0.25">
      <c r="A386" s="34"/>
      <c r="B386" s="7"/>
      <c r="C386" s="19"/>
      <c r="D386" s="7"/>
      <c r="E386" s="7"/>
      <c r="F386" s="7"/>
      <c r="G386" s="7"/>
      <c r="H386" s="6"/>
      <c r="I386" s="7"/>
      <c r="J386" s="7"/>
      <c r="K386" s="7"/>
      <c r="L386" s="7"/>
      <c r="M386" s="52"/>
      <c r="N386" s="7"/>
      <c r="O386" s="7"/>
      <c r="P386" s="47"/>
      <c r="Q386" s="47"/>
      <c r="R386" s="7"/>
      <c r="S386" s="51"/>
      <c r="T386" s="51"/>
      <c r="U386" s="7"/>
      <c r="V386" s="57"/>
      <c r="W386" s="57"/>
      <c r="X386" s="57"/>
    </row>
    <row r="387" spans="1:24" ht="12.5" x14ac:dyDescent="0.25">
      <c r="A387" s="34"/>
      <c r="B387" s="7"/>
      <c r="C387" s="19"/>
      <c r="D387" s="7"/>
      <c r="E387" s="7"/>
      <c r="F387" s="7"/>
      <c r="G387" s="7"/>
      <c r="H387" s="6"/>
      <c r="I387" s="7"/>
      <c r="J387" s="7"/>
      <c r="K387" s="7"/>
      <c r="L387" s="7"/>
      <c r="M387" s="52"/>
      <c r="N387" s="7"/>
      <c r="O387" s="7"/>
      <c r="P387" s="47"/>
      <c r="Q387" s="47"/>
      <c r="R387" s="7"/>
      <c r="S387" s="51"/>
      <c r="T387" s="51"/>
      <c r="U387" s="7"/>
      <c r="V387" s="57"/>
      <c r="W387" s="57"/>
      <c r="X387" s="57"/>
    </row>
    <row r="388" spans="1:24" ht="12.5" x14ac:dyDescent="0.25">
      <c r="A388" s="34"/>
      <c r="B388" s="7"/>
      <c r="C388" s="19"/>
      <c r="D388" s="7"/>
      <c r="E388" s="7"/>
      <c r="F388" s="7"/>
      <c r="G388" s="7"/>
      <c r="H388" s="6"/>
      <c r="I388" s="7"/>
      <c r="J388" s="7"/>
      <c r="K388" s="7"/>
      <c r="L388" s="7"/>
      <c r="M388" s="52"/>
      <c r="N388" s="7"/>
      <c r="O388" s="7"/>
      <c r="P388" s="47"/>
      <c r="Q388" s="47"/>
      <c r="R388" s="7"/>
      <c r="S388" s="51"/>
      <c r="T388" s="51"/>
      <c r="U388" s="7"/>
      <c r="V388" s="57"/>
      <c r="W388" s="57"/>
      <c r="X388" s="57"/>
    </row>
    <row r="389" spans="1:24" ht="12.5" x14ac:dyDescent="0.25">
      <c r="A389" s="34"/>
      <c r="B389" s="7"/>
      <c r="C389" s="19"/>
      <c r="D389" s="7"/>
      <c r="E389" s="7"/>
      <c r="F389" s="7"/>
      <c r="G389" s="7"/>
      <c r="H389" s="6"/>
      <c r="I389" s="7"/>
      <c r="J389" s="7"/>
      <c r="K389" s="7"/>
      <c r="L389" s="7"/>
      <c r="M389" s="52"/>
      <c r="N389" s="7"/>
      <c r="O389" s="7"/>
      <c r="P389" s="47"/>
      <c r="Q389" s="47"/>
      <c r="R389" s="7"/>
      <c r="S389" s="51"/>
      <c r="T389" s="51"/>
      <c r="U389" s="7"/>
      <c r="V389" s="57"/>
      <c r="W389" s="57"/>
      <c r="X389" s="57"/>
    </row>
    <row r="390" spans="1:24" ht="12.5" x14ac:dyDescent="0.25">
      <c r="A390" s="34"/>
      <c r="B390" s="7"/>
      <c r="C390" s="19"/>
      <c r="D390" s="7"/>
      <c r="E390" s="7"/>
      <c r="F390" s="7"/>
      <c r="G390" s="7"/>
      <c r="H390" s="6"/>
      <c r="I390" s="7"/>
      <c r="J390" s="7"/>
      <c r="K390" s="7"/>
      <c r="L390" s="7"/>
      <c r="M390" s="52"/>
      <c r="N390" s="7"/>
      <c r="O390" s="7"/>
      <c r="P390" s="47"/>
      <c r="Q390" s="47"/>
      <c r="R390" s="7"/>
      <c r="S390" s="51"/>
      <c r="T390" s="51"/>
      <c r="U390" s="7"/>
      <c r="V390" s="57"/>
      <c r="W390" s="57"/>
      <c r="X390" s="57"/>
    </row>
    <row r="391" spans="1:24" ht="12.5" x14ac:dyDescent="0.25">
      <c r="A391" s="34"/>
      <c r="B391" s="7"/>
      <c r="C391" s="19"/>
      <c r="D391" s="7"/>
      <c r="E391" s="7"/>
      <c r="F391" s="7"/>
      <c r="G391" s="7"/>
      <c r="H391" s="6"/>
      <c r="I391" s="7"/>
      <c r="J391" s="7"/>
      <c r="K391" s="7"/>
      <c r="L391" s="7"/>
      <c r="M391" s="52"/>
      <c r="N391" s="7"/>
      <c r="O391" s="7"/>
      <c r="P391" s="47"/>
      <c r="Q391" s="47"/>
      <c r="R391" s="7"/>
      <c r="S391" s="51"/>
      <c r="T391" s="51"/>
      <c r="U391" s="7"/>
      <c r="V391" s="57"/>
      <c r="W391" s="57"/>
      <c r="X391" s="57"/>
    </row>
    <row r="392" spans="1:24" ht="12.5" x14ac:dyDescent="0.25">
      <c r="A392" s="34"/>
      <c r="B392" s="7"/>
      <c r="C392" s="19"/>
      <c r="D392" s="7"/>
      <c r="E392" s="7"/>
      <c r="F392" s="7"/>
      <c r="G392" s="7"/>
      <c r="H392" s="6"/>
      <c r="I392" s="7"/>
      <c r="J392" s="7"/>
      <c r="K392" s="7"/>
      <c r="L392" s="7"/>
      <c r="M392" s="52"/>
      <c r="N392" s="7"/>
      <c r="O392" s="7"/>
      <c r="P392" s="47"/>
      <c r="Q392" s="47"/>
      <c r="R392" s="7"/>
      <c r="S392" s="51"/>
      <c r="T392" s="51"/>
      <c r="U392" s="7"/>
      <c r="V392" s="57"/>
      <c r="W392" s="57"/>
      <c r="X392" s="57"/>
    </row>
    <row r="393" spans="1:24" ht="12.5" x14ac:dyDescent="0.25">
      <c r="A393" s="34"/>
      <c r="B393" s="7"/>
      <c r="C393" s="19"/>
      <c r="D393" s="7"/>
      <c r="E393" s="7"/>
      <c r="F393" s="7"/>
      <c r="G393" s="7"/>
      <c r="H393" s="6"/>
      <c r="I393" s="7"/>
      <c r="J393" s="7"/>
      <c r="K393" s="7"/>
      <c r="L393" s="7"/>
      <c r="M393" s="52"/>
      <c r="N393" s="7"/>
      <c r="O393" s="7"/>
      <c r="P393" s="47"/>
      <c r="Q393" s="47"/>
      <c r="R393" s="7"/>
      <c r="S393" s="51"/>
      <c r="T393" s="51"/>
      <c r="U393" s="7"/>
      <c r="V393" s="57"/>
      <c r="W393" s="57"/>
      <c r="X393" s="57"/>
    </row>
    <row r="394" spans="1:24" ht="12.5" x14ac:dyDescent="0.25">
      <c r="A394" s="34"/>
      <c r="B394" s="7"/>
      <c r="C394" s="19"/>
      <c r="D394" s="7"/>
      <c r="E394" s="7"/>
      <c r="F394" s="7"/>
      <c r="G394" s="7"/>
      <c r="H394" s="6"/>
      <c r="I394" s="7"/>
      <c r="J394" s="7"/>
      <c r="K394" s="7"/>
      <c r="L394" s="7"/>
      <c r="M394" s="52"/>
      <c r="N394" s="7"/>
      <c r="O394" s="7"/>
      <c r="P394" s="47"/>
      <c r="Q394" s="47"/>
      <c r="R394" s="7"/>
      <c r="S394" s="51"/>
      <c r="T394" s="51"/>
      <c r="U394" s="7"/>
      <c r="V394" s="57"/>
      <c r="W394" s="57"/>
      <c r="X394" s="57"/>
    </row>
    <row r="395" spans="1:24" ht="12.5" x14ac:dyDescent="0.25">
      <c r="A395" s="34"/>
      <c r="B395" s="7"/>
      <c r="C395" s="19"/>
      <c r="D395" s="7"/>
      <c r="E395" s="7"/>
      <c r="F395" s="7"/>
      <c r="G395" s="7"/>
      <c r="H395" s="6"/>
      <c r="I395" s="7"/>
      <c r="J395" s="7"/>
      <c r="K395" s="7"/>
      <c r="L395" s="7"/>
      <c r="M395" s="52"/>
      <c r="N395" s="7"/>
      <c r="O395" s="7"/>
      <c r="P395" s="47"/>
      <c r="Q395" s="47"/>
      <c r="R395" s="7"/>
      <c r="S395" s="51"/>
      <c r="T395" s="51"/>
      <c r="U395" s="7"/>
      <c r="V395" s="57"/>
      <c r="W395" s="57"/>
      <c r="X395" s="57"/>
    </row>
    <row r="396" spans="1:24" ht="12.5" x14ac:dyDescent="0.25">
      <c r="A396" s="34"/>
      <c r="B396" s="7"/>
      <c r="C396" s="19"/>
      <c r="D396" s="7"/>
      <c r="E396" s="7"/>
      <c r="F396" s="7"/>
      <c r="G396" s="7"/>
      <c r="H396" s="6"/>
      <c r="I396" s="7"/>
      <c r="J396" s="7"/>
      <c r="K396" s="7"/>
      <c r="L396" s="7"/>
      <c r="M396" s="52"/>
      <c r="N396" s="7"/>
      <c r="O396" s="7"/>
      <c r="P396" s="47"/>
      <c r="Q396" s="47"/>
      <c r="R396" s="7"/>
      <c r="S396" s="51"/>
      <c r="T396" s="51"/>
      <c r="U396" s="7"/>
      <c r="V396" s="57"/>
      <c r="W396" s="57"/>
      <c r="X396" s="57"/>
    </row>
    <row r="397" spans="1:24" ht="12.5" x14ac:dyDescent="0.25">
      <c r="A397" s="34"/>
      <c r="B397" s="7"/>
      <c r="C397" s="19"/>
      <c r="D397" s="7"/>
      <c r="E397" s="7"/>
      <c r="F397" s="7"/>
      <c r="G397" s="7"/>
      <c r="H397" s="6"/>
      <c r="I397" s="7"/>
      <c r="J397" s="7"/>
      <c r="K397" s="7"/>
      <c r="L397" s="7"/>
      <c r="M397" s="52"/>
      <c r="N397" s="7"/>
      <c r="O397" s="7"/>
      <c r="P397" s="47"/>
      <c r="Q397" s="47"/>
      <c r="R397" s="7"/>
      <c r="S397" s="51"/>
      <c r="T397" s="51"/>
      <c r="U397" s="7"/>
      <c r="V397" s="57"/>
      <c r="W397" s="57"/>
      <c r="X397" s="57"/>
    </row>
    <row r="398" spans="1:24" ht="12.5" x14ac:dyDescent="0.25">
      <c r="A398" s="34"/>
      <c r="B398" s="7"/>
      <c r="C398" s="19"/>
      <c r="D398" s="7"/>
      <c r="E398" s="7"/>
      <c r="F398" s="7"/>
      <c r="G398" s="7"/>
      <c r="H398" s="6"/>
      <c r="I398" s="7"/>
      <c r="J398" s="7"/>
      <c r="K398" s="7"/>
      <c r="L398" s="7"/>
      <c r="M398" s="52"/>
      <c r="N398" s="7"/>
      <c r="O398" s="7"/>
      <c r="P398" s="47"/>
      <c r="Q398" s="47"/>
      <c r="R398" s="7"/>
      <c r="S398" s="51"/>
      <c r="T398" s="51"/>
      <c r="U398" s="7"/>
      <c r="V398" s="57"/>
      <c r="W398" s="57"/>
      <c r="X398" s="57"/>
    </row>
    <row r="399" spans="1:24" ht="12.5" x14ac:dyDescent="0.25">
      <c r="A399" s="34"/>
      <c r="B399" s="7"/>
      <c r="C399" s="19"/>
      <c r="D399" s="7"/>
      <c r="E399" s="7"/>
      <c r="F399" s="7"/>
      <c r="G399" s="7"/>
      <c r="H399" s="6"/>
      <c r="I399" s="7"/>
      <c r="J399" s="7"/>
      <c r="K399" s="7"/>
      <c r="L399" s="7"/>
      <c r="M399" s="52"/>
      <c r="N399" s="7"/>
      <c r="O399" s="7"/>
      <c r="P399" s="47"/>
      <c r="Q399" s="47"/>
      <c r="R399" s="7"/>
      <c r="S399" s="51"/>
      <c r="T399" s="51"/>
      <c r="U399" s="7"/>
      <c r="V399" s="57"/>
      <c r="W399" s="57"/>
      <c r="X399" s="57"/>
    </row>
    <row r="400" spans="1:24" ht="12.5" x14ac:dyDescent="0.25">
      <c r="A400" s="34"/>
      <c r="B400" s="7"/>
      <c r="C400" s="19"/>
      <c r="D400" s="7"/>
      <c r="E400" s="7"/>
      <c r="F400" s="7"/>
      <c r="G400" s="7"/>
      <c r="H400" s="6"/>
      <c r="I400" s="7"/>
      <c r="J400" s="7"/>
      <c r="K400" s="7"/>
      <c r="L400" s="7"/>
      <c r="M400" s="52"/>
      <c r="N400" s="7"/>
      <c r="O400" s="7"/>
      <c r="P400" s="47"/>
      <c r="Q400" s="47"/>
      <c r="R400" s="7"/>
      <c r="S400" s="51"/>
      <c r="T400" s="51"/>
      <c r="U400" s="7"/>
      <c r="V400" s="57"/>
      <c r="W400" s="57"/>
      <c r="X400" s="57"/>
    </row>
    <row r="401" spans="1:24" ht="12.5" x14ac:dyDescent="0.25">
      <c r="A401" s="34"/>
      <c r="B401" s="7"/>
      <c r="C401" s="19"/>
      <c r="D401" s="7"/>
      <c r="E401" s="7"/>
      <c r="F401" s="7"/>
      <c r="G401" s="7"/>
      <c r="H401" s="6"/>
      <c r="I401" s="7"/>
      <c r="J401" s="7"/>
      <c r="K401" s="7"/>
      <c r="L401" s="7"/>
      <c r="M401" s="52"/>
      <c r="N401" s="7"/>
      <c r="O401" s="7"/>
      <c r="P401" s="47"/>
      <c r="Q401" s="47"/>
      <c r="R401" s="7"/>
      <c r="S401" s="51"/>
      <c r="T401" s="51"/>
      <c r="U401" s="7"/>
      <c r="V401" s="57"/>
      <c r="W401" s="57"/>
      <c r="X401" s="57"/>
    </row>
    <row r="402" spans="1:24" ht="12.5" x14ac:dyDescent="0.25">
      <c r="A402" s="34"/>
      <c r="B402" s="7"/>
      <c r="C402" s="19"/>
      <c r="D402" s="7"/>
      <c r="E402" s="7"/>
      <c r="F402" s="7"/>
      <c r="G402" s="7"/>
      <c r="H402" s="6"/>
      <c r="I402" s="7"/>
      <c r="J402" s="7"/>
      <c r="K402" s="7"/>
      <c r="L402" s="7"/>
      <c r="M402" s="52"/>
      <c r="N402" s="7"/>
      <c r="O402" s="7"/>
      <c r="P402" s="47"/>
      <c r="Q402" s="47"/>
      <c r="R402" s="7"/>
      <c r="S402" s="51"/>
      <c r="T402" s="51"/>
      <c r="U402" s="7"/>
      <c r="V402" s="57"/>
      <c r="W402" s="57"/>
      <c r="X402" s="57"/>
    </row>
    <row r="403" spans="1:24" ht="12.5" x14ac:dyDescent="0.25">
      <c r="A403" s="34"/>
      <c r="B403" s="7"/>
      <c r="C403" s="19"/>
      <c r="D403" s="7"/>
      <c r="E403" s="7"/>
      <c r="F403" s="7"/>
      <c r="G403" s="7"/>
      <c r="H403" s="6"/>
      <c r="I403" s="7"/>
      <c r="J403" s="7"/>
      <c r="K403" s="7"/>
      <c r="L403" s="7"/>
      <c r="M403" s="52"/>
      <c r="N403" s="7"/>
      <c r="O403" s="7"/>
      <c r="P403" s="47"/>
      <c r="Q403" s="47"/>
      <c r="R403" s="7"/>
      <c r="S403" s="51"/>
      <c r="T403" s="51"/>
      <c r="U403" s="7"/>
      <c r="V403" s="57"/>
      <c r="W403" s="57"/>
      <c r="X403" s="57"/>
    </row>
    <row r="404" spans="1:24" ht="12.5" x14ac:dyDescent="0.25">
      <c r="A404" s="34"/>
      <c r="B404" s="7"/>
      <c r="C404" s="19"/>
      <c r="D404" s="7"/>
      <c r="E404" s="7"/>
      <c r="F404" s="7"/>
      <c r="G404" s="7"/>
      <c r="H404" s="6"/>
      <c r="I404" s="7"/>
      <c r="J404" s="7"/>
      <c r="K404" s="7"/>
      <c r="L404" s="7"/>
      <c r="M404" s="52"/>
      <c r="N404" s="7"/>
      <c r="O404" s="7"/>
      <c r="P404" s="47"/>
      <c r="Q404" s="47"/>
      <c r="R404" s="7"/>
      <c r="S404" s="51"/>
      <c r="T404" s="51"/>
      <c r="U404" s="7"/>
      <c r="V404" s="57"/>
      <c r="W404" s="57"/>
      <c r="X404" s="57"/>
    </row>
    <row r="405" spans="1:24" ht="12.5" x14ac:dyDescent="0.25">
      <c r="A405" s="34"/>
      <c r="B405" s="7"/>
      <c r="C405" s="19"/>
      <c r="D405" s="7"/>
      <c r="E405" s="7"/>
      <c r="F405" s="7"/>
      <c r="G405" s="7"/>
      <c r="H405" s="6"/>
      <c r="I405" s="7"/>
      <c r="J405" s="7"/>
      <c r="K405" s="7"/>
      <c r="L405" s="7"/>
      <c r="M405" s="52"/>
      <c r="N405" s="7"/>
      <c r="O405" s="7"/>
      <c r="P405" s="47"/>
      <c r="Q405" s="47"/>
      <c r="R405" s="7"/>
      <c r="S405" s="51"/>
      <c r="T405" s="51"/>
      <c r="U405" s="7"/>
      <c r="V405" s="57"/>
      <c r="W405" s="57"/>
      <c r="X405" s="57"/>
    </row>
    <row r="406" spans="1:24" ht="12.5" x14ac:dyDescent="0.25">
      <c r="A406" s="34"/>
      <c r="B406" s="7"/>
      <c r="C406" s="19"/>
      <c r="D406" s="7"/>
      <c r="E406" s="7"/>
      <c r="F406" s="7"/>
      <c r="G406" s="7"/>
      <c r="H406" s="6"/>
      <c r="I406" s="7"/>
      <c r="J406" s="7"/>
      <c r="K406" s="7"/>
      <c r="L406" s="7"/>
      <c r="M406" s="52"/>
      <c r="N406" s="7"/>
      <c r="O406" s="7"/>
      <c r="P406" s="47"/>
      <c r="Q406" s="47"/>
      <c r="R406" s="7"/>
      <c r="S406" s="51"/>
      <c r="T406" s="51"/>
      <c r="U406" s="7"/>
      <c r="V406" s="57"/>
      <c r="W406" s="57"/>
      <c r="X406" s="57"/>
    </row>
    <row r="407" spans="1:24" ht="12.5" x14ac:dyDescent="0.25">
      <c r="A407" s="34"/>
      <c r="B407" s="7"/>
      <c r="C407" s="19"/>
      <c r="D407" s="7"/>
      <c r="E407" s="7"/>
      <c r="F407" s="7"/>
      <c r="G407" s="7"/>
      <c r="H407" s="6"/>
      <c r="I407" s="7"/>
      <c r="J407" s="7"/>
      <c r="K407" s="7"/>
      <c r="L407" s="7"/>
      <c r="M407" s="52"/>
      <c r="N407" s="7"/>
      <c r="O407" s="7"/>
      <c r="P407" s="47"/>
      <c r="Q407" s="47"/>
      <c r="R407" s="7"/>
      <c r="S407" s="51"/>
      <c r="T407" s="51"/>
      <c r="U407" s="7"/>
      <c r="V407" s="57"/>
      <c r="W407" s="57"/>
      <c r="X407" s="57"/>
    </row>
    <row r="408" spans="1:24" ht="12.5" x14ac:dyDescent="0.25">
      <c r="A408" s="34"/>
      <c r="B408" s="7"/>
      <c r="C408" s="19"/>
      <c r="D408" s="7"/>
      <c r="E408" s="7"/>
      <c r="F408" s="7"/>
      <c r="G408" s="7"/>
      <c r="H408" s="6"/>
      <c r="I408" s="7"/>
      <c r="J408" s="7"/>
      <c r="K408" s="7"/>
      <c r="L408" s="7"/>
      <c r="M408" s="52"/>
      <c r="N408" s="7"/>
      <c r="O408" s="7"/>
      <c r="P408" s="47"/>
      <c r="Q408" s="47"/>
      <c r="R408" s="7"/>
      <c r="S408" s="51"/>
      <c r="T408" s="51"/>
      <c r="U408" s="7"/>
      <c r="V408" s="57"/>
      <c r="W408" s="57"/>
      <c r="X408" s="57"/>
    </row>
    <row r="409" spans="1:24" ht="12.5" x14ac:dyDescent="0.25">
      <c r="A409" s="34"/>
      <c r="B409" s="7"/>
      <c r="C409" s="19"/>
      <c r="D409" s="7"/>
      <c r="E409" s="7"/>
      <c r="F409" s="7"/>
      <c r="G409" s="7"/>
      <c r="H409" s="6"/>
      <c r="I409" s="7"/>
      <c r="J409" s="7"/>
      <c r="K409" s="7"/>
      <c r="L409" s="7"/>
      <c r="M409" s="52"/>
      <c r="N409" s="7"/>
      <c r="O409" s="7"/>
      <c r="P409" s="47"/>
      <c r="Q409" s="47"/>
      <c r="R409" s="7"/>
      <c r="S409" s="51"/>
      <c r="T409" s="51"/>
      <c r="U409" s="7"/>
      <c r="V409" s="57"/>
      <c r="W409" s="57"/>
      <c r="X409" s="57"/>
    </row>
    <row r="410" spans="1:24" ht="12.5" x14ac:dyDescent="0.25">
      <c r="A410" s="34"/>
      <c r="B410" s="7"/>
      <c r="C410" s="19"/>
      <c r="D410" s="7"/>
      <c r="E410" s="7"/>
      <c r="F410" s="7"/>
      <c r="G410" s="7"/>
      <c r="H410" s="6"/>
      <c r="I410" s="7"/>
      <c r="J410" s="7"/>
      <c r="K410" s="7"/>
      <c r="L410" s="7"/>
      <c r="M410" s="52"/>
      <c r="N410" s="7"/>
      <c r="O410" s="7"/>
      <c r="P410" s="47"/>
      <c r="Q410" s="47"/>
      <c r="R410" s="7"/>
      <c r="S410" s="51"/>
      <c r="T410" s="51"/>
      <c r="U410" s="7"/>
      <c r="V410" s="57"/>
      <c r="W410" s="57"/>
      <c r="X410" s="57"/>
    </row>
    <row r="411" spans="1:24" ht="12.5" x14ac:dyDescent="0.25">
      <c r="A411" s="34"/>
      <c r="B411" s="7"/>
      <c r="C411" s="19"/>
      <c r="D411" s="7"/>
      <c r="E411" s="7"/>
      <c r="F411" s="7"/>
      <c r="G411" s="7"/>
      <c r="H411" s="6"/>
      <c r="I411" s="7"/>
      <c r="J411" s="7"/>
      <c r="K411" s="7"/>
      <c r="L411" s="7"/>
      <c r="M411" s="52"/>
      <c r="N411" s="7"/>
      <c r="O411" s="7"/>
      <c r="P411" s="47"/>
      <c r="Q411" s="47"/>
      <c r="R411" s="7"/>
      <c r="S411" s="51"/>
      <c r="T411" s="51"/>
      <c r="U411" s="7"/>
      <c r="V411" s="57"/>
      <c r="W411" s="57"/>
      <c r="X411" s="57"/>
    </row>
    <row r="412" spans="1:24" ht="12.5" x14ac:dyDescent="0.25">
      <c r="A412" s="34"/>
      <c r="B412" s="7"/>
      <c r="C412" s="19"/>
      <c r="D412" s="7"/>
      <c r="E412" s="7"/>
      <c r="F412" s="7"/>
      <c r="G412" s="7"/>
      <c r="H412" s="6"/>
      <c r="I412" s="7"/>
      <c r="J412" s="7"/>
      <c r="K412" s="7"/>
      <c r="L412" s="7"/>
      <c r="M412" s="52"/>
      <c r="N412" s="7"/>
      <c r="O412" s="7"/>
      <c r="P412" s="47"/>
      <c r="Q412" s="47"/>
      <c r="R412" s="7"/>
      <c r="S412" s="51"/>
      <c r="T412" s="51"/>
      <c r="U412" s="7"/>
      <c r="V412" s="57"/>
      <c r="W412" s="57"/>
      <c r="X412" s="57"/>
    </row>
    <row r="413" spans="1:24" ht="12.5" x14ac:dyDescent="0.25">
      <c r="A413" s="34"/>
      <c r="B413" s="7"/>
      <c r="C413" s="19"/>
      <c r="D413" s="7"/>
      <c r="E413" s="7"/>
      <c r="F413" s="7"/>
      <c r="G413" s="7"/>
      <c r="H413" s="6"/>
      <c r="I413" s="7"/>
      <c r="J413" s="7"/>
      <c r="K413" s="7"/>
      <c r="L413" s="7"/>
      <c r="M413" s="52"/>
      <c r="N413" s="7"/>
      <c r="O413" s="7"/>
      <c r="P413" s="47"/>
      <c r="Q413" s="47"/>
      <c r="R413" s="7"/>
      <c r="S413" s="51"/>
      <c r="T413" s="51"/>
      <c r="U413" s="7"/>
      <c r="V413" s="57"/>
      <c r="W413" s="57"/>
      <c r="X413" s="57"/>
    </row>
    <row r="414" spans="1:24" ht="12.5" x14ac:dyDescent="0.25">
      <c r="A414" s="34"/>
      <c r="B414" s="7"/>
      <c r="C414" s="19"/>
      <c r="D414" s="7"/>
      <c r="E414" s="7"/>
      <c r="F414" s="7"/>
      <c r="G414" s="7"/>
      <c r="H414" s="6"/>
      <c r="I414" s="7"/>
      <c r="J414" s="7"/>
      <c r="K414" s="7"/>
      <c r="L414" s="7"/>
      <c r="M414" s="52"/>
      <c r="N414" s="7"/>
      <c r="O414" s="7"/>
      <c r="P414" s="47"/>
      <c r="Q414" s="47"/>
      <c r="R414" s="7"/>
      <c r="S414" s="51"/>
      <c r="T414" s="51"/>
      <c r="U414" s="7"/>
      <c r="V414" s="57"/>
      <c r="W414" s="57"/>
      <c r="X414" s="57"/>
    </row>
    <row r="415" spans="1:24" ht="12.5" x14ac:dyDescent="0.25">
      <c r="A415" s="34"/>
      <c r="B415" s="7"/>
      <c r="C415" s="19"/>
      <c r="D415" s="7"/>
      <c r="E415" s="7"/>
      <c r="F415" s="7"/>
      <c r="G415" s="7"/>
      <c r="H415" s="6"/>
      <c r="I415" s="7"/>
      <c r="J415" s="7"/>
      <c r="K415" s="7"/>
      <c r="L415" s="7"/>
      <c r="M415" s="52"/>
      <c r="N415" s="7"/>
      <c r="O415" s="7"/>
      <c r="P415" s="47"/>
      <c r="Q415" s="47"/>
      <c r="R415" s="7"/>
      <c r="S415" s="51"/>
      <c r="T415" s="51"/>
      <c r="U415" s="7"/>
      <c r="V415" s="57"/>
      <c r="W415" s="57"/>
      <c r="X415" s="57"/>
    </row>
    <row r="416" spans="1:24" ht="12.5" x14ac:dyDescent="0.25">
      <c r="A416" s="34"/>
      <c r="B416" s="7"/>
      <c r="C416" s="19"/>
      <c r="D416" s="7"/>
      <c r="E416" s="7"/>
      <c r="F416" s="7"/>
      <c r="G416" s="7"/>
      <c r="H416" s="6"/>
      <c r="I416" s="7"/>
      <c r="J416" s="7"/>
      <c r="K416" s="7"/>
      <c r="L416" s="7"/>
      <c r="M416" s="52"/>
      <c r="N416" s="7"/>
      <c r="O416" s="7"/>
      <c r="P416" s="47"/>
      <c r="Q416" s="47"/>
      <c r="R416" s="7"/>
      <c r="S416" s="51"/>
      <c r="T416" s="51"/>
      <c r="U416" s="7"/>
      <c r="V416" s="57"/>
      <c r="W416" s="57"/>
      <c r="X416" s="57"/>
    </row>
    <row r="417" spans="1:24" ht="12.5" x14ac:dyDescent="0.25">
      <c r="A417" s="34"/>
      <c r="B417" s="7"/>
      <c r="C417" s="19"/>
      <c r="D417" s="7"/>
      <c r="E417" s="7"/>
      <c r="F417" s="7"/>
      <c r="G417" s="7"/>
      <c r="H417" s="6"/>
      <c r="I417" s="7"/>
      <c r="J417" s="7"/>
      <c r="K417" s="7"/>
      <c r="L417" s="7"/>
      <c r="M417" s="52"/>
      <c r="N417" s="7"/>
      <c r="O417" s="7"/>
      <c r="P417" s="47"/>
      <c r="Q417" s="47"/>
      <c r="R417" s="7"/>
      <c r="S417" s="51"/>
      <c r="T417" s="51"/>
      <c r="U417" s="7"/>
      <c r="V417" s="57"/>
      <c r="W417" s="57"/>
      <c r="X417" s="57"/>
    </row>
    <row r="418" spans="1:24" ht="12.5" x14ac:dyDescent="0.25">
      <c r="A418" s="34"/>
      <c r="B418" s="7"/>
      <c r="C418" s="19"/>
      <c r="D418" s="7"/>
      <c r="E418" s="7"/>
      <c r="F418" s="7"/>
      <c r="G418" s="7"/>
      <c r="H418" s="6"/>
      <c r="I418" s="7"/>
      <c r="J418" s="7"/>
      <c r="K418" s="7"/>
      <c r="L418" s="7"/>
      <c r="M418" s="52"/>
      <c r="N418" s="7"/>
      <c r="O418" s="7"/>
      <c r="P418" s="47"/>
      <c r="Q418" s="47"/>
      <c r="R418" s="7"/>
      <c r="S418" s="51"/>
      <c r="T418" s="51"/>
      <c r="U418" s="7"/>
      <c r="V418" s="57"/>
      <c r="W418" s="57"/>
      <c r="X418" s="57"/>
    </row>
    <row r="419" spans="1:24" ht="12.5" x14ac:dyDescent="0.25">
      <c r="A419" s="34"/>
      <c r="B419" s="7"/>
      <c r="C419" s="19"/>
      <c r="D419" s="7"/>
      <c r="E419" s="7"/>
      <c r="F419" s="7"/>
      <c r="G419" s="7"/>
      <c r="H419" s="6"/>
      <c r="I419" s="7"/>
      <c r="J419" s="7"/>
      <c r="K419" s="7"/>
      <c r="L419" s="7"/>
      <c r="M419" s="52"/>
      <c r="N419" s="7"/>
      <c r="O419" s="7"/>
      <c r="P419" s="47"/>
      <c r="Q419" s="47"/>
      <c r="R419" s="7"/>
      <c r="S419" s="51"/>
      <c r="T419" s="51"/>
      <c r="U419" s="7"/>
      <c r="V419" s="57"/>
      <c r="W419" s="57"/>
      <c r="X419" s="57"/>
    </row>
    <row r="420" spans="1:24" ht="12.5" x14ac:dyDescent="0.25">
      <c r="A420" s="34"/>
      <c r="B420" s="7"/>
      <c r="C420" s="19"/>
      <c r="D420" s="7"/>
      <c r="E420" s="7"/>
      <c r="F420" s="7"/>
      <c r="G420" s="7"/>
      <c r="H420" s="6"/>
      <c r="I420" s="7"/>
      <c r="J420" s="7"/>
      <c r="K420" s="7"/>
      <c r="L420" s="7"/>
      <c r="M420" s="52"/>
      <c r="N420" s="7"/>
      <c r="O420" s="7"/>
      <c r="P420" s="47"/>
      <c r="Q420" s="47"/>
      <c r="R420" s="7"/>
      <c r="S420" s="51"/>
      <c r="T420" s="51"/>
      <c r="U420" s="7"/>
      <c r="V420" s="57"/>
      <c r="W420" s="57"/>
      <c r="X420" s="57"/>
    </row>
    <row r="421" spans="1:24" ht="12.5" x14ac:dyDescent="0.25">
      <c r="A421" s="34"/>
      <c r="B421" s="7"/>
      <c r="C421" s="19"/>
      <c r="D421" s="7"/>
      <c r="E421" s="7"/>
      <c r="F421" s="7"/>
      <c r="G421" s="7"/>
      <c r="H421" s="6"/>
      <c r="I421" s="7"/>
      <c r="J421" s="7"/>
      <c r="K421" s="7"/>
      <c r="L421" s="7"/>
      <c r="M421" s="52"/>
      <c r="N421" s="7"/>
      <c r="O421" s="7"/>
      <c r="P421" s="47"/>
      <c r="Q421" s="47"/>
      <c r="R421" s="7"/>
      <c r="S421" s="51"/>
      <c r="T421" s="51"/>
      <c r="U421" s="7"/>
      <c r="V421" s="57"/>
      <c r="W421" s="57"/>
      <c r="X421" s="57"/>
    </row>
    <row r="422" spans="1:24" ht="12.5" x14ac:dyDescent="0.25">
      <c r="A422" s="34"/>
      <c r="B422" s="7"/>
      <c r="C422" s="19"/>
      <c r="D422" s="7"/>
      <c r="E422" s="7"/>
      <c r="F422" s="7"/>
      <c r="G422" s="7"/>
      <c r="H422" s="6"/>
      <c r="I422" s="7"/>
      <c r="J422" s="7"/>
      <c r="K422" s="7"/>
      <c r="L422" s="7"/>
      <c r="M422" s="52"/>
      <c r="N422" s="7"/>
      <c r="O422" s="7"/>
      <c r="P422" s="47"/>
      <c r="Q422" s="47"/>
      <c r="R422" s="7"/>
      <c r="S422" s="51"/>
      <c r="T422" s="51"/>
      <c r="U422" s="7"/>
      <c r="V422" s="57"/>
      <c r="W422" s="57"/>
      <c r="X422" s="57"/>
    </row>
    <row r="423" spans="1:24" ht="12.5" x14ac:dyDescent="0.25">
      <c r="A423" s="34"/>
      <c r="B423" s="7"/>
      <c r="C423" s="19"/>
      <c r="D423" s="7"/>
      <c r="E423" s="7"/>
      <c r="F423" s="7"/>
      <c r="G423" s="7"/>
      <c r="H423" s="6"/>
      <c r="I423" s="7"/>
      <c r="J423" s="7"/>
      <c r="K423" s="7"/>
      <c r="L423" s="7"/>
      <c r="M423" s="52"/>
      <c r="N423" s="7"/>
      <c r="O423" s="7"/>
      <c r="P423" s="47"/>
      <c r="Q423" s="47"/>
      <c r="R423" s="7"/>
      <c r="S423" s="51"/>
      <c r="T423" s="51"/>
      <c r="U423" s="7"/>
      <c r="V423" s="57"/>
      <c r="W423" s="57"/>
      <c r="X423" s="57"/>
    </row>
    <row r="424" spans="1:24" ht="12.5" x14ac:dyDescent="0.25">
      <c r="A424" s="34"/>
      <c r="B424" s="7"/>
      <c r="C424" s="19"/>
      <c r="D424" s="7"/>
      <c r="E424" s="7"/>
      <c r="F424" s="7"/>
      <c r="G424" s="7"/>
      <c r="H424" s="6"/>
      <c r="I424" s="7"/>
      <c r="J424" s="7"/>
      <c r="K424" s="7"/>
      <c r="L424" s="7"/>
      <c r="M424" s="52"/>
      <c r="N424" s="7"/>
      <c r="O424" s="7"/>
      <c r="P424" s="47"/>
      <c r="Q424" s="47"/>
      <c r="R424" s="7"/>
      <c r="S424" s="51"/>
      <c r="T424" s="51"/>
      <c r="U424" s="7"/>
      <c r="V424" s="57"/>
      <c r="W424" s="57"/>
      <c r="X424" s="57"/>
    </row>
    <row r="425" spans="1:24" ht="12.5" x14ac:dyDescent="0.25">
      <c r="A425" s="34"/>
      <c r="B425" s="7"/>
      <c r="C425" s="19"/>
      <c r="D425" s="7"/>
      <c r="E425" s="7"/>
      <c r="F425" s="7"/>
      <c r="G425" s="7"/>
      <c r="H425" s="6"/>
      <c r="I425" s="7"/>
      <c r="J425" s="7"/>
      <c r="K425" s="7"/>
      <c r="L425" s="7"/>
      <c r="M425" s="52"/>
      <c r="N425" s="7"/>
      <c r="O425" s="7"/>
      <c r="P425" s="47"/>
      <c r="Q425" s="47"/>
      <c r="R425" s="7"/>
      <c r="S425" s="51"/>
      <c r="T425" s="51"/>
      <c r="U425" s="7"/>
      <c r="V425" s="57"/>
      <c r="W425" s="57"/>
      <c r="X425" s="57"/>
    </row>
    <row r="426" spans="1:24" ht="12.5" x14ac:dyDescent="0.25">
      <c r="A426" s="34"/>
      <c r="B426" s="7"/>
      <c r="C426" s="19"/>
      <c r="D426" s="7"/>
      <c r="E426" s="7"/>
      <c r="F426" s="7"/>
      <c r="G426" s="7"/>
      <c r="H426" s="6"/>
      <c r="I426" s="7"/>
      <c r="J426" s="7"/>
      <c r="K426" s="7"/>
      <c r="L426" s="7"/>
      <c r="M426" s="52"/>
      <c r="N426" s="7"/>
      <c r="O426" s="7"/>
      <c r="P426" s="47"/>
      <c r="Q426" s="47"/>
      <c r="R426" s="7"/>
      <c r="S426" s="51"/>
      <c r="T426" s="51"/>
      <c r="U426" s="7"/>
      <c r="V426" s="57"/>
      <c r="W426" s="57"/>
      <c r="X426" s="57"/>
    </row>
    <row r="427" spans="1:24" ht="12.5" x14ac:dyDescent="0.25">
      <c r="A427" s="34"/>
      <c r="B427" s="7"/>
      <c r="C427" s="19"/>
      <c r="D427" s="7"/>
      <c r="E427" s="7"/>
      <c r="F427" s="7"/>
      <c r="G427" s="7"/>
      <c r="H427" s="6"/>
      <c r="I427" s="7"/>
      <c r="J427" s="7"/>
      <c r="K427" s="7"/>
      <c r="L427" s="7"/>
      <c r="M427" s="52"/>
      <c r="N427" s="7"/>
      <c r="O427" s="7"/>
      <c r="P427" s="47"/>
      <c r="Q427" s="47"/>
      <c r="R427" s="7"/>
      <c r="S427" s="51"/>
      <c r="T427" s="51"/>
      <c r="U427" s="7"/>
      <c r="V427" s="57"/>
      <c r="W427" s="57"/>
      <c r="X427" s="57"/>
    </row>
    <row r="428" spans="1:24" ht="12.5" x14ac:dyDescent="0.25">
      <c r="A428" s="34"/>
      <c r="B428" s="7"/>
      <c r="C428" s="19"/>
      <c r="D428" s="7"/>
      <c r="E428" s="7"/>
      <c r="F428" s="7"/>
      <c r="G428" s="7"/>
      <c r="H428" s="6"/>
      <c r="I428" s="7"/>
      <c r="J428" s="7"/>
      <c r="K428" s="7"/>
      <c r="L428" s="7"/>
      <c r="M428" s="52"/>
      <c r="N428" s="7"/>
      <c r="O428" s="7"/>
      <c r="P428" s="47"/>
      <c r="Q428" s="47"/>
      <c r="R428" s="7"/>
      <c r="S428" s="51"/>
      <c r="T428" s="51"/>
      <c r="U428" s="7"/>
      <c r="V428" s="57"/>
      <c r="W428" s="57"/>
      <c r="X428" s="57"/>
    </row>
    <row r="429" spans="1:24" ht="12.5" x14ac:dyDescent="0.25">
      <c r="A429" s="34"/>
      <c r="B429" s="7"/>
      <c r="C429" s="19"/>
      <c r="D429" s="7"/>
      <c r="E429" s="7"/>
      <c r="F429" s="7"/>
      <c r="G429" s="7"/>
      <c r="H429" s="6"/>
      <c r="I429" s="7"/>
      <c r="J429" s="7"/>
      <c r="K429" s="7"/>
      <c r="L429" s="7"/>
      <c r="M429" s="52"/>
      <c r="N429" s="7"/>
      <c r="O429" s="7"/>
      <c r="P429" s="47"/>
      <c r="Q429" s="47"/>
      <c r="R429" s="7"/>
      <c r="S429" s="51"/>
      <c r="T429" s="51"/>
      <c r="U429" s="7"/>
      <c r="V429" s="57"/>
      <c r="W429" s="57"/>
      <c r="X429" s="57"/>
    </row>
    <row r="430" spans="1:24" ht="12.5" x14ac:dyDescent="0.25">
      <c r="A430" s="34"/>
      <c r="B430" s="7"/>
      <c r="C430" s="19"/>
      <c r="D430" s="7"/>
      <c r="E430" s="7"/>
      <c r="F430" s="7"/>
      <c r="G430" s="7"/>
      <c r="H430" s="6"/>
      <c r="I430" s="7"/>
      <c r="J430" s="7"/>
      <c r="K430" s="7"/>
      <c r="L430" s="7"/>
      <c r="M430" s="52"/>
      <c r="N430" s="7"/>
      <c r="O430" s="7"/>
      <c r="P430" s="47"/>
      <c r="Q430" s="47"/>
      <c r="R430" s="7"/>
      <c r="S430" s="51"/>
      <c r="T430" s="51"/>
      <c r="U430" s="7"/>
      <c r="V430" s="57"/>
      <c r="W430" s="57"/>
      <c r="X430" s="57"/>
    </row>
    <row r="431" spans="1:24" ht="12.5" x14ac:dyDescent="0.25">
      <c r="A431" s="34"/>
      <c r="B431" s="7"/>
      <c r="C431" s="19"/>
      <c r="D431" s="7"/>
      <c r="E431" s="7"/>
      <c r="F431" s="7"/>
      <c r="G431" s="7"/>
      <c r="H431" s="6"/>
      <c r="I431" s="7"/>
      <c r="J431" s="7"/>
      <c r="K431" s="7"/>
      <c r="L431" s="7"/>
      <c r="M431" s="52"/>
      <c r="N431" s="7"/>
      <c r="O431" s="7"/>
      <c r="P431" s="47"/>
      <c r="Q431" s="47"/>
      <c r="R431" s="7"/>
      <c r="S431" s="51"/>
      <c r="T431" s="51"/>
      <c r="U431" s="7"/>
      <c r="V431" s="57"/>
      <c r="W431" s="57"/>
      <c r="X431" s="57"/>
    </row>
    <row r="432" spans="1:24" ht="12.5" x14ac:dyDescent="0.25">
      <c r="A432" s="34"/>
      <c r="B432" s="7"/>
      <c r="C432" s="19"/>
      <c r="D432" s="7"/>
      <c r="E432" s="7"/>
      <c r="F432" s="7"/>
      <c r="G432" s="7"/>
      <c r="H432" s="6"/>
      <c r="I432" s="7"/>
      <c r="J432" s="7"/>
      <c r="K432" s="7"/>
      <c r="L432" s="7"/>
      <c r="M432" s="52"/>
      <c r="N432" s="7"/>
      <c r="O432" s="7"/>
      <c r="P432" s="47"/>
      <c r="Q432" s="47"/>
      <c r="R432" s="7"/>
      <c r="S432" s="51"/>
      <c r="T432" s="51"/>
      <c r="U432" s="7"/>
      <c r="V432" s="57"/>
      <c r="W432" s="57"/>
      <c r="X432" s="57"/>
    </row>
    <row r="433" spans="1:24" ht="12.5" x14ac:dyDescent="0.25">
      <c r="A433" s="34"/>
      <c r="B433" s="7"/>
      <c r="C433" s="19"/>
      <c r="D433" s="7"/>
      <c r="E433" s="7"/>
      <c r="F433" s="7"/>
      <c r="G433" s="7"/>
      <c r="H433" s="6"/>
      <c r="I433" s="7"/>
      <c r="J433" s="7"/>
      <c r="K433" s="7"/>
      <c r="L433" s="7"/>
      <c r="M433" s="52"/>
      <c r="N433" s="7"/>
      <c r="O433" s="7"/>
      <c r="P433" s="47"/>
      <c r="Q433" s="47"/>
      <c r="R433" s="7"/>
      <c r="S433" s="51"/>
      <c r="T433" s="51"/>
      <c r="U433" s="7"/>
      <c r="V433" s="57"/>
      <c r="W433" s="57"/>
      <c r="X433" s="57"/>
    </row>
    <row r="434" spans="1:24" ht="12.5" x14ac:dyDescent="0.25">
      <c r="A434" s="34"/>
      <c r="B434" s="7"/>
      <c r="C434" s="19"/>
      <c r="D434" s="7"/>
      <c r="E434" s="7"/>
      <c r="F434" s="7"/>
      <c r="G434" s="7"/>
      <c r="H434" s="6"/>
      <c r="I434" s="7"/>
      <c r="J434" s="7"/>
      <c r="K434" s="7"/>
      <c r="L434" s="7"/>
      <c r="M434" s="52"/>
      <c r="N434" s="7"/>
      <c r="O434" s="7"/>
      <c r="P434" s="47"/>
      <c r="Q434" s="47"/>
      <c r="R434" s="7"/>
      <c r="S434" s="51"/>
      <c r="T434" s="51"/>
      <c r="U434" s="7"/>
      <c r="V434" s="57"/>
      <c r="W434" s="57"/>
      <c r="X434" s="57"/>
    </row>
    <row r="435" spans="1:24" ht="12.5" x14ac:dyDescent="0.25">
      <c r="A435" s="34"/>
      <c r="B435" s="7"/>
      <c r="C435" s="19"/>
      <c r="D435" s="7"/>
      <c r="E435" s="7"/>
      <c r="F435" s="7"/>
      <c r="G435" s="7"/>
      <c r="H435" s="6"/>
      <c r="I435" s="7"/>
      <c r="J435" s="7"/>
      <c r="K435" s="7"/>
      <c r="L435" s="7"/>
      <c r="M435" s="52"/>
      <c r="N435" s="7"/>
      <c r="O435" s="7"/>
      <c r="P435" s="47"/>
      <c r="Q435" s="47"/>
      <c r="R435" s="7"/>
      <c r="S435" s="51"/>
      <c r="T435" s="51"/>
      <c r="U435" s="7"/>
      <c r="V435" s="57"/>
      <c r="W435" s="57"/>
      <c r="X435" s="57"/>
    </row>
    <row r="436" spans="1:24" ht="12.5" x14ac:dyDescent="0.25">
      <c r="A436" s="34"/>
      <c r="B436" s="7"/>
      <c r="C436" s="19"/>
      <c r="D436" s="7"/>
      <c r="E436" s="7"/>
      <c r="F436" s="7"/>
      <c r="G436" s="7"/>
      <c r="H436" s="6"/>
      <c r="I436" s="7"/>
      <c r="J436" s="7"/>
      <c r="K436" s="7"/>
      <c r="L436" s="7"/>
      <c r="M436" s="52"/>
      <c r="N436" s="7"/>
      <c r="O436" s="7"/>
      <c r="P436" s="47"/>
      <c r="Q436" s="47"/>
      <c r="R436" s="7"/>
      <c r="S436" s="51"/>
      <c r="T436" s="51"/>
      <c r="U436" s="7"/>
      <c r="V436" s="57"/>
      <c r="W436" s="57"/>
      <c r="X436" s="57"/>
    </row>
    <row r="437" spans="1:24" ht="12.5" x14ac:dyDescent="0.25">
      <c r="A437" s="34"/>
      <c r="B437" s="7"/>
      <c r="C437" s="19"/>
      <c r="D437" s="7"/>
      <c r="E437" s="7"/>
      <c r="F437" s="7"/>
      <c r="G437" s="7"/>
      <c r="H437" s="6"/>
      <c r="I437" s="7"/>
      <c r="J437" s="7"/>
      <c r="K437" s="7"/>
      <c r="L437" s="7"/>
      <c r="M437" s="52"/>
      <c r="N437" s="7"/>
      <c r="O437" s="7"/>
      <c r="P437" s="47"/>
      <c r="Q437" s="47"/>
      <c r="R437" s="7"/>
      <c r="S437" s="51"/>
      <c r="T437" s="51"/>
      <c r="U437" s="7"/>
      <c r="V437" s="57"/>
      <c r="W437" s="57"/>
      <c r="X437" s="57"/>
    </row>
    <row r="438" spans="1:24" ht="12.5" x14ac:dyDescent="0.25">
      <c r="A438" s="34"/>
      <c r="B438" s="7"/>
      <c r="C438" s="19"/>
      <c r="D438" s="7"/>
      <c r="E438" s="7"/>
      <c r="F438" s="7"/>
      <c r="G438" s="7"/>
      <c r="H438" s="6"/>
      <c r="I438" s="7"/>
      <c r="J438" s="7"/>
      <c r="K438" s="7"/>
      <c r="L438" s="7"/>
      <c r="M438" s="52"/>
      <c r="N438" s="7"/>
      <c r="O438" s="7"/>
      <c r="P438" s="47"/>
      <c r="Q438" s="47"/>
      <c r="R438" s="7"/>
      <c r="S438" s="51"/>
      <c r="T438" s="51"/>
      <c r="U438" s="7"/>
      <c r="V438" s="57"/>
      <c r="W438" s="57"/>
      <c r="X438" s="57"/>
    </row>
    <row r="439" spans="1:24" ht="12.5" x14ac:dyDescent="0.25">
      <c r="A439" s="34"/>
      <c r="B439" s="7"/>
      <c r="C439" s="19"/>
      <c r="D439" s="7"/>
      <c r="E439" s="7"/>
      <c r="F439" s="7"/>
      <c r="G439" s="7"/>
      <c r="H439" s="6"/>
      <c r="I439" s="7"/>
      <c r="J439" s="7"/>
      <c r="K439" s="7"/>
      <c r="L439" s="7"/>
      <c r="M439" s="52"/>
      <c r="N439" s="7"/>
      <c r="O439" s="7"/>
      <c r="P439" s="47"/>
      <c r="Q439" s="47"/>
      <c r="R439" s="7"/>
      <c r="S439" s="51"/>
      <c r="T439" s="51"/>
      <c r="U439" s="7"/>
      <c r="V439" s="57"/>
      <c r="W439" s="57"/>
      <c r="X439" s="57"/>
    </row>
    <row r="440" spans="1:24" ht="12.5" x14ac:dyDescent="0.25">
      <c r="A440" s="34"/>
      <c r="B440" s="7"/>
      <c r="C440" s="19"/>
      <c r="D440" s="7"/>
      <c r="E440" s="7"/>
      <c r="F440" s="7"/>
      <c r="G440" s="7"/>
      <c r="H440" s="6"/>
      <c r="I440" s="7"/>
      <c r="J440" s="7"/>
      <c r="K440" s="7"/>
      <c r="L440" s="7"/>
      <c r="M440" s="52"/>
      <c r="N440" s="7"/>
      <c r="O440" s="7"/>
      <c r="P440" s="47"/>
      <c r="Q440" s="47"/>
      <c r="R440" s="7"/>
      <c r="S440" s="51"/>
      <c r="T440" s="51"/>
      <c r="U440" s="7"/>
      <c r="V440" s="57"/>
      <c r="W440" s="57"/>
      <c r="X440" s="57"/>
    </row>
    <row r="441" spans="1:24" ht="12.5" x14ac:dyDescent="0.25">
      <c r="A441" s="34"/>
      <c r="B441" s="7"/>
      <c r="C441" s="19"/>
      <c r="D441" s="7"/>
      <c r="E441" s="7"/>
      <c r="F441" s="7"/>
      <c r="G441" s="7"/>
      <c r="H441" s="6"/>
      <c r="I441" s="7"/>
      <c r="J441" s="7"/>
      <c r="K441" s="7"/>
      <c r="L441" s="7"/>
      <c r="M441" s="52"/>
      <c r="N441" s="7"/>
      <c r="O441" s="7"/>
      <c r="P441" s="47"/>
      <c r="Q441" s="47"/>
      <c r="R441" s="7"/>
      <c r="S441" s="51"/>
      <c r="T441" s="51"/>
      <c r="U441" s="7"/>
      <c r="V441" s="57"/>
      <c r="W441" s="57"/>
      <c r="X441" s="57"/>
    </row>
    <row r="442" spans="1:24" ht="12.5" x14ac:dyDescent="0.25">
      <c r="A442" s="34"/>
      <c r="B442" s="7"/>
      <c r="C442" s="19"/>
      <c r="D442" s="7"/>
      <c r="E442" s="7"/>
      <c r="F442" s="7"/>
      <c r="G442" s="7"/>
      <c r="H442" s="6"/>
      <c r="I442" s="7"/>
      <c r="J442" s="7"/>
      <c r="K442" s="7"/>
      <c r="L442" s="7"/>
      <c r="M442" s="52"/>
      <c r="N442" s="7"/>
      <c r="O442" s="7"/>
      <c r="P442" s="47"/>
      <c r="Q442" s="47"/>
      <c r="R442" s="7"/>
      <c r="S442" s="51"/>
      <c r="T442" s="51"/>
      <c r="U442" s="7"/>
      <c r="V442" s="57"/>
      <c r="W442" s="57"/>
      <c r="X442" s="57"/>
    </row>
    <row r="443" spans="1:24" ht="12.5" x14ac:dyDescent="0.25">
      <c r="A443" s="34"/>
      <c r="B443" s="7"/>
      <c r="C443" s="19"/>
      <c r="D443" s="7"/>
      <c r="E443" s="7"/>
      <c r="F443" s="7"/>
      <c r="G443" s="7"/>
      <c r="H443" s="6"/>
      <c r="I443" s="7"/>
      <c r="J443" s="7"/>
      <c r="K443" s="7"/>
      <c r="L443" s="7"/>
      <c r="M443" s="52"/>
      <c r="N443" s="7"/>
      <c r="O443" s="7"/>
      <c r="P443" s="47"/>
      <c r="Q443" s="47"/>
      <c r="R443" s="7"/>
      <c r="S443" s="51"/>
      <c r="T443" s="51"/>
      <c r="U443" s="7"/>
      <c r="V443" s="57"/>
      <c r="W443" s="57"/>
      <c r="X443" s="57"/>
    </row>
    <row r="444" spans="1:24" ht="12.5" x14ac:dyDescent="0.25">
      <c r="A444" s="34"/>
      <c r="B444" s="7"/>
      <c r="C444" s="19"/>
      <c r="D444" s="7"/>
      <c r="E444" s="7"/>
      <c r="F444" s="7"/>
      <c r="G444" s="7"/>
      <c r="H444" s="6"/>
      <c r="I444" s="7"/>
      <c r="J444" s="7"/>
      <c r="K444" s="7"/>
      <c r="L444" s="7"/>
      <c r="M444" s="52"/>
      <c r="N444" s="7"/>
      <c r="O444" s="7"/>
      <c r="P444" s="47"/>
      <c r="Q444" s="47"/>
      <c r="R444" s="7"/>
      <c r="S444" s="51"/>
      <c r="T444" s="51"/>
      <c r="U444" s="7"/>
      <c r="V444" s="57"/>
      <c r="W444" s="57"/>
      <c r="X444" s="57"/>
    </row>
    <row r="445" spans="1:24" ht="12.5" x14ac:dyDescent="0.25">
      <c r="A445" s="34"/>
      <c r="B445" s="7"/>
      <c r="C445" s="19"/>
      <c r="D445" s="7"/>
      <c r="E445" s="7"/>
      <c r="F445" s="7"/>
      <c r="G445" s="7"/>
      <c r="H445" s="6"/>
      <c r="I445" s="7"/>
      <c r="J445" s="7"/>
      <c r="K445" s="7"/>
      <c r="L445" s="7"/>
      <c r="M445" s="52"/>
      <c r="N445" s="7"/>
      <c r="O445" s="7"/>
      <c r="P445" s="47"/>
      <c r="Q445" s="47"/>
      <c r="R445" s="7"/>
      <c r="S445" s="51"/>
      <c r="T445" s="51"/>
      <c r="U445" s="7"/>
      <c r="V445" s="57"/>
      <c r="W445" s="57"/>
      <c r="X445" s="57"/>
    </row>
    <row r="446" spans="1:24" ht="12.5" x14ac:dyDescent="0.25">
      <c r="A446" s="34"/>
      <c r="B446" s="7"/>
      <c r="C446" s="19"/>
      <c r="D446" s="7"/>
      <c r="E446" s="7"/>
      <c r="F446" s="7"/>
      <c r="G446" s="7"/>
      <c r="H446" s="6"/>
      <c r="I446" s="7"/>
      <c r="J446" s="7"/>
      <c r="K446" s="7"/>
      <c r="L446" s="7"/>
      <c r="M446" s="52"/>
      <c r="N446" s="7"/>
      <c r="O446" s="7"/>
      <c r="P446" s="47"/>
      <c r="Q446" s="47"/>
      <c r="R446" s="7"/>
      <c r="S446" s="51"/>
      <c r="T446" s="51"/>
      <c r="U446" s="7"/>
      <c r="V446" s="57"/>
      <c r="W446" s="57"/>
      <c r="X446" s="57"/>
    </row>
    <row r="447" spans="1:24" ht="12.5" x14ac:dyDescent="0.25">
      <c r="A447" s="34"/>
      <c r="B447" s="7"/>
      <c r="C447" s="19"/>
      <c r="D447" s="7"/>
      <c r="E447" s="7"/>
      <c r="F447" s="7"/>
      <c r="G447" s="7"/>
      <c r="H447" s="6"/>
      <c r="I447" s="7"/>
      <c r="J447" s="7"/>
      <c r="K447" s="7"/>
      <c r="L447" s="7"/>
      <c r="M447" s="52"/>
      <c r="N447" s="7"/>
      <c r="O447" s="7"/>
      <c r="P447" s="47"/>
      <c r="Q447" s="47"/>
      <c r="R447" s="7"/>
      <c r="S447" s="51"/>
      <c r="T447" s="51"/>
      <c r="U447" s="7"/>
      <c r="V447" s="57"/>
      <c r="W447" s="57"/>
      <c r="X447" s="57"/>
    </row>
    <row r="448" spans="1:24" ht="12.5" x14ac:dyDescent="0.25">
      <c r="A448" s="34"/>
      <c r="B448" s="7"/>
      <c r="C448" s="19"/>
      <c r="D448" s="7"/>
      <c r="E448" s="7"/>
      <c r="F448" s="7"/>
      <c r="G448" s="7"/>
      <c r="H448" s="6"/>
      <c r="I448" s="7"/>
      <c r="J448" s="7"/>
      <c r="K448" s="7"/>
      <c r="L448" s="7"/>
      <c r="M448" s="52"/>
      <c r="N448" s="7"/>
      <c r="O448" s="7"/>
      <c r="P448" s="47"/>
      <c r="Q448" s="47"/>
      <c r="R448" s="7"/>
      <c r="S448" s="51"/>
      <c r="T448" s="51"/>
      <c r="U448" s="7"/>
      <c r="V448" s="57"/>
      <c r="W448" s="57"/>
      <c r="X448" s="57"/>
    </row>
    <row r="449" spans="1:24" ht="12.5" x14ac:dyDescent="0.25">
      <c r="A449" s="34"/>
      <c r="B449" s="7"/>
      <c r="C449" s="19"/>
      <c r="D449" s="7"/>
      <c r="E449" s="7"/>
      <c r="F449" s="7"/>
      <c r="G449" s="7"/>
      <c r="H449" s="6"/>
      <c r="I449" s="7"/>
      <c r="J449" s="7"/>
      <c r="K449" s="7"/>
      <c r="L449" s="7"/>
      <c r="M449" s="52"/>
      <c r="N449" s="7"/>
      <c r="O449" s="7"/>
      <c r="P449" s="47"/>
      <c r="Q449" s="47"/>
      <c r="R449" s="7"/>
      <c r="S449" s="51"/>
      <c r="T449" s="51"/>
      <c r="U449" s="7"/>
      <c r="V449" s="57"/>
      <c r="W449" s="57"/>
      <c r="X449" s="57"/>
    </row>
    <row r="450" spans="1:24" ht="12.5" x14ac:dyDescent="0.25">
      <c r="A450" s="34"/>
      <c r="B450" s="7"/>
      <c r="C450" s="19"/>
      <c r="D450" s="7"/>
      <c r="E450" s="7"/>
      <c r="F450" s="7"/>
      <c r="G450" s="7"/>
      <c r="H450" s="6"/>
      <c r="I450" s="7"/>
      <c r="J450" s="7"/>
      <c r="K450" s="7"/>
      <c r="L450" s="7"/>
      <c r="M450" s="52"/>
      <c r="N450" s="7"/>
      <c r="O450" s="7"/>
      <c r="P450" s="47"/>
      <c r="Q450" s="47"/>
      <c r="R450" s="7"/>
      <c r="S450" s="51"/>
      <c r="T450" s="51"/>
      <c r="U450" s="7"/>
      <c r="V450" s="57"/>
      <c r="W450" s="57"/>
      <c r="X450" s="57"/>
    </row>
    <row r="451" spans="1:24" ht="12.5" x14ac:dyDescent="0.25">
      <c r="A451" s="34"/>
      <c r="B451" s="7"/>
      <c r="C451" s="19"/>
      <c r="D451" s="7"/>
      <c r="E451" s="7"/>
      <c r="F451" s="7"/>
      <c r="G451" s="7"/>
      <c r="H451" s="6"/>
      <c r="I451" s="7"/>
      <c r="J451" s="7"/>
      <c r="K451" s="7"/>
      <c r="L451" s="7"/>
      <c r="M451" s="52"/>
      <c r="N451" s="7"/>
      <c r="O451" s="7"/>
      <c r="P451" s="47"/>
      <c r="Q451" s="47"/>
      <c r="R451" s="7"/>
      <c r="S451" s="51"/>
      <c r="T451" s="51"/>
      <c r="U451" s="7"/>
      <c r="V451" s="57"/>
      <c r="W451" s="57"/>
      <c r="X451" s="57"/>
    </row>
    <row r="452" spans="1:24" ht="12.5" x14ac:dyDescent="0.25">
      <c r="A452" s="34"/>
      <c r="B452" s="7"/>
      <c r="C452" s="19"/>
      <c r="D452" s="7"/>
      <c r="E452" s="7"/>
      <c r="F452" s="7"/>
      <c r="G452" s="7"/>
      <c r="H452" s="6"/>
      <c r="I452" s="7"/>
      <c r="J452" s="7"/>
      <c r="K452" s="7"/>
      <c r="L452" s="7"/>
      <c r="M452" s="52"/>
      <c r="N452" s="7"/>
      <c r="O452" s="7"/>
      <c r="P452" s="47"/>
      <c r="Q452" s="47"/>
      <c r="R452" s="7"/>
      <c r="S452" s="51"/>
      <c r="T452" s="51"/>
      <c r="U452" s="7"/>
      <c r="V452" s="57"/>
      <c r="W452" s="57"/>
      <c r="X452" s="57"/>
    </row>
    <row r="453" spans="1:24" ht="12.5" x14ac:dyDescent="0.25">
      <c r="A453" s="34"/>
      <c r="B453" s="7"/>
      <c r="C453" s="19"/>
      <c r="D453" s="7"/>
      <c r="E453" s="7"/>
      <c r="F453" s="7"/>
      <c r="G453" s="7"/>
      <c r="H453" s="6"/>
      <c r="I453" s="7"/>
      <c r="J453" s="7"/>
      <c r="K453" s="7"/>
      <c r="L453" s="7"/>
      <c r="M453" s="52"/>
      <c r="N453" s="7"/>
      <c r="O453" s="7"/>
      <c r="P453" s="47"/>
      <c r="Q453" s="47"/>
      <c r="R453" s="7"/>
      <c r="S453" s="51"/>
      <c r="T453" s="51"/>
      <c r="U453" s="7"/>
      <c r="V453" s="57"/>
      <c r="W453" s="57"/>
      <c r="X453" s="57"/>
    </row>
    <row r="454" spans="1:24" ht="12.5" x14ac:dyDescent="0.25">
      <c r="A454" s="34"/>
      <c r="B454" s="7"/>
      <c r="C454" s="19"/>
      <c r="D454" s="7"/>
      <c r="E454" s="7"/>
      <c r="F454" s="7"/>
      <c r="G454" s="7"/>
      <c r="H454" s="6"/>
      <c r="I454" s="7"/>
      <c r="J454" s="7"/>
      <c r="K454" s="7"/>
      <c r="L454" s="7"/>
      <c r="M454" s="52"/>
      <c r="N454" s="7"/>
      <c r="O454" s="7"/>
      <c r="P454" s="47"/>
      <c r="Q454" s="47"/>
      <c r="R454" s="7"/>
      <c r="S454" s="51"/>
      <c r="T454" s="51"/>
      <c r="U454" s="7"/>
      <c r="V454" s="57"/>
      <c r="W454" s="57"/>
      <c r="X454" s="57"/>
    </row>
    <row r="455" spans="1:24" ht="12.5" x14ac:dyDescent="0.25">
      <c r="A455" s="34"/>
      <c r="B455" s="7"/>
      <c r="C455" s="19"/>
      <c r="D455" s="7"/>
      <c r="E455" s="7"/>
      <c r="F455" s="7"/>
      <c r="G455" s="7"/>
      <c r="H455" s="6"/>
      <c r="I455" s="7"/>
      <c r="J455" s="7"/>
      <c r="K455" s="7"/>
      <c r="L455" s="7"/>
      <c r="M455" s="52"/>
      <c r="N455" s="7"/>
      <c r="O455" s="7"/>
      <c r="P455" s="47"/>
      <c r="Q455" s="47"/>
      <c r="R455" s="7"/>
      <c r="S455" s="51"/>
      <c r="T455" s="51"/>
      <c r="U455" s="7"/>
      <c r="V455" s="57"/>
      <c r="W455" s="57"/>
      <c r="X455" s="57"/>
    </row>
    <row r="456" spans="1:24" ht="12.5" x14ac:dyDescent="0.25">
      <c r="A456" s="34"/>
      <c r="B456" s="7"/>
      <c r="C456" s="19"/>
      <c r="D456" s="7"/>
      <c r="E456" s="7"/>
      <c r="F456" s="7"/>
      <c r="G456" s="7"/>
      <c r="H456" s="6"/>
      <c r="I456" s="7"/>
      <c r="J456" s="7"/>
      <c r="K456" s="7"/>
      <c r="L456" s="7"/>
      <c r="M456" s="52"/>
      <c r="N456" s="7"/>
      <c r="O456" s="7"/>
      <c r="P456" s="47"/>
      <c r="Q456" s="47"/>
      <c r="R456" s="7"/>
      <c r="S456" s="51"/>
      <c r="T456" s="51"/>
      <c r="U456" s="7"/>
      <c r="V456" s="57"/>
      <c r="W456" s="57"/>
      <c r="X456" s="57"/>
    </row>
    <row r="457" spans="1:24" ht="12.5" x14ac:dyDescent="0.25">
      <c r="A457" s="34"/>
      <c r="B457" s="7"/>
      <c r="C457" s="19"/>
      <c r="D457" s="7"/>
      <c r="E457" s="7"/>
      <c r="F457" s="7"/>
      <c r="G457" s="7"/>
      <c r="H457" s="6"/>
      <c r="I457" s="7"/>
      <c r="J457" s="7"/>
      <c r="K457" s="7"/>
      <c r="L457" s="7"/>
      <c r="M457" s="52"/>
      <c r="N457" s="7"/>
      <c r="O457" s="7"/>
      <c r="P457" s="47"/>
      <c r="Q457" s="47"/>
      <c r="R457" s="7"/>
      <c r="S457" s="51"/>
      <c r="T457" s="51"/>
      <c r="U457" s="7"/>
      <c r="V457" s="57"/>
      <c r="W457" s="57"/>
      <c r="X457" s="57"/>
    </row>
    <row r="458" spans="1:24" ht="12.5" x14ac:dyDescent="0.25">
      <c r="A458" s="34"/>
      <c r="B458" s="7"/>
      <c r="C458" s="19"/>
      <c r="D458" s="7"/>
      <c r="E458" s="7"/>
      <c r="F458" s="7"/>
      <c r="G458" s="7"/>
      <c r="H458" s="6"/>
      <c r="I458" s="7"/>
      <c r="J458" s="7"/>
      <c r="K458" s="7"/>
      <c r="L458" s="7"/>
      <c r="M458" s="52"/>
      <c r="N458" s="7"/>
      <c r="O458" s="7"/>
      <c r="P458" s="47"/>
      <c r="Q458" s="47"/>
      <c r="R458" s="7"/>
      <c r="S458" s="51"/>
      <c r="T458" s="51"/>
      <c r="U458" s="7"/>
      <c r="V458" s="57"/>
      <c r="W458" s="57"/>
      <c r="X458" s="57"/>
    </row>
    <row r="459" spans="1:24" ht="12.5" x14ac:dyDescent="0.25">
      <c r="A459" s="34"/>
      <c r="B459" s="7"/>
      <c r="C459" s="19"/>
      <c r="D459" s="7"/>
      <c r="E459" s="7"/>
      <c r="F459" s="7"/>
      <c r="G459" s="7"/>
      <c r="H459" s="6"/>
      <c r="I459" s="7"/>
      <c r="J459" s="7"/>
      <c r="K459" s="7"/>
      <c r="L459" s="7"/>
      <c r="M459" s="52"/>
      <c r="N459" s="7"/>
      <c r="O459" s="7"/>
      <c r="P459" s="47"/>
      <c r="Q459" s="47"/>
      <c r="R459" s="7"/>
      <c r="S459" s="51"/>
      <c r="T459" s="51"/>
      <c r="U459" s="7"/>
      <c r="V459" s="57"/>
      <c r="W459" s="57"/>
      <c r="X459" s="57"/>
    </row>
    <row r="460" spans="1:24" ht="12.5" x14ac:dyDescent="0.25">
      <c r="A460" s="34"/>
      <c r="B460" s="7"/>
      <c r="C460" s="19"/>
      <c r="D460" s="7"/>
      <c r="E460" s="7"/>
      <c r="F460" s="7"/>
      <c r="G460" s="7"/>
      <c r="H460" s="6"/>
      <c r="I460" s="7"/>
      <c r="J460" s="7"/>
      <c r="K460" s="7"/>
      <c r="L460" s="7"/>
      <c r="M460" s="52"/>
      <c r="N460" s="7"/>
      <c r="O460" s="7"/>
      <c r="P460" s="47"/>
      <c r="Q460" s="47"/>
      <c r="R460" s="7"/>
      <c r="S460" s="51"/>
      <c r="T460" s="51"/>
      <c r="U460" s="7"/>
      <c r="V460" s="57"/>
      <c r="W460" s="57"/>
      <c r="X460" s="57"/>
    </row>
    <row r="461" spans="1:24" ht="12.5" x14ac:dyDescent="0.25">
      <c r="A461" s="34"/>
      <c r="B461" s="7"/>
      <c r="C461" s="19"/>
      <c r="D461" s="7"/>
      <c r="E461" s="7"/>
      <c r="F461" s="7"/>
      <c r="G461" s="7"/>
      <c r="H461" s="6"/>
      <c r="I461" s="7"/>
      <c r="J461" s="7"/>
      <c r="K461" s="7"/>
      <c r="L461" s="7"/>
      <c r="M461" s="52"/>
      <c r="N461" s="7"/>
      <c r="O461" s="7"/>
      <c r="P461" s="47"/>
      <c r="Q461" s="47"/>
      <c r="R461" s="7"/>
      <c r="S461" s="51"/>
      <c r="T461" s="51"/>
      <c r="U461" s="7"/>
      <c r="V461" s="57"/>
      <c r="W461" s="57"/>
      <c r="X461" s="57"/>
    </row>
    <row r="462" spans="1:24" ht="12.5" x14ac:dyDescent="0.25">
      <c r="A462" s="34"/>
      <c r="B462" s="7"/>
      <c r="C462" s="19"/>
      <c r="D462" s="7"/>
      <c r="E462" s="7"/>
      <c r="F462" s="7"/>
      <c r="G462" s="7"/>
      <c r="H462" s="6"/>
      <c r="I462" s="7"/>
      <c r="J462" s="7"/>
      <c r="K462" s="7"/>
      <c r="L462" s="7"/>
      <c r="M462" s="52"/>
      <c r="N462" s="7"/>
      <c r="O462" s="7"/>
      <c r="P462" s="47"/>
      <c r="Q462" s="47"/>
      <c r="R462" s="7"/>
      <c r="S462" s="51"/>
      <c r="T462" s="51"/>
      <c r="U462" s="7"/>
      <c r="V462" s="57"/>
      <c r="W462" s="57"/>
      <c r="X462" s="57"/>
    </row>
    <row r="463" spans="1:24" ht="12.5" x14ac:dyDescent="0.25">
      <c r="A463" s="34"/>
      <c r="B463" s="7"/>
      <c r="C463" s="19"/>
      <c r="D463" s="7"/>
      <c r="E463" s="7"/>
      <c r="F463" s="7"/>
      <c r="G463" s="7"/>
      <c r="H463" s="6"/>
      <c r="I463" s="7"/>
      <c r="J463" s="7"/>
      <c r="K463" s="7"/>
      <c r="L463" s="7"/>
      <c r="M463" s="52"/>
      <c r="N463" s="7"/>
      <c r="O463" s="7"/>
      <c r="P463" s="47"/>
      <c r="Q463" s="47"/>
      <c r="R463" s="7"/>
      <c r="S463" s="51"/>
      <c r="T463" s="51"/>
      <c r="U463" s="7"/>
      <c r="V463" s="57"/>
      <c r="W463" s="57"/>
      <c r="X463" s="57"/>
    </row>
    <row r="464" spans="1:24" ht="12.5" x14ac:dyDescent="0.25">
      <c r="A464" s="34"/>
      <c r="B464" s="7"/>
      <c r="C464" s="19"/>
      <c r="D464" s="7"/>
      <c r="E464" s="7"/>
      <c r="F464" s="7"/>
      <c r="G464" s="7"/>
      <c r="H464" s="6"/>
      <c r="I464" s="7"/>
      <c r="J464" s="7"/>
      <c r="K464" s="7"/>
      <c r="L464" s="7"/>
      <c r="M464" s="52"/>
      <c r="N464" s="7"/>
      <c r="O464" s="7"/>
      <c r="P464" s="47"/>
      <c r="Q464" s="47"/>
      <c r="R464" s="7"/>
      <c r="S464" s="51"/>
      <c r="T464" s="51"/>
      <c r="U464" s="7"/>
      <c r="V464" s="57"/>
      <c r="W464" s="57"/>
      <c r="X464" s="57"/>
    </row>
    <row r="465" spans="1:24" ht="12.5" x14ac:dyDescent="0.25">
      <c r="A465" s="34"/>
      <c r="B465" s="7"/>
      <c r="C465" s="19"/>
      <c r="D465" s="7"/>
      <c r="E465" s="7"/>
      <c r="F465" s="7"/>
      <c r="G465" s="7"/>
      <c r="H465" s="6"/>
      <c r="I465" s="7"/>
      <c r="J465" s="7"/>
      <c r="K465" s="7"/>
      <c r="L465" s="7"/>
      <c r="M465" s="52"/>
      <c r="N465" s="7"/>
      <c r="O465" s="7"/>
      <c r="P465" s="47"/>
      <c r="Q465" s="47"/>
      <c r="R465" s="7"/>
      <c r="S465" s="51"/>
      <c r="T465" s="51"/>
      <c r="U465" s="7"/>
      <c r="V465" s="57"/>
      <c r="W465" s="57"/>
      <c r="X465" s="57"/>
    </row>
    <row r="466" spans="1:24" ht="12.5" x14ac:dyDescent="0.25">
      <c r="A466" s="34"/>
      <c r="B466" s="7"/>
      <c r="C466" s="19"/>
      <c r="D466" s="7"/>
      <c r="E466" s="7"/>
      <c r="F466" s="7"/>
      <c r="G466" s="7"/>
      <c r="H466" s="6"/>
      <c r="I466" s="7"/>
      <c r="J466" s="7"/>
      <c r="K466" s="7"/>
      <c r="L466" s="7"/>
      <c r="M466" s="52"/>
      <c r="N466" s="7"/>
      <c r="O466" s="7"/>
      <c r="P466" s="47"/>
      <c r="Q466" s="47"/>
      <c r="R466" s="7"/>
      <c r="S466" s="51"/>
      <c r="T466" s="51"/>
      <c r="U466" s="7"/>
      <c r="V466" s="57"/>
      <c r="W466" s="57"/>
      <c r="X466" s="57"/>
    </row>
    <row r="467" spans="1:24" ht="12.5" x14ac:dyDescent="0.25">
      <c r="A467" s="34"/>
      <c r="B467" s="7"/>
      <c r="C467" s="19"/>
      <c r="D467" s="7"/>
      <c r="E467" s="7"/>
      <c r="F467" s="7"/>
      <c r="G467" s="7"/>
      <c r="H467" s="6"/>
      <c r="I467" s="7"/>
      <c r="J467" s="7"/>
      <c r="K467" s="7"/>
      <c r="L467" s="7"/>
      <c r="M467" s="52"/>
      <c r="N467" s="7"/>
      <c r="O467" s="7"/>
      <c r="P467" s="47"/>
      <c r="Q467" s="47"/>
      <c r="R467" s="7"/>
      <c r="S467" s="51"/>
      <c r="T467" s="51"/>
      <c r="U467" s="7"/>
      <c r="V467" s="57"/>
      <c r="W467" s="57"/>
      <c r="X467" s="57"/>
    </row>
    <row r="468" spans="1:24" ht="12.5" x14ac:dyDescent="0.25">
      <c r="A468" s="34"/>
      <c r="B468" s="7"/>
      <c r="C468" s="19"/>
      <c r="D468" s="7"/>
      <c r="E468" s="7"/>
      <c r="F468" s="7"/>
      <c r="G468" s="7"/>
      <c r="H468" s="6"/>
      <c r="I468" s="7"/>
      <c r="J468" s="7"/>
      <c r="K468" s="7"/>
      <c r="L468" s="7"/>
      <c r="M468" s="52"/>
      <c r="N468" s="7"/>
      <c r="O468" s="7"/>
      <c r="P468" s="47"/>
      <c r="Q468" s="47"/>
      <c r="R468" s="7"/>
      <c r="S468" s="51"/>
      <c r="T468" s="51"/>
      <c r="U468" s="7"/>
      <c r="V468" s="57"/>
      <c r="W468" s="57"/>
      <c r="X468" s="57"/>
    </row>
    <row r="469" spans="1:24" ht="12.5" x14ac:dyDescent="0.25">
      <c r="A469" s="34"/>
      <c r="B469" s="7"/>
      <c r="C469" s="19"/>
      <c r="D469" s="7"/>
      <c r="E469" s="7"/>
      <c r="F469" s="7"/>
      <c r="G469" s="7"/>
      <c r="H469" s="6"/>
      <c r="I469" s="7"/>
      <c r="J469" s="7"/>
      <c r="K469" s="7"/>
      <c r="L469" s="7"/>
      <c r="M469" s="52"/>
      <c r="N469" s="7"/>
      <c r="O469" s="7"/>
      <c r="P469" s="47"/>
      <c r="Q469" s="47"/>
      <c r="R469" s="7"/>
      <c r="S469" s="51"/>
      <c r="T469" s="51"/>
      <c r="U469" s="7"/>
      <c r="V469" s="57"/>
      <c r="W469" s="57"/>
      <c r="X469" s="57"/>
    </row>
    <row r="470" spans="1:24" ht="12.5" x14ac:dyDescent="0.25">
      <c r="A470" s="34"/>
      <c r="B470" s="7"/>
      <c r="C470" s="19"/>
      <c r="D470" s="7"/>
      <c r="E470" s="7"/>
      <c r="F470" s="7"/>
      <c r="G470" s="7"/>
      <c r="H470" s="6"/>
      <c r="I470" s="7"/>
      <c r="J470" s="7"/>
      <c r="K470" s="7"/>
      <c r="L470" s="7"/>
      <c r="M470" s="52"/>
      <c r="N470" s="7"/>
      <c r="O470" s="7"/>
      <c r="P470" s="47"/>
      <c r="Q470" s="47"/>
      <c r="R470" s="7"/>
      <c r="S470" s="51"/>
      <c r="T470" s="51"/>
      <c r="U470" s="7"/>
      <c r="V470" s="57"/>
      <c r="W470" s="57"/>
      <c r="X470" s="57"/>
    </row>
    <row r="471" spans="1:24" ht="12.5" x14ac:dyDescent="0.25">
      <c r="A471" s="34"/>
      <c r="B471" s="7"/>
      <c r="C471" s="19"/>
      <c r="D471" s="7"/>
      <c r="E471" s="7"/>
      <c r="F471" s="7"/>
      <c r="G471" s="7"/>
      <c r="H471" s="6"/>
      <c r="I471" s="7"/>
      <c r="J471" s="7"/>
      <c r="K471" s="7"/>
      <c r="L471" s="7"/>
      <c r="M471" s="52"/>
      <c r="N471" s="7"/>
      <c r="O471" s="7"/>
      <c r="P471" s="47"/>
      <c r="Q471" s="47"/>
      <c r="R471" s="7"/>
      <c r="S471" s="51"/>
      <c r="T471" s="51"/>
      <c r="U471" s="7"/>
      <c r="V471" s="57"/>
      <c r="W471" s="57"/>
      <c r="X471" s="57"/>
    </row>
    <row r="472" spans="1:24" ht="12.5" x14ac:dyDescent="0.25">
      <c r="A472" s="34"/>
      <c r="B472" s="7"/>
      <c r="C472" s="19"/>
      <c r="D472" s="7"/>
      <c r="E472" s="7"/>
      <c r="F472" s="7"/>
      <c r="G472" s="7"/>
      <c r="H472" s="6"/>
      <c r="I472" s="7"/>
      <c r="J472" s="7"/>
      <c r="K472" s="7"/>
      <c r="L472" s="7"/>
      <c r="M472" s="52"/>
      <c r="N472" s="7"/>
      <c r="O472" s="7"/>
      <c r="P472" s="47"/>
      <c r="Q472" s="47"/>
      <c r="R472" s="7"/>
      <c r="S472" s="51"/>
      <c r="T472" s="51"/>
      <c r="U472" s="7"/>
      <c r="V472" s="57"/>
      <c r="W472" s="57"/>
      <c r="X472" s="57"/>
    </row>
    <row r="473" spans="1:24" ht="12.5" x14ac:dyDescent="0.25">
      <c r="A473" s="34"/>
      <c r="B473" s="7"/>
      <c r="C473" s="19"/>
      <c r="D473" s="7"/>
      <c r="E473" s="7"/>
      <c r="F473" s="7"/>
      <c r="G473" s="7"/>
      <c r="H473" s="6"/>
      <c r="I473" s="7"/>
      <c r="J473" s="7"/>
      <c r="K473" s="7"/>
      <c r="L473" s="7"/>
      <c r="M473" s="52"/>
      <c r="N473" s="7"/>
      <c r="O473" s="7"/>
      <c r="P473" s="47"/>
      <c r="Q473" s="47"/>
      <c r="R473" s="7"/>
      <c r="S473" s="51"/>
      <c r="T473" s="51"/>
      <c r="U473" s="7"/>
      <c r="V473" s="57"/>
      <c r="W473" s="57"/>
      <c r="X473" s="57"/>
    </row>
    <row r="474" spans="1:24" ht="12.5" x14ac:dyDescent="0.25">
      <c r="A474" s="34"/>
      <c r="B474" s="7"/>
      <c r="C474" s="19"/>
      <c r="D474" s="7"/>
      <c r="E474" s="7"/>
      <c r="F474" s="7"/>
      <c r="G474" s="7"/>
      <c r="H474" s="6"/>
      <c r="I474" s="7"/>
      <c r="J474" s="7"/>
      <c r="K474" s="7"/>
      <c r="L474" s="7"/>
      <c r="M474" s="52"/>
      <c r="N474" s="7"/>
      <c r="O474" s="7"/>
      <c r="P474" s="47"/>
      <c r="Q474" s="47"/>
      <c r="R474" s="7"/>
      <c r="S474" s="51"/>
      <c r="T474" s="51"/>
      <c r="U474" s="7"/>
      <c r="V474" s="57"/>
      <c r="W474" s="57"/>
      <c r="X474" s="57"/>
    </row>
    <row r="475" spans="1:24" ht="12.5" x14ac:dyDescent="0.25">
      <c r="A475" s="34"/>
      <c r="B475" s="7"/>
      <c r="C475" s="19"/>
      <c r="D475" s="7"/>
      <c r="E475" s="7"/>
      <c r="F475" s="7"/>
      <c r="G475" s="7"/>
      <c r="H475" s="6"/>
      <c r="I475" s="7"/>
      <c r="J475" s="7"/>
      <c r="K475" s="7"/>
      <c r="L475" s="7"/>
      <c r="M475" s="52"/>
      <c r="N475" s="7"/>
      <c r="O475" s="7"/>
      <c r="P475" s="47"/>
      <c r="Q475" s="47"/>
      <c r="R475" s="7"/>
      <c r="S475" s="51"/>
      <c r="T475" s="51"/>
      <c r="U475" s="7"/>
      <c r="V475" s="57"/>
      <c r="W475" s="57"/>
      <c r="X475" s="57"/>
    </row>
    <row r="476" spans="1:24" ht="12.5" x14ac:dyDescent="0.25">
      <c r="A476" s="34"/>
      <c r="B476" s="7"/>
      <c r="C476" s="19"/>
      <c r="D476" s="7"/>
      <c r="E476" s="7"/>
      <c r="F476" s="7"/>
      <c r="G476" s="7"/>
      <c r="H476" s="6"/>
      <c r="I476" s="7"/>
      <c r="J476" s="7"/>
      <c r="K476" s="7"/>
      <c r="L476" s="7"/>
      <c r="M476" s="52"/>
      <c r="N476" s="7"/>
      <c r="O476" s="7"/>
      <c r="P476" s="47"/>
      <c r="Q476" s="47"/>
      <c r="R476" s="7"/>
      <c r="S476" s="51"/>
      <c r="T476" s="51"/>
      <c r="U476" s="7"/>
      <c r="V476" s="57"/>
      <c r="W476" s="57"/>
      <c r="X476" s="57"/>
    </row>
    <row r="477" spans="1:24" ht="12.5" x14ac:dyDescent="0.25">
      <c r="A477" s="34"/>
      <c r="B477" s="7"/>
      <c r="C477" s="19"/>
      <c r="D477" s="7"/>
      <c r="E477" s="7"/>
      <c r="F477" s="7"/>
      <c r="G477" s="7"/>
      <c r="H477" s="6"/>
      <c r="I477" s="7"/>
      <c r="J477" s="7"/>
      <c r="K477" s="7"/>
      <c r="L477" s="7"/>
      <c r="M477" s="52"/>
      <c r="N477" s="7"/>
      <c r="O477" s="7"/>
      <c r="P477" s="47"/>
      <c r="Q477" s="47"/>
      <c r="R477" s="7"/>
      <c r="S477" s="51"/>
      <c r="T477" s="51"/>
      <c r="U477" s="7"/>
      <c r="V477" s="57"/>
      <c r="W477" s="57"/>
      <c r="X477" s="57"/>
    </row>
    <row r="478" spans="1:24" ht="12.5" x14ac:dyDescent="0.25">
      <c r="A478" s="34"/>
      <c r="B478" s="7"/>
      <c r="C478" s="19"/>
      <c r="D478" s="7"/>
      <c r="E478" s="7"/>
      <c r="F478" s="7"/>
      <c r="G478" s="7"/>
      <c r="H478" s="6"/>
      <c r="I478" s="7"/>
      <c r="J478" s="7"/>
      <c r="K478" s="7"/>
      <c r="L478" s="7"/>
      <c r="M478" s="52"/>
      <c r="N478" s="7"/>
      <c r="O478" s="7"/>
      <c r="P478" s="47"/>
      <c r="Q478" s="47"/>
      <c r="R478" s="7"/>
      <c r="S478" s="51"/>
      <c r="T478" s="51"/>
      <c r="U478" s="7"/>
      <c r="V478" s="57"/>
      <c r="W478" s="57"/>
      <c r="X478" s="57"/>
    </row>
    <row r="479" spans="1:24" ht="12.5" x14ac:dyDescent="0.25">
      <c r="A479" s="34"/>
      <c r="B479" s="7"/>
      <c r="C479" s="19"/>
      <c r="D479" s="7"/>
      <c r="E479" s="7"/>
      <c r="F479" s="7"/>
      <c r="G479" s="7"/>
      <c r="H479" s="6"/>
      <c r="I479" s="7"/>
      <c r="J479" s="7"/>
      <c r="K479" s="7"/>
      <c r="L479" s="7"/>
      <c r="M479" s="52"/>
      <c r="N479" s="7"/>
      <c r="O479" s="7"/>
      <c r="P479" s="47"/>
      <c r="Q479" s="47"/>
      <c r="R479" s="7"/>
      <c r="S479" s="51"/>
      <c r="T479" s="51"/>
      <c r="U479" s="7"/>
      <c r="V479" s="57"/>
      <c r="W479" s="57"/>
      <c r="X479" s="57"/>
    </row>
    <row r="480" spans="1:24" ht="12.5" x14ac:dyDescent="0.25">
      <c r="A480" s="34"/>
      <c r="B480" s="7"/>
      <c r="C480" s="19"/>
      <c r="D480" s="7"/>
      <c r="E480" s="7"/>
      <c r="F480" s="7"/>
      <c r="G480" s="7"/>
      <c r="H480" s="6"/>
      <c r="I480" s="7"/>
      <c r="J480" s="7"/>
      <c r="K480" s="7"/>
      <c r="L480" s="7"/>
      <c r="M480" s="52"/>
      <c r="N480" s="7"/>
      <c r="O480" s="7"/>
      <c r="P480" s="47"/>
      <c r="Q480" s="47"/>
      <c r="R480" s="7"/>
      <c r="S480" s="51"/>
      <c r="T480" s="51"/>
      <c r="U480" s="7"/>
      <c r="V480" s="57"/>
      <c r="W480" s="57"/>
      <c r="X480" s="57"/>
    </row>
    <row r="481" spans="1:24" ht="12.5" x14ac:dyDescent="0.25">
      <c r="A481" s="34"/>
      <c r="B481" s="7"/>
      <c r="C481" s="19"/>
      <c r="D481" s="7"/>
      <c r="E481" s="7"/>
      <c r="F481" s="7"/>
      <c r="G481" s="7"/>
      <c r="H481" s="6"/>
      <c r="I481" s="7"/>
      <c r="J481" s="7"/>
      <c r="K481" s="7"/>
      <c r="L481" s="7"/>
      <c r="M481" s="52"/>
      <c r="N481" s="7"/>
      <c r="O481" s="7"/>
      <c r="P481" s="47"/>
      <c r="Q481" s="47"/>
      <c r="R481" s="7"/>
      <c r="S481" s="51"/>
      <c r="T481" s="51"/>
      <c r="U481" s="7"/>
      <c r="V481" s="57"/>
      <c r="W481" s="57"/>
      <c r="X481" s="57"/>
    </row>
    <row r="482" spans="1:24" ht="12.5" x14ac:dyDescent="0.25">
      <c r="A482" s="34"/>
      <c r="B482" s="7"/>
      <c r="C482" s="19"/>
      <c r="D482" s="7"/>
      <c r="E482" s="7"/>
      <c r="F482" s="7"/>
      <c r="G482" s="7"/>
      <c r="H482" s="6"/>
      <c r="I482" s="7"/>
      <c r="J482" s="7"/>
      <c r="K482" s="7"/>
      <c r="L482" s="7"/>
      <c r="M482" s="52"/>
      <c r="N482" s="7"/>
      <c r="O482" s="7"/>
      <c r="P482" s="47"/>
      <c r="Q482" s="47"/>
      <c r="R482" s="7"/>
      <c r="S482" s="51"/>
      <c r="T482" s="51"/>
      <c r="U482" s="7"/>
      <c r="V482" s="57"/>
      <c r="W482" s="57"/>
      <c r="X482" s="57"/>
    </row>
    <row r="483" spans="1:24" ht="12.5" x14ac:dyDescent="0.25">
      <c r="A483" s="34"/>
      <c r="B483" s="7"/>
      <c r="C483" s="19"/>
      <c r="D483" s="7"/>
      <c r="E483" s="7"/>
      <c r="F483" s="7"/>
      <c r="G483" s="7"/>
      <c r="H483" s="6"/>
      <c r="I483" s="7"/>
      <c r="J483" s="7"/>
      <c r="K483" s="7"/>
      <c r="L483" s="7"/>
      <c r="M483" s="52"/>
      <c r="N483" s="7"/>
      <c r="O483" s="7"/>
      <c r="P483" s="47"/>
      <c r="Q483" s="47"/>
      <c r="R483" s="7"/>
      <c r="S483" s="51"/>
      <c r="T483" s="51"/>
      <c r="U483" s="7"/>
      <c r="V483" s="57"/>
      <c r="W483" s="57"/>
      <c r="X483" s="57"/>
    </row>
    <row r="484" spans="1:24" ht="12.5" x14ac:dyDescent="0.25">
      <c r="A484" s="34"/>
      <c r="B484" s="7"/>
      <c r="C484" s="19"/>
      <c r="D484" s="7"/>
      <c r="E484" s="7"/>
      <c r="F484" s="7"/>
      <c r="G484" s="7"/>
      <c r="H484" s="6"/>
      <c r="I484" s="7"/>
      <c r="J484" s="7"/>
      <c r="K484" s="7"/>
      <c r="L484" s="7"/>
      <c r="M484" s="52"/>
      <c r="N484" s="7"/>
      <c r="O484" s="7"/>
      <c r="P484" s="47"/>
      <c r="Q484" s="47"/>
      <c r="R484" s="7"/>
      <c r="S484" s="51"/>
      <c r="T484" s="51"/>
      <c r="U484" s="7"/>
      <c r="V484" s="57"/>
      <c r="W484" s="57"/>
      <c r="X484" s="57"/>
    </row>
    <row r="485" spans="1:24" ht="12.5" x14ac:dyDescent="0.25">
      <c r="A485" s="34"/>
      <c r="B485" s="7"/>
      <c r="C485" s="19"/>
      <c r="D485" s="7"/>
      <c r="E485" s="7"/>
      <c r="F485" s="7"/>
      <c r="G485" s="7"/>
      <c r="H485" s="6"/>
      <c r="I485" s="7"/>
      <c r="J485" s="7"/>
      <c r="K485" s="7"/>
      <c r="L485" s="7"/>
      <c r="M485" s="52"/>
      <c r="N485" s="7"/>
      <c r="O485" s="7"/>
      <c r="P485" s="47"/>
      <c r="Q485" s="47"/>
      <c r="R485" s="7"/>
      <c r="S485" s="51"/>
      <c r="T485" s="51"/>
      <c r="U485" s="7"/>
      <c r="V485" s="57"/>
      <c r="W485" s="57"/>
      <c r="X485" s="57"/>
    </row>
    <row r="486" spans="1:24" ht="12.5" x14ac:dyDescent="0.25">
      <c r="A486" s="34"/>
      <c r="B486" s="7"/>
      <c r="C486" s="19"/>
      <c r="D486" s="7"/>
      <c r="E486" s="7"/>
      <c r="F486" s="7"/>
      <c r="G486" s="7"/>
      <c r="H486" s="6"/>
      <c r="I486" s="7"/>
      <c r="J486" s="7"/>
      <c r="K486" s="7"/>
      <c r="L486" s="7"/>
      <c r="M486" s="52"/>
      <c r="N486" s="7"/>
      <c r="O486" s="7"/>
      <c r="P486" s="47"/>
      <c r="Q486" s="47"/>
      <c r="R486" s="7"/>
      <c r="S486" s="51"/>
      <c r="T486" s="51"/>
      <c r="U486" s="7"/>
      <c r="V486" s="57"/>
      <c r="W486" s="57"/>
      <c r="X486" s="57"/>
    </row>
    <row r="487" spans="1:24" ht="12.5" x14ac:dyDescent="0.25">
      <c r="A487" s="34"/>
      <c r="B487" s="7"/>
      <c r="C487" s="19"/>
      <c r="D487" s="7"/>
      <c r="E487" s="7"/>
      <c r="F487" s="7"/>
      <c r="G487" s="7"/>
      <c r="H487" s="6"/>
      <c r="I487" s="7"/>
      <c r="J487" s="7"/>
      <c r="K487" s="7"/>
      <c r="L487" s="7"/>
      <c r="M487" s="52"/>
      <c r="N487" s="7"/>
      <c r="O487" s="7"/>
      <c r="P487" s="47"/>
      <c r="Q487" s="47"/>
      <c r="R487" s="7"/>
      <c r="S487" s="51"/>
      <c r="T487" s="51"/>
      <c r="U487" s="7"/>
      <c r="V487" s="57"/>
      <c r="W487" s="57"/>
      <c r="X487" s="57"/>
    </row>
    <row r="488" spans="1:24" ht="12.5" x14ac:dyDescent="0.25">
      <c r="A488" s="34"/>
      <c r="B488" s="7"/>
      <c r="C488" s="19"/>
      <c r="D488" s="7"/>
      <c r="E488" s="7"/>
      <c r="F488" s="7"/>
      <c r="G488" s="7"/>
      <c r="H488" s="6"/>
      <c r="I488" s="7"/>
      <c r="J488" s="7"/>
      <c r="K488" s="7"/>
      <c r="L488" s="7"/>
      <c r="M488" s="52"/>
      <c r="N488" s="7"/>
      <c r="O488" s="7"/>
      <c r="P488" s="47"/>
      <c r="Q488" s="47"/>
      <c r="R488" s="7"/>
      <c r="S488" s="51"/>
      <c r="T488" s="51"/>
      <c r="U488" s="7"/>
      <c r="V488" s="57"/>
      <c r="W488" s="57"/>
      <c r="X488" s="57"/>
    </row>
    <row r="489" spans="1:24" ht="12.5" x14ac:dyDescent="0.25">
      <c r="A489" s="34"/>
      <c r="B489" s="7"/>
      <c r="C489" s="19"/>
      <c r="D489" s="7"/>
      <c r="E489" s="7"/>
      <c r="F489" s="7"/>
      <c r="G489" s="7"/>
      <c r="H489" s="6"/>
      <c r="I489" s="7"/>
      <c r="J489" s="7"/>
      <c r="K489" s="7"/>
      <c r="L489" s="7"/>
      <c r="M489" s="52"/>
      <c r="N489" s="7"/>
      <c r="O489" s="7"/>
      <c r="P489" s="47"/>
      <c r="Q489" s="47"/>
      <c r="R489" s="7"/>
      <c r="S489" s="51"/>
      <c r="T489" s="51"/>
      <c r="U489" s="7"/>
      <c r="V489" s="57"/>
      <c r="W489" s="57"/>
      <c r="X489" s="57"/>
    </row>
    <row r="490" spans="1:24" ht="12.5" x14ac:dyDescent="0.25">
      <c r="A490" s="34"/>
      <c r="B490" s="7"/>
      <c r="C490" s="19"/>
      <c r="D490" s="7"/>
      <c r="E490" s="7"/>
      <c r="F490" s="7"/>
      <c r="G490" s="7"/>
      <c r="H490" s="6"/>
      <c r="I490" s="7"/>
      <c r="J490" s="7"/>
      <c r="K490" s="7"/>
      <c r="L490" s="7"/>
      <c r="M490" s="52"/>
      <c r="N490" s="7"/>
      <c r="O490" s="7"/>
      <c r="P490" s="47"/>
      <c r="Q490" s="47"/>
      <c r="R490" s="7"/>
      <c r="S490" s="51"/>
      <c r="T490" s="51"/>
      <c r="U490" s="7"/>
      <c r="V490" s="57"/>
      <c r="W490" s="57"/>
      <c r="X490" s="57"/>
    </row>
    <row r="491" spans="1:24" ht="12.5" x14ac:dyDescent="0.25">
      <c r="A491" s="34"/>
      <c r="B491" s="7"/>
      <c r="C491" s="19"/>
      <c r="D491" s="7"/>
      <c r="E491" s="7"/>
      <c r="F491" s="7"/>
      <c r="G491" s="7"/>
      <c r="H491" s="6"/>
      <c r="I491" s="7"/>
      <c r="J491" s="7"/>
      <c r="K491" s="7"/>
      <c r="L491" s="7"/>
      <c r="M491" s="52"/>
      <c r="N491" s="7"/>
      <c r="O491" s="7"/>
      <c r="P491" s="47"/>
      <c r="Q491" s="47"/>
      <c r="R491" s="7"/>
      <c r="S491" s="51"/>
      <c r="T491" s="51"/>
      <c r="U491" s="7"/>
      <c r="V491" s="57"/>
      <c r="W491" s="57"/>
      <c r="X491" s="57"/>
    </row>
    <row r="492" spans="1:24" ht="12.5" x14ac:dyDescent="0.25">
      <c r="A492" s="34"/>
      <c r="B492" s="7"/>
      <c r="C492" s="19"/>
      <c r="D492" s="7"/>
      <c r="E492" s="7"/>
      <c r="F492" s="7"/>
      <c r="G492" s="7"/>
      <c r="H492" s="6"/>
      <c r="I492" s="7"/>
      <c r="J492" s="7"/>
      <c r="K492" s="7"/>
      <c r="L492" s="7"/>
      <c r="M492" s="52"/>
      <c r="N492" s="7"/>
      <c r="O492" s="7"/>
      <c r="P492" s="47"/>
      <c r="Q492" s="47"/>
      <c r="R492" s="7"/>
      <c r="S492" s="51"/>
      <c r="T492" s="51"/>
      <c r="U492" s="7"/>
      <c r="V492" s="57"/>
      <c r="W492" s="57"/>
      <c r="X492" s="57"/>
    </row>
    <row r="493" spans="1:24" ht="12.5" x14ac:dyDescent="0.25">
      <c r="A493" s="34"/>
      <c r="B493" s="7"/>
      <c r="C493" s="19"/>
      <c r="D493" s="7"/>
      <c r="E493" s="7"/>
      <c r="F493" s="7"/>
      <c r="G493" s="7"/>
      <c r="H493" s="6"/>
      <c r="I493" s="7"/>
      <c r="J493" s="7"/>
      <c r="K493" s="7"/>
      <c r="L493" s="7"/>
      <c r="M493" s="52"/>
      <c r="N493" s="7"/>
      <c r="O493" s="7"/>
      <c r="P493" s="47"/>
      <c r="Q493" s="47"/>
      <c r="R493" s="7"/>
      <c r="S493" s="51"/>
      <c r="T493" s="51"/>
      <c r="U493" s="7"/>
      <c r="V493" s="57"/>
      <c r="W493" s="57"/>
      <c r="X493" s="57"/>
    </row>
    <row r="494" spans="1:24" ht="12.5" x14ac:dyDescent="0.25">
      <c r="A494" s="34"/>
      <c r="B494" s="7"/>
      <c r="C494" s="19"/>
      <c r="D494" s="7"/>
      <c r="E494" s="7"/>
      <c r="F494" s="7"/>
      <c r="G494" s="7"/>
      <c r="H494" s="6"/>
      <c r="I494" s="7"/>
      <c r="J494" s="7"/>
      <c r="K494" s="7"/>
      <c r="L494" s="7"/>
      <c r="M494" s="52"/>
      <c r="N494" s="7"/>
      <c r="O494" s="7"/>
      <c r="P494" s="47"/>
      <c r="Q494" s="47"/>
      <c r="R494" s="7"/>
      <c r="S494" s="51"/>
      <c r="T494" s="51"/>
      <c r="U494" s="7"/>
      <c r="V494" s="57"/>
      <c r="W494" s="57"/>
      <c r="X494" s="57"/>
    </row>
    <row r="495" spans="1:24" ht="12.5" x14ac:dyDescent="0.25">
      <c r="A495" s="34"/>
      <c r="B495" s="7"/>
      <c r="C495" s="19"/>
      <c r="D495" s="7"/>
      <c r="E495" s="7"/>
      <c r="F495" s="7"/>
      <c r="G495" s="7"/>
      <c r="H495" s="6"/>
      <c r="I495" s="7"/>
      <c r="J495" s="7"/>
      <c r="K495" s="7"/>
      <c r="L495" s="7"/>
      <c r="M495" s="52"/>
      <c r="N495" s="7"/>
      <c r="O495" s="7"/>
      <c r="P495" s="47"/>
      <c r="Q495" s="47"/>
      <c r="R495" s="7"/>
      <c r="S495" s="51"/>
      <c r="T495" s="51"/>
      <c r="U495" s="7"/>
      <c r="V495" s="57"/>
      <c r="W495" s="57"/>
      <c r="X495" s="57"/>
    </row>
    <row r="496" spans="1:24" ht="12.5" x14ac:dyDescent="0.25">
      <c r="A496" s="34"/>
      <c r="B496" s="7"/>
      <c r="C496" s="19"/>
      <c r="D496" s="7"/>
      <c r="E496" s="7"/>
      <c r="F496" s="7"/>
      <c r="G496" s="7"/>
      <c r="H496" s="6"/>
      <c r="I496" s="7"/>
      <c r="J496" s="7"/>
      <c r="K496" s="7"/>
      <c r="L496" s="7"/>
      <c r="M496" s="52"/>
      <c r="N496" s="7"/>
      <c r="O496" s="7"/>
      <c r="P496" s="47"/>
      <c r="Q496" s="47"/>
      <c r="R496" s="7"/>
      <c r="S496" s="51"/>
      <c r="T496" s="51"/>
      <c r="U496" s="7"/>
      <c r="V496" s="57"/>
      <c r="W496" s="57"/>
      <c r="X496" s="57"/>
    </row>
    <row r="497" spans="1:24" ht="12.5" x14ac:dyDescent="0.25">
      <c r="A497" s="34"/>
      <c r="B497" s="7"/>
      <c r="C497" s="19"/>
      <c r="D497" s="7"/>
      <c r="E497" s="7"/>
      <c r="F497" s="7"/>
      <c r="G497" s="7"/>
      <c r="H497" s="6"/>
      <c r="I497" s="7"/>
      <c r="J497" s="7"/>
      <c r="K497" s="7"/>
      <c r="L497" s="7"/>
      <c r="M497" s="52"/>
      <c r="N497" s="7"/>
      <c r="O497" s="7"/>
      <c r="P497" s="47"/>
      <c r="Q497" s="47"/>
      <c r="R497" s="7"/>
      <c r="S497" s="51"/>
      <c r="T497" s="51"/>
      <c r="U497" s="7"/>
      <c r="V497" s="57"/>
      <c r="W497" s="57"/>
      <c r="X497" s="57"/>
    </row>
    <row r="498" spans="1:24" ht="12.5" x14ac:dyDescent="0.25">
      <c r="A498" s="34"/>
      <c r="B498" s="7"/>
      <c r="C498" s="19"/>
      <c r="D498" s="7"/>
      <c r="E498" s="7"/>
      <c r="F498" s="7"/>
      <c r="G498" s="7"/>
      <c r="H498" s="6"/>
      <c r="I498" s="7"/>
      <c r="J498" s="7"/>
      <c r="K498" s="7"/>
      <c r="L498" s="7"/>
      <c r="M498" s="52"/>
      <c r="N498" s="7"/>
      <c r="O498" s="7"/>
      <c r="P498" s="47"/>
      <c r="Q498" s="47"/>
      <c r="R498" s="7"/>
      <c r="S498" s="51"/>
      <c r="T498" s="51"/>
      <c r="U498" s="7"/>
      <c r="V498" s="57"/>
      <c r="W498" s="57"/>
      <c r="X498" s="57"/>
    </row>
    <row r="499" spans="1:24" ht="12.5" x14ac:dyDescent="0.25">
      <c r="A499" s="34"/>
      <c r="B499" s="7"/>
      <c r="C499" s="19"/>
      <c r="D499" s="7"/>
      <c r="E499" s="7"/>
      <c r="F499" s="7"/>
      <c r="G499" s="7"/>
      <c r="H499" s="6"/>
      <c r="I499" s="7"/>
      <c r="J499" s="7"/>
      <c r="K499" s="7"/>
      <c r="L499" s="7"/>
      <c r="M499" s="52"/>
      <c r="N499" s="7"/>
      <c r="O499" s="7"/>
      <c r="P499" s="47"/>
      <c r="Q499" s="47"/>
      <c r="R499" s="7"/>
      <c r="S499" s="51"/>
      <c r="T499" s="51"/>
      <c r="U499" s="7"/>
      <c r="V499" s="57"/>
      <c r="W499" s="57"/>
      <c r="X499" s="57"/>
    </row>
    <row r="500" spans="1:24" ht="12.5" x14ac:dyDescent="0.25">
      <c r="A500" s="34"/>
      <c r="B500" s="7"/>
      <c r="C500" s="19"/>
      <c r="D500" s="7"/>
      <c r="E500" s="7"/>
      <c r="F500" s="7"/>
      <c r="G500" s="7"/>
      <c r="H500" s="6"/>
      <c r="I500" s="7"/>
      <c r="J500" s="7"/>
      <c r="K500" s="7"/>
      <c r="L500" s="7"/>
      <c r="M500" s="52"/>
      <c r="N500" s="7"/>
      <c r="O500" s="7"/>
      <c r="P500" s="47"/>
      <c r="Q500" s="47"/>
      <c r="R500" s="7"/>
      <c r="S500" s="51"/>
      <c r="T500" s="51"/>
      <c r="U500" s="7"/>
      <c r="V500" s="57"/>
      <c r="W500" s="57"/>
      <c r="X500" s="57"/>
    </row>
    <row r="501" spans="1:24" ht="12.5" x14ac:dyDescent="0.25">
      <c r="A501" s="34"/>
      <c r="B501" s="7"/>
      <c r="C501" s="19"/>
      <c r="D501" s="7"/>
      <c r="E501" s="7"/>
      <c r="F501" s="7"/>
      <c r="G501" s="7"/>
      <c r="H501" s="6"/>
      <c r="I501" s="7"/>
      <c r="J501" s="7"/>
      <c r="K501" s="7"/>
      <c r="L501" s="7"/>
      <c r="M501" s="52"/>
      <c r="N501" s="7"/>
      <c r="O501" s="7"/>
      <c r="P501" s="47"/>
      <c r="Q501" s="47"/>
      <c r="R501" s="7"/>
      <c r="S501" s="51"/>
      <c r="T501" s="51"/>
      <c r="U501" s="7"/>
      <c r="V501" s="57"/>
      <c r="W501" s="57"/>
      <c r="X501" s="57"/>
    </row>
    <row r="502" spans="1:24" ht="12.5" x14ac:dyDescent="0.25">
      <c r="A502" s="34"/>
      <c r="B502" s="7"/>
      <c r="C502" s="19"/>
      <c r="D502" s="7"/>
      <c r="E502" s="7"/>
      <c r="F502" s="7"/>
      <c r="G502" s="7"/>
      <c r="H502" s="6"/>
      <c r="I502" s="7"/>
      <c r="J502" s="7"/>
      <c r="K502" s="7"/>
      <c r="L502" s="7"/>
      <c r="M502" s="52"/>
      <c r="N502" s="7"/>
      <c r="O502" s="7"/>
      <c r="P502" s="47"/>
      <c r="Q502" s="47"/>
      <c r="R502" s="7"/>
      <c r="S502" s="51"/>
      <c r="T502" s="51"/>
      <c r="U502" s="7"/>
      <c r="V502" s="57"/>
      <c r="W502" s="57"/>
      <c r="X502" s="57"/>
    </row>
    <row r="503" spans="1:24" ht="12.5" x14ac:dyDescent="0.25">
      <c r="A503" s="34"/>
      <c r="B503" s="7"/>
      <c r="C503" s="19"/>
      <c r="D503" s="7"/>
      <c r="E503" s="7"/>
      <c r="F503" s="7"/>
      <c r="G503" s="7"/>
      <c r="H503" s="6"/>
      <c r="I503" s="7"/>
      <c r="J503" s="7"/>
      <c r="K503" s="7"/>
      <c r="L503" s="7"/>
      <c r="M503" s="52"/>
      <c r="N503" s="7"/>
      <c r="O503" s="7"/>
      <c r="P503" s="47"/>
      <c r="Q503" s="47"/>
      <c r="R503" s="7"/>
      <c r="S503" s="51"/>
      <c r="T503" s="51"/>
      <c r="U503" s="7"/>
      <c r="V503" s="57"/>
      <c r="W503" s="57"/>
      <c r="X503" s="57"/>
    </row>
    <row r="504" spans="1:24" ht="12.5" x14ac:dyDescent="0.25">
      <c r="A504" s="34"/>
      <c r="B504" s="7"/>
      <c r="C504" s="19"/>
      <c r="D504" s="7"/>
      <c r="E504" s="7"/>
      <c r="F504" s="7"/>
      <c r="G504" s="7"/>
      <c r="H504" s="6"/>
      <c r="I504" s="7"/>
      <c r="J504" s="7"/>
      <c r="K504" s="7"/>
      <c r="L504" s="7"/>
      <c r="M504" s="52"/>
      <c r="N504" s="7"/>
      <c r="O504" s="7"/>
      <c r="P504" s="47"/>
      <c r="Q504" s="47"/>
      <c r="R504" s="7"/>
      <c r="S504" s="51"/>
      <c r="T504" s="51"/>
      <c r="U504" s="7"/>
      <c r="V504" s="57"/>
      <c r="W504" s="57"/>
      <c r="X504" s="57"/>
    </row>
    <row r="505" spans="1:24" ht="12.5" x14ac:dyDescent="0.25">
      <c r="A505" s="34"/>
      <c r="B505" s="7"/>
      <c r="C505" s="19"/>
      <c r="D505" s="7"/>
      <c r="E505" s="7"/>
      <c r="F505" s="7"/>
      <c r="G505" s="7"/>
      <c r="H505" s="6"/>
      <c r="I505" s="7"/>
      <c r="J505" s="7"/>
      <c r="K505" s="7"/>
      <c r="L505" s="7"/>
      <c r="M505" s="52"/>
      <c r="N505" s="7"/>
      <c r="O505" s="7"/>
      <c r="P505" s="47"/>
      <c r="Q505" s="47"/>
      <c r="R505" s="7"/>
      <c r="S505" s="51"/>
      <c r="T505" s="51"/>
      <c r="U505" s="7"/>
      <c r="V505" s="57"/>
      <c r="W505" s="57"/>
      <c r="X505" s="57"/>
    </row>
    <row r="506" spans="1:24" ht="12.5" x14ac:dyDescent="0.25">
      <c r="A506" s="34"/>
      <c r="B506" s="7"/>
      <c r="C506" s="19"/>
      <c r="D506" s="7"/>
      <c r="E506" s="7"/>
      <c r="F506" s="7"/>
      <c r="G506" s="7"/>
      <c r="H506" s="6"/>
      <c r="I506" s="7"/>
      <c r="J506" s="7"/>
      <c r="K506" s="7"/>
      <c r="L506" s="7"/>
      <c r="M506" s="52"/>
      <c r="N506" s="7"/>
      <c r="O506" s="7"/>
      <c r="P506" s="47"/>
      <c r="Q506" s="47"/>
      <c r="R506" s="7"/>
      <c r="S506" s="51"/>
      <c r="T506" s="51"/>
      <c r="U506" s="7"/>
      <c r="V506" s="57"/>
      <c r="W506" s="57"/>
      <c r="X506" s="57"/>
    </row>
    <row r="507" spans="1:24" ht="12.5" x14ac:dyDescent="0.25">
      <c r="A507" s="34"/>
      <c r="B507" s="7"/>
      <c r="C507" s="19"/>
      <c r="D507" s="7"/>
      <c r="E507" s="7"/>
      <c r="F507" s="7"/>
      <c r="G507" s="7"/>
      <c r="H507" s="6"/>
      <c r="I507" s="7"/>
      <c r="J507" s="7"/>
      <c r="K507" s="7"/>
      <c r="L507" s="7"/>
      <c r="M507" s="52"/>
      <c r="N507" s="7"/>
      <c r="O507" s="7"/>
      <c r="P507" s="47"/>
      <c r="Q507" s="47"/>
      <c r="R507" s="7"/>
      <c r="S507" s="51"/>
      <c r="T507" s="51"/>
      <c r="U507" s="7"/>
      <c r="V507" s="57"/>
      <c r="W507" s="57"/>
      <c r="X507" s="57"/>
    </row>
    <row r="508" spans="1:24" ht="12.5" x14ac:dyDescent="0.25">
      <c r="A508" s="34"/>
      <c r="B508" s="7"/>
      <c r="C508" s="19"/>
      <c r="D508" s="7"/>
      <c r="E508" s="7"/>
      <c r="F508" s="7"/>
      <c r="G508" s="7"/>
      <c r="H508" s="6"/>
      <c r="I508" s="7"/>
      <c r="J508" s="7"/>
      <c r="K508" s="7"/>
      <c r="L508" s="7"/>
      <c r="M508" s="52"/>
      <c r="N508" s="7"/>
      <c r="O508" s="7"/>
      <c r="P508" s="47"/>
      <c r="Q508" s="47"/>
      <c r="R508" s="7"/>
      <c r="S508" s="51"/>
      <c r="T508" s="51"/>
      <c r="U508" s="7"/>
      <c r="V508" s="57"/>
      <c r="W508" s="57"/>
      <c r="X508" s="57"/>
    </row>
    <row r="509" spans="1:24" ht="12.5" x14ac:dyDescent="0.25">
      <c r="A509" s="34"/>
      <c r="B509" s="7"/>
      <c r="C509" s="19"/>
      <c r="D509" s="7"/>
      <c r="E509" s="7"/>
      <c r="F509" s="7"/>
      <c r="G509" s="7"/>
      <c r="H509" s="6"/>
      <c r="I509" s="7"/>
      <c r="J509" s="7"/>
      <c r="K509" s="7"/>
      <c r="L509" s="7"/>
      <c r="M509" s="52"/>
      <c r="N509" s="7"/>
      <c r="O509" s="7"/>
      <c r="P509" s="47"/>
      <c r="Q509" s="47"/>
      <c r="R509" s="7"/>
      <c r="S509" s="51"/>
      <c r="T509" s="51"/>
      <c r="U509" s="7"/>
      <c r="V509" s="57"/>
      <c r="W509" s="57"/>
      <c r="X509" s="57"/>
    </row>
    <row r="510" spans="1:24" ht="12.5" x14ac:dyDescent="0.25">
      <c r="A510" s="34"/>
      <c r="B510" s="7"/>
      <c r="C510" s="19"/>
      <c r="D510" s="7"/>
      <c r="E510" s="7"/>
      <c r="F510" s="7"/>
      <c r="G510" s="7"/>
      <c r="H510" s="6"/>
      <c r="I510" s="7"/>
      <c r="J510" s="7"/>
      <c r="K510" s="7"/>
      <c r="L510" s="7"/>
      <c r="M510" s="52"/>
      <c r="N510" s="7"/>
      <c r="O510" s="7"/>
      <c r="P510" s="47"/>
      <c r="Q510" s="47"/>
      <c r="R510" s="7"/>
      <c r="S510" s="51"/>
      <c r="T510" s="51"/>
      <c r="U510" s="7"/>
      <c r="V510" s="57"/>
      <c r="W510" s="57"/>
      <c r="X510" s="57"/>
    </row>
    <row r="511" spans="1:24" ht="12.5" x14ac:dyDescent="0.25">
      <c r="A511" s="34"/>
      <c r="B511" s="7"/>
      <c r="C511" s="19"/>
      <c r="D511" s="7"/>
      <c r="E511" s="7"/>
      <c r="F511" s="7"/>
      <c r="G511" s="7"/>
      <c r="H511" s="6"/>
      <c r="I511" s="7"/>
      <c r="J511" s="7"/>
      <c r="K511" s="7"/>
      <c r="L511" s="7"/>
      <c r="M511" s="52"/>
      <c r="N511" s="7"/>
      <c r="O511" s="7"/>
      <c r="P511" s="47"/>
      <c r="Q511" s="47"/>
      <c r="R511" s="7"/>
      <c r="S511" s="51"/>
      <c r="T511" s="51"/>
      <c r="U511" s="7"/>
      <c r="V511" s="57"/>
      <c r="W511" s="57"/>
      <c r="X511" s="57"/>
    </row>
    <row r="512" spans="1:24" ht="12.5" x14ac:dyDescent="0.25">
      <c r="A512" s="34"/>
      <c r="B512" s="7"/>
      <c r="C512" s="19"/>
      <c r="D512" s="7"/>
      <c r="E512" s="7"/>
      <c r="F512" s="7"/>
      <c r="G512" s="7"/>
      <c r="H512" s="6"/>
      <c r="I512" s="7"/>
      <c r="J512" s="7"/>
      <c r="K512" s="7"/>
      <c r="L512" s="7"/>
      <c r="M512" s="52"/>
      <c r="N512" s="7"/>
      <c r="O512" s="7"/>
      <c r="P512" s="47"/>
      <c r="Q512" s="47"/>
      <c r="R512" s="7"/>
      <c r="S512" s="51"/>
      <c r="T512" s="51"/>
      <c r="U512" s="7"/>
      <c r="V512" s="57"/>
      <c r="W512" s="57"/>
      <c r="X512" s="57"/>
    </row>
    <row r="513" spans="1:24" ht="12.5" x14ac:dyDescent="0.25">
      <c r="A513" s="34"/>
      <c r="B513" s="7"/>
      <c r="C513" s="19"/>
      <c r="D513" s="7"/>
      <c r="E513" s="7"/>
      <c r="F513" s="7"/>
      <c r="G513" s="7"/>
      <c r="H513" s="6"/>
      <c r="I513" s="7"/>
      <c r="J513" s="7"/>
      <c r="K513" s="7"/>
      <c r="L513" s="7"/>
      <c r="M513" s="52"/>
      <c r="N513" s="7"/>
      <c r="O513" s="7"/>
      <c r="P513" s="47"/>
      <c r="Q513" s="47"/>
      <c r="R513" s="7"/>
      <c r="S513" s="51"/>
      <c r="T513" s="51"/>
      <c r="U513" s="7"/>
      <c r="V513" s="57"/>
      <c r="W513" s="57"/>
      <c r="X513" s="57"/>
    </row>
    <row r="514" spans="1:24" ht="12.5" x14ac:dyDescent="0.25">
      <c r="A514" s="34"/>
      <c r="B514" s="7"/>
      <c r="C514" s="19"/>
      <c r="D514" s="7"/>
      <c r="E514" s="7"/>
      <c r="F514" s="7"/>
      <c r="G514" s="7"/>
      <c r="H514" s="6"/>
      <c r="I514" s="7"/>
      <c r="J514" s="7"/>
      <c r="K514" s="7"/>
      <c r="L514" s="7"/>
      <c r="M514" s="52"/>
      <c r="N514" s="7"/>
      <c r="O514" s="7"/>
      <c r="P514" s="47"/>
      <c r="Q514" s="47"/>
      <c r="R514" s="7"/>
      <c r="S514" s="51"/>
      <c r="T514" s="51"/>
      <c r="U514" s="7"/>
      <c r="V514" s="57"/>
      <c r="W514" s="57"/>
      <c r="X514" s="57"/>
    </row>
    <row r="515" spans="1:24" ht="12.5" x14ac:dyDescent="0.25">
      <c r="A515" s="34"/>
      <c r="B515" s="7"/>
      <c r="C515" s="19"/>
      <c r="D515" s="7"/>
      <c r="E515" s="7"/>
      <c r="F515" s="7"/>
      <c r="G515" s="7"/>
      <c r="H515" s="6"/>
      <c r="I515" s="7"/>
      <c r="J515" s="7"/>
      <c r="K515" s="7"/>
      <c r="L515" s="7"/>
      <c r="M515" s="52"/>
      <c r="N515" s="7"/>
      <c r="O515" s="7"/>
      <c r="P515" s="47"/>
      <c r="Q515" s="47"/>
      <c r="R515" s="7"/>
      <c r="S515" s="51"/>
      <c r="T515" s="51"/>
      <c r="U515" s="7"/>
      <c r="V515" s="57"/>
      <c r="W515" s="57"/>
      <c r="X515" s="57"/>
    </row>
    <row r="516" spans="1:24" ht="12.5" x14ac:dyDescent="0.25">
      <c r="A516" s="34"/>
      <c r="B516" s="7"/>
      <c r="C516" s="19"/>
      <c r="D516" s="7"/>
      <c r="E516" s="7"/>
      <c r="F516" s="7"/>
      <c r="G516" s="7"/>
      <c r="H516" s="6"/>
      <c r="I516" s="7"/>
      <c r="J516" s="7"/>
      <c r="K516" s="7"/>
      <c r="L516" s="7"/>
      <c r="M516" s="52"/>
      <c r="N516" s="7"/>
      <c r="O516" s="7"/>
      <c r="P516" s="47"/>
      <c r="Q516" s="47"/>
      <c r="R516" s="7"/>
      <c r="S516" s="51"/>
      <c r="T516" s="51"/>
      <c r="U516" s="7"/>
      <c r="V516" s="57"/>
      <c r="W516" s="57"/>
      <c r="X516" s="57"/>
    </row>
    <row r="517" spans="1:24" ht="12.5" x14ac:dyDescent="0.25">
      <c r="A517" s="34"/>
      <c r="B517" s="7"/>
      <c r="C517" s="19"/>
      <c r="D517" s="7"/>
      <c r="E517" s="7"/>
      <c r="F517" s="7"/>
      <c r="G517" s="7"/>
      <c r="H517" s="6"/>
      <c r="I517" s="7"/>
      <c r="J517" s="7"/>
      <c r="K517" s="7"/>
      <c r="L517" s="7"/>
      <c r="M517" s="52"/>
      <c r="N517" s="7"/>
      <c r="O517" s="7"/>
      <c r="P517" s="47"/>
      <c r="Q517" s="47"/>
      <c r="R517" s="7"/>
      <c r="S517" s="51"/>
      <c r="T517" s="51"/>
      <c r="U517" s="7"/>
      <c r="V517" s="57"/>
      <c r="W517" s="57"/>
      <c r="X517" s="57"/>
    </row>
    <row r="518" spans="1:24" ht="12.5" x14ac:dyDescent="0.25">
      <c r="A518" s="34"/>
      <c r="B518" s="7"/>
      <c r="C518" s="19"/>
      <c r="D518" s="7"/>
      <c r="E518" s="7"/>
      <c r="F518" s="7"/>
      <c r="G518" s="7"/>
      <c r="H518" s="6"/>
      <c r="I518" s="7"/>
      <c r="J518" s="7"/>
      <c r="K518" s="7"/>
      <c r="L518" s="7"/>
      <c r="M518" s="52"/>
      <c r="N518" s="7"/>
      <c r="O518" s="7"/>
      <c r="P518" s="47"/>
      <c r="Q518" s="47"/>
      <c r="R518" s="7"/>
      <c r="S518" s="51"/>
      <c r="T518" s="51"/>
      <c r="U518" s="7"/>
      <c r="V518" s="57"/>
      <c r="W518" s="57"/>
      <c r="X518" s="57"/>
    </row>
    <row r="519" spans="1:24" ht="12.5" x14ac:dyDescent="0.25">
      <c r="A519" s="34"/>
      <c r="B519" s="7"/>
      <c r="C519" s="19"/>
      <c r="D519" s="7"/>
      <c r="E519" s="7"/>
      <c r="F519" s="7"/>
      <c r="G519" s="7"/>
      <c r="H519" s="6"/>
      <c r="I519" s="7"/>
      <c r="J519" s="7"/>
      <c r="K519" s="7"/>
      <c r="L519" s="7"/>
      <c r="M519" s="52"/>
      <c r="N519" s="7"/>
      <c r="O519" s="7"/>
      <c r="P519" s="47"/>
      <c r="Q519" s="47"/>
      <c r="R519" s="7"/>
      <c r="S519" s="51"/>
      <c r="T519" s="51"/>
      <c r="U519" s="7"/>
      <c r="V519" s="57"/>
      <c r="W519" s="57"/>
      <c r="X519" s="57"/>
    </row>
    <row r="520" spans="1:24" ht="12.5" x14ac:dyDescent="0.25">
      <c r="A520" s="34"/>
      <c r="B520" s="7"/>
      <c r="C520" s="19"/>
      <c r="D520" s="7"/>
      <c r="E520" s="7"/>
      <c r="F520" s="7"/>
      <c r="G520" s="7"/>
      <c r="H520" s="6"/>
      <c r="I520" s="7"/>
      <c r="J520" s="7"/>
      <c r="K520" s="7"/>
      <c r="L520" s="7"/>
      <c r="M520" s="52"/>
      <c r="N520" s="7"/>
      <c r="O520" s="7"/>
      <c r="P520" s="47"/>
      <c r="Q520" s="47"/>
      <c r="R520" s="7"/>
      <c r="S520" s="51"/>
      <c r="T520" s="51"/>
      <c r="U520" s="7"/>
      <c r="V520" s="57"/>
      <c r="W520" s="57"/>
      <c r="X520" s="57"/>
    </row>
    <row r="521" spans="1:24" ht="12.5" x14ac:dyDescent="0.25">
      <c r="A521" s="34"/>
      <c r="B521" s="7"/>
      <c r="C521" s="19"/>
      <c r="D521" s="7"/>
      <c r="E521" s="7"/>
      <c r="F521" s="7"/>
      <c r="G521" s="7"/>
      <c r="H521" s="6"/>
      <c r="I521" s="7"/>
      <c r="J521" s="7"/>
      <c r="K521" s="7"/>
      <c r="L521" s="7"/>
      <c r="M521" s="52"/>
      <c r="N521" s="7"/>
      <c r="O521" s="7"/>
      <c r="P521" s="47"/>
      <c r="Q521" s="47"/>
      <c r="R521" s="7"/>
      <c r="S521" s="51"/>
      <c r="T521" s="51"/>
      <c r="U521" s="7"/>
      <c r="V521" s="57"/>
      <c r="W521" s="57"/>
      <c r="X521" s="57"/>
    </row>
    <row r="522" spans="1:24" ht="12.5" x14ac:dyDescent="0.25">
      <c r="A522" s="34"/>
      <c r="B522" s="7"/>
      <c r="C522" s="19"/>
      <c r="D522" s="7"/>
      <c r="E522" s="7"/>
      <c r="F522" s="7"/>
      <c r="G522" s="7"/>
      <c r="H522" s="6"/>
      <c r="I522" s="7"/>
      <c r="J522" s="7"/>
      <c r="K522" s="7"/>
      <c r="L522" s="7"/>
      <c r="M522" s="52"/>
      <c r="N522" s="7"/>
      <c r="O522" s="7"/>
      <c r="P522" s="47"/>
      <c r="Q522" s="47"/>
      <c r="R522" s="7"/>
      <c r="S522" s="51"/>
      <c r="T522" s="51"/>
      <c r="U522" s="7"/>
      <c r="V522" s="57"/>
      <c r="W522" s="57"/>
      <c r="X522" s="57"/>
    </row>
    <row r="523" spans="1:24" ht="12.5" x14ac:dyDescent="0.25">
      <c r="A523" s="34"/>
      <c r="B523" s="7"/>
      <c r="C523" s="19"/>
      <c r="D523" s="7"/>
      <c r="E523" s="7"/>
      <c r="F523" s="7"/>
      <c r="G523" s="7"/>
      <c r="H523" s="6"/>
      <c r="I523" s="7"/>
      <c r="J523" s="7"/>
      <c r="K523" s="7"/>
      <c r="L523" s="7"/>
      <c r="M523" s="52"/>
      <c r="N523" s="7"/>
      <c r="O523" s="7"/>
      <c r="P523" s="47"/>
      <c r="Q523" s="47"/>
      <c r="R523" s="7"/>
      <c r="S523" s="51"/>
      <c r="T523" s="51"/>
      <c r="U523" s="7"/>
      <c r="V523" s="57"/>
      <c r="W523" s="57"/>
      <c r="X523" s="57"/>
    </row>
    <row r="524" spans="1:24" ht="12.5" x14ac:dyDescent="0.25">
      <c r="A524" s="34"/>
      <c r="B524" s="7"/>
      <c r="C524" s="19"/>
      <c r="D524" s="7"/>
      <c r="E524" s="7"/>
      <c r="F524" s="7"/>
      <c r="G524" s="7"/>
      <c r="H524" s="6"/>
      <c r="I524" s="7"/>
      <c r="J524" s="7"/>
      <c r="K524" s="7"/>
      <c r="L524" s="7"/>
      <c r="M524" s="52"/>
      <c r="N524" s="7"/>
      <c r="O524" s="7"/>
      <c r="P524" s="47"/>
      <c r="Q524" s="47"/>
      <c r="R524" s="7"/>
      <c r="S524" s="51"/>
      <c r="T524" s="51"/>
      <c r="U524" s="7"/>
      <c r="V524" s="57"/>
      <c r="W524" s="57"/>
      <c r="X524" s="57"/>
    </row>
    <row r="525" spans="1:24" ht="12.5" x14ac:dyDescent="0.25">
      <c r="A525" s="34"/>
      <c r="B525" s="7"/>
      <c r="C525" s="19"/>
      <c r="D525" s="7"/>
      <c r="E525" s="7"/>
      <c r="F525" s="7"/>
      <c r="G525" s="7"/>
      <c r="H525" s="6"/>
      <c r="I525" s="7"/>
      <c r="J525" s="7"/>
      <c r="K525" s="7"/>
      <c r="L525" s="7"/>
      <c r="M525" s="52"/>
      <c r="N525" s="7"/>
      <c r="O525" s="7"/>
      <c r="P525" s="47"/>
      <c r="Q525" s="47"/>
      <c r="R525" s="7"/>
      <c r="S525" s="51"/>
      <c r="T525" s="51"/>
      <c r="U525" s="7"/>
      <c r="V525" s="57"/>
      <c r="W525" s="57"/>
      <c r="X525" s="57"/>
    </row>
    <row r="526" spans="1:24" ht="12.5" x14ac:dyDescent="0.25">
      <c r="A526" s="34"/>
      <c r="B526" s="7"/>
      <c r="C526" s="19"/>
      <c r="D526" s="7"/>
      <c r="E526" s="7"/>
      <c r="F526" s="7"/>
      <c r="G526" s="7"/>
      <c r="H526" s="6"/>
      <c r="I526" s="7"/>
      <c r="J526" s="7"/>
      <c r="K526" s="7"/>
      <c r="L526" s="7"/>
      <c r="M526" s="52"/>
      <c r="N526" s="7"/>
      <c r="O526" s="7"/>
      <c r="P526" s="47"/>
      <c r="Q526" s="47"/>
      <c r="R526" s="7"/>
      <c r="S526" s="51"/>
      <c r="T526" s="51"/>
      <c r="U526" s="7"/>
      <c r="V526" s="57"/>
      <c r="W526" s="57"/>
      <c r="X526" s="57"/>
    </row>
    <row r="527" spans="1:24" ht="12.5" x14ac:dyDescent="0.25">
      <c r="A527" s="34"/>
      <c r="B527" s="7"/>
      <c r="C527" s="19"/>
      <c r="D527" s="7"/>
      <c r="E527" s="7"/>
      <c r="F527" s="7"/>
      <c r="G527" s="7"/>
      <c r="H527" s="6"/>
      <c r="I527" s="7"/>
      <c r="J527" s="7"/>
      <c r="K527" s="7"/>
      <c r="L527" s="7"/>
      <c r="M527" s="52"/>
      <c r="N527" s="7"/>
      <c r="O527" s="7"/>
      <c r="P527" s="47"/>
      <c r="Q527" s="47"/>
      <c r="R527" s="7"/>
      <c r="S527" s="51"/>
      <c r="T527" s="51"/>
      <c r="U527" s="7"/>
      <c r="V527" s="57"/>
      <c r="W527" s="57"/>
      <c r="X527" s="57"/>
    </row>
    <row r="528" spans="1:24" ht="12.5" x14ac:dyDescent="0.25">
      <c r="A528" s="34"/>
      <c r="B528" s="7"/>
      <c r="C528" s="19"/>
      <c r="D528" s="7"/>
      <c r="E528" s="7"/>
      <c r="F528" s="7"/>
      <c r="G528" s="7"/>
      <c r="H528" s="6"/>
      <c r="I528" s="7"/>
      <c r="J528" s="7"/>
      <c r="K528" s="7"/>
      <c r="L528" s="7"/>
      <c r="M528" s="52"/>
      <c r="N528" s="7"/>
      <c r="O528" s="7"/>
      <c r="P528" s="47"/>
      <c r="Q528" s="47"/>
      <c r="R528" s="7"/>
      <c r="S528" s="51"/>
      <c r="T528" s="51"/>
      <c r="U528" s="7"/>
      <c r="V528" s="57"/>
      <c r="W528" s="57"/>
      <c r="X528" s="57"/>
    </row>
    <row r="529" spans="1:24" ht="12.5" x14ac:dyDescent="0.25">
      <c r="A529" s="34"/>
      <c r="B529" s="7"/>
      <c r="C529" s="19"/>
      <c r="D529" s="7"/>
      <c r="E529" s="7"/>
      <c r="F529" s="7"/>
      <c r="G529" s="7"/>
      <c r="H529" s="6"/>
      <c r="I529" s="7"/>
      <c r="J529" s="7"/>
      <c r="K529" s="7"/>
      <c r="L529" s="7"/>
      <c r="M529" s="52"/>
      <c r="N529" s="7"/>
      <c r="O529" s="7"/>
      <c r="P529" s="47"/>
      <c r="Q529" s="47"/>
      <c r="R529" s="7"/>
      <c r="S529" s="51"/>
      <c r="T529" s="51"/>
      <c r="U529" s="7"/>
      <c r="V529" s="57"/>
      <c r="W529" s="57"/>
      <c r="X529" s="57"/>
    </row>
    <row r="530" spans="1:24" ht="12.5" x14ac:dyDescent="0.25">
      <c r="A530" s="34"/>
      <c r="B530" s="7"/>
      <c r="C530" s="19"/>
      <c r="D530" s="7"/>
      <c r="E530" s="7"/>
      <c r="F530" s="7"/>
      <c r="G530" s="7"/>
      <c r="H530" s="6"/>
      <c r="I530" s="7"/>
      <c r="J530" s="7"/>
      <c r="K530" s="7"/>
      <c r="L530" s="7"/>
      <c r="M530" s="52"/>
      <c r="N530" s="7"/>
      <c r="O530" s="7"/>
      <c r="P530" s="47"/>
      <c r="Q530" s="47"/>
      <c r="R530" s="7"/>
      <c r="S530" s="51"/>
      <c r="T530" s="51"/>
      <c r="U530" s="7"/>
      <c r="V530" s="57"/>
      <c r="W530" s="57"/>
      <c r="X530" s="57"/>
    </row>
    <row r="531" spans="1:24" ht="12.5" x14ac:dyDescent="0.25">
      <c r="A531" s="34"/>
      <c r="B531" s="7"/>
      <c r="C531" s="19"/>
      <c r="D531" s="7"/>
      <c r="E531" s="7"/>
      <c r="F531" s="7"/>
      <c r="G531" s="7"/>
      <c r="H531" s="6"/>
      <c r="I531" s="7"/>
      <c r="J531" s="7"/>
      <c r="K531" s="7"/>
      <c r="L531" s="7"/>
      <c r="M531" s="52"/>
      <c r="N531" s="7"/>
      <c r="O531" s="7"/>
      <c r="P531" s="47"/>
      <c r="Q531" s="47"/>
      <c r="R531" s="7"/>
      <c r="S531" s="51"/>
      <c r="T531" s="51"/>
      <c r="U531" s="7"/>
      <c r="V531" s="57"/>
      <c r="W531" s="57"/>
      <c r="X531" s="57"/>
    </row>
    <row r="532" spans="1:24" ht="12.5" x14ac:dyDescent="0.25">
      <c r="A532" s="34"/>
      <c r="B532" s="7"/>
      <c r="C532" s="19"/>
      <c r="D532" s="7"/>
      <c r="E532" s="7"/>
      <c r="F532" s="7"/>
      <c r="G532" s="7"/>
      <c r="H532" s="6"/>
      <c r="I532" s="7"/>
      <c r="J532" s="7"/>
      <c r="K532" s="7"/>
      <c r="L532" s="7"/>
      <c r="M532" s="52"/>
      <c r="N532" s="7"/>
      <c r="O532" s="7"/>
      <c r="P532" s="47"/>
      <c r="Q532" s="47"/>
      <c r="R532" s="7"/>
      <c r="S532" s="51"/>
      <c r="T532" s="51"/>
      <c r="U532" s="7"/>
      <c r="V532" s="57"/>
      <c r="W532" s="57"/>
      <c r="X532" s="57"/>
    </row>
    <row r="533" spans="1:24" ht="12.5" x14ac:dyDescent="0.25">
      <c r="A533" s="34"/>
      <c r="B533" s="7"/>
      <c r="C533" s="19"/>
      <c r="D533" s="7"/>
      <c r="E533" s="7"/>
      <c r="F533" s="7"/>
      <c r="G533" s="7"/>
      <c r="H533" s="6"/>
      <c r="I533" s="7"/>
      <c r="J533" s="7"/>
      <c r="K533" s="7"/>
      <c r="L533" s="7"/>
      <c r="M533" s="52"/>
      <c r="N533" s="7"/>
      <c r="O533" s="7"/>
      <c r="P533" s="47"/>
      <c r="Q533" s="47"/>
      <c r="R533" s="7"/>
      <c r="S533" s="51"/>
      <c r="T533" s="51"/>
      <c r="U533" s="7"/>
      <c r="V533" s="57"/>
      <c r="W533" s="57"/>
      <c r="X533" s="57"/>
    </row>
    <row r="534" spans="1:24" ht="12.5" x14ac:dyDescent="0.25">
      <c r="A534" s="34"/>
      <c r="B534" s="7"/>
      <c r="C534" s="19"/>
      <c r="D534" s="7"/>
      <c r="E534" s="7"/>
      <c r="F534" s="7"/>
      <c r="G534" s="7"/>
      <c r="H534" s="6"/>
      <c r="I534" s="7"/>
      <c r="J534" s="7"/>
      <c r="K534" s="7"/>
      <c r="L534" s="7"/>
      <c r="M534" s="52"/>
      <c r="N534" s="7"/>
      <c r="O534" s="7"/>
      <c r="P534" s="47"/>
      <c r="Q534" s="47"/>
      <c r="R534" s="7"/>
      <c r="S534" s="51"/>
      <c r="T534" s="51"/>
      <c r="U534" s="7"/>
      <c r="V534" s="57"/>
      <c r="W534" s="57"/>
      <c r="X534" s="57"/>
    </row>
    <row r="535" spans="1:24" ht="12.5" x14ac:dyDescent="0.25">
      <c r="A535" s="34"/>
      <c r="B535" s="7"/>
      <c r="C535" s="19"/>
      <c r="D535" s="7"/>
      <c r="E535" s="7"/>
      <c r="F535" s="7"/>
      <c r="G535" s="7"/>
      <c r="H535" s="6"/>
      <c r="I535" s="7"/>
      <c r="J535" s="7"/>
      <c r="K535" s="7"/>
      <c r="L535" s="7"/>
      <c r="M535" s="52"/>
      <c r="N535" s="7"/>
      <c r="O535" s="7"/>
      <c r="P535" s="47"/>
      <c r="Q535" s="47"/>
      <c r="R535" s="7"/>
      <c r="S535" s="51"/>
      <c r="T535" s="51"/>
      <c r="U535" s="7"/>
      <c r="V535" s="57"/>
      <c r="W535" s="57"/>
      <c r="X535" s="57"/>
    </row>
    <row r="536" spans="1:24" ht="12.5" x14ac:dyDescent="0.25">
      <c r="A536" s="34"/>
      <c r="B536" s="7"/>
      <c r="C536" s="19"/>
      <c r="D536" s="7"/>
      <c r="E536" s="7"/>
      <c r="F536" s="7"/>
      <c r="G536" s="7"/>
      <c r="H536" s="6"/>
      <c r="I536" s="7"/>
      <c r="J536" s="7"/>
      <c r="K536" s="7"/>
      <c r="L536" s="7"/>
      <c r="M536" s="52"/>
      <c r="N536" s="7"/>
      <c r="O536" s="7"/>
      <c r="P536" s="47"/>
      <c r="Q536" s="47"/>
      <c r="R536" s="7"/>
      <c r="S536" s="51"/>
      <c r="T536" s="51"/>
      <c r="U536" s="7"/>
      <c r="V536" s="57"/>
      <c r="W536" s="57"/>
      <c r="X536" s="57"/>
    </row>
    <row r="537" spans="1:24" ht="12.5" x14ac:dyDescent="0.25">
      <c r="A537" s="34"/>
      <c r="B537" s="7"/>
      <c r="C537" s="19"/>
      <c r="D537" s="7"/>
      <c r="E537" s="7"/>
      <c r="F537" s="7"/>
      <c r="G537" s="7"/>
      <c r="H537" s="6"/>
      <c r="I537" s="7"/>
      <c r="J537" s="7"/>
      <c r="K537" s="7"/>
      <c r="L537" s="7"/>
      <c r="M537" s="52"/>
      <c r="N537" s="7"/>
      <c r="O537" s="7"/>
      <c r="P537" s="47"/>
      <c r="Q537" s="47"/>
      <c r="R537" s="7"/>
      <c r="S537" s="51"/>
      <c r="T537" s="51"/>
      <c r="U537" s="7"/>
      <c r="V537" s="57"/>
      <c r="W537" s="57"/>
      <c r="X537" s="57"/>
    </row>
    <row r="538" spans="1:24" ht="12.5" x14ac:dyDescent="0.25">
      <c r="A538" s="34"/>
      <c r="B538" s="7"/>
      <c r="C538" s="19"/>
      <c r="D538" s="7"/>
      <c r="E538" s="7"/>
      <c r="F538" s="7"/>
      <c r="G538" s="7"/>
      <c r="H538" s="6"/>
      <c r="I538" s="7"/>
      <c r="J538" s="7"/>
      <c r="K538" s="7"/>
      <c r="L538" s="7"/>
      <c r="M538" s="52"/>
      <c r="N538" s="7"/>
      <c r="O538" s="7"/>
      <c r="P538" s="47"/>
      <c r="Q538" s="47"/>
      <c r="R538" s="7"/>
      <c r="S538" s="51"/>
      <c r="T538" s="51"/>
      <c r="U538" s="7"/>
      <c r="V538" s="57"/>
      <c r="W538" s="57"/>
      <c r="X538" s="57"/>
    </row>
    <row r="539" spans="1:24" ht="12.5" x14ac:dyDescent="0.25">
      <c r="A539" s="34"/>
      <c r="B539" s="7"/>
      <c r="C539" s="19"/>
      <c r="D539" s="7"/>
      <c r="E539" s="7"/>
      <c r="F539" s="7"/>
      <c r="G539" s="7"/>
      <c r="H539" s="6"/>
      <c r="I539" s="7"/>
      <c r="J539" s="7"/>
      <c r="K539" s="7"/>
      <c r="L539" s="7"/>
      <c r="M539" s="52"/>
      <c r="N539" s="7"/>
      <c r="O539" s="7"/>
      <c r="P539" s="47"/>
      <c r="Q539" s="47"/>
      <c r="R539" s="7"/>
      <c r="S539" s="51"/>
      <c r="T539" s="51"/>
      <c r="U539" s="7"/>
      <c r="V539" s="57"/>
      <c r="W539" s="57"/>
      <c r="X539" s="57"/>
    </row>
    <row r="540" spans="1:24" ht="12.5" x14ac:dyDescent="0.25">
      <c r="A540" s="34"/>
      <c r="B540" s="7"/>
      <c r="C540" s="19"/>
      <c r="D540" s="7"/>
      <c r="E540" s="7"/>
      <c r="F540" s="7"/>
      <c r="G540" s="7"/>
      <c r="H540" s="6"/>
      <c r="I540" s="7"/>
      <c r="J540" s="7"/>
      <c r="K540" s="7"/>
      <c r="L540" s="7"/>
      <c r="M540" s="52"/>
      <c r="N540" s="7"/>
      <c r="O540" s="7"/>
      <c r="P540" s="47"/>
      <c r="Q540" s="47"/>
      <c r="R540" s="7"/>
      <c r="S540" s="51"/>
      <c r="T540" s="51"/>
      <c r="U540" s="7"/>
      <c r="V540" s="57"/>
      <c r="W540" s="57"/>
      <c r="X540" s="57"/>
    </row>
    <row r="541" spans="1:24" ht="12.5" x14ac:dyDescent="0.25">
      <c r="A541" s="34"/>
      <c r="B541" s="7"/>
      <c r="C541" s="19"/>
      <c r="D541" s="7"/>
      <c r="E541" s="7"/>
      <c r="F541" s="7"/>
      <c r="G541" s="7"/>
      <c r="H541" s="6"/>
      <c r="I541" s="7"/>
      <c r="J541" s="7"/>
      <c r="K541" s="7"/>
      <c r="L541" s="7"/>
      <c r="M541" s="52"/>
      <c r="N541" s="7"/>
      <c r="O541" s="7"/>
      <c r="P541" s="47"/>
      <c r="Q541" s="47"/>
      <c r="R541" s="7"/>
      <c r="S541" s="51"/>
      <c r="T541" s="51"/>
      <c r="U541" s="7"/>
      <c r="V541" s="57"/>
      <c r="W541" s="57"/>
      <c r="X541" s="57"/>
    </row>
    <row r="542" spans="1:24" ht="12.5" x14ac:dyDescent="0.25">
      <c r="A542" s="34"/>
      <c r="B542" s="7"/>
      <c r="C542" s="19"/>
      <c r="D542" s="7"/>
      <c r="E542" s="7"/>
      <c r="F542" s="7"/>
      <c r="G542" s="7"/>
      <c r="H542" s="6"/>
      <c r="I542" s="7"/>
      <c r="J542" s="7"/>
      <c r="K542" s="7"/>
      <c r="L542" s="7"/>
      <c r="M542" s="52"/>
      <c r="N542" s="7"/>
      <c r="O542" s="7"/>
      <c r="P542" s="47"/>
      <c r="Q542" s="47"/>
      <c r="R542" s="7"/>
      <c r="S542" s="51"/>
      <c r="T542" s="51"/>
      <c r="U542" s="7"/>
      <c r="V542" s="57"/>
      <c r="W542" s="57"/>
      <c r="X542" s="57"/>
    </row>
    <row r="543" spans="1:24" ht="12.5" x14ac:dyDescent="0.25">
      <c r="A543" s="34"/>
      <c r="B543" s="7"/>
      <c r="C543" s="19"/>
      <c r="D543" s="7"/>
      <c r="E543" s="7"/>
      <c r="F543" s="7"/>
      <c r="G543" s="7"/>
      <c r="H543" s="6"/>
      <c r="I543" s="7"/>
      <c r="J543" s="7"/>
      <c r="K543" s="7"/>
      <c r="L543" s="7"/>
      <c r="M543" s="52"/>
      <c r="N543" s="7"/>
      <c r="O543" s="7"/>
      <c r="P543" s="47"/>
      <c r="Q543" s="47"/>
      <c r="R543" s="7"/>
      <c r="S543" s="51"/>
      <c r="T543" s="51"/>
      <c r="U543" s="7"/>
      <c r="V543" s="57"/>
      <c r="W543" s="57"/>
      <c r="X543" s="57"/>
    </row>
    <row r="544" spans="1:24" ht="12.5" x14ac:dyDescent="0.25">
      <c r="A544" s="34"/>
      <c r="B544" s="7"/>
      <c r="C544" s="19"/>
      <c r="D544" s="7"/>
      <c r="E544" s="7"/>
      <c r="F544" s="7"/>
      <c r="G544" s="7"/>
      <c r="H544" s="6"/>
      <c r="I544" s="7"/>
      <c r="J544" s="7"/>
      <c r="K544" s="7"/>
      <c r="L544" s="7"/>
      <c r="M544" s="52"/>
      <c r="N544" s="7"/>
      <c r="O544" s="7"/>
      <c r="P544" s="47"/>
      <c r="Q544" s="47"/>
      <c r="R544" s="7"/>
      <c r="S544" s="51"/>
      <c r="T544" s="51"/>
      <c r="U544" s="7"/>
      <c r="V544" s="57"/>
      <c r="W544" s="57"/>
      <c r="X544" s="57"/>
    </row>
    <row r="545" spans="1:24" ht="12.5" x14ac:dyDescent="0.25">
      <c r="A545" s="34"/>
      <c r="B545" s="7"/>
      <c r="C545" s="19"/>
      <c r="D545" s="7"/>
      <c r="E545" s="7"/>
      <c r="F545" s="7"/>
      <c r="G545" s="7"/>
      <c r="H545" s="6"/>
      <c r="I545" s="7"/>
      <c r="J545" s="7"/>
      <c r="K545" s="7"/>
      <c r="L545" s="7"/>
      <c r="M545" s="52"/>
      <c r="N545" s="7"/>
      <c r="O545" s="7"/>
      <c r="P545" s="47"/>
      <c r="Q545" s="47"/>
      <c r="R545" s="7"/>
      <c r="S545" s="51"/>
      <c r="T545" s="51"/>
      <c r="U545" s="7"/>
      <c r="V545" s="57"/>
      <c r="W545" s="57"/>
      <c r="X545" s="57"/>
    </row>
    <row r="546" spans="1:24" ht="12.5" x14ac:dyDescent="0.25">
      <c r="A546" s="34"/>
      <c r="B546" s="7"/>
      <c r="C546" s="19"/>
      <c r="D546" s="7"/>
      <c r="E546" s="7"/>
      <c r="F546" s="7"/>
      <c r="G546" s="7"/>
      <c r="H546" s="6"/>
      <c r="I546" s="7"/>
      <c r="J546" s="7"/>
      <c r="K546" s="7"/>
      <c r="L546" s="7"/>
      <c r="M546" s="52"/>
      <c r="N546" s="7"/>
      <c r="O546" s="7"/>
      <c r="P546" s="47"/>
      <c r="Q546" s="47"/>
      <c r="R546" s="7"/>
      <c r="S546" s="51"/>
      <c r="T546" s="51"/>
      <c r="U546" s="7"/>
      <c r="V546" s="57"/>
      <c r="W546" s="57"/>
      <c r="X546" s="57"/>
    </row>
    <row r="547" spans="1:24" ht="12.5" x14ac:dyDescent="0.25">
      <c r="A547" s="34"/>
      <c r="B547" s="7"/>
      <c r="C547" s="19"/>
      <c r="D547" s="7"/>
      <c r="E547" s="7"/>
      <c r="F547" s="7"/>
      <c r="G547" s="7"/>
      <c r="H547" s="6"/>
      <c r="I547" s="7"/>
      <c r="J547" s="7"/>
      <c r="K547" s="7"/>
      <c r="L547" s="7"/>
      <c r="M547" s="52"/>
      <c r="N547" s="7"/>
      <c r="O547" s="7"/>
      <c r="P547" s="47"/>
      <c r="Q547" s="47"/>
      <c r="R547" s="7"/>
      <c r="S547" s="51"/>
      <c r="T547" s="51"/>
      <c r="U547" s="7"/>
      <c r="V547" s="57"/>
      <c r="W547" s="57"/>
      <c r="X547" s="57"/>
    </row>
    <row r="548" spans="1:24" ht="12.5" x14ac:dyDescent="0.25">
      <c r="A548" s="34"/>
      <c r="B548" s="7"/>
      <c r="C548" s="19"/>
      <c r="D548" s="7"/>
      <c r="E548" s="7"/>
      <c r="F548" s="7"/>
      <c r="G548" s="7"/>
      <c r="H548" s="6"/>
      <c r="I548" s="7"/>
      <c r="J548" s="7"/>
      <c r="K548" s="7"/>
      <c r="L548" s="7"/>
      <c r="M548" s="52"/>
      <c r="N548" s="7"/>
      <c r="O548" s="7"/>
      <c r="P548" s="47"/>
      <c r="Q548" s="47"/>
      <c r="R548" s="7"/>
      <c r="S548" s="51"/>
      <c r="T548" s="51"/>
      <c r="U548" s="7"/>
      <c r="V548" s="57"/>
      <c r="W548" s="57"/>
      <c r="X548" s="57"/>
    </row>
    <row r="549" spans="1:24" ht="12.5" x14ac:dyDescent="0.25">
      <c r="A549" s="34"/>
      <c r="B549" s="7"/>
      <c r="C549" s="19"/>
      <c r="D549" s="7"/>
      <c r="E549" s="7"/>
      <c r="F549" s="7"/>
      <c r="G549" s="7"/>
      <c r="H549" s="6"/>
      <c r="I549" s="7"/>
      <c r="J549" s="7"/>
      <c r="K549" s="7"/>
      <c r="L549" s="7"/>
      <c r="M549" s="52"/>
      <c r="N549" s="7"/>
      <c r="O549" s="7"/>
      <c r="P549" s="47"/>
      <c r="Q549" s="47"/>
      <c r="R549" s="7"/>
      <c r="S549" s="51"/>
      <c r="T549" s="51"/>
      <c r="U549" s="7"/>
      <c r="V549" s="57"/>
      <c r="W549" s="57"/>
      <c r="X549" s="57"/>
    </row>
    <row r="550" spans="1:24" ht="12.5" x14ac:dyDescent="0.25">
      <c r="A550" s="34"/>
      <c r="B550" s="7"/>
      <c r="C550" s="19"/>
      <c r="D550" s="7"/>
      <c r="E550" s="7"/>
      <c r="F550" s="7"/>
      <c r="G550" s="7"/>
      <c r="H550" s="6"/>
      <c r="I550" s="7"/>
      <c r="J550" s="7"/>
      <c r="K550" s="7"/>
      <c r="L550" s="7"/>
      <c r="M550" s="52"/>
      <c r="N550" s="7"/>
      <c r="O550" s="7"/>
      <c r="P550" s="47"/>
      <c r="Q550" s="47"/>
      <c r="R550" s="7"/>
      <c r="S550" s="51"/>
      <c r="T550" s="51"/>
      <c r="U550" s="7"/>
      <c r="V550" s="57"/>
      <c r="W550" s="57"/>
      <c r="X550" s="57"/>
    </row>
    <row r="551" spans="1:24" ht="12.5" x14ac:dyDescent="0.25">
      <c r="A551" s="34"/>
      <c r="B551" s="7"/>
      <c r="C551" s="19"/>
      <c r="D551" s="7"/>
      <c r="E551" s="7"/>
      <c r="F551" s="7"/>
      <c r="G551" s="7"/>
      <c r="H551" s="6"/>
      <c r="I551" s="7"/>
      <c r="J551" s="7"/>
      <c r="K551" s="7"/>
      <c r="L551" s="7"/>
      <c r="M551" s="52"/>
      <c r="N551" s="7"/>
      <c r="O551" s="7"/>
      <c r="P551" s="47"/>
      <c r="Q551" s="47"/>
      <c r="R551" s="7"/>
      <c r="S551" s="51"/>
      <c r="T551" s="51"/>
      <c r="U551" s="7"/>
      <c r="V551" s="57"/>
      <c r="W551" s="57"/>
      <c r="X551" s="57"/>
    </row>
    <row r="552" spans="1:24" ht="12.5" x14ac:dyDescent="0.25">
      <c r="A552" s="34"/>
      <c r="B552" s="7"/>
      <c r="C552" s="19"/>
      <c r="D552" s="7"/>
      <c r="E552" s="7"/>
      <c r="F552" s="7"/>
      <c r="G552" s="7"/>
      <c r="H552" s="6"/>
      <c r="I552" s="7"/>
      <c r="J552" s="7"/>
      <c r="K552" s="7"/>
      <c r="L552" s="7"/>
      <c r="M552" s="52"/>
      <c r="N552" s="7"/>
      <c r="O552" s="7"/>
      <c r="P552" s="47"/>
      <c r="Q552" s="47"/>
      <c r="R552" s="7"/>
      <c r="S552" s="51"/>
      <c r="T552" s="51"/>
      <c r="U552" s="7"/>
      <c r="V552" s="57"/>
      <c r="W552" s="57"/>
      <c r="X552" s="57"/>
    </row>
    <row r="553" spans="1:24" ht="12.5" x14ac:dyDescent="0.25">
      <c r="A553" s="34"/>
      <c r="B553" s="7"/>
      <c r="C553" s="19"/>
      <c r="D553" s="7"/>
      <c r="E553" s="7"/>
      <c r="F553" s="7"/>
      <c r="G553" s="7"/>
      <c r="H553" s="6"/>
      <c r="I553" s="7"/>
      <c r="J553" s="7"/>
      <c r="K553" s="7"/>
      <c r="L553" s="7"/>
      <c r="M553" s="52"/>
      <c r="N553" s="7"/>
      <c r="O553" s="7"/>
      <c r="P553" s="47"/>
      <c r="Q553" s="47"/>
      <c r="R553" s="7"/>
      <c r="S553" s="51"/>
      <c r="T553" s="51"/>
      <c r="U553" s="7"/>
      <c r="V553" s="57"/>
      <c r="W553" s="57"/>
      <c r="X553" s="57"/>
    </row>
    <row r="554" spans="1:24" ht="12.5" x14ac:dyDescent="0.25">
      <c r="A554" s="34"/>
      <c r="B554" s="7"/>
      <c r="C554" s="19"/>
      <c r="D554" s="7"/>
      <c r="E554" s="7"/>
      <c r="F554" s="7"/>
      <c r="G554" s="7"/>
      <c r="H554" s="6"/>
      <c r="I554" s="7"/>
      <c r="J554" s="7"/>
      <c r="K554" s="7"/>
      <c r="L554" s="7"/>
      <c r="M554" s="52"/>
      <c r="N554" s="7"/>
      <c r="O554" s="7"/>
      <c r="P554" s="47"/>
      <c r="Q554" s="47"/>
      <c r="R554" s="7"/>
      <c r="S554" s="51"/>
      <c r="T554" s="51"/>
      <c r="U554" s="7"/>
      <c r="V554" s="57"/>
      <c r="W554" s="57"/>
      <c r="X554" s="57"/>
    </row>
    <row r="555" spans="1:24" ht="12.5" x14ac:dyDescent="0.25">
      <c r="A555" s="34"/>
      <c r="B555" s="7"/>
      <c r="C555" s="19"/>
      <c r="D555" s="7"/>
      <c r="E555" s="7"/>
      <c r="F555" s="7"/>
      <c r="G555" s="7"/>
      <c r="H555" s="6"/>
      <c r="I555" s="7"/>
      <c r="J555" s="7"/>
      <c r="K555" s="7"/>
      <c r="L555" s="7"/>
      <c r="M555" s="52"/>
      <c r="N555" s="7"/>
      <c r="O555" s="7"/>
      <c r="P555" s="47"/>
      <c r="Q555" s="47"/>
      <c r="R555" s="7"/>
      <c r="S555" s="51"/>
      <c r="T555" s="51"/>
      <c r="U555" s="7"/>
      <c r="V555" s="57"/>
      <c r="W555" s="57"/>
      <c r="X555" s="57"/>
    </row>
    <row r="556" spans="1:24" ht="12.5" x14ac:dyDescent="0.25">
      <c r="A556" s="34"/>
      <c r="B556" s="7"/>
      <c r="C556" s="19"/>
      <c r="D556" s="7"/>
      <c r="E556" s="7"/>
      <c r="F556" s="7"/>
      <c r="G556" s="7"/>
      <c r="H556" s="6"/>
      <c r="I556" s="7"/>
      <c r="J556" s="7"/>
      <c r="K556" s="7"/>
      <c r="L556" s="7"/>
      <c r="M556" s="52"/>
      <c r="N556" s="7"/>
      <c r="O556" s="7"/>
      <c r="P556" s="47"/>
      <c r="Q556" s="47"/>
      <c r="R556" s="7"/>
      <c r="S556" s="51"/>
      <c r="T556" s="51"/>
      <c r="U556" s="7"/>
      <c r="V556" s="57"/>
      <c r="W556" s="57"/>
      <c r="X556" s="57"/>
    </row>
    <row r="557" spans="1:24" ht="12.5" x14ac:dyDescent="0.25">
      <c r="A557" s="34"/>
      <c r="B557" s="7"/>
      <c r="C557" s="19"/>
      <c r="D557" s="7"/>
      <c r="E557" s="7"/>
      <c r="F557" s="7"/>
      <c r="G557" s="7"/>
      <c r="H557" s="6"/>
      <c r="I557" s="7"/>
      <c r="J557" s="7"/>
      <c r="K557" s="7"/>
      <c r="L557" s="7"/>
      <c r="M557" s="52"/>
      <c r="N557" s="7"/>
      <c r="O557" s="7"/>
      <c r="P557" s="47"/>
      <c r="Q557" s="47"/>
      <c r="R557" s="7"/>
      <c r="S557" s="51"/>
      <c r="T557" s="51"/>
      <c r="U557" s="7"/>
      <c r="V557" s="57"/>
      <c r="W557" s="57"/>
      <c r="X557" s="57"/>
    </row>
    <row r="558" spans="1:24" ht="12.5" x14ac:dyDescent="0.25">
      <c r="A558" s="34"/>
      <c r="B558" s="7"/>
      <c r="C558" s="19"/>
      <c r="D558" s="7"/>
      <c r="E558" s="7"/>
      <c r="F558" s="7"/>
      <c r="G558" s="7"/>
      <c r="H558" s="6"/>
      <c r="I558" s="7"/>
      <c r="J558" s="7"/>
      <c r="K558" s="7"/>
      <c r="L558" s="7"/>
      <c r="M558" s="52"/>
      <c r="N558" s="7"/>
      <c r="O558" s="7"/>
      <c r="P558" s="47"/>
      <c r="Q558" s="47"/>
      <c r="R558" s="7"/>
      <c r="S558" s="51"/>
      <c r="T558" s="51"/>
      <c r="U558" s="7"/>
      <c r="V558" s="57"/>
      <c r="W558" s="57"/>
      <c r="X558" s="57"/>
    </row>
    <row r="559" spans="1:24" ht="12.5" x14ac:dyDescent="0.25">
      <c r="A559" s="34"/>
      <c r="B559" s="7"/>
      <c r="C559" s="19"/>
      <c r="D559" s="7"/>
      <c r="E559" s="7"/>
      <c r="F559" s="7"/>
      <c r="G559" s="7"/>
      <c r="H559" s="6"/>
      <c r="I559" s="7"/>
      <c r="J559" s="7"/>
      <c r="K559" s="7"/>
      <c r="L559" s="7"/>
      <c r="M559" s="52"/>
      <c r="N559" s="7"/>
      <c r="O559" s="7"/>
      <c r="P559" s="47"/>
      <c r="Q559" s="47"/>
      <c r="R559" s="7"/>
      <c r="S559" s="51"/>
      <c r="T559" s="51"/>
      <c r="U559" s="7"/>
      <c r="V559" s="57"/>
      <c r="W559" s="57"/>
      <c r="X559" s="57"/>
    </row>
    <row r="560" spans="1:24" ht="12.5" x14ac:dyDescent="0.25">
      <c r="A560" s="34"/>
      <c r="B560" s="7"/>
      <c r="C560" s="19"/>
      <c r="D560" s="7"/>
      <c r="E560" s="7"/>
      <c r="F560" s="7"/>
      <c r="G560" s="7"/>
      <c r="H560" s="6"/>
      <c r="I560" s="7"/>
      <c r="J560" s="7"/>
      <c r="K560" s="7"/>
      <c r="L560" s="7"/>
      <c r="M560" s="52"/>
      <c r="N560" s="7"/>
      <c r="O560" s="7"/>
      <c r="P560" s="47"/>
      <c r="Q560" s="47"/>
      <c r="R560" s="7"/>
      <c r="S560" s="51"/>
      <c r="T560" s="51"/>
      <c r="U560" s="7"/>
      <c r="V560" s="57"/>
      <c r="W560" s="57"/>
      <c r="X560" s="57"/>
    </row>
    <row r="561" spans="1:24" ht="12.5" x14ac:dyDescent="0.25">
      <c r="A561" s="34"/>
      <c r="B561" s="7"/>
      <c r="C561" s="19"/>
      <c r="D561" s="7"/>
      <c r="E561" s="7"/>
      <c r="F561" s="7"/>
      <c r="G561" s="7"/>
      <c r="H561" s="6"/>
      <c r="I561" s="7"/>
      <c r="J561" s="7"/>
      <c r="K561" s="7"/>
      <c r="L561" s="7"/>
      <c r="M561" s="52"/>
      <c r="N561" s="7"/>
      <c r="O561" s="7"/>
      <c r="P561" s="47"/>
      <c r="Q561" s="47"/>
      <c r="R561" s="7"/>
      <c r="S561" s="51"/>
      <c r="T561" s="51"/>
      <c r="U561" s="7"/>
      <c r="V561" s="57"/>
      <c r="W561" s="57"/>
      <c r="X561" s="57"/>
    </row>
    <row r="562" spans="1:24" ht="12.5" x14ac:dyDescent="0.25">
      <c r="A562" s="34"/>
      <c r="B562" s="7"/>
      <c r="C562" s="19"/>
      <c r="D562" s="7"/>
      <c r="E562" s="7"/>
      <c r="F562" s="7"/>
      <c r="G562" s="7"/>
      <c r="H562" s="6"/>
      <c r="I562" s="7"/>
      <c r="J562" s="7"/>
      <c r="K562" s="7"/>
      <c r="L562" s="7"/>
      <c r="M562" s="52"/>
      <c r="N562" s="7"/>
      <c r="O562" s="7"/>
      <c r="P562" s="47"/>
      <c r="Q562" s="47"/>
      <c r="R562" s="7"/>
      <c r="S562" s="51"/>
      <c r="T562" s="51"/>
      <c r="U562" s="7"/>
      <c r="V562" s="57"/>
      <c r="W562" s="57"/>
      <c r="X562" s="57"/>
    </row>
    <row r="563" spans="1:24" ht="12.5" x14ac:dyDescent="0.25">
      <c r="A563" s="34"/>
      <c r="B563" s="7"/>
      <c r="C563" s="19"/>
      <c r="D563" s="7"/>
      <c r="E563" s="7"/>
      <c r="F563" s="7"/>
      <c r="G563" s="7"/>
      <c r="H563" s="6"/>
      <c r="I563" s="7"/>
      <c r="J563" s="7"/>
      <c r="K563" s="7"/>
      <c r="L563" s="7"/>
      <c r="M563" s="52"/>
      <c r="N563" s="7"/>
      <c r="O563" s="7"/>
      <c r="P563" s="47"/>
      <c r="Q563" s="47"/>
      <c r="R563" s="7"/>
      <c r="S563" s="51"/>
      <c r="T563" s="51"/>
      <c r="U563" s="7"/>
      <c r="V563" s="57"/>
      <c r="W563" s="57"/>
      <c r="X563" s="57"/>
    </row>
    <row r="564" spans="1:24" ht="12.5" x14ac:dyDescent="0.25">
      <c r="A564" s="34"/>
      <c r="B564" s="7"/>
      <c r="C564" s="19"/>
      <c r="D564" s="7"/>
      <c r="E564" s="7"/>
      <c r="F564" s="7"/>
      <c r="G564" s="7"/>
      <c r="H564" s="6"/>
      <c r="I564" s="7"/>
      <c r="J564" s="7"/>
      <c r="K564" s="7"/>
      <c r="L564" s="7"/>
      <c r="M564" s="52"/>
      <c r="N564" s="7"/>
      <c r="O564" s="7"/>
      <c r="P564" s="47"/>
      <c r="Q564" s="47"/>
      <c r="R564" s="7"/>
      <c r="S564" s="51"/>
      <c r="T564" s="51"/>
      <c r="U564" s="7"/>
      <c r="V564" s="57"/>
      <c r="W564" s="57"/>
      <c r="X564" s="57"/>
    </row>
    <row r="565" spans="1:24" ht="12.5" x14ac:dyDescent="0.25">
      <c r="A565" s="34"/>
      <c r="B565" s="7"/>
      <c r="C565" s="19"/>
      <c r="D565" s="7"/>
      <c r="E565" s="7"/>
      <c r="F565" s="7"/>
      <c r="G565" s="7"/>
      <c r="H565" s="6"/>
      <c r="I565" s="7"/>
      <c r="J565" s="7"/>
      <c r="K565" s="7"/>
      <c r="L565" s="7"/>
      <c r="M565" s="52"/>
      <c r="N565" s="7"/>
      <c r="O565" s="7"/>
      <c r="P565" s="47"/>
      <c r="Q565" s="47"/>
      <c r="R565" s="7"/>
      <c r="S565" s="51"/>
      <c r="T565" s="51"/>
      <c r="U565" s="7"/>
      <c r="V565" s="57"/>
      <c r="W565" s="57"/>
      <c r="X565" s="57"/>
    </row>
    <row r="566" spans="1:24" ht="12.5" x14ac:dyDescent="0.25">
      <c r="A566" s="34"/>
      <c r="B566" s="7"/>
      <c r="C566" s="19"/>
      <c r="D566" s="7"/>
      <c r="E566" s="7"/>
      <c r="F566" s="7"/>
      <c r="G566" s="7"/>
      <c r="H566" s="6"/>
      <c r="I566" s="7"/>
      <c r="J566" s="7"/>
      <c r="K566" s="7"/>
      <c r="L566" s="7"/>
      <c r="M566" s="52"/>
      <c r="N566" s="7"/>
      <c r="O566" s="7"/>
      <c r="P566" s="47"/>
      <c r="Q566" s="47"/>
      <c r="R566" s="7"/>
      <c r="S566" s="51"/>
      <c r="T566" s="51"/>
      <c r="U566" s="7"/>
      <c r="V566" s="57"/>
      <c r="W566" s="57"/>
      <c r="X566" s="57"/>
    </row>
    <row r="567" spans="1:24" ht="12.5" x14ac:dyDescent="0.25">
      <c r="A567" s="34"/>
      <c r="B567" s="7"/>
      <c r="C567" s="19"/>
      <c r="D567" s="7"/>
      <c r="E567" s="7"/>
      <c r="F567" s="7"/>
      <c r="G567" s="7"/>
      <c r="H567" s="6"/>
      <c r="I567" s="7"/>
      <c r="J567" s="7"/>
      <c r="K567" s="7"/>
      <c r="L567" s="7"/>
      <c r="M567" s="52"/>
      <c r="N567" s="7"/>
      <c r="O567" s="7"/>
      <c r="P567" s="47"/>
      <c r="Q567" s="47"/>
      <c r="R567" s="7"/>
      <c r="S567" s="51"/>
      <c r="T567" s="51"/>
      <c r="U567" s="7"/>
      <c r="V567" s="57"/>
      <c r="W567" s="57"/>
      <c r="X567" s="57"/>
    </row>
    <row r="568" spans="1:24" ht="12.5" x14ac:dyDescent="0.25">
      <c r="A568" s="34"/>
      <c r="B568" s="7"/>
      <c r="C568" s="19"/>
      <c r="D568" s="7"/>
      <c r="E568" s="7"/>
      <c r="F568" s="7"/>
      <c r="G568" s="7"/>
      <c r="H568" s="6"/>
      <c r="I568" s="7"/>
      <c r="J568" s="7"/>
      <c r="K568" s="7"/>
      <c r="L568" s="7"/>
      <c r="M568" s="52"/>
      <c r="N568" s="7"/>
      <c r="O568" s="7"/>
      <c r="P568" s="47"/>
      <c r="Q568" s="47"/>
      <c r="R568" s="7"/>
      <c r="S568" s="51"/>
      <c r="T568" s="51"/>
      <c r="U568" s="7"/>
      <c r="V568" s="57"/>
      <c r="W568" s="57"/>
      <c r="X568" s="57"/>
    </row>
    <row r="569" spans="1:24" ht="12.5" x14ac:dyDescent="0.25">
      <c r="A569" s="34"/>
      <c r="B569" s="7"/>
      <c r="C569" s="19"/>
      <c r="D569" s="7"/>
      <c r="E569" s="7"/>
      <c r="F569" s="7"/>
      <c r="G569" s="7"/>
      <c r="H569" s="6"/>
      <c r="I569" s="7"/>
      <c r="J569" s="7"/>
      <c r="K569" s="7"/>
      <c r="L569" s="7"/>
      <c r="M569" s="52"/>
      <c r="N569" s="7"/>
      <c r="O569" s="7"/>
      <c r="P569" s="47"/>
      <c r="Q569" s="47"/>
      <c r="R569" s="7"/>
      <c r="S569" s="51"/>
      <c r="T569" s="51"/>
      <c r="U569" s="7"/>
      <c r="V569" s="57"/>
      <c r="W569" s="57"/>
      <c r="X569" s="57"/>
    </row>
    <row r="570" spans="1:24" ht="12.5" x14ac:dyDescent="0.25">
      <c r="A570" s="34"/>
      <c r="B570" s="7"/>
      <c r="C570" s="19"/>
      <c r="D570" s="7"/>
      <c r="E570" s="7"/>
      <c r="F570" s="7"/>
      <c r="G570" s="7"/>
      <c r="H570" s="6"/>
      <c r="I570" s="7"/>
      <c r="J570" s="7"/>
      <c r="K570" s="7"/>
      <c r="L570" s="7"/>
      <c r="M570" s="52"/>
      <c r="N570" s="7"/>
      <c r="O570" s="7"/>
      <c r="P570" s="47"/>
      <c r="Q570" s="47"/>
      <c r="R570" s="7"/>
      <c r="S570" s="51"/>
      <c r="T570" s="51"/>
      <c r="U570" s="7"/>
      <c r="V570" s="57"/>
      <c r="W570" s="57"/>
      <c r="X570" s="57"/>
    </row>
    <row r="571" spans="1:24" ht="12.5" x14ac:dyDescent="0.25">
      <c r="A571" s="34"/>
      <c r="B571" s="7"/>
      <c r="C571" s="19"/>
      <c r="D571" s="7"/>
      <c r="E571" s="7"/>
      <c r="F571" s="7"/>
      <c r="G571" s="7"/>
      <c r="H571" s="6"/>
      <c r="I571" s="7"/>
      <c r="J571" s="7"/>
      <c r="K571" s="7"/>
      <c r="L571" s="7"/>
      <c r="M571" s="52"/>
      <c r="N571" s="7"/>
      <c r="O571" s="7"/>
      <c r="P571" s="47"/>
      <c r="Q571" s="47"/>
      <c r="R571" s="7"/>
      <c r="S571" s="51"/>
      <c r="T571" s="51"/>
      <c r="U571" s="7"/>
      <c r="V571" s="57"/>
      <c r="W571" s="57"/>
      <c r="X571" s="57"/>
    </row>
    <row r="572" spans="1:24" ht="12.5" x14ac:dyDescent="0.25">
      <c r="A572" s="34"/>
      <c r="B572" s="7"/>
      <c r="C572" s="19"/>
      <c r="D572" s="7"/>
      <c r="E572" s="7"/>
      <c r="F572" s="7"/>
      <c r="G572" s="7"/>
      <c r="H572" s="6"/>
      <c r="I572" s="7"/>
      <c r="J572" s="7"/>
      <c r="K572" s="7"/>
      <c r="L572" s="7"/>
      <c r="M572" s="52"/>
      <c r="N572" s="7"/>
      <c r="O572" s="7"/>
      <c r="P572" s="47"/>
      <c r="Q572" s="47"/>
      <c r="R572" s="7"/>
      <c r="S572" s="51"/>
      <c r="T572" s="51"/>
      <c r="U572" s="7"/>
      <c r="V572" s="57"/>
      <c r="W572" s="57"/>
      <c r="X572" s="57"/>
    </row>
    <row r="573" spans="1:24" ht="12.5" x14ac:dyDescent="0.25">
      <c r="A573" s="34"/>
      <c r="B573" s="7"/>
      <c r="C573" s="19"/>
      <c r="D573" s="7"/>
      <c r="E573" s="7"/>
      <c r="F573" s="7"/>
      <c r="G573" s="7"/>
      <c r="H573" s="6"/>
      <c r="I573" s="7"/>
      <c r="J573" s="7"/>
      <c r="K573" s="7"/>
      <c r="L573" s="7"/>
      <c r="M573" s="52"/>
      <c r="N573" s="7"/>
      <c r="O573" s="7"/>
      <c r="P573" s="47"/>
      <c r="Q573" s="47"/>
      <c r="R573" s="7"/>
      <c r="S573" s="51"/>
      <c r="T573" s="51"/>
      <c r="U573" s="7"/>
      <c r="V573" s="57"/>
      <c r="W573" s="57"/>
      <c r="X573" s="57"/>
    </row>
    <row r="574" spans="1:24" ht="12.5" x14ac:dyDescent="0.25">
      <c r="A574" s="34"/>
      <c r="B574" s="7"/>
      <c r="C574" s="19"/>
      <c r="D574" s="7"/>
      <c r="E574" s="7"/>
      <c r="F574" s="7"/>
      <c r="G574" s="7"/>
      <c r="H574" s="6"/>
      <c r="I574" s="7"/>
      <c r="J574" s="7"/>
      <c r="K574" s="7"/>
      <c r="L574" s="7"/>
      <c r="M574" s="52"/>
      <c r="N574" s="7"/>
      <c r="O574" s="7"/>
      <c r="P574" s="47"/>
      <c r="Q574" s="47"/>
      <c r="R574" s="7"/>
      <c r="S574" s="51"/>
      <c r="T574" s="51"/>
      <c r="U574" s="7"/>
      <c r="V574" s="57"/>
      <c r="W574" s="57"/>
      <c r="X574" s="57"/>
    </row>
    <row r="575" spans="1:24" ht="12.5" x14ac:dyDescent="0.25">
      <c r="A575" s="34"/>
      <c r="B575" s="7"/>
      <c r="C575" s="19"/>
      <c r="D575" s="7"/>
      <c r="E575" s="7"/>
      <c r="F575" s="7"/>
      <c r="G575" s="7"/>
      <c r="H575" s="6"/>
      <c r="I575" s="7"/>
      <c r="J575" s="7"/>
      <c r="K575" s="7"/>
      <c r="L575" s="7"/>
      <c r="M575" s="52"/>
      <c r="N575" s="7"/>
      <c r="O575" s="7"/>
      <c r="P575" s="47"/>
      <c r="Q575" s="47"/>
      <c r="R575" s="7"/>
      <c r="S575" s="51"/>
      <c r="T575" s="51"/>
      <c r="U575" s="7"/>
      <c r="V575" s="57"/>
      <c r="W575" s="57"/>
      <c r="X575" s="57"/>
    </row>
    <row r="576" spans="1:24" ht="12.5" x14ac:dyDescent="0.25">
      <c r="A576" s="34"/>
      <c r="B576" s="7"/>
      <c r="C576" s="19"/>
      <c r="D576" s="7"/>
      <c r="E576" s="7"/>
      <c r="F576" s="7"/>
      <c r="G576" s="7"/>
      <c r="H576" s="6"/>
      <c r="I576" s="7"/>
      <c r="J576" s="7"/>
      <c r="K576" s="7"/>
      <c r="L576" s="7"/>
      <c r="M576" s="52"/>
      <c r="N576" s="7"/>
      <c r="O576" s="7"/>
      <c r="P576" s="47"/>
      <c r="Q576" s="47"/>
      <c r="R576" s="7"/>
      <c r="S576" s="51"/>
      <c r="T576" s="51"/>
      <c r="U576" s="7"/>
      <c r="V576" s="57"/>
      <c r="W576" s="57"/>
      <c r="X576" s="57"/>
    </row>
    <row r="577" spans="1:24" ht="12.5" x14ac:dyDescent="0.25">
      <c r="A577" s="34"/>
      <c r="B577" s="7"/>
      <c r="C577" s="19"/>
      <c r="D577" s="7"/>
      <c r="E577" s="7"/>
      <c r="F577" s="7"/>
      <c r="G577" s="7"/>
      <c r="H577" s="6"/>
      <c r="I577" s="7"/>
      <c r="J577" s="7"/>
      <c r="K577" s="7"/>
      <c r="L577" s="7"/>
      <c r="M577" s="52"/>
      <c r="N577" s="7"/>
      <c r="O577" s="7"/>
      <c r="P577" s="47"/>
      <c r="Q577" s="47"/>
      <c r="R577" s="7"/>
      <c r="S577" s="51"/>
      <c r="T577" s="51"/>
      <c r="U577" s="7"/>
      <c r="V577" s="57"/>
      <c r="W577" s="57"/>
      <c r="X577" s="57"/>
    </row>
    <row r="578" spans="1:24" ht="12.5" x14ac:dyDescent="0.25">
      <c r="A578" s="34"/>
      <c r="B578" s="7"/>
      <c r="C578" s="19"/>
      <c r="D578" s="7"/>
      <c r="E578" s="7"/>
      <c r="F578" s="7"/>
      <c r="G578" s="7"/>
      <c r="H578" s="6"/>
      <c r="I578" s="7"/>
      <c r="J578" s="7"/>
      <c r="K578" s="7"/>
      <c r="L578" s="7"/>
      <c r="M578" s="52"/>
      <c r="N578" s="7"/>
      <c r="O578" s="7"/>
      <c r="P578" s="47"/>
      <c r="Q578" s="47"/>
      <c r="R578" s="7"/>
      <c r="S578" s="51"/>
      <c r="T578" s="51"/>
      <c r="U578" s="7"/>
      <c r="V578" s="57"/>
      <c r="W578" s="57"/>
      <c r="X578" s="57"/>
    </row>
    <row r="579" spans="1:24" ht="12.5" x14ac:dyDescent="0.25">
      <c r="A579" s="34"/>
      <c r="B579" s="7"/>
      <c r="C579" s="19"/>
      <c r="D579" s="7"/>
      <c r="E579" s="7"/>
      <c r="F579" s="7"/>
      <c r="G579" s="7"/>
      <c r="H579" s="6"/>
      <c r="I579" s="7"/>
      <c r="J579" s="7"/>
      <c r="K579" s="7"/>
      <c r="L579" s="7"/>
      <c r="M579" s="52"/>
      <c r="N579" s="7"/>
      <c r="O579" s="7"/>
      <c r="P579" s="47"/>
      <c r="Q579" s="47"/>
      <c r="R579" s="7"/>
      <c r="S579" s="51"/>
      <c r="T579" s="51"/>
      <c r="U579" s="7"/>
      <c r="V579" s="57"/>
      <c r="W579" s="57"/>
      <c r="X579" s="57"/>
    </row>
    <row r="580" spans="1:24" ht="12.5" x14ac:dyDescent="0.25">
      <c r="A580" s="34"/>
      <c r="B580" s="7"/>
      <c r="C580" s="19"/>
      <c r="D580" s="7"/>
      <c r="E580" s="7"/>
      <c r="F580" s="7"/>
      <c r="G580" s="7"/>
      <c r="H580" s="6"/>
      <c r="I580" s="7"/>
      <c r="J580" s="7"/>
      <c r="K580" s="7"/>
      <c r="L580" s="7"/>
      <c r="M580" s="52"/>
      <c r="N580" s="7"/>
      <c r="O580" s="7"/>
      <c r="P580" s="47"/>
      <c r="Q580" s="47"/>
      <c r="R580" s="7"/>
      <c r="S580" s="51"/>
      <c r="T580" s="51"/>
      <c r="U580" s="7"/>
      <c r="V580" s="57"/>
      <c r="W580" s="57"/>
      <c r="X580" s="57"/>
    </row>
    <row r="581" spans="1:24" ht="12.5" x14ac:dyDescent="0.25">
      <c r="A581" s="34"/>
      <c r="B581" s="7"/>
      <c r="C581" s="19"/>
      <c r="D581" s="7"/>
      <c r="E581" s="7"/>
      <c r="F581" s="7"/>
      <c r="G581" s="7"/>
      <c r="H581" s="6"/>
      <c r="I581" s="7"/>
      <c r="J581" s="7"/>
      <c r="K581" s="7"/>
      <c r="L581" s="7"/>
      <c r="M581" s="52"/>
      <c r="N581" s="7"/>
      <c r="O581" s="7"/>
      <c r="P581" s="47"/>
      <c r="Q581" s="47"/>
      <c r="R581" s="7"/>
      <c r="S581" s="51"/>
      <c r="T581" s="51"/>
      <c r="U581" s="7"/>
      <c r="V581" s="57"/>
      <c r="W581" s="57"/>
      <c r="X581" s="57"/>
    </row>
    <row r="582" spans="1:24" ht="12.5" x14ac:dyDescent="0.25">
      <c r="A582" s="34"/>
      <c r="B582" s="7"/>
      <c r="C582" s="19"/>
      <c r="D582" s="7"/>
      <c r="E582" s="7"/>
      <c r="F582" s="7"/>
      <c r="G582" s="7"/>
      <c r="H582" s="6"/>
      <c r="I582" s="7"/>
      <c r="J582" s="7"/>
      <c r="K582" s="7"/>
      <c r="L582" s="7"/>
      <c r="M582" s="52"/>
      <c r="N582" s="7"/>
      <c r="O582" s="7"/>
      <c r="P582" s="47"/>
      <c r="Q582" s="47"/>
      <c r="R582" s="7"/>
      <c r="S582" s="51"/>
      <c r="T582" s="51"/>
      <c r="U582" s="7"/>
      <c r="V582" s="57"/>
      <c r="W582" s="57"/>
      <c r="X582" s="57"/>
    </row>
    <row r="583" spans="1:24" ht="12.5" x14ac:dyDescent="0.25">
      <c r="A583" s="34"/>
      <c r="B583" s="7"/>
      <c r="C583" s="19"/>
      <c r="D583" s="7"/>
      <c r="E583" s="7"/>
      <c r="F583" s="7"/>
      <c r="G583" s="7"/>
      <c r="H583" s="6"/>
      <c r="I583" s="7"/>
      <c r="J583" s="7"/>
      <c r="K583" s="7"/>
      <c r="L583" s="7"/>
      <c r="M583" s="52"/>
      <c r="N583" s="7"/>
      <c r="O583" s="7"/>
      <c r="P583" s="47"/>
      <c r="Q583" s="47"/>
      <c r="R583" s="7"/>
      <c r="S583" s="51"/>
      <c r="T583" s="51"/>
      <c r="U583" s="7"/>
      <c r="V583" s="57"/>
      <c r="W583" s="57"/>
      <c r="X583" s="57"/>
    </row>
    <row r="584" spans="1:24" ht="12.5" x14ac:dyDescent="0.25">
      <c r="A584" s="34"/>
      <c r="B584" s="7"/>
      <c r="C584" s="19"/>
      <c r="D584" s="7"/>
      <c r="E584" s="7"/>
      <c r="F584" s="7"/>
      <c r="G584" s="7"/>
      <c r="H584" s="6"/>
      <c r="I584" s="7"/>
      <c r="J584" s="7"/>
      <c r="K584" s="7"/>
      <c r="L584" s="7"/>
      <c r="M584" s="52"/>
      <c r="N584" s="7"/>
      <c r="O584" s="7"/>
      <c r="P584" s="47"/>
      <c r="Q584" s="47"/>
      <c r="R584" s="7"/>
      <c r="S584" s="51"/>
      <c r="T584" s="51"/>
      <c r="U584" s="7"/>
      <c r="V584" s="57"/>
      <c r="W584" s="57"/>
      <c r="X584" s="57"/>
    </row>
    <row r="585" spans="1:24" ht="12.5" x14ac:dyDescent="0.25">
      <c r="A585" s="34"/>
      <c r="B585" s="7"/>
      <c r="C585" s="19"/>
      <c r="D585" s="7"/>
      <c r="E585" s="7"/>
      <c r="F585" s="7"/>
      <c r="G585" s="7"/>
      <c r="H585" s="6"/>
      <c r="I585" s="7"/>
      <c r="J585" s="7"/>
      <c r="K585" s="7"/>
      <c r="L585" s="7"/>
      <c r="M585" s="52"/>
      <c r="N585" s="7"/>
      <c r="O585" s="7"/>
      <c r="P585" s="47"/>
      <c r="Q585" s="47"/>
      <c r="R585" s="7"/>
      <c r="S585" s="51"/>
      <c r="T585" s="51"/>
      <c r="U585" s="7"/>
      <c r="V585" s="57"/>
      <c r="W585" s="57"/>
      <c r="X585" s="57"/>
    </row>
    <row r="586" spans="1:24" ht="12.5" x14ac:dyDescent="0.25">
      <c r="A586" s="34"/>
      <c r="B586" s="7"/>
      <c r="C586" s="19"/>
      <c r="D586" s="7"/>
      <c r="E586" s="7"/>
      <c r="F586" s="7"/>
      <c r="G586" s="7"/>
      <c r="H586" s="6"/>
      <c r="I586" s="7"/>
      <c r="J586" s="7"/>
      <c r="K586" s="7"/>
      <c r="L586" s="7"/>
      <c r="M586" s="52"/>
      <c r="N586" s="7"/>
      <c r="O586" s="7"/>
      <c r="P586" s="47"/>
      <c r="Q586" s="47"/>
      <c r="R586" s="7"/>
      <c r="S586" s="51"/>
      <c r="T586" s="51"/>
      <c r="U586" s="7"/>
      <c r="V586" s="57"/>
      <c r="W586" s="57"/>
      <c r="X586" s="57"/>
    </row>
    <row r="587" spans="1:24" ht="12.5" x14ac:dyDescent="0.25">
      <c r="A587" s="34"/>
      <c r="B587" s="7"/>
      <c r="C587" s="19"/>
      <c r="D587" s="7"/>
      <c r="E587" s="7"/>
      <c r="F587" s="7"/>
      <c r="G587" s="7"/>
      <c r="H587" s="6"/>
      <c r="I587" s="7"/>
      <c r="J587" s="7"/>
      <c r="K587" s="7"/>
      <c r="L587" s="7"/>
      <c r="M587" s="52"/>
      <c r="N587" s="7"/>
      <c r="O587" s="7"/>
      <c r="P587" s="47"/>
      <c r="Q587" s="47"/>
      <c r="R587" s="7"/>
      <c r="S587" s="51"/>
      <c r="T587" s="51"/>
      <c r="U587" s="7"/>
      <c r="V587" s="57"/>
      <c r="W587" s="57"/>
      <c r="X587" s="57"/>
    </row>
    <row r="588" spans="1:24" ht="12.5" x14ac:dyDescent="0.25">
      <c r="A588" s="34"/>
      <c r="B588" s="7"/>
      <c r="C588" s="19"/>
      <c r="D588" s="7"/>
      <c r="E588" s="7"/>
      <c r="F588" s="7"/>
      <c r="G588" s="7"/>
      <c r="H588" s="6"/>
      <c r="I588" s="7"/>
      <c r="J588" s="7"/>
      <c r="K588" s="7"/>
      <c r="L588" s="7"/>
      <c r="M588" s="52"/>
      <c r="N588" s="7"/>
      <c r="O588" s="7"/>
      <c r="P588" s="47"/>
      <c r="Q588" s="47"/>
      <c r="R588" s="7"/>
      <c r="S588" s="51"/>
      <c r="T588" s="51"/>
      <c r="U588" s="7"/>
      <c r="V588" s="57"/>
      <c r="W588" s="57"/>
      <c r="X588" s="57"/>
    </row>
    <row r="589" spans="1:24" ht="12.5" x14ac:dyDescent="0.25">
      <c r="A589" s="34"/>
      <c r="B589" s="7"/>
      <c r="C589" s="19"/>
      <c r="D589" s="7"/>
      <c r="E589" s="7"/>
      <c r="F589" s="7"/>
      <c r="G589" s="7"/>
      <c r="H589" s="6"/>
      <c r="I589" s="7"/>
      <c r="J589" s="7"/>
      <c r="K589" s="7"/>
      <c r="L589" s="7"/>
      <c r="M589" s="52"/>
      <c r="N589" s="7"/>
      <c r="O589" s="7"/>
      <c r="P589" s="47"/>
      <c r="Q589" s="47"/>
      <c r="R589" s="7"/>
      <c r="S589" s="51"/>
      <c r="T589" s="51"/>
      <c r="U589" s="7"/>
      <c r="V589" s="57"/>
      <c r="W589" s="57"/>
      <c r="X589" s="57"/>
    </row>
    <row r="590" spans="1:24" ht="12.5" x14ac:dyDescent="0.25">
      <c r="A590" s="34"/>
      <c r="B590" s="7"/>
      <c r="C590" s="19"/>
      <c r="D590" s="7"/>
      <c r="E590" s="7"/>
      <c r="F590" s="7"/>
      <c r="G590" s="7"/>
      <c r="H590" s="6"/>
      <c r="I590" s="7"/>
      <c r="J590" s="7"/>
      <c r="K590" s="7"/>
      <c r="L590" s="7"/>
      <c r="M590" s="52"/>
      <c r="N590" s="7"/>
      <c r="O590" s="7"/>
      <c r="P590" s="47"/>
      <c r="Q590" s="47"/>
      <c r="R590" s="7"/>
      <c r="S590" s="51"/>
      <c r="T590" s="51"/>
      <c r="U590" s="7"/>
      <c r="V590" s="57"/>
      <c r="W590" s="57"/>
      <c r="X590" s="57"/>
    </row>
    <row r="591" spans="1:24" ht="12.5" x14ac:dyDescent="0.25">
      <c r="A591" s="34"/>
      <c r="B591" s="7"/>
      <c r="C591" s="19"/>
      <c r="D591" s="7"/>
      <c r="E591" s="7"/>
      <c r="F591" s="7"/>
      <c r="G591" s="7"/>
      <c r="H591" s="6"/>
      <c r="I591" s="7"/>
      <c r="J591" s="7"/>
      <c r="K591" s="7"/>
      <c r="L591" s="7"/>
      <c r="M591" s="52"/>
      <c r="N591" s="7"/>
      <c r="O591" s="7"/>
      <c r="P591" s="47"/>
      <c r="Q591" s="47"/>
      <c r="R591" s="7"/>
      <c r="S591" s="51"/>
      <c r="T591" s="51"/>
      <c r="U591" s="7"/>
      <c r="V591" s="57"/>
      <c r="W591" s="57"/>
      <c r="X591" s="57"/>
    </row>
    <row r="592" spans="1:24" ht="12.5" x14ac:dyDescent="0.25">
      <c r="A592" s="34"/>
      <c r="B592" s="7"/>
      <c r="C592" s="19"/>
      <c r="D592" s="7"/>
      <c r="E592" s="7"/>
      <c r="F592" s="7"/>
      <c r="G592" s="7"/>
      <c r="H592" s="6"/>
      <c r="I592" s="7"/>
      <c r="J592" s="7"/>
      <c r="K592" s="7"/>
      <c r="L592" s="7"/>
      <c r="M592" s="52"/>
      <c r="N592" s="7"/>
      <c r="O592" s="7"/>
      <c r="P592" s="47"/>
      <c r="Q592" s="47"/>
      <c r="R592" s="7"/>
      <c r="S592" s="51"/>
      <c r="T592" s="51"/>
      <c r="U592" s="7"/>
      <c r="V592" s="57"/>
      <c r="W592" s="57"/>
      <c r="X592" s="57"/>
    </row>
    <row r="593" spans="1:24" ht="12.5" x14ac:dyDescent="0.25">
      <c r="A593" s="34"/>
      <c r="B593" s="7"/>
      <c r="C593" s="19"/>
      <c r="D593" s="7"/>
      <c r="E593" s="7"/>
      <c r="F593" s="7"/>
      <c r="G593" s="7"/>
      <c r="H593" s="6"/>
      <c r="I593" s="7"/>
      <c r="J593" s="7"/>
      <c r="K593" s="7"/>
      <c r="L593" s="7"/>
      <c r="M593" s="52"/>
      <c r="N593" s="7"/>
      <c r="O593" s="7"/>
      <c r="P593" s="47"/>
      <c r="Q593" s="47"/>
      <c r="R593" s="7"/>
      <c r="S593" s="51"/>
      <c r="T593" s="51"/>
      <c r="U593" s="7"/>
      <c r="V593" s="57"/>
      <c r="W593" s="57"/>
      <c r="X593" s="57"/>
    </row>
    <row r="594" spans="1:24" ht="12.5" x14ac:dyDescent="0.25">
      <c r="A594" s="34"/>
      <c r="B594" s="7"/>
      <c r="C594" s="19"/>
      <c r="D594" s="7"/>
      <c r="E594" s="7"/>
      <c r="F594" s="7"/>
      <c r="G594" s="7"/>
      <c r="H594" s="6"/>
      <c r="I594" s="7"/>
      <c r="J594" s="7"/>
      <c r="K594" s="7"/>
      <c r="L594" s="7"/>
      <c r="M594" s="52"/>
      <c r="N594" s="7"/>
      <c r="O594" s="7"/>
      <c r="P594" s="47"/>
      <c r="Q594" s="47"/>
      <c r="R594" s="7"/>
      <c r="S594" s="51"/>
      <c r="T594" s="51"/>
      <c r="U594" s="7"/>
      <c r="V594" s="57"/>
      <c r="W594" s="57"/>
      <c r="X594" s="57"/>
    </row>
    <row r="595" spans="1:24" ht="12.5" x14ac:dyDescent="0.25">
      <c r="A595" s="34"/>
      <c r="B595" s="7"/>
      <c r="C595" s="19"/>
      <c r="D595" s="7"/>
      <c r="E595" s="7"/>
      <c r="F595" s="7"/>
      <c r="G595" s="7"/>
      <c r="H595" s="6"/>
      <c r="I595" s="7"/>
      <c r="J595" s="7"/>
      <c r="K595" s="7"/>
      <c r="L595" s="7"/>
      <c r="M595" s="52"/>
      <c r="N595" s="7"/>
      <c r="O595" s="7"/>
      <c r="P595" s="47"/>
      <c r="Q595" s="47"/>
      <c r="R595" s="7"/>
      <c r="S595" s="51"/>
      <c r="T595" s="51"/>
      <c r="U595" s="7"/>
      <c r="V595" s="57"/>
      <c r="W595" s="57"/>
      <c r="X595" s="57"/>
    </row>
    <row r="596" spans="1:24" ht="12.5" x14ac:dyDescent="0.25">
      <c r="A596" s="34"/>
      <c r="B596" s="7"/>
      <c r="C596" s="19"/>
      <c r="D596" s="7"/>
      <c r="E596" s="7"/>
      <c r="F596" s="7"/>
      <c r="G596" s="7"/>
      <c r="H596" s="6"/>
      <c r="I596" s="7"/>
      <c r="J596" s="7"/>
      <c r="K596" s="7"/>
      <c r="L596" s="7"/>
      <c r="M596" s="52"/>
      <c r="N596" s="7"/>
      <c r="O596" s="7"/>
      <c r="P596" s="47"/>
      <c r="Q596" s="47"/>
      <c r="R596" s="7"/>
      <c r="S596" s="51"/>
      <c r="T596" s="51"/>
      <c r="U596" s="7"/>
      <c r="V596" s="57"/>
      <c r="W596" s="57"/>
      <c r="X596" s="57"/>
    </row>
    <row r="597" spans="1:24" ht="12.5" x14ac:dyDescent="0.25">
      <c r="A597" s="34"/>
      <c r="B597" s="7"/>
      <c r="C597" s="19"/>
      <c r="D597" s="7"/>
      <c r="E597" s="7"/>
      <c r="F597" s="7"/>
      <c r="G597" s="7"/>
      <c r="H597" s="6"/>
      <c r="I597" s="7"/>
      <c r="J597" s="7"/>
      <c r="K597" s="7"/>
      <c r="L597" s="7"/>
      <c r="M597" s="52"/>
      <c r="N597" s="7"/>
      <c r="O597" s="7"/>
      <c r="P597" s="47"/>
      <c r="Q597" s="47"/>
      <c r="R597" s="7"/>
      <c r="S597" s="51"/>
      <c r="T597" s="51"/>
      <c r="U597" s="7"/>
      <c r="V597" s="57"/>
      <c r="W597" s="57"/>
      <c r="X597" s="57"/>
    </row>
    <row r="598" spans="1:24" ht="12.5" x14ac:dyDescent="0.25">
      <c r="A598" s="34"/>
      <c r="B598" s="7"/>
      <c r="C598" s="19"/>
      <c r="D598" s="7"/>
      <c r="E598" s="7"/>
      <c r="F598" s="7"/>
      <c r="G598" s="7"/>
      <c r="H598" s="6"/>
      <c r="I598" s="7"/>
      <c r="J598" s="7"/>
      <c r="K598" s="7"/>
      <c r="L598" s="7"/>
      <c r="M598" s="52"/>
      <c r="N598" s="7"/>
      <c r="O598" s="7"/>
      <c r="P598" s="47"/>
      <c r="Q598" s="47"/>
      <c r="R598" s="7"/>
      <c r="S598" s="51"/>
      <c r="T598" s="51"/>
      <c r="U598" s="7"/>
      <c r="V598" s="57"/>
      <c r="W598" s="57"/>
      <c r="X598" s="57"/>
    </row>
    <row r="599" spans="1:24" ht="12.5" x14ac:dyDescent="0.25">
      <c r="A599" s="34"/>
      <c r="B599" s="7"/>
      <c r="C599" s="19"/>
      <c r="D599" s="7"/>
      <c r="E599" s="7"/>
      <c r="F599" s="7"/>
      <c r="G599" s="7"/>
      <c r="H599" s="6"/>
      <c r="I599" s="7"/>
      <c r="J599" s="7"/>
      <c r="K599" s="7"/>
      <c r="L599" s="7"/>
      <c r="M599" s="52"/>
      <c r="N599" s="7"/>
      <c r="O599" s="7"/>
      <c r="P599" s="47"/>
      <c r="Q599" s="47"/>
      <c r="R599" s="7"/>
      <c r="S599" s="51"/>
      <c r="T599" s="51"/>
      <c r="U599" s="7"/>
      <c r="V599" s="57"/>
      <c r="W599" s="57"/>
      <c r="X599" s="57"/>
    </row>
    <row r="600" spans="1:24" ht="12.5" x14ac:dyDescent="0.25">
      <c r="A600" s="34"/>
      <c r="B600" s="7"/>
      <c r="C600" s="19"/>
      <c r="D600" s="7"/>
      <c r="E600" s="7"/>
      <c r="F600" s="7"/>
      <c r="G600" s="7"/>
      <c r="H600" s="6"/>
      <c r="I600" s="7"/>
      <c r="J600" s="7"/>
      <c r="K600" s="7"/>
      <c r="L600" s="7"/>
      <c r="M600" s="52"/>
      <c r="N600" s="7"/>
      <c r="O600" s="7"/>
      <c r="P600" s="47"/>
      <c r="Q600" s="47"/>
      <c r="R600" s="7"/>
      <c r="S600" s="51"/>
      <c r="T600" s="51"/>
      <c r="U600" s="7"/>
      <c r="V600" s="57"/>
      <c r="W600" s="57"/>
      <c r="X600" s="57"/>
    </row>
    <row r="601" spans="1:24" ht="12.5" x14ac:dyDescent="0.25">
      <c r="A601" s="34"/>
      <c r="B601" s="7"/>
      <c r="C601" s="19"/>
      <c r="D601" s="7"/>
      <c r="E601" s="7"/>
      <c r="F601" s="7"/>
      <c r="G601" s="7"/>
      <c r="H601" s="6"/>
      <c r="I601" s="7"/>
      <c r="J601" s="7"/>
      <c r="K601" s="7"/>
      <c r="L601" s="7"/>
      <c r="M601" s="52"/>
      <c r="N601" s="7"/>
      <c r="O601" s="7"/>
      <c r="P601" s="47"/>
      <c r="Q601" s="47"/>
      <c r="R601" s="7"/>
      <c r="S601" s="51"/>
      <c r="T601" s="51"/>
      <c r="U601" s="7"/>
      <c r="V601" s="57"/>
      <c r="W601" s="57"/>
      <c r="X601" s="57"/>
    </row>
    <row r="602" spans="1:24" ht="12.5" x14ac:dyDescent="0.25">
      <c r="A602" s="34"/>
      <c r="B602" s="7"/>
      <c r="C602" s="19"/>
      <c r="D602" s="7"/>
      <c r="E602" s="7"/>
      <c r="F602" s="7"/>
      <c r="G602" s="7"/>
      <c r="H602" s="6"/>
      <c r="I602" s="7"/>
      <c r="J602" s="7"/>
      <c r="K602" s="7"/>
      <c r="L602" s="7"/>
      <c r="M602" s="52"/>
      <c r="N602" s="7"/>
      <c r="O602" s="7"/>
      <c r="P602" s="47"/>
      <c r="Q602" s="47"/>
      <c r="R602" s="7"/>
      <c r="S602" s="51"/>
      <c r="T602" s="51"/>
      <c r="U602" s="7"/>
      <c r="V602" s="57"/>
      <c r="W602" s="57"/>
      <c r="X602" s="57"/>
    </row>
    <row r="603" spans="1:24" ht="12.5" x14ac:dyDescent="0.25">
      <c r="A603" s="34"/>
      <c r="B603" s="7"/>
      <c r="C603" s="19"/>
      <c r="D603" s="7"/>
      <c r="E603" s="7"/>
      <c r="F603" s="7"/>
      <c r="G603" s="7"/>
      <c r="H603" s="6"/>
      <c r="I603" s="7"/>
      <c r="J603" s="7"/>
      <c r="K603" s="7"/>
      <c r="L603" s="7"/>
      <c r="M603" s="52"/>
      <c r="N603" s="7"/>
      <c r="O603" s="7"/>
      <c r="P603" s="47"/>
      <c r="Q603" s="47"/>
      <c r="R603" s="7"/>
      <c r="S603" s="51"/>
      <c r="T603" s="51"/>
      <c r="U603" s="7"/>
      <c r="V603" s="57"/>
      <c r="W603" s="57"/>
      <c r="X603" s="57"/>
    </row>
    <row r="604" spans="1:24" ht="12.5" x14ac:dyDescent="0.25">
      <c r="A604" s="34"/>
      <c r="B604" s="7"/>
      <c r="C604" s="19"/>
      <c r="D604" s="7"/>
      <c r="E604" s="7"/>
      <c r="F604" s="7"/>
      <c r="G604" s="7"/>
      <c r="H604" s="6"/>
      <c r="I604" s="7"/>
      <c r="J604" s="7"/>
      <c r="K604" s="7"/>
      <c r="L604" s="7"/>
      <c r="M604" s="52"/>
      <c r="N604" s="7"/>
      <c r="O604" s="7"/>
      <c r="P604" s="47"/>
      <c r="Q604" s="47"/>
      <c r="R604" s="7"/>
      <c r="S604" s="51"/>
      <c r="T604" s="51"/>
      <c r="U604" s="7"/>
      <c r="V604" s="57"/>
      <c r="W604" s="57"/>
      <c r="X604" s="57"/>
    </row>
    <row r="605" spans="1:24" ht="12.5" x14ac:dyDescent="0.25">
      <c r="A605" s="34"/>
      <c r="B605" s="7"/>
      <c r="C605" s="19"/>
      <c r="D605" s="7"/>
      <c r="E605" s="7"/>
      <c r="F605" s="7"/>
      <c r="G605" s="7"/>
      <c r="H605" s="6"/>
      <c r="I605" s="7"/>
      <c r="J605" s="7"/>
      <c r="K605" s="7"/>
      <c r="L605" s="7"/>
      <c r="M605" s="52"/>
      <c r="N605" s="7"/>
      <c r="O605" s="7"/>
      <c r="P605" s="47"/>
      <c r="Q605" s="47"/>
      <c r="R605" s="7"/>
      <c r="S605" s="51"/>
      <c r="T605" s="51"/>
      <c r="U605" s="7"/>
      <c r="V605" s="57"/>
      <c r="W605" s="57"/>
      <c r="X605" s="57"/>
    </row>
    <row r="606" spans="1:24" ht="12.5" x14ac:dyDescent="0.25">
      <c r="A606" s="34"/>
      <c r="B606" s="7"/>
      <c r="C606" s="19"/>
      <c r="D606" s="7"/>
      <c r="E606" s="7"/>
      <c r="F606" s="7"/>
      <c r="G606" s="7"/>
      <c r="H606" s="6"/>
      <c r="I606" s="7"/>
      <c r="J606" s="7"/>
      <c r="K606" s="7"/>
      <c r="L606" s="7"/>
      <c r="M606" s="52"/>
      <c r="N606" s="7"/>
      <c r="O606" s="7"/>
      <c r="P606" s="47"/>
      <c r="Q606" s="47"/>
      <c r="R606" s="7"/>
      <c r="S606" s="51"/>
      <c r="T606" s="51"/>
      <c r="U606" s="7"/>
      <c r="V606" s="57"/>
      <c r="W606" s="57"/>
      <c r="X606" s="57"/>
    </row>
    <row r="607" spans="1:24" ht="12.5" x14ac:dyDescent="0.25">
      <c r="A607" s="34"/>
      <c r="B607" s="7"/>
      <c r="C607" s="19"/>
      <c r="D607" s="7"/>
      <c r="E607" s="7"/>
      <c r="F607" s="7"/>
      <c r="G607" s="7"/>
      <c r="H607" s="6"/>
      <c r="I607" s="7"/>
      <c r="J607" s="7"/>
      <c r="K607" s="7"/>
      <c r="L607" s="7"/>
      <c r="M607" s="52"/>
      <c r="N607" s="7"/>
      <c r="O607" s="7"/>
      <c r="P607" s="47"/>
      <c r="Q607" s="47"/>
      <c r="R607" s="7"/>
      <c r="S607" s="51"/>
      <c r="T607" s="51"/>
      <c r="U607" s="7"/>
      <c r="V607" s="57"/>
      <c r="W607" s="57"/>
      <c r="X607" s="57"/>
    </row>
    <row r="608" spans="1:24" ht="12.5" x14ac:dyDescent="0.25">
      <c r="A608" s="34"/>
      <c r="B608" s="7"/>
      <c r="C608" s="19"/>
      <c r="D608" s="7"/>
      <c r="E608" s="7"/>
      <c r="F608" s="7"/>
      <c r="G608" s="7"/>
      <c r="H608" s="6"/>
      <c r="I608" s="7"/>
      <c r="J608" s="7"/>
      <c r="K608" s="7"/>
      <c r="L608" s="7"/>
      <c r="M608" s="52"/>
      <c r="N608" s="7"/>
      <c r="O608" s="7"/>
      <c r="P608" s="47"/>
      <c r="Q608" s="47"/>
      <c r="R608" s="7"/>
      <c r="S608" s="51"/>
      <c r="T608" s="51"/>
      <c r="U608" s="7"/>
      <c r="V608" s="57"/>
      <c r="W608" s="57"/>
      <c r="X608" s="57"/>
    </row>
    <row r="609" spans="1:24" ht="12.5" x14ac:dyDescent="0.25">
      <c r="A609" s="34"/>
      <c r="B609" s="7"/>
      <c r="C609" s="19"/>
      <c r="D609" s="7"/>
      <c r="E609" s="7"/>
      <c r="F609" s="7"/>
      <c r="G609" s="7"/>
      <c r="H609" s="6"/>
      <c r="I609" s="7"/>
      <c r="J609" s="7"/>
      <c r="K609" s="7"/>
      <c r="L609" s="7"/>
      <c r="M609" s="52"/>
      <c r="N609" s="7"/>
      <c r="O609" s="7"/>
      <c r="P609" s="47"/>
      <c r="Q609" s="47"/>
      <c r="R609" s="7"/>
      <c r="S609" s="51"/>
      <c r="T609" s="51"/>
      <c r="U609" s="7"/>
      <c r="V609" s="57"/>
      <c r="W609" s="57"/>
      <c r="X609" s="57"/>
    </row>
    <row r="610" spans="1:24" ht="12.5" x14ac:dyDescent="0.25">
      <c r="A610" s="34"/>
      <c r="B610" s="7"/>
      <c r="C610" s="19"/>
      <c r="D610" s="7"/>
      <c r="E610" s="7"/>
      <c r="F610" s="7"/>
      <c r="G610" s="7"/>
      <c r="H610" s="6"/>
      <c r="I610" s="7"/>
      <c r="J610" s="7"/>
      <c r="K610" s="7"/>
      <c r="L610" s="7"/>
      <c r="M610" s="52"/>
      <c r="N610" s="7"/>
      <c r="O610" s="7"/>
      <c r="P610" s="47"/>
      <c r="Q610" s="47"/>
      <c r="R610" s="7"/>
      <c r="S610" s="51"/>
      <c r="T610" s="51"/>
      <c r="U610" s="7"/>
      <c r="V610" s="57"/>
      <c r="W610" s="57"/>
      <c r="X610" s="57"/>
    </row>
    <row r="611" spans="1:24" ht="12.5" x14ac:dyDescent="0.25">
      <c r="A611" s="34"/>
      <c r="B611" s="7"/>
      <c r="C611" s="19"/>
      <c r="D611" s="7"/>
      <c r="E611" s="7"/>
      <c r="F611" s="7"/>
      <c r="G611" s="7"/>
      <c r="H611" s="6"/>
      <c r="I611" s="7"/>
      <c r="J611" s="7"/>
      <c r="K611" s="7"/>
      <c r="L611" s="7"/>
      <c r="M611" s="52"/>
      <c r="N611" s="7"/>
      <c r="O611" s="7"/>
      <c r="P611" s="47"/>
      <c r="Q611" s="47"/>
      <c r="R611" s="7"/>
      <c r="S611" s="51"/>
      <c r="T611" s="51"/>
      <c r="U611" s="7"/>
      <c r="V611" s="57"/>
      <c r="W611" s="57"/>
      <c r="X611" s="57"/>
    </row>
    <row r="612" spans="1:24" ht="12.5" x14ac:dyDescent="0.25">
      <c r="A612" s="34"/>
      <c r="B612" s="7"/>
      <c r="C612" s="19"/>
      <c r="D612" s="7"/>
      <c r="E612" s="7"/>
      <c r="F612" s="7"/>
      <c r="G612" s="7"/>
      <c r="H612" s="6"/>
      <c r="I612" s="7"/>
      <c r="J612" s="7"/>
      <c r="K612" s="7"/>
      <c r="L612" s="7"/>
      <c r="M612" s="52"/>
      <c r="N612" s="7"/>
      <c r="O612" s="7"/>
      <c r="P612" s="47"/>
      <c r="Q612" s="47"/>
      <c r="R612" s="7"/>
      <c r="S612" s="51"/>
      <c r="T612" s="51"/>
      <c r="U612" s="7"/>
      <c r="V612" s="57"/>
      <c r="W612" s="57"/>
      <c r="X612" s="57"/>
    </row>
    <row r="613" spans="1:24" ht="12.5" x14ac:dyDescent="0.25">
      <c r="A613" s="34"/>
      <c r="B613" s="7"/>
      <c r="C613" s="19"/>
      <c r="D613" s="7"/>
      <c r="E613" s="7"/>
      <c r="F613" s="7"/>
      <c r="G613" s="7"/>
      <c r="H613" s="6"/>
      <c r="I613" s="7"/>
      <c r="J613" s="7"/>
      <c r="K613" s="7"/>
      <c r="L613" s="7"/>
      <c r="M613" s="52"/>
      <c r="N613" s="7"/>
      <c r="O613" s="7"/>
      <c r="P613" s="47"/>
      <c r="Q613" s="47"/>
      <c r="R613" s="7"/>
      <c r="S613" s="51"/>
      <c r="T613" s="51"/>
      <c r="U613" s="7"/>
      <c r="V613" s="57"/>
      <c r="W613" s="57"/>
      <c r="X613" s="57"/>
    </row>
    <row r="614" spans="1:24" ht="12.5" x14ac:dyDescent="0.25">
      <c r="A614" s="34"/>
      <c r="B614" s="7"/>
      <c r="C614" s="19"/>
      <c r="D614" s="7"/>
      <c r="E614" s="7"/>
      <c r="F614" s="7"/>
      <c r="G614" s="7"/>
      <c r="H614" s="6"/>
      <c r="I614" s="7"/>
      <c r="J614" s="7"/>
      <c r="K614" s="7"/>
      <c r="L614" s="7"/>
      <c r="M614" s="52"/>
      <c r="N614" s="7"/>
      <c r="O614" s="7"/>
      <c r="P614" s="47"/>
      <c r="Q614" s="47"/>
      <c r="R614" s="7"/>
      <c r="S614" s="51"/>
      <c r="T614" s="51"/>
      <c r="U614" s="7"/>
      <c r="V614" s="57"/>
      <c r="W614" s="57"/>
      <c r="X614" s="57"/>
    </row>
    <row r="615" spans="1:24" ht="12.5" x14ac:dyDescent="0.25">
      <c r="A615" s="34"/>
      <c r="B615" s="7"/>
      <c r="C615" s="19"/>
      <c r="D615" s="7"/>
      <c r="E615" s="7"/>
      <c r="F615" s="7"/>
      <c r="G615" s="7"/>
      <c r="H615" s="6"/>
      <c r="I615" s="7"/>
      <c r="J615" s="7"/>
      <c r="K615" s="7"/>
      <c r="L615" s="7"/>
      <c r="M615" s="52"/>
      <c r="N615" s="7"/>
      <c r="O615" s="7"/>
      <c r="P615" s="47"/>
      <c r="Q615" s="47"/>
      <c r="R615" s="7"/>
      <c r="S615" s="51"/>
      <c r="T615" s="51"/>
      <c r="U615" s="7"/>
      <c r="V615" s="57"/>
      <c r="W615" s="57"/>
      <c r="X615" s="57"/>
    </row>
    <row r="616" spans="1:24" ht="12.5" x14ac:dyDescent="0.25">
      <c r="A616" s="34"/>
      <c r="B616" s="7"/>
      <c r="C616" s="19"/>
      <c r="D616" s="7"/>
      <c r="E616" s="7"/>
      <c r="F616" s="7"/>
      <c r="G616" s="7"/>
      <c r="H616" s="6"/>
      <c r="I616" s="7"/>
      <c r="J616" s="7"/>
      <c r="K616" s="7"/>
      <c r="L616" s="7"/>
      <c r="M616" s="52"/>
      <c r="N616" s="7"/>
      <c r="O616" s="7"/>
      <c r="P616" s="47"/>
      <c r="Q616" s="47"/>
      <c r="R616" s="7"/>
      <c r="S616" s="51"/>
      <c r="T616" s="51"/>
      <c r="U616" s="7"/>
      <c r="V616" s="57"/>
      <c r="W616" s="57"/>
      <c r="X616" s="57"/>
    </row>
    <row r="617" spans="1:24" ht="12.5" x14ac:dyDescent="0.25">
      <c r="A617" s="34"/>
      <c r="B617" s="7"/>
      <c r="C617" s="19"/>
      <c r="D617" s="7"/>
      <c r="E617" s="7"/>
      <c r="F617" s="7"/>
      <c r="G617" s="7"/>
      <c r="H617" s="6"/>
      <c r="I617" s="7"/>
      <c r="J617" s="7"/>
      <c r="K617" s="7"/>
      <c r="L617" s="7"/>
      <c r="M617" s="52"/>
      <c r="N617" s="7"/>
      <c r="O617" s="7"/>
      <c r="P617" s="47"/>
      <c r="Q617" s="47"/>
      <c r="R617" s="7"/>
      <c r="S617" s="51"/>
      <c r="T617" s="51"/>
      <c r="U617" s="7"/>
      <c r="V617" s="57"/>
      <c r="W617" s="57"/>
      <c r="X617" s="57"/>
    </row>
    <row r="618" spans="1:24" ht="12.5" x14ac:dyDescent="0.25">
      <c r="A618" s="34"/>
      <c r="B618" s="7"/>
      <c r="C618" s="19"/>
      <c r="D618" s="7"/>
      <c r="E618" s="7"/>
      <c r="F618" s="7"/>
      <c r="G618" s="7"/>
      <c r="H618" s="6"/>
      <c r="I618" s="7"/>
      <c r="J618" s="7"/>
      <c r="K618" s="7"/>
      <c r="L618" s="7"/>
      <c r="M618" s="52"/>
      <c r="N618" s="7"/>
      <c r="O618" s="7"/>
      <c r="P618" s="47"/>
      <c r="Q618" s="47"/>
      <c r="R618" s="7"/>
      <c r="S618" s="51"/>
      <c r="T618" s="51"/>
      <c r="U618" s="7"/>
      <c r="V618" s="57"/>
      <c r="W618" s="57"/>
      <c r="X618" s="57"/>
    </row>
    <row r="619" spans="1:24" ht="12.5" x14ac:dyDescent="0.25">
      <c r="A619" s="34"/>
      <c r="B619" s="7"/>
      <c r="C619" s="19"/>
      <c r="D619" s="7"/>
      <c r="E619" s="7"/>
      <c r="F619" s="7"/>
      <c r="G619" s="7"/>
      <c r="H619" s="6"/>
      <c r="I619" s="7"/>
      <c r="J619" s="7"/>
      <c r="K619" s="7"/>
      <c r="L619" s="7"/>
      <c r="M619" s="52"/>
      <c r="N619" s="7"/>
      <c r="O619" s="7"/>
      <c r="P619" s="47"/>
      <c r="Q619" s="47"/>
      <c r="R619" s="7"/>
      <c r="S619" s="51"/>
      <c r="T619" s="51"/>
      <c r="U619" s="7"/>
      <c r="V619" s="57"/>
      <c r="W619" s="57"/>
      <c r="X619" s="57"/>
    </row>
    <row r="620" spans="1:24" ht="12.5" x14ac:dyDescent="0.25">
      <c r="A620" s="34"/>
      <c r="B620" s="7"/>
      <c r="C620" s="19"/>
      <c r="D620" s="7"/>
      <c r="E620" s="7"/>
      <c r="F620" s="7"/>
      <c r="G620" s="7"/>
      <c r="H620" s="6"/>
      <c r="I620" s="7"/>
      <c r="J620" s="7"/>
      <c r="K620" s="7"/>
      <c r="L620" s="7"/>
      <c r="M620" s="52"/>
      <c r="N620" s="7"/>
      <c r="O620" s="7"/>
      <c r="P620" s="47"/>
      <c r="Q620" s="47"/>
      <c r="R620" s="7"/>
      <c r="S620" s="51"/>
      <c r="T620" s="51"/>
      <c r="U620" s="7"/>
      <c r="V620" s="57"/>
      <c r="W620" s="57"/>
      <c r="X620" s="57"/>
    </row>
    <row r="621" spans="1:24" ht="12.5" x14ac:dyDescent="0.25">
      <c r="A621" s="34"/>
      <c r="B621" s="7"/>
      <c r="C621" s="19"/>
      <c r="D621" s="7"/>
      <c r="E621" s="7"/>
      <c r="F621" s="7"/>
      <c r="G621" s="7"/>
      <c r="H621" s="6"/>
      <c r="I621" s="7"/>
      <c r="J621" s="7"/>
      <c r="K621" s="7"/>
      <c r="L621" s="7"/>
      <c r="M621" s="52"/>
      <c r="N621" s="7"/>
      <c r="O621" s="7"/>
      <c r="P621" s="47"/>
      <c r="Q621" s="47"/>
      <c r="R621" s="7"/>
      <c r="S621" s="51"/>
      <c r="T621" s="51"/>
      <c r="U621" s="7"/>
      <c r="V621" s="57"/>
      <c r="W621" s="57"/>
      <c r="X621" s="57"/>
    </row>
    <row r="622" spans="1:24" ht="12.5" x14ac:dyDescent="0.25">
      <c r="A622" s="34"/>
      <c r="B622" s="7"/>
      <c r="C622" s="19"/>
      <c r="D622" s="7"/>
      <c r="E622" s="7"/>
      <c r="F622" s="7"/>
      <c r="G622" s="7"/>
      <c r="H622" s="6"/>
      <c r="I622" s="7"/>
      <c r="J622" s="7"/>
      <c r="K622" s="7"/>
      <c r="L622" s="7"/>
      <c r="M622" s="52"/>
      <c r="N622" s="7"/>
      <c r="O622" s="7"/>
      <c r="P622" s="47"/>
      <c r="Q622" s="47"/>
      <c r="R622" s="7"/>
      <c r="S622" s="51"/>
      <c r="T622" s="51"/>
      <c r="U622" s="7"/>
      <c r="V622" s="57"/>
      <c r="W622" s="57"/>
      <c r="X622" s="57"/>
    </row>
    <row r="623" spans="1:24" ht="12.5" x14ac:dyDescent="0.25">
      <c r="A623" s="34"/>
      <c r="B623" s="7"/>
      <c r="C623" s="19"/>
      <c r="D623" s="7"/>
      <c r="E623" s="7"/>
      <c r="F623" s="7"/>
      <c r="G623" s="7"/>
      <c r="H623" s="6"/>
      <c r="I623" s="7"/>
      <c r="J623" s="7"/>
      <c r="K623" s="7"/>
      <c r="L623" s="7"/>
      <c r="M623" s="52"/>
      <c r="N623" s="7"/>
      <c r="O623" s="7"/>
      <c r="P623" s="47"/>
      <c r="Q623" s="47"/>
      <c r="R623" s="7"/>
      <c r="S623" s="51"/>
      <c r="T623" s="51"/>
      <c r="U623" s="7"/>
      <c r="V623" s="57"/>
      <c r="W623" s="57"/>
      <c r="X623" s="57"/>
    </row>
    <row r="624" spans="1:24" ht="12.5" x14ac:dyDescent="0.25">
      <c r="A624" s="34"/>
      <c r="B624" s="7"/>
      <c r="C624" s="19"/>
      <c r="D624" s="7"/>
      <c r="E624" s="7"/>
      <c r="F624" s="7"/>
      <c r="G624" s="7"/>
      <c r="H624" s="6"/>
      <c r="I624" s="7"/>
      <c r="J624" s="7"/>
      <c r="K624" s="7"/>
      <c r="L624" s="7"/>
      <c r="M624" s="52"/>
      <c r="N624" s="7"/>
      <c r="O624" s="7"/>
      <c r="P624" s="47"/>
      <c r="Q624" s="47"/>
      <c r="R624" s="7"/>
      <c r="S624" s="51"/>
      <c r="T624" s="51"/>
      <c r="U624" s="7"/>
      <c r="V624" s="57"/>
      <c r="W624" s="57"/>
      <c r="X624" s="57"/>
    </row>
    <row r="625" spans="1:24" ht="12.5" x14ac:dyDescent="0.25">
      <c r="A625" s="34"/>
      <c r="B625" s="7"/>
      <c r="C625" s="19"/>
      <c r="D625" s="7"/>
      <c r="E625" s="7"/>
      <c r="F625" s="7"/>
      <c r="G625" s="7"/>
      <c r="H625" s="6"/>
      <c r="I625" s="7"/>
      <c r="J625" s="7"/>
      <c r="K625" s="7"/>
      <c r="L625" s="7"/>
      <c r="M625" s="52"/>
      <c r="N625" s="7"/>
      <c r="O625" s="7"/>
      <c r="P625" s="47"/>
      <c r="Q625" s="47"/>
      <c r="R625" s="7"/>
      <c r="S625" s="51"/>
      <c r="T625" s="51"/>
      <c r="U625" s="7"/>
      <c r="V625" s="57"/>
      <c r="W625" s="57"/>
      <c r="X625" s="57"/>
    </row>
    <row r="626" spans="1:24" ht="12.5" x14ac:dyDescent="0.25">
      <c r="A626" s="34"/>
      <c r="B626" s="7"/>
      <c r="C626" s="19"/>
      <c r="D626" s="7"/>
      <c r="E626" s="7"/>
      <c r="F626" s="7"/>
      <c r="G626" s="7"/>
      <c r="H626" s="6"/>
      <c r="I626" s="7"/>
      <c r="J626" s="7"/>
      <c r="K626" s="7"/>
      <c r="L626" s="7"/>
      <c r="M626" s="52"/>
      <c r="N626" s="7"/>
      <c r="O626" s="7"/>
      <c r="P626" s="47"/>
      <c r="Q626" s="47"/>
      <c r="R626" s="7"/>
      <c r="S626" s="51"/>
      <c r="T626" s="51"/>
      <c r="U626" s="7"/>
      <c r="V626" s="57"/>
      <c r="W626" s="57"/>
      <c r="X626" s="57"/>
    </row>
    <row r="627" spans="1:24" ht="12.5" x14ac:dyDescent="0.25">
      <c r="A627" s="34"/>
      <c r="B627" s="7"/>
      <c r="C627" s="19"/>
      <c r="D627" s="7"/>
      <c r="E627" s="7"/>
      <c r="F627" s="7"/>
      <c r="G627" s="7"/>
      <c r="H627" s="6"/>
      <c r="I627" s="7"/>
      <c r="J627" s="7"/>
      <c r="K627" s="7"/>
      <c r="L627" s="7"/>
      <c r="M627" s="52"/>
      <c r="N627" s="7"/>
      <c r="O627" s="7"/>
      <c r="P627" s="47"/>
      <c r="Q627" s="47"/>
      <c r="R627" s="7"/>
      <c r="S627" s="51"/>
      <c r="T627" s="51"/>
      <c r="U627" s="7"/>
      <c r="V627" s="57"/>
      <c r="W627" s="57"/>
      <c r="X627" s="57"/>
    </row>
    <row r="628" spans="1:24" ht="12.5" x14ac:dyDescent="0.25">
      <c r="A628" s="34"/>
      <c r="B628" s="7"/>
      <c r="C628" s="19"/>
      <c r="D628" s="7"/>
      <c r="E628" s="7"/>
      <c r="F628" s="7"/>
      <c r="G628" s="7"/>
      <c r="H628" s="6"/>
      <c r="I628" s="7"/>
      <c r="J628" s="7"/>
      <c r="K628" s="7"/>
      <c r="L628" s="7"/>
      <c r="M628" s="52"/>
      <c r="N628" s="7"/>
      <c r="O628" s="7"/>
      <c r="P628" s="47"/>
      <c r="Q628" s="47"/>
      <c r="R628" s="7"/>
      <c r="S628" s="51"/>
      <c r="T628" s="51"/>
      <c r="U628" s="7"/>
      <c r="V628" s="57"/>
      <c r="W628" s="57"/>
      <c r="X628" s="57"/>
    </row>
    <row r="629" spans="1:24" ht="12.5" x14ac:dyDescent="0.25">
      <c r="A629" s="34"/>
      <c r="B629" s="7"/>
      <c r="C629" s="19"/>
      <c r="D629" s="7"/>
      <c r="E629" s="7"/>
      <c r="F629" s="7"/>
      <c r="G629" s="7"/>
      <c r="H629" s="6"/>
      <c r="I629" s="7"/>
      <c r="J629" s="7"/>
      <c r="K629" s="7"/>
      <c r="L629" s="7"/>
      <c r="M629" s="52"/>
      <c r="N629" s="7"/>
      <c r="O629" s="7"/>
      <c r="P629" s="47"/>
      <c r="Q629" s="47"/>
      <c r="R629" s="7"/>
      <c r="S629" s="51"/>
      <c r="T629" s="51"/>
      <c r="U629" s="7"/>
      <c r="V629" s="57"/>
      <c r="W629" s="57"/>
      <c r="X629" s="57"/>
    </row>
    <row r="630" spans="1:24" ht="12.5" x14ac:dyDescent="0.25">
      <c r="A630" s="34"/>
      <c r="B630" s="7"/>
      <c r="C630" s="19"/>
      <c r="D630" s="7"/>
      <c r="E630" s="7"/>
      <c r="F630" s="7"/>
      <c r="G630" s="7"/>
      <c r="H630" s="6"/>
      <c r="I630" s="7"/>
      <c r="J630" s="7"/>
      <c r="K630" s="7"/>
      <c r="L630" s="7"/>
      <c r="M630" s="52"/>
      <c r="N630" s="7"/>
      <c r="O630" s="7"/>
      <c r="P630" s="47"/>
      <c r="Q630" s="47"/>
      <c r="R630" s="7"/>
      <c r="S630" s="51"/>
      <c r="T630" s="51"/>
      <c r="U630" s="7"/>
      <c r="V630" s="57"/>
      <c r="W630" s="57"/>
      <c r="X630" s="57"/>
    </row>
    <row r="631" spans="1:24" ht="12.5" x14ac:dyDescent="0.25">
      <c r="A631" s="34"/>
      <c r="B631" s="7"/>
      <c r="C631" s="19"/>
      <c r="D631" s="7"/>
      <c r="E631" s="7"/>
      <c r="F631" s="7"/>
      <c r="G631" s="7"/>
      <c r="H631" s="6"/>
      <c r="I631" s="7"/>
      <c r="J631" s="7"/>
      <c r="K631" s="7"/>
      <c r="L631" s="7"/>
      <c r="M631" s="52"/>
      <c r="N631" s="7"/>
      <c r="O631" s="7"/>
      <c r="P631" s="47"/>
      <c r="Q631" s="47"/>
      <c r="R631" s="7"/>
      <c r="S631" s="51"/>
      <c r="T631" s="51"/>
      <c r="U631" s="7"/>
      <c r="V631" s="57"/>
      <c r="W631" s="57"/>
      <c r="X631" s="57"/>
    </row>
    <row r="632" spans="1:24" ht="12.5" x14ac:dyDescent="0.25">
      <c r="A632" s="34"/>
      <c r="B632" s="7"/>
      <c r="C632" s="19"/>
      <c r="D632" s="7"/>
      <c r="E632" s="7"/>
      <c r="F632" s="7"/>
      <c r="G632" s="7"/>
      <c r="H632" s="6"/>
      <c r="I632" s="7"/>
      <c r="J632" s="7"/>
      <c r="K632" s="7"/>
      <c r="L632" s="7"/>
      <c r="M632" s="52"/>
      <c r="N632" s="7"/>
      <c r="O632" s="7"/>
      <c r="P632" s="47"/>
      <c r="Q632" s="47"/>
      <c r="R632" s="7"/>
      <c r="S632" s="51"/>
      <c r="T632" s="51"/>
      <c r="U632" s="7"/>
      <c r="V632" s="57"/>
      <c r="W632" s="57"/>
      <c r="X632" s="57"/>
    </row>
    <row r="633" spans="1:24" ht="12.5" x14ac:dyDescent="0.25">
      <c r="A633" s="34"/>
      <c r="B633" s="7"/>
      <c r="C633" s="19"/>
      <c r="D633" s="7"/>
      <c r="E633" s="7"/>
      <c r="F633" s="7"/>
      <c r="G633" s="7"/>
      <c r="H633" s="6"/>
      <c r="I633" s="7"/>
      <c r="J633" s="7"/>
      <c r="K633" s="7"/>
      <c r="L633" s="7"/>
      <c r="M633" s="52"/>
      <c r="N633" s="7"/>
      <c r="O633" s="7"/>
      <c r="P633" s="47"/>
      <c r="Q633" s="47"/>
      <c r="R633" s="7"/>
      <c r="S633" s="51"/>
      <c r="T633" s="51"/>
      <c r="U633" s="7"/>
      <c r="V633" s="57"/>
      <c r="W633" s="57"/>
      <c r="X633" s="57"/>
    </row>
    <row r="634" spans="1:24" ht="12.5" x14ac:dyDescent="0.25">
      <c r="A634" s="34"/>
      <c r="B634" s="7"/>
      <c r="C634" s="19"/>
      <c r="D634" s="7"/>
      <c r="E634" s="7"/>
      <c r="F634" s="7"/>
      <c r="G634" s="7"/>
      <c r="H634" s="6"/>
      <c r="I634" s="7"/>
      <c r="J634" s="7"/>
      <c r="K634" s="7"/>
      <c r="L634" s="7"/>
      <c r="M634" s="52"/>
      <c r="N634" s="7"/>
      <c r="O634" s="7"/>
      <c r="P634" s="47"/>
      <c r="Q634" s="47"/>
      <c r="R634" s="7"/>
      <c r="S634" s="51"/>
      <c r="T634" s="51"/>
      <c r="U634" s="7"/>
      <c r="V634" s="57"/>
      <c r="W634" s="57"/>
      <c r="X634" s="57"/>
    </row>
    <row r="635" spans="1:24" ht="12.5" x14ac:dyDescent="0.25">
      <c r="A635" s="34"/>
      <c r="B635" s="7"/>
      <c r="C635" s="19"/>
      <c r="D635" s="7"/>
      <c r="E635" s="7"/>
      <c r="F635" s="7"/>
      <c r="G635" s="7"/>
      <c r="H635" s="6"/>
      <c r="I635" s="7"/>
      <c r="J635" s="7"/>
      <c r="K635" s="7"/>
      <c r="L635" s="7"/>
      <c r="M635" s="52"/>
      <c r="N635" s="7"/>
      <c r="O635" s="7"/>
      <c r="P635" s="47"/>
      <c r="Q635" s="47"/>
      <c r="R635" s="7"/>
      <c r="S635" s="51"/>
      <c r="T635" s="51"/>
      <c r="U635" s="7"/>
      <c r="V635" s="57"/>
      <c r="W635" s="57"/>
      <c r="X635" s="57"/>
    </row>
    <row r="636" spans="1:24" ht="12.5" x14ac:dyDescent="0.25">
      <c r="A636" s="34"/>
      <c r="B636" s="7"/>
      <c r="C636" s="19"/>
      <c r="D636" s="7"/>
      <c r="E636" s="7"/>
      <c r="F636" s="7"/>
      <c r="G636" s="7"/>
      <c r="H636" s="6"/>
      <c r="I636" s="7"/>
      <c r="J636" s="7"/>
      <c r="K636" s="7"/>
      <c r="L636" s="7"/>
      <c r="M636" s="52"/>
      <c r="N636" s="7"/>
      <c r="O636" s="7"/>
      <c r="P636" s="47"/>
      <c r="Q636" s="47"/>
      <c r="R636" s="7"/>
      <c r="S636" s="51"/>
      <c r="T636" s="51"/>
      <c r="U636" s="7"/>
      <c r="V636" s="57"/>
      <c r="W636" s="57"/>
      <c r="X636" s="57"/>
    </row>
    <row r="637" spans="1:24" ht="12.5" x14ac:dyDescent="0.25">
      <c r="A637" s="34"/>
      <c r="B637" s="7"/>
      <c r="C637" s="19"/>
      <c r="D637" s="7"/>
      <c r="E637" s="7"/>
      <c r="F637" s="7"/>
      <c r="G637" s="7"/>
      <c r="H637" s="6"/>
      <c r="I637" s="7"/>
      <c r="J637" s="7"/>
      <c r="K637" s="7"/>
      <c r="L637" s="7"/>
      <c r="M637" s="52"/>
      <c r="N637" s="7"/>
      <c r="O637" s="7"/>
      <c r="P637" s="47"/>
      <c r="Q637" s="47"/>
      <c r="R637" s="7"/>
      <c r="S637" s="51"/>
      <c r="T637" s="51"/>
      <c r="U637" s="7"/>
      <c r="V637" s="57"/>
      <c r="W637" s="57"/>
      <c r="X637" s="57"/>
    </row>
    <row r="638" spans="1:24" ht="12.5" x14ac:dyDescent="0.25">
      <c r="A638" s="34"/>
      <c r="B638" s="7"/>
      <c r="C638" s="19"/>
      <c r="D638" s="7"/>
      <c r="E638" s="7"/>
      <c r="F638" s="7"/>
      <c r="G638" s="7"/>
      <c r="H638" s="6"/>
      <c r="I638" s="7"/>
      <c r="J638" s="7"/>
      <c r="K638" s="7"/>
      <c r="L638" s="7"/>
      <c r="M638" s="52"/>
      <c r="N638" s="7"/>
      <c r="O638" s="7"/>
      <c r="P638" s="47"/>
      <c r="Q638" s="47"/>
      <c r="R638" s="7"/>
      <c r="S638" s="51"/>
      <c r="T638" s="51"/>
      <c r="U638" s="7"/>
      <c r="V638" s="57"/>
      <c r="W638" s="57"/>
      <c r="X638" s="57"/>
    </row>
    <row r="639" spans="1:24" ht="12.5" x14ac:dyDescent="0.25">
      <c r="A639" s="34"/>
      <c r="B639" s="7"/>
      <c r="C639" s="19"/>
      <c r="D639" s="7"/>
      <c r="E639" s="7"/>
      <c r="F639" s="7"/>
      <c r="G639" s="7"/>
      <c r="H639" s="6"/>
      <c r="I639" s="7"/>
      <c r="J639" s="7"/>
      <c r="K639" s="7"/>
      <c r="L639" s="7"/>
      <c r="M639" s="52"/>
      <c r="N639" s="7"/>
      <c r="O639" s="7"/>
      <c r="P639" s="47"/>
      <c r="Q639" s="47"/>
      <c r="R639" s="7"/>
      <c r="S639" s="51"/>
      <c r="T639" s="51"/>
      <c r="U639" s="7"/>
      <c r="V639" s="57"/>
      <c r="W639" s="57"/>
      <c r="X639" s="57"/>
    </row>
    <row r="640" spans="1:24" ht="12.5" x14ac:dyDescent="0.25">
      <c r="A640" s="34"/>
      <c r="B640" s="7"/>
      <c r="C640" s="19"/>
      <c r="D640" s="7"/>
      <c r="E640" s="7"/>
      <c r="F640" s="7"/>
      <c r="G640" s="7"/>
      <c r="H640" s="6"/>
      <c r="I640" s="7"/>
      <c r="J640" s="7"/>
      <c r="K640" s="7"/>
      <c r="L640" s="7"/>
      <c r="M640" s="52"/>
      <c r="N640" s="7"/>
      <c r="O640" s="7"/>
      <c r="P640" s="47"/>
      <c r="Q640" s="47"/>
      <c r="R640" s="7"/>
      <c r="S640" s="51"/>
      <c r="T640" s="51"/>
      <c r="U640" s="7"/>
      <c r="V640" s="57"/>
      <c r="W640" s="57"/>
      <c r="X640" s="57"/>
    </row>
    <row r="641" spans="1:24" ht="12.5" x14ac:dyDescent="0.25">
      <c r="A641" s="34"/>
      <c r="B641" s="7"/>
      <c r="C641" s="19"/>
      <c r="D641" s="7"/>
      <c r="E641" s="7"/>
      <c r="F641" s="7"/>
      <c r="G641" s="7"/>
      <c r="H641" s="6"/>
      <c r="I641" s="7"/>
      <c r="J641" s="7"/>
      <c r="K641" s="7"/>
      <c r="L641" s="7"/>
      <c r="M641" s="52"/>
      <c r="N641" s="7"/>
      <c r="O641" s="7"/>
      <c r="P641" s="47"/>
      <c r="Q641" s="47"/>
      <c r="R641" s="7"/>
      <c r="S641" s="51"/>
      <c r="T641" s="51"/>
      <c r="U641" s="7"/>
      <c r="V641" s="57"/>
      <c r="W641" s="57"/>
      <c r="X641" s="57"/>
    </row>
    <row r="642" spans="1:24" ht="12.5" x14ac:dyDescent="0.25">
      <c r="A642" s="34"/>
      <c r="B642" s="7"/>
      <c r="C642" s="19"/>
      <c r="D642" s="7"/>
      <c r="E642" s="7"/>
      <c r="F642" s="7"/>
      <c r="G642" s="7"/>
      <c r="H642" s="6"/>
      <c r="I642" s="7"/>
      <c r="J642" s="7"/>
      <c r="K642" s="7"/>
      <c r="L642" s="7"/>
      <c r="M642" s="52"/>
      <c r="N642" s="7"/>
      <c r="O642" s="7"/>
      <c r="P642" s="47"/>
      <c r="Q642" s="47"/>
      <c r="R642" s="7"/>
      <c r="S642" s="51"/>
      <c r="T642" s="51"/>
      <c r="U642" s="7"/>
      <c r="V642" s="57"/>
      <c r="W642" s="57"/>
      <c r="X642" s="57"/>
    </row>
    <row r="643" spans="1:24" ht="12.5" x14ac:dyDescent="0.25">
      <c r="A643" s="34"/>
      <c r="B643" s="7"/>
      <c r="C643" s="19"/>
      <c r="D643" s="7"/>
      <c r="E643" s="7"/>
      <c r="F643" s="7"/>
      <c r="G643" s="7"/>
      <c r="H643" s="6"/>
      <c r="I643" s="7"/>
      <c r="J643" s="7"/>
      <c r="K643" s="7"/>
      <c r="L643" s="7"/>
      <c r="M643" s="52"/>
      <c r="N643" s="7"/>
      <c r="O643" s="7"/>
      <c r="P643" s="47"/>
      <c r="Q643" s="47"/>
      <c r="R643" s="7"/>
      <c r="S643" s="51"/>
      <c r="T643" s="51"/>
      <c r="U643" s="7"/>
      <c r="V643" s="57"/>
      <c r="W643" s="57"/>
      <c r="X643" s="57"/>
    </row>
    <row r="644" spans="1:24" ht="12.5" x14ac:dyDescent="0.25">
      <c r="A644" s="34"/>
      <c r="B644" s="7"/>
      <c r="C644" s="19"/>
      <c r="D644" s="7"/>
      <c r="E644" s="7"/>
      <c r="F644" s="7"/>
      <c r="G644" s="7"/>
      <c r="H644" s="6"/>
      <c r="I644" s="7"/>
      <c r="J644" s="7"/>
      <c r="K644" s="7"/>
      <c r="L644" s="7"/>
      <c r="M644" s="52"/>
      <c r="N644" s="7"/>
      <c r="O644" s="7"/>
      <c r="P644" s="47"/>
      <c r="Q644" s="47"/>
      <c r="R644" s="7"/>
      <c r="S644" s="51"/>
      <c r="T644" s="51"/>
      <c r="U644" s="7"/>
      <c r="V644" s="57"/>
      <c r="W644" s="57"/>
      <c r="X644" s="57"/>
    </row>
    <row r="645" spans="1:24" ht="12.5" x14ac:dyDescent="0.25">
      <c r="A645" s="34"/>
      <c r="B645" s="7"/>
      <c r="C645" s="19"/>
      <c r="D645" s="7"/>
      <c r="E645" s="7"/>
      <c r="F645" s="7"/>
      <c r="G645" s="7"/>
      <c r="H645" s="6"/>
      <c r="I645" s="7"/>
      <c r="J645" s="7"/>
      <c r="K645" s="7"/>
      <c r="L645" s="7"/>
      <c r="M645" s="52"/>
      <c r="N645" s="7"/>
      <c r="O645" s="7"/>
      <c r="P645" s="47"/>
      <c r="Q645" s="47"/>
      <c r="R645" s="7"/>
      <c r="S645" s="51"/>
      <c r="T645" s="51"/>
      <c r="U645" s="7"/>
      <c r="V645" s="57"/>
      <c r="W645" s="57"/>
      <c r="X645" s="57"/>
    </row>
    <row r="646" spans="1:24" ht="12.5" x14ac:dyDescent="0.25">
      <c r="A646" s="34"/>
      <c r="B646" s="7"/>
      <c r="C646" s="19"/>
      <c r="D646" s="7"/>
      <c r="E646" s="7"/>
      <c r="F646" s="7"/>
      <c r="G646" s="7"/>
      <c r="H646" s="6"/>
      <c r="I646" s="7"/>
      <c r="J646" s="7"/>
      <c r="K646" s="7"/>
      <c r="L646" s="7"/>
      <c r="M646" s="52"/>
      <c r="N646" s="7"/>
      <c r="O646" s="7"/>
      <c r="P646" s="47"/>
      <c r="Q646" s="47"/>
      <c r="R646" s="7"/>
      <c r="S646" s="51"/>
      <c r="T646" s="51"/>
      <c r="U646" s="7"/>
      <c r="V646" s="57"/>
      <c r="W646" s="57"/>
      <c r="X646" s="57"/>
    </row>
    <row r="647" spans="1:24" ht="12.5" x14ac:dyDescent="0.25">
      <c r="A647" s="34"/>
      <c r="B647" s="7"/>
      <c r="C647" s="19"/>
      <c r="D647" s="7"/>
      <c r="E647" s="7"/>
      <c r="F647" s="7"/>
      <c r="G647" s="7"/>
      <c r="H647" s="6"/>
      <c r="I647" s="7"/>
      <c r="J647" s="7"/>
      <c r="K647" s="7"/>
      <c r="L647" s="7"/>
      <c r="M647" s="52"/>
      <c r="N647" s="7"/>
      <c r="O647" s="7"/>
      <c r="P647" s="47"/>
      <c r="Q647" s="47"/>
      <c r="R647" s="7"/>
      <c r="S647" s="51"/>
      <c r="T647" s="51"/>
      <c r="U647" s="7"/>
      <c r="V647" s="57"/>
      <c r="W647" s="57"/>
      <c r="X647" s="57"/>
    </row>
    <row r="648" spans="1:24" ht="12.5" x14ac:dyDescent="0.25">
      <c r="A648" s="34"/>
      <c r="B648" s="7"/>
      <c r="C648" s="19"/>
      <c r="D648" s="7"/>
      <c r="E648" s="7"/>
      <c r="F648" s="7"/>
      <c r="G648" s="7"/>
      <c r="H648" s="6"/>
      <c r="I648" s="7"/>
      <c r="J648" s="7"/>
      <c r="K648" s="7"/>
      <c r="L648" s="7"/>
      <c r="M648" s="52"/>
      <c r="N648" s="7"/>
      <c r="O648" s="7"/>
      <c r="P648" s="47"/>
      <c r="Q648" s="47"/>
      <c r="R648" s="7"/>
      <c r="S648" s="51"/>
      <c r="T648" s="51"/>
      <c r="U648" s="7"/>
      <c r="V648" s="57"/>
      <c r="W648" s="57"/>
      <c r="X648" s="57"/>
    </row>
    <row r="649" spans="1:24" ht="12.5" x14ac:dyDescent="0.25">
      <c r="A649" s="34"/>
      <c r="B649" s="7"/>
      <c r="C649" s="19"/>
      <c r="D649" s="7"/>
      <c r="E649" s="7"/>
      <c r="F649" s="7"/>
      <c r="G649" s="7"/>
      <c r="H649" s="6"/>
      <c r="I649" s="7"/>
      <c r="J649" s="7"/>
      <c r="K649" s="7"/>
      <c r="L649" s="7"/>
      <c r="M649" s="52"/>
      <c r="N649" s="7"/>
      <c r="O649" s="7"/>
      <c r="P649" s="47"/>
      <c r="Q649" s="47"/>
      <c r="R649" s="7"/>
      <c r="S649" s="51"/>
      <c r="T649" s="51"/>
      <c r="U649" s="7"/>
      <c r="V649" s="57"/>
      <c r="W649" s="57"/>
      <c r="X649" s="57"/>
    </row>
    <row r="650" spans="1:24" ht="12.5" x14ac:dyDescent="0.25">
      <c r="A650" s="34"/>
      <c r="B650" s="7"/>
      <c r="C650" s="19"/>
      <c r="D650" s="7"/>
      <c r="E650" s="7"/>
      <c r="F650" s="7"/>
      <c r="G650" s="7"/>
      <c r="H650" s="6"/>
      <c r="I650" s="7"/>
      <c r="J650" s="7"/>
      <c r="K650" s="7"/>
      <c r="L650" s="7"/>
      <c r="M650" s="52"/>
      <c r="N650" s="7"/>
      <c r="O650" s="7"/>
      <c r="P650" s="47"/>
      <c r="Q650" s="47"/>
      <c r="R650" s="7"/>
      <c r="S650" s="51"/>
      <c r="T650" s="51"/>
      <c r="U650" s="7"/>
      <c r="V650" s="57"/>
      <c r="W650" s="57"/>
      <c r="X650" s="57"/>
    </row>
    <row r="651" spans="1:24" ht="12.5" x14ac:dyDescent="0.25">
      <c r="A651" s="34"/>
      <c r="B651" s="7"/>
      <c r="C651" s="19"/>
      <c r="D651" s="7"/>
      <c r="E651" s="7"/>
      <c r="F651" s="7"/>
      <c r="G651" s="7"/>
      <c r="H651" s="6"/>
      <c r="I651" s="7"/>
      <c r="J651" s="7"/>
      <c r="K651" s="7"/>
      <c r="L651" s="7"/>
      <c r="M651" s="52"/>
      <c r="N651" s="7"/>
      <c r="O651" s="7"/>
      <c r="P651" s="47"/>
      <c r="Q651" s="47"/>
      <c r="R651" s="7"/>
      <c r="S651" s="51"/>
      <c r="T651" s="51"/>
      <c r="U651" s="7"/>
      <c r="V651" s="57"/>
      <c r="W651" s="57"/>
      <c r="X651" s="57"/>
    </row>
    <row r="652" spans="1:24" ht="12.5" x14ac:dyDescent="0.25">
      <c r="A652" s="34"/>
      <c r="B652" s="7"/>
      <c r="C652" s="19"/>
      <c r="D652" s="7"/>
      <c r="E652" s="7"/>
      <c r="F652" s="7"/>
      <c r="G652" s="7"/>
      <c r="H652" s="6"/>
      <c r="I652" s="7"/>
      <c r="J652" s="7"/>
      <c r="K652" s="7"/>
      <c r="L652" s="7"/>
      <c r="M652" s="52"/>
      <c r="N652" s="7"/>
      <c r="O652" s="7"/>
      <c r="P652" s="47"/>
      <c r="Q652" s="47"/>
      <c r="R652" s="7"/>
      <c r="S652" s="51"/>
      <c r="T652" s="51"/>
      <c r="U652" s="7"/>
      <c r="V652" s="57"/>
      <c r="W652" s="57"/>
      <c r="X652" s="57"/>
    </row>
    <row r="653" spans="1:24" ht="12.5" x14ac:dyDescent="0.25">
      <c r="A653" s="34"/>
      <c r="B653" s="7"/>
      <c r="C653" s="19"/>
      <c r="D653" s="7"/>
      <c r="E653" s="7"/>
      <c r="F653" s="7"/>
      <c r="G653" s="7"/>
      <c r="H653" s="6"/>
      <c r="I653" s="7"/>
      <c r="J653" s="7"/>
      <c r="K653" s="7"/>
      <c r="L653" s="7"/>
      <c r="M653" s="52"/>
      <c r="N653" s="7"/>
      <c r="O653" s="7"/>
      <c r="P653" s="47"/>
      <c r="Q653" s="47"/>
      <c r="R653" s="7"/>
      <c r="S653" s="51"/>
      <c r="T653" s="51"/>
      <c r="U653" s="7"/>
      <c r="V653" s="57"/>
      <c r="W653" s="57"/>
      <c r="X653" s="57"/>
    </row>
    <row r="654" spans="1:24" ht="12.5" x14ac:dyDescent="0.25">
      <c r="A654" s="34"/>
      <c r="B654" s="7"/>
      <c r="C654" s="19"/>
      <c r="D654" s="7"/>
      <c r="E654" s="7"/>
      <c r="F654" s="7"/>
      <c r="G654" s="7"/>
      <c r="H654" s="6"/>
      <c r="I654" s="7"/>
      <c r="J654" s="7"/>
      <c r="K654" s="7"/>
      <c r="L654" s="7"/>
      <c r="M654" s="52"/>
      <c r="N654" s="7"/>
      <c r="O654" s="7"/>
      <c r="P654" s="47"/>
      <c r="Q654" s="47"/>
      <c r="R654" s="7"/>
      <c r="S654" s="51"/>
      <c r="T654" s="51"/>
      <c r="U654" s="7"/>
      <c r="V654" s="57"/>
      <c r="W654" s="57"/>
      <c r="X654" s="57"/>
    </row>
    <row r="655" spans="1:24" ht="12.5" x14ac:dyDescent="0.25">
      <c r="A655" s="34"/>
      <c r="B655" s="7"/>
      <c r="C655" s="19"/>
      <c r="D655" s="7"/>
      <c r="E655" s="7"/>
      <c r="F655" s="7"/>
      <c r="G655" s="7"/>
      <c r="H655" s="6"/>
      <c r="I655" s="7"/>
      <c r="J655" s="7"/>
      <c r="K655" s="7"/>
      <c r="L655" s="7"/>
      <c r="M655" s="52"/>
      <c r="N655" s="7"/>
      <c r="O655" s="7"/>
      <c r="P655" s="47"/>
      <c r="Q655" s="47"/>
      <c r="R655" s="7"/>
      <c r="S655" s="51"/>
      <c r="T655" s="51"/>
      <c r="U655" s="7"/>
      <c r="V655" s="57"/>
      <c r="W655" s="57"/>
      <c r="X655" s="57"/>
    </row>
    <row r="656" spans="1:24" ht="12.5" x14ac:dyDescent="0.25">
      <c r="A656" s="34"/>
      <c r="B656" s="7"/>
      <c r="C656" s="19"/>
      <c r="D656" s="7"/>
      <c r="E656" s="7"/>
      <c r="F656" s="7"/>
      <c r="G656" s="7"/>
      <c r="H656" s="6"/>
      <c r="I656" s="7"/>
      <c r="J656" s="7"/>
      <c r="K656" s="7"/>
      <c r="L656" s="7"/>
      <c r="M656" s="52"/>
      <c r="N656" s="7"/>
      <c r="O656" s="7"/>
      <c r="P656" s="47"/>
      <c r="Q656" s="47"/>
      <c r="R656" s="7"/>
      <c r="S656" s="51"/>
      <c r="T656" s="51"/>
      <c r="U656" s="7"/>
      <c r="V656" s="57"/>
      <c r="W656" s="57"/>
      <c r="X656" s="57"/>
    </row>
    <row r="657" spans="1:24" ht="12.5" x14ac:dyDescent="0.25">
      <c r="A657" s="34"/>
      <c r="B657" s="7"/>
      <c r="C657" s="19"/>
      <c r="D657" s="7"/>
      <c r="E657" s="7"/>
      <c r="F657" s="7"/>
      <c r="G657" s="7"/>
      <c r="H657" s="6"/>
      <c r="I657" s="7"/>
      <c r="J657" s="7"/>
      <c r="K657" s="7"/>
      <c r="L657" s="7"/>
      <c r="M657" s="52"/>
      <c r="N657" s="7"/>
      <c r="O657" s="7"/>
      <c r="P657" s="47"/>
      <c r="Q657" s="47"/>
      <c r="R657" s="7"/>
      <c r="S657" s="51"/>
      <c r="T657" s="51"/>
      <c r="U657" s="7"/>
      <c r="V657" s="57"/>
      <c r="W657" s="57"/>
      <c r="X657" s="57"/>
    </row>
    <row r="658" spans="1:24" ht="12.5" x14ac:dyDescent="0.25">
      <c r="A658" s="34"/>
      <c r="B658" s="7"/>
      <c r="C658" s="19"/>
      <c r="D658" s="7"/>
      <c r="E658" s="7"/>
      <c r="F658" s="7"/>
      <c r="G658" s="7"/>
      <c r="H658" s="6"/>
      <c r="I658" s="7"/>
      <c r="J658" s="7"/>
      <c r="K658" s="7"/>
      <c r="L658" s="7"/>
      <c r="M658" s="52"/>
      <c r="N658" s="7"/>
      <c r="O658" s="7"/>
      <c r="P658" s="47"/>
      <c r="Q658" s="47"/>
      <c r="R658" s="7"/>
      <c r="S658" s="51"/>
      <c r="T658" s="51"/>
      <c r="U658" s="7"/>
      <c r="V658" s="57"/>
      <c r="W658" s="57"/>
      <c r="X658" s="57"/>
    </row>
    <row r="659" spans="1:24" ht="12.5" x14ac:dyDescent="0.25">
      <c r="A659" s="34"/>
      <c r="B659" s="7"/>
      <c r="C659" s="19"/>
      <c r="D659" s="7"/>
      <c r="E659" s="7"/>
      <c r="F659" s="7"/>
      <c r="G659" s="7"/>
      <c r="H659" s="6"/>
      <c r="I659" s="7"/>
      <c r="J659" s="7"/>
      <c r="K659" s="7"/>
      <c r="L659" s="7"/>
      <c r="M659" s="52"/>
      <c r="N659" s="7"/>
      <c r="O659" s="7"/>
      <c r="P659" s="47"/>
      <c r="Q659" s="47"/>
      <c r="R659" s="7"/>
      <c r="S659" s="51"/>
      <c r="T659" s="51"/>
      <c r="U659" s="7"/>
      <c r="V659" s="57"/>
      <c r="W659" s="57"/>
      <c r="X659" s="57"/>
    </row>
    <row r="660" spans="1:24" ht="12.5" x14ac:dyDescent="0.25">
      <c r="A660" s="34"/>
      <c r="B660" s="7"/>
      <c r="C660" s="19"/>
      <c r="D660" s="7"/>
      <c r="E660" s="7"/>
      <c r="F660" s="7"/>
      <c r="G660" s="7"/>
      <c r="H660" s="6"/>
      <c r="I660" s="7"/>
      <c r="J660" s="7"/>
      <c r="K660" s="7"/>
      <c r="L660" s="7"/>
      <c r="M660" s="52"/>
      <c r="N660" s="7"/>
      <c r="O660" s="7"/>
      <c r="P660" s="47"/>
      <c r="Q660" s="47"/>
      <c r="R660" s="7"/>
      <c r="S660" s="51"/>
      <c r="T660" s="51"/>
      <c r="U660" s="7"/>
      <c r="V660" s="57"/>
      <c r="W660" s="57"/>
      <c r="X660" s="57"/>
    </row>
    <row r="661" spans="1:24" ht="12.5" x14ac:dyDescent="0.25">
      <c r="A661" s="34"/>
      <c r="B661" s="7"/>
      <c r="C661" s="19"/>
      <c r="D661" s="7"/>
      <c r="E661" s="7"/>
      <c r="F661" s="7"/>
      <c r="G661" s="7"/>
      <c r="H661" s="6"/>
      <c r="I661" s="7"/>
      <c r="J661" s="7"/>
      <c r="K661" s="7"/>
      <c r="L661" s="7"/>
      <c r="M661" s="52"/>
      <c r="N661" s="7"/>
      <c r="O661" s="7"/>
      <c r="P661" s="47"/>
      <c r="Q661" s="47"/>
      <c r="R661" s="7"/>
      <c r="S661" s="51"/>
      <c r="T661" s="51"/>
      <c r="U661" s="7"/>
      <c r="V661" s="57"/>
      <c r="W661" s="57"/>
      <c r="X661" s="57"/>
    </row>
    <row r="662" spans="1:24" ht="12.5" x14ac:dyDescent="0.25">
      <c r="A662" s="34"/>
      <c r="B662" s="7"/>
      <c r="C662" s="19"/>
      <c r="D662" s="7"/>
      <c r="E662" s="7"/>
      <c r="F662" s="7"/>
      <c r="G662" s="7"/>
      <c r="H662" s="6"/>
      <c r="I662" s="7"/>
      <c r="J662" s="7"/>
      <c r="K662" s="7"/>
      <c r="L662" s="7"/>
      <c r="M662" s="52"/>
      <c r="N662" s="7"/>
      <c r="O662" s="7"/>
      <c r="P662" s="47"/>
      <c r="Q662" s="47"/>
      <c r="R662" s="7"/>
      <c r="S662" s="51"/>
      <c r="T662" s="51"/>
      <c r="U662" s="7"/>
      <c r="V662" s="57"/>
      <c r="W662" s="57"/>
      <c r="X662" s="57"/>
    </row>
    <row r="663" spans="1:24" ht="12.5" x14ac:dyDescent="0.25">
      <c r="A663" s="34"/>
      <c r="B663" s="7"/>
      <c r="C663" s="19"/>
      <c r="D663" s="7"/>
      <c r="E663" s="7"/>
      <c r="F663" s="7"/>
      <c r="G663" s="7"/>
      <c r="H663" s="6"/>
      <c r="I663" s="7"/>
      <c r="J663" s="7"/>
      <c r="K663" s="7"/>
      <c r="L663" s="7"/>
      <c r="M663" s="52"/>
      <c r="N663" s="7"/>
      <c r="O663" s="7"/>
      <c r="P663" s="47"/>
      <c r="Q663" s="47"/>
      <c r="R663" s="7"/>
      <c r="S663" s="51"/>
      <c r="T663" s="51"/>
      <c r="U663" s="7"/>
      <c r="V663" s="57"/>
      <c r="W663" s="57"/>
      <c r="X663" s="57"/>
    </row>
    <row r="664" spans="1:24" ht="12.5" x14ac:dyDescent="0.25">
      <c r="A664" s="34"/>
      <c r="B664" s="7"/>
      <c r="C664" s="19"/>
      <c r="D664" s="7"/>
      <c r="E664" s="7"/>
      <c r="F664" s="7"/>
      <c r="G664" s="7"/>
      <c r="H664" s="6"/>
      <c r="I664" s="7"/>
      <c r="J664" s="7"/>
      <c r="K664" s="7"/>
      <c r="L664" s="7"/>
      <c r="M664" s="52"/>
      <c r="N664" s="7"/>
      <c r="O664" s="7"/>
      <c r="P664" s="47"/>
      <c r="Q664" s="47"/>
      <c r="R664" s="7"/>
      <c r="S664" s="51"/>
      <c r="T664" s="51"/>
      <c r="U664" s="7"/>
      <c r="V664" s="57"/>
      <c r="W664" s="57"/>
      <c r="X664" s="57"/>
    </row>
    <row r="665" spans="1:24" ht="12.5" x14ac:dyDescent="0.25">
      <c r="A665" s="34"/>
      <c r="B665" s="7"/>
      <c r="C665" s="19"/>
      <c r="D665" s="7"/>
      <c r="E665" s="7"/>
      <c r="F665" s="7"/>
      <c r="G665" s="7"/>
      <c r="H665" s="6"/>
      <c r="I665" s="7"/>
      <c r="J665" s="7"/>
      <c r="K665" s="7"/>
      <c r="L665" s="7"/>
      <c r="M665" s="52"/>
      <c r="N665" s="7"/>
      <c r="O665" s="7"/>
      <c r="P665" s="47"/>
      <c r="Q665" s="47"/>
      <c r="R665" s="7"/>
      <c r="S665" s="51"/>
      <c r="T665" s="51"/>
      <c r="U665" s="7"/>
      <c r="V665" s="57"/>
      <c r="W665" s="57"/>
      <c r="X665" s="57"/>
    </row>
    <row r="666" spans="1:24" ht="12.5" x14ac:dyDescent="0.25">
      <c r="A666" s="34"/>
      <c r="B666" s="7"/>
      <c r="C666" s="19"/>
      <c r="D666" s="7"/>
      <c r="E666" s="7"/>
      <c r="F666" s="7"/>
      <c r="G666" s="7"/>
      <c r="H666" s="6"/>
      <c r="I666" s="7"/>
      <c r="J666" s="7"/>
      <c r="K666" s="7"/>
      <c r="L666" s="7"/>
      <c r="M666" s="52"/>
      <c r="N666" s="7"/>
      <c r="O666" s="7"/>
      <c r="P666" s="47"/>
      <c r="Q666" s="47"/>
      <c r="R666" s="7"/>
      <c r="S666" s="51"/>
      <c r="T666" s="51"/>
      <c r="U666" s="7"/>
      <c r="V666" s="57"/>
      <c r="W666" s="57"/>
      <c r="X666" s="57"/>
    </row>
    <row r="667" spans="1:24" ht="12.5" x14ac:dyDescent="0.25">
      <c r="A667" s="34"/>
      <c r="B667" s="7"/>
      <c r="C667" s="19"/>
      <c r="D667" s="7"/>
      <c r="E667" s="7"/>
      <c r="F667" s="7"/>
      <c r="G667" s="7"/>
      <c r="H667" s="6"/>
      <c r="I667" s="7"/>
      <c r="J667" s="7"/>
      <c r="K667" s="7"/>
      <c r="L667" s="7"/>
      <c r="M667" s="52"/>
      <c r="N667" s="7"/>
      <c r="O667" s="7"/>
      <c r="P667" s="47"/>
      <c r="Q667" s="47"/>
      <c r="R667" s="7"/>
      <c r="S667" s="51"/>
      <c r="T667" s="51"/>
      <c r="U667" s="7"/>
      <c r="V667" s="57"/>
      <c r="W667" s="57"/>
      <c r="X667" s="57"/>
    </row>
    <row r="668" spans="1:24" ht="12.5" x14ac:dyDescent="0.25">
      <c r="A668" s="34"/>
      <c r="B668" s="7"/>
      <c r="C668" s="19"/>
      <c r="D668" s="7"/>
      <c r="E668" s="7"/>
      <c r="F668" s="7"/>
      <c r="G668" s="7"/>
      <c r="H668" s="6"/>
      <c r="I668" s="7"/>
      <c r="J668" s="7"/>
      <c r="K668" s="7"/>
      <c r="L668" s="7"/>
      <c r="M668" s="52"/>
      <c r="N668" s="7"/>
      <c r="O668" s="7"/>
      <c r="P668" s="47"/>
      <c r="Q668" s="47"/>
      <c r="R668" s="7"/>
      <c r="S668" s="51"/>
      <c r="T668" s="51"/>
      <c r="U668" s="7"/>
      <c r="V668" s="57"/>
      <c r="W668" s="57"/>
      <c r="X668" s="57"/>
    </row>
    <row r="669" spans="1:24" ht="12.5" x14ac:dyDescent="0.25">
      <c r="A669" s="34"/>
      <c r="B669" s="7"/>
      <c r="C669" s="19"/>
      <c r="D669" s="7"/>
      <c r="E669" s="7"/>
      <c r="F669" s="7"/>
      <c r="G669" s="7"/>
      <c r="H669" s="6"/>
      <c r="I669" s="7"/>
      <c r="J669" s="7"/>
      <c r="K669" s="7"/>
      <c r="L669" s="7"/>
      <c r="M669" s="52"/>
      <c r="N669" s="7"/>
      <c r="O669" s="7"/>
      <c r="P669" s="47"/>
      <c r="Q669" s="47"/>
      <c r="R669" s="7"/>
      <c r="S669" s="51"/>
      <c r="T669" s="51"/>
      <c r="U669" s="7"/>
      <c r="V669" s="57"/>
      <c r="W669" s="57"/>
      <c r="X669" s="57"/>
    </row>
    <row r="670" spans="1:24" ht="12.5" x14ac:dyDescent="0.25">
      <c r="A670" s="34"/>
      <c r="B670" s="7"/>
      <c r="C670" s="19"/>
      <c r="D670" s="7"/>
      <c r="E670" s="7"/>
      <c r="F670" s="7"/>
      <c r="G670" s="7"/>
      <c r="H670" s="6"/>
      <c r="I670" s="7"/>
      <c r="J670" s="7"/>
      <c r="K670" s="7"/>
      <c r="L670" s="7"/>
      <c r="M670" s="52"/>
      <c r="N670" s="7"/>
      <c r="O670" s="7"/>
      <c r="P670" s="47"/>
      <c r="Q670" s="47"/>
      <c r="R670" s="7"/>
      <c r="S670" s="51"/>
      <c r="T670" s="51"/>
      <c r="U670" s="7"/>
      <c r="V670" s="57"/>
      <c r="W670" s="57"/>
      <c r="X670" s="57"/>
    </row>
    <row r="671" spans="1:24" ht="12.5" x14ac:dyDescent="0.25">
      <c r="A671" s="34"/>
      <c r="B671" s="7"/>
      <c r="C671" s="19"/>
      <c r="D671" s="7"/>
      <c r="E671" s="7"/>
      <c r="F671" s="7"/>
      <c r="G671" s="7"/>
      <c r="H671" s="6"/>
      <c r="I671" s="7"/>
      <c r="J671" s="7"/>
      <c r="K671" s="7"/>
      <c r="L671" s="7"/>
      <c r="M671" s="52"/>
      <c r="N671" s="7"/>
      <c r="O671" s="7"/>
      <c r="P671" s="47"/>
      <c r="Q671" s="47"/>
      <c r="R671" s="7"/>
      <c r="S671" s="51"/>
      <c r="T671" s="51"/>
      <c r="U671" s="7"/>
      <c r="V671" s="57"/>
      <c r="W671" s="57"/>
      <c r="X671" s="57"/>
    </row>
    <row r="672" spans="1:24" ht="12.5" x14ac:dyDescent="0.25">
      <c r="A672" s="34"/>
      <c r="B672" s="7"/>
      <c r="C672" s="19"/>
      <c r="D672" s="7"/>
      <c r="E672" s="7"/>
      <c r="F672" s="7"/>
      <c r="G672" s="7"/>
      <c r="H672" s="6"/>
      <c r="I672" s="7"/>
      <c r="J672" s="7"/>
      <c r="K672" s="7"/>
      <c r="L672" s="7"/>
      <c r="M672" s="52"/>
      <c r="N672" s="7"/>
      <c r="O672" s="7"/>
      <c r="P672" s="47"/>
      <c r="Q672" s="47"/>
      <c r="R672" s="7"/>
      <c r="S672" s="51"/>
      <c r="T672" s="51"/>
      <c r="U672" s="7"/>
      <c r="V672" s="57"/>
      <c r="W672" s="57"/>
      <c r="X672" s="57"/>
    </row>
    <row r="673" spans="1:24" ht="12.5" x14ac:dyDescent="0.25">
      <c r="A673" s="34"/>
      <c r="B673" s="7"/>
      <c r="C673" s="19"/>
      <c r="D673" s="7"/>
      <c r="E673" s="7"/>
      <c r="F673" s="7"/>
      <c r="G673" s="7"/>
      <c r="H673" s="6"/>
      <c r="I673" s="7"/>
      <c r="J673" s="7"/>
      <c r="K673" s="7"/>
      <c r="L673" s="7"/>
      <c r="M673" s="52"/>
      <c r="N673" s="7"/>
      <c r="O673" s="7"/>
      <c r="P673" s="47"/>
      <c r="Q673" s="47"/>
      <c r="R673" s="7"/>
      <c r="S673" s="51"/>
      <c r="T673" s="51"/>
      <c r="U673" s="7"/>
      <c r="V673" s="57"/>
      <c r="W673" s="57"/>
      <c r="X673" s="57"/>
    </row>
    <row r="674" spans="1:24" ht="12.5" x14ac:dyDescent="0.25">
      <c r="A674" s="34"/>
      <c r="B674" s="7"/>
      <c r="C674" s="19"/>
      <c r="D674" s="7"/>
      <c r="E674" s="7"/>
      <c r="F674" s="7"/>
      <c r="G674" s="7"/>
      <c r="H674" s="6"/>
      <c r="I674" s="7"/>
      <c r="J674" s="7"/>
      <c r="K674" s="7"/>
      <c r="L674" s="7"/>
      <c r="M674" s="52"/>
      <c r="N674" s="7"/>
      <c r="O674" s="7"/>
      <c r="P674" s="47"/>
      <c r="Q674" s="47"/>
      <c r="R674" s="7"/>
      <c r="S674" s="51"/>
      <c r="T674" s="51"/>
      <c r="U674" s="7"/>
      <c r="V674" s="57"/>
      <c r="W674" s="57"/>
      <c r="X674" s="57"/>
    </row>
    <row r="675" spans="1:24" ht="12.5" x14ac:dyDescent="0.25">
      <c r="A675" s="34"/>
      <c r="B675" s="7"/>
      <c r="C675" s="19"/>
      <c r="D675" s="7"/>
      <c r="E675" s="7"/>
      <c r="F675" s="7"/>
      <c r="G675" s="7"/>
      <c r="H675" s="6"/>
      <c r="I675" s="7"/>
      <c r="J675" s="7"/>
      <c r="K675" s="7"/>
      <c r="L675" s="7"/>
      <c r="M675" s="52"/>
      <c r="N675" s="7"/>
      <c r="O675" s="7"/>
      <c r="P675" s="47"/>
      <c r="Q675" s="47"/>
      <c r="R675" s="7"/>
      <c r="S675" s="51"/>
      <c r="T675" s="51"/>
      <c r="U675" s="7"/>
      <c r="V675" s="57"/>
      <c r="W675" s="57"/>
      <c r="X675" s="57"/>
    </row>
    <row r="676" spans="1:24" ht="12.5" x14ac:dyDescent="0.25">
      <c r="A676" s="34"/>
      <c r="B676" s="7"/>
      <c r="C676" s="19"/>
      <c r="D676" s="7"/>
      <c r="E676" s="7"/>
      <c r="F676" s="7"/>
      <c r="G676" s="7"/>
      <c r="H676" s="6"/>
      <c r="I676" s="7"/>
      <c r="J676" s="7"/>
      <c r="K676" s="7"/>
      <c r="L676" s="7"/>
      <c r="M676" s="52"/>
      <c r="N676" s="7"/>
      <c r="O676" s="7"/>
      <c r="P676" s="47"/>
      <c r="Q676" s="47"/>
      <c r="R676" s="7"/>
      <c r="S676" s="51"/>
      <c r="T676" s="51"/>
      <c r="U676" s="7"/>
      <c r="V676" s="57"/>
      <c r="W676" s="57"/>
      <c r="X676" s="57"/>
    </row>
    <row r="677" spans="1:24" ht="12.5" x14ac:dyDescent="0.25">
      <c r="A677" s="34"/>
      <c r="B677" s="7"/>
      <c r="C677" s="19"/>
      <c r="D677" s="7"/>
      <c r="E677" s="7"/>
      <c r="F677" s="7"/>
      <c r="G677" s="7"/>
      <c r="H677" s="6"/>
      <c r="I677" s="7"/>
      <c r="J677" s="7"/>
      <c r="K677" s="7"/>
      <c r="L677" s="7"/>
      <c r="M677" s="52"/>
      <c r="N677" s="7"/>
      <c r="O677" s="7"/>
      <c r="P677" s="47"/>
      <c r="Q677" s="47"/>
      <c r="R677" s="7"/>
      <c r="S677" s="51"/>
      <c r="T677" s="51"/>
      <c r="U677" s="7"/>
      <c r="V677" s="57"/>
      <c r="W677" s="57"/>
      <c r="X677" s="57"/>
    </row>
    <row r="678" spans="1:24" ht="12.5" x14ac:dyDescent="0.25">
      <c r="A678" s="34"/>
      <c r="B678" s="7"/>
      <c r="C678" s="19"/>
      <c r="D678" s="7"/>
      <c r="E678" s="7"/>
      <c r="F678" s="7"/>
      <c r="G678" s="7"/>
      <c r="H678" s="6"/>
      <c r="I678" s="7"/>
      <c r="J678" s="7"/>
      <c r="K678" s="7"/>
      <c r="L678" s="7"/>
      <c r="M678" s="52"/>
      <c r="N678" s="7"/>
      <c r="O678" s="7"/>
      <c r="P678" s="47"/>
      <c r="Q678" s="47"/>
      <c r="R678" s="7"/>
      <c r="S678" s="51"/>
      <c r="T678" s="51"/>
      <c r="U678" s="7"/>
      <c r="V678" s="57"/>
      <c r="W678" s="57"/>
      <c r="X678" s="57"/>
    </row>
    <row r="679" spans="1:24" ht="12.5" x14ac:dyDescent="0.25">
      <c r="A679" s="34"/>
      <c r="B679" s="7"/>
      <c r="C679" s="19"/>
      <c r="D679" s="7"/>
      <c r="E679" s="7"/>
      <c r="F679" s="7"/>
      <c r="G679" s="7"/>
      <c r="H679" s="6"/>
      <c r="I679" s="7"/>
      <c r="J679" s="7"/>
      <c r="K679" s="7"/>
      <c r="L679" s="7"/>
      <c r="M679" s="52"/>
      <c r="N679" s="7"/>
      <c r="O679" s="7"/>
      <c r="P679" s="47"/>
      <c r="Q679" s="47"/>
      <c r="R679" s="7"/>
      <c r="S679" s="51"/>
      <c r="T679" s="51"/>
      <c r="U679" s="7"/>
      <c r="V679" s="57"/>
      <c r="W679" s="57"/>
      <c r="X679" s="57"/>
    </row>
    <row r="680" spans="1:24" ht="12.5" x14ac:dyDescent="0.25">
      <c r="A680" s="34"/>
      <c r="B680" s="7"/>
      <c r="C680" s="19"/>
      <c r="D680" s="7"/>
      <c r="E680" s="7"/>
      <c r="F680" s="7"/>
      <c r="G680" s="7"/>
      <c r="H680" s="6"/>
      <c r="I680" s="7"/>
      <c r="J680" s="7"/>
      <c r="K680" s="7"/>
      <c r="L680" s="7"/>
      <c r="M680" s="52"/>
      <c r="N680" s="7"/>
      <c r="O680" s="7"/>
      <c r="P680" s="47"/>
      <c r="Q680" s="47"/>
      <c r="R680" s="7"/>
      <c r="S680" s="51"/>
      <c r="T680" s="51"/>
      <c r="U680" s="7"/>
      <c r="V680" s="57"/>
      <c r="W680" s="57"/>
      <c r="X680" s="57"/>
    </row>
    <row r="681" spans="1:24" ht="12.5" x14ac:dyDescent="0.25">
      <c r="A681" s="34"/>
      <c r="B681" s="7"/>
      <c r="C681" s="19"/>
      <c r="D681" s="7"/>
      <c r="E681" s="7"/>
      <c r="F681" s="7"/>
      <c r="G681" s="7"/>
      <c r="H681" s="6"/>
      <c r="I681" s="7"/>
      <c r="J681" s="7"/>
      <c r="K681" s="7"/>
      <c r="L681" s="7"/>
      <c r="M681" s="52"/>
      <c r="N681" s="7"/>
      <c r="O681" s="7"/>
      <c r="P681" s="47"/>
      <c r="Q681" s="47"/>
      <c r="R681" s="7"/>
      <c r="S681" s="51"/>
      <c r="T681" s="51"/>
      <c r="U681" s="7"/>
      <c r="V681" s="57"/>
      <c r="W681" s="57"/>
      <c r="X681" s="57"/>
    </row>
    <row r="682" spans="1:24" ht="12.5" x14ac:dyDescent="0.25">
      <c r="A682" s="34"/>
      <c r="B682" s="7"/>
      <c r="C682" s="19"/>
      <c r="D682" s="7"/>
      <c r="E682" s="7"/>
      <c r="F682" s="7"/>
      <c r="G682" s="7"/>
      <c r="H682" s="6"/>
      <c r="I682" s="7"/>
      <c r="J682" s="7"/>
      <c r="K682" s="7"/>
      <c r="L682" s="7"/>
      <c r="M682" s="52"/>
      <c r="N682" s="7"/>
      <c r="O682" s="7"/>
      <c r="P682" s="47"/>
      <c r="Q682" s="47"/>
      <c r="R682" s="7"/>
      <c r="S682" s="51"/>
      <c r="T682" s="51"/>
      <c r="U682" s="7"/>
      <c r="V682" s="57"/>
      <c r="W682" s="57"/>
      <c r="X682" s="57"/>
    </row>
    <row r="683" spans="1:24" ht="12.5" x14ac:dyDescent="0.25">
      <c r="A683" s="34"/>
      <c r="B683" s="7"/>
      <c r="C683" s="19"/>
      <c r="D683" s="7"/>
      <c r="E683" s="7"/>
      <c r="F683" s="7"/>
      <c r="G683" s="7"/>
      <c r="H683" s="6"/>
      <c r="I683" s="7"/>
      <c r="J683" s="7"/>
      <c r="K683" s="7"/>
      <c r="L683" s="7"/>
      <c r="M683" s="52"/>
      <c r="N683" s="7"/>
      <c r="O683" s="7"/>
      <c r="P683" s="47"/>
      <c r="Q683" s="47"/>
      <c r="R683" s="7"/>
      <c r="S683" s="51"/>
      <c r="T683" s="51"/>
      <c r="U683" s="7"/>
      <c r="V683" s="57"/>
      <c r="W683" s="57"/>
      <c r="X683" s="57"/>
    </row>
    <row r="684" spans="1:24" ht="12.5" x14ac:dyDescent="0.25">
      <c r="A684" s="34"/>
      <c r="B684" s="7"/>
      <c r="C684" s="19"/>
      <c r="D684" s="7"/>
      <c r="E684" s="7"/>
      <c r="F684" s="7"/>
      <c r="G684" s="7"/>
      <c r="H684" s="6"/>
      <c r="I684" s="7"/>
      <c r="J684" s="7"/>
      <c r="K684" s="7"/>
      <c r="L684" s="7"/>
      <c r="M684" s="52"/>
      <c r="N684" s="7"/>
      <c r="O684" s="7"/>
      <c r="P684" s="47"/>
      <c r="Q684" s="47"/>
      <c r="R684" s="7"/>
      <c r="S684" s="51"/>
      <c r="T684" s="51"/>
      <c r="U684" s="7"/>
      <c r="V684" s="57"/>
      <c r="W684" s="57"/>
      <c r="X684" s="57"/>
    </row>
    <row r="685" spans="1:24" ht="12.5" x14ac:dyDescent="0.25">
      <c r="A685" s="34"/>
      <c r="B685" s="7"/>
      <c r="C685" s="19"/>
      <c r="D685" s="7"/>
      <c r="E685" s="7"/>
      <c r="F685" s="7"/>
      <c r="G685" s="7"/>
      <c r="H685" s="6"/>
      <c r="I685" s="7"/>
      <c r="J685" s="7"/>
      <c r="K685" s="7"/>
      <c r="L685" s="7"/>
      <c r="M685" s="52"/>
      <c r="N685" s="7"/>
      <c r="O685" s="7"/>
      <c r="P685" s="47"/>
      <c r="Q685" s="47"/>
      <c r="R685" s="7"/>
      <c r="S685" s="51"/>
      <c r="T685" s="51"/>
      <c r="U685" s="7"/>
      <c r="V685" s="57"/>
      <c r="W685" s="57"/>
      <c r="X685" s="57"/>
    </row>
    <row r="686" spans="1:24" ht="12.5" x14ac:dyDescent="0.25">
      <c r="A686" s="34"/>
      <c r="B686" s="7"/>
      <c r="C686" s="19"/>
      <c r="D686" s="7"/>
      <c r="E686" s="7"/>
      <c r="F686" s="7"/>
      <c r="G686" s="7"/>
      <c r="H686" s="6"/>
      <c r="I686" s="7"/>
      <c r="J686" s="7"/>
      <c r="K686" s="7"/>
      <c r="L686" s="7"/>
      <c r="M686" s="52"/>
      <c r="N686" s="7"/>
      <c r="O686" s="7"/>
      <c r="P686" s="47"/>
      <c r="Q686" s="47"/>
      <c r="R686" s="7"/>
      <c r="S686" s="51"/>
      <c r="T686" s="51"/>
      <c r="U686" s="7"/>
      <c r="V686" s="57"/>
      <c r="W686" s="57"/>
      <c r="X686" s="57"/>
    </row>
    <row r="687" spans="1:24" ht="12.5" x14ac:dyDescent="0.25">
      <c r="A687" s="34"/>
      <c r="B687" s="7"/>
      <c r="C687" s="19"/>
      <c r="D687" s="7"/>
      <c r="E687" s="7"/>
      <c r="F687" s="7"/>
      <c r="G687" s="7"/>
      <c r="H687" s="6"/>
      <c r="I687" s="7"/>
      <c r="J687" s="7"/>
      <c r="K687" s="7"/>
      <c r="L687" s="7"/>
      <c r="M687" s="52"/>
      <c r="N687" s="7"/>
      <c r="O687" s="7"/>
      <c r="P687" s="47"/>
      <c r="Q687" s="47"/>
      <c r="R687" s="7"/>
      <c r="S687" s="51"/>
      <c r="T687" s="51"/>
      <c r="U687" s="7"/>
      <c r="V687" s="57"/>
      <c r="W687" s="57"/>
      <c r="X687" s="57"/>
    </row>
    <row r="688" spans="1:24" ht="12.5" x14ac:dyDescent="0.25">
      <c r="A688" s="34"/>
      <c r="B688" s="7"/>
      <c r="C688" s="19"/>
      <c r="D688" s="7"/>
      <c r="E688" s="7"/>
      <c r="F688" s="7"/>
      <c r="G688" s="7"/>
      <c r="H688" s="6"/>
      <c r="I688" s="7"/>
      <c r="J688" s="7"/>
      <c r="K688" s="7"/>
      <c r="L688" s="7"/>
      <c r="M688" s="52"/>
      <c r="N688" s="7"/>
      <c r="O688" s="7"/>
      <c r="P688" s="47"/>
      <c r="Q688" s="47"/>
      <c r="R688" s="7"/>
      <c r="S688" s="51"/>
      <c r="T688" s="51"/>
      <c r="U688" s="7"/>
      <c r="V688" s="57"/>
      <c r="W688" s="57"/>
      <c r="X688" s="57"/>
    </row>
    <row r="689" spans="1:24" ht="12.5" x14ac:dyDescent="0.25">
      <c r="A689" s="34"/>
      <c r="B689" s="7"/>
      <c r="C689" s="19"/>
      <c r="D689" s="7"/>
      <c r="E689" s="7"/>
      <c r="F689" s="7"/>
      <c r="G689" s="7"/>
      <c r="H689" s="6"/>
      <c r="I689" s="7"/>
      <c r="J689" s="7"/>
      <c r="K689" s="7"/>
      <c r="L689" s="7"/>
      <c r="M689" s="52"/>
      <c r="N689" s="7"/>
      <c r="O689" s="7"/>
      <c r="P689" s="47"/>
      <c r="Q689" s="47"/>
      <c r="R689" s="7"/>
      <c r="S689" s="51"/>
      <c r="T689" s="51"/>
      <c r="U689" s="7"/>
      <c r="V689" s="57"/>
      <c r="W689" s="57"/>
      <c r="X689" s="57"/>
    </row>
    <row r="690" spans="1:24" ht="12.5" x14ac:dyDescent="0.25">
      <c r="A690" s="34"/>
      <c r="B690" s="7"/>
      <c r="C690" s="19"/>
      <c r="D690" s="7"/>
      <c r="E690" s="7"/>
      <c r="F690" s="7"/>
      <c r="G690" s="7"/>
      <c r="H690" s="6"/>
      <c r="I690" s="7"/>
      <c r="J690" s="7"/>
      <c r="K690" s="7"/>
      <c r="L690" s="7"/>
      <c r="M690" s="52"/>
      <c r="N690" s="7"/>
      <c r="O690" s="7"/>
      <c r="P690" s="47"/>
      <c r="Q690" s="47"/>
      <c r="R690" s="7"/>
      <c r="S690" s="51"/>
      <c r="T690" s="51"/>
      <c r="U690" s="7"/>
      <c r="V690" s="57"/>
      <c r="W690" s="57"/>
      <c r="X690" s="57"/>
    </row>
    <row r="691" spans="1:24" ht="12.5" x14ac:dyDescent="0.25">
      <c r="A691" s="34"/>
      <c r="B691" s="7"/>
      <c r="C691" s="19"/>
      <c r="D691" s="7"/>
      <c r="E691" s="7"/>
      <c r="F691" s="7"/>
      <c r="G691" s="7"/>
      <c r="H691" s="6"/>
      <c r="I691" s="7"/>
      <c r="J691" s="7"/>
      <c r="K691" s="7"/>
      <c r="L691" s="7"/>
      <c r="M691" s="52"/>
      <c r="N691" s="7"/>
      <c r="O691" s="7"/>
      <c r="P691" s="47"/>
      <c r="Q691" s="47"/>
      <c r="R691" s="7"/>
      <c r="S691" s="51"/>
      <c r="T691" s="51"/>
      <c r="U691" s="7"/>
      <c r="V691" s="57"/>
      <c r="W691" s="57"/>
      <c r="X691" s="57"/>
    </row>
    <row r="692" spans="1:24" ht="12.5" x14ac:dyDescent="0.25">
      <c r="A692" s="34"/>
      <c r="B692" s="7"/>
      <c r="C692" s="19"/>
      <c r="D692" s="7"/>
      <c r="E692" s="7"/>
      <c r="F692" s="7"/>
      <c r="G692" s="7"/>
      <c r="H692" s="6"/>
      <c r="I692" s="7"/>
      <c r="J692" s="7"/>
      <c r="K692" s="7"/>
      <c r="L692" s="7"/>
      <c r="M692" s="52"/>
      <c r="N692" s="7"/>
      <c r="O692" s="7"/>
      <c r="P692" s="47"/>
      <c r="Q692" s="47"/>
      <c r="R692" s="7"/>
      <c r="S692" s="51"/>
      <c r="T692" s="51"/>
      <c r="U692" s="7"/>
      <c r="V692" s="57"/>
      <c r="W692" s="57"/>
      <c r="X692" s="57"/>
    </row>
    <row r="693" spans="1:24" ht="12.5" x14ac:dyDescent="0.25">
      <c r="A693" s="34"/>
      <c r="B693" s="7"/>
      <c r="C693" s="19"/>
      <c r="D693" s="7"/>
      <c r="E693" s="7"/>
      <c r="F693" s="7"/>
      <c r="G693" s="7"/>
      <c r="H693" s="6"/>
      <c r="I693" s="7"/>
      <c r="J693" s="7"/>
      <c r="K693" s="7"/>
      <c r="L693" s="7"/>
      <c r="M693" s="52"/>
      <c r="N693" s="7"/>
      <c r="O693" s="7"/>
      <c r="P693" s="47"/>
      <c r="Q693" s="47"/>
      <c r="R693" s="7"/>
      <c r="S693" s="51"/>
      <c r="T693" s="51"/>
      <c r="U693" s="7"/>
      <c r="V693" s="57"/>
      <c r="W693" s="57"/>
      <c r="X693" s="57"/>
    </row>
    <row r="694" spans="1:24" ht="12.5" x14ac:dyDescent="0.25">
      <c r="A694" s="34"/>
      <c r="B694" s="7"/>
      <c r="C694" s="19"/>
      <c r="D694" s="7"/>
      <c r="E694" s="7"/>
      <c r="F694" s="7"/>
      <c r="G694" s="7"/>
      <c r="H694" s="6"/>
      <c r="I694" s="7"/>
      <c r="J694" s="7"/>
      <c r="K694" s="7"/>
      <c r="L694" s="7"/>
      <c r="M694" s="52"/>
      <c r="N694" s="7"/>
      <c r="O694" s="7"/>
      <c r="P694" s="47"/>
      <c r="Q694" s="47"/>
      <c r="R694" s="7"/>
      <c r="S694" s="51"/>
      <c r="T694" s="51"/>
      <c r="U694" s="7"/>
      <c r="V694" s="57"/>
      <c r="W694" s="57"/>
      <c r="X694" s="57"/>
    </row>
    <row r="695" spans="1:24" ht="12.5" x14ac:dyDescent="0.25">
      <c r="A695" s="34"/>
      <c r="B695" s="7"/>
      <c r="C695" s="19"/>
      <c r="D695" s="7"/>
      <c r="E695" s="7"/>
      <c r="F695" s="7"/>
      <c r="G695" s="7"/>
      <c r="H695" s="6"/>
      <c r="I695" s="7"/>
      <c r="J695" s="7"/>
      <c r="K695" s="7"/>
      <c r="L695" s="7"/>
      <c r="M695" s="52"/>
      <c r="N695" s="7"/>
      <c r="O695" s="7"/>
      <c r="P695" s="47"/>
      <c r="Q695" s="47"/>
      <c r="R695" s="7"/>
      <c r="S695" s="51"/>
      <c r="T695" s="51"/>
      <c r="U695" s="7"/>
      <c r="V695" s="57"/>
      <c r="W695" s="57"/>
      <c r="X695" s="57"/>
    </row>
    <row r="696" spans="1:24" ht="12.5" x14ac:dyDescent="0.25">
      <c r="A696" s="34"/>
      <c r="B696" s="7"/>
      <c r="C696" s="19"/>
      <c r="D696" s="7"/>
      <c r="E696" s="7"/>
      <c r="F696" s="7"/>
      <c r="G696" s="7"/>
      <c r="H696" s="6"/>
      <c r="I696" s="7"/>
      <c r="J696" s="7"/>
      <c r="K696" s="7"/>
      <c r="L696" s="7"/>
      <c r="M696" s="52"/>
      <c r="N696" s="7"/>
      <c r="O696" s="7"/>
      <c r="P696" s="47"/>
      <c r="Q696" s="47"/>
      <c r="R696" s="7"/>
      <c r="S696" s="51"/>
      <c r="T696" s="51"/>
      <c r="U696" s="7"/>
      <c r="V696" s="57"/>
      <c r="W696" s="57"/>
      <c r="X696" s="57"/>
    </row>
    <row r="697" spans="1:24" ht="12.5" x14ac:dyDescent="0.25">
      <c r="A697" s="34"/>
      <c r="B697" s="7"/>
      <c r="C697" s="19"/>
      <c r="D697" s="7"/>
      <c r="E697" s="7"/>
      <c r="F697" s="7"/>
      <c r="G697" s="7"/>
      <c r="H697" s="6"/>
      <c r="I697" s="7"/>
      <c r="J697" s="7"/>
      <c r="K697" s="7"/>
      <c r="L697" s="7"/>
      <c r="M697" s="52"/>
      <c r="N697" s="7"/>
      <c r="O697" s="7"/>
      <c r="P697" s="47"/>
      <c r="Q697" s="47"/>
      <c r="R697" s="7"/>
      <c r="S697" s="51"/>
      <c r="T697" s="51"/>
      <c r="U697" s="7"/>
      <c r="V697" s="57"/>
      <c r="W697" s="57"/>
      <c r="X697" s="57"/>
    </row>
    <row r="698" spans="1:24" ht="12.5" x14ac:dyDescent="0.25">
      <c r="A698" s="34"/>
      <c r="B698" s="7"/>
      <c r="C698" s="19"/>
      <c r="D698" s="7"/>
      <c r="E698" s="7"/>
      <c r="F698" s="7"/>
      <c r="G698" s="7"/>
      <c r="H698" s="6"/>
      <c r="I698" s="7"/>
      <c r="J698" s="7"/>
      <c r="K698" s="7"/>
      <c r="L698" s="7"/>
      <c r="M698" s="52"/>
      <c r="N698" s="7"/>
      <c r="O698" s="7"/>
      <c r="P698" s="47"/>
      <c r="Q698" s="47"/>
      <c r="R698" s="7"/>
      <c r="S698" s="51"/>
      <c r="T698" s="51"/>
      <c r="U698" s="7"/>
      <c r="V698" s="57"/>
      <c r="W698" s="57"/>
      <c r="X698" s="57"/>
    </row>
    <row r="699" spans="1:24" ht="12.5" x14ac:dyDescent="0.25">
      <c r="A699" s="34"/>
      <c r="B699" s="7"/>
      <c r="C699" s="19"/>
      <c r="D699" s="7"/>
      <c r="E699" s="7"/>
      <c r="F699" s="7"/>
      <c r="G699" s="7"/>
      <c r="H699" s="6"/>
      <c r="I699" s="7"/>
      <c r="J699" s="7"/>
      <c r="K699" s="7"/>
      <c r="L699" s="7"/>
      <c r="M699" s="52"/>
      <c r="N699" s="7"/>
      <c r="O699" s="7"/>
      <c r="P699" s="47"/>
      <c r="Q699" s="47"/>
      <c r="R699" s="7"/>
      <c r="S699" s="51"/>
      <c r="T699" s="51"/>
      <c r="U699" s="7"/>
      <c r="V699" s="57"/>
      <c r="W699" s="57"/>
      <c r="X699" s="57"/>
    </row>
    <row r="700" spans="1:24" ht="12.5" x14ac:dyDescent="0.25">
      <c r="A700" s="34"/>
      <c r="B700" s="7"/>
      <c r="C700" s="19"/>
      <c r="D700" s="7"/>
      <c r="E700" s="7"/>
      <c r="F700" s="7"/>
      <c r="G700" s="7"/>
      <c r="H700" s="6"/>
      <c r="I700" s="7"/>
      <c r="J700" s="7"/>
      <c r="K700" s="7"/>
      <c r="L700" s="7"/>
      <c r="M700" s="52"/>
      <c r="N700" s="7"/>
      <c r="O700" s="7"/>
      <c r="P700" s="47"/>
      <c r="Q700" s="47"/>
      <c r="R700" s="7"/>
      <c r="S700" s="51"/>
      <c r="T700" s="51"/>
      <c r="U700" s="7"/>
      <c r="V700" s="57"/>
      <c r="W700" s="57"/>
      <c r="X700" s="57"/>
    </row>
    <row r="701" spans="1:24" ht="12.5" x14ac:dyDescent="0.25">
      <c r="A701" s="34"/>
      <c r="B701" s="7"/>
      <c r="C701" s="19"/>
      <c r="D701" s="7"/>
      <c r="E701" s="7"/>
      <c r="F701" s="7"/>
      <c r="G701" s="7"/>
      <c r="H701" s="6"/>
      <c r="I701" s="7"/>
      <c r="J701" s="7"/>
      <c r="K701" s="7"/>
      <c r="L701" s="7"/>
      <c r="M701" s="52"/>
      <c r="N701" s="7"/>
      <c r="O701" s="7"/>
      <c r="P701" s="47"/>
      <c r="Q701" s="47"/>
      <c r="R701" s="7"/>
      <c r="S701" s="51"/>
      <c r="T701" s="51"/>
      <c r="U701" s="7"/>
      <c r="V701" s="57"/>
      <c r="W701" s="57"/>
      <c r="X701" s="57"/>
    </row>
    <row r="702" spans="1:24" ht="12.5" x14ac:dyDescent="0.25">
      <c r="A702" s="34"/>
      <c r="B702" s="7"/>
      <c r="C702" s="19"/>
      <c r="D702" s="7"/>
      <c r="E702" s="7"/>
      <c r="F702" s="7"/>
      <c r="G702" s="7"/>
      <c r="H702" s="6"/>
      <c r="I702" s="7"/>
      <c r="J702" s="7"/>
      <c r="K702" s="7"/>
      <c r="L702" s="7"/>
      <c r="M702" s="52"/>
      <c r="N702" s="7"/>
      <c r="O702" s="7"/>
      <c r="P702" s="47"/>
      <c r="Q702" s="47"/>
      <c r="R702" s="7"/>
      <c r="S702" s="51"/>
      <c r="T702" s="51"/>
      <c r="U702" s="7"/>
      <c r="V702" s="57"/>
      <c r="W702" s="57"/>
      <c r="X702" s="57"/>
    </row>
    <row r="703" spans="1:24" ht="12.5" x14ac:dyDescent="0.25">
      <c r="A703" s="34"/>
      <c r="B703" s="7"/>
      <c r="C703" s="19"/>
      <c r="D703" s="7"/>
      <c r="E703" s="7"/>
      <c r="F703" s="7"/>
      <c r="G703" s="7"/>
      <c r="H703" s="6"/>
      <c r="I703" s="7"/>
      <c r="J703" s="7"/>
      <c r="K703" s="7"/>
      <c r="L703" s="7"/>
      <c r="M703" s="52"/>
      <c r="N703" s="7"/>
      <c r="O703" s="7"/>
      <c r="P703" s="47"/>
      <c r="Q703" s="47"/>
      <c r="R703" s="7"/>
      <c r="S703" s="51"/>
      <c r="T703" s="51"/>
      <c r="U703" s="7"/>
      <c r="V703" s="57"/>
      <c r="W703" s="57"/>
      <c r="X703" s="57"/>
    </row>
    <row r="704" spans="1:24" ht="12.5" x14ac:dyDescent="0.25">
      <c r="A704" s="34"/>
      <c r="B704" s="7"/>
      <c r="C704" s="19"/>
      <c r="D704" s="7"/>
      <c r="E704" s="7"/>
      <c r="F704" s="7"/>
      <c r="G704" s="7"/>
      <c r="H704" s="6"/>
      <c r="I704" s="7"/>
      <c r="J704" s="7"/>
      <c r="K704" s="7"/>
      <c r="L704" s="7"/>
      <c r="M704" s="52"/>
      <c r="N704" s="7"/>
      <c r="O704" s="7"/>
      <c r="P704" s="47"/>
      <c r="Q704" s="47"/>
      <c r="R704" s="7"/>
      <c r="S704" s="51"/>
      <c r="T704" s="51"/>
      <c r="U704" s="7"/>
      <c r="V704" s="57"/>
      <c r="W704" s="57"/>
      <c r="X704" s="57"/>
    </row>
    <row r="705" spans="1:24" ht="12.5" x14ac:dyDescent="0.25">
      <c r="A705" s="34"/>
      <c r="B705" s="7"/>
      <c r="C705" s="19"/>
      <c r="D705" s="7"/>
      <c r="E705" s="7"/>
      <c r="F705" s="7"/>
      <c r="G705" s="7"/>
      <c r="H705" s="6"/>
      <c r="I705" s="7"/>
      <c r="J705" s="7"/>
      <c r="K705" s="7"/>
      <c r="L705" s="7"/>
      <c r="M705" s="52"/>
      <c r="N705" s="7"/>
      <c r="O705" s="7"/>
      <c r="P705" s="47"/>
      <c r="Q705" s="47"/>
      <c r="R705" s="7"/>
      <c r="S705" s="51"/>
      <c r="T705" s="51"/>
      <c r="U705" s="7"/>
      <c r="V705" s="57"/>
      <c r="W705" s="57"/>
      <c r="X705" s="57"/>
    </row>
    <row r="706" spans="1:24" ht="12.5" x14ac:dyDescent="0.25">
      <c r="A706" s="34"/>
      <c r="B706" s="7"/>
      <c r="C706" s="19"/>
      <c r="D706" s="7"/>
      <c r="E706" s="7"/>
      <c r="F706" s="7"/>
      <c r="G706" s="7"/>
      <c r="H706" s="6"/>
      <c r="I706" s="7"/>
      <c r="J706" s="7"/>
      <c r="K706" s="7"/>
      <c r="L706" s="7"/>
      <c r="M706" s="52"/>
      <c r="N706" s="7"/>
      <c r="O706" s="7"/>
      <c r="P706" s="47"/>
      <c r="Q706" s="47"/>
      <c r="R706" s="7"/>
      <c r="S706" s="51"/>
      <c r="T706" s="51"/>
      <c r="U706" s="7"/>
      <c r="V706" s="57"/>
      <c r="W706" s="57"/>
      <c r="X706" s="57"/>
    </row>
    <row r="707" spans="1:24" ht="12.5" x14ac:dyDescent="0.25">
      <c r="A707" s="34"/>
      <c r="B707" s="7"/>
      <c r="C707" s="19"/>
      <c r="D707" s="7"/>
      <c r="E707" s="7"/>
      <c r="F707" s="7"/>
      <c r="G707" s="7"/>
      <c r="H707" s="6"/>
      <c r="I707" s="7"/>
      <c r="J707" s="7"/>
      <c r="K707" s="7"/>
      <c r="L707" s="7"/>
      <c r="M707" s="52"/>
      <c r="N707" s="7"/>
      <c r="O707" s="7"/>
      <c r="P707" s="47"/>
      <c r="Q707" s="47"/>
      <c r="R707" s="7"/>
      <c r="S707" s="51"/>
      <c r="T707" s="51"/>
      <c r="U707" s="7"/>
      <c r="V707" s="57"/>
      <c r="W707" s="57"/>
      <c r="X707" s="57"/>
    </row>
    <row r="708" spans="1:24" ht="12.5" x14ac:dyDescent="0.25">
      <c r="A708" s="34"/>
      <c r="B708" s="7"/>
      <c r="C708" s="19"/>
      <c r="D708" s="7"/>
      <c r="E708" s="7"/>
      <c r="F708" s="7"/>
      <c r="G708" s="7"/>
      <c r="H708" s="6"/>
      <c r="I708" s="7"/>
      <c r="J708" s="7"/>
      <c r="K708" s="7"/>
      <c r="L708" s="7"/>
      <c r="M708" s="52"/>
      <c r="N708" s="7"/>
      <c r="O708" s="7"/>
      <c r="P708" s="47"/>
      <c r="Q708" s="47"/>
      <c r="R708" s="7"/>
      <c r="S708" s="51"/>
      <c r="T708" s="51"/>
      <c r="U708" s="7"/>
      <c r="V708" s="57"/>
      <c r="W708" s="57"/>
      <c r="X708" s="57"/>
    </row>
    <row r="709" spans="1:24" ht="12.5" x14ac:dyDescent="0.25">
      <c r="A709" s="34"/>
      <c r="B709" s="7"/>
      <c r="C709" s="19"/>
      <c r="D709" s="7"/>
      <c r="E709" s="7"/>
      <c r="F709" s="7"/>
      <c r="G709" s="7"/>
      <c r="H709" s="6"/>
      <c r="I709" s="7"/>
      <c r="J709" s="7"/>
      <c r="K709" s="7"/>
      <c r="L709" s="7"/>
      <c r="M709" s="52"/>
      <c r="N709" s="7"/>
      <c r="O709" s="7"/>
      <c r="P709" s="47"/>
      <c r="Q709" s="47"/>
      <c r="R709" s="7"/>
      <c r="S709" s="51"/>
      <c r="T709" s="51"/>
      <c r="U709" s="7"/>
      <c r="V709" s="57"/>
      <c r="W709" s="57"/>
      <c r="X709" s="57"/>
    </row>
    <row r="710" spans="1:24" ht="12.5" x14ac:dyDescent="0.25">
      <c r="A710" s="34"/>
      <c r="B710" s="7"/>
      <c r="C710" s="19"/>
      <c r="D710" s="7"/>
      <c r="E710" s="7"/>
      <c r="F710" s="7"/>
      <c r="G710" s="7"/>
      <c r="H710" s="6"/>
      <c r="I710" s="7"/>
      <c r="J710" s="7"/>
      <c r="K710" s="7"/>
      <c r="L710" s="7"/>
      <c r="M710" s="52"/>
      <c r="N710" s="7"/>
      <c r="O710" s="7"/>
      <c r="P710" s="47"/>
      <c r="Q710" s="47"/>
      <c r="R710" s="7"/>
      <c r="S710" s="51"/>
      <c r="T710" s="51"/>
      <c r="U710" s="7"/>
      <c r="V710" s="57"/>
      <c r="W710" s="57"/>
      <c r="X710" s="57"/>
    </row>
    <row r="711" spans="1:24" ht="12.5" x14ac:dyDescent="0.25">
      <c r="A711" s="34"/>
      <c r="B711" s="7"/>
      <c r="C711" s="19"/>
      <c r="D711" s="7"/>
      <c r="E711" s="7"/>
      <c r="F711" s="7"/>
      <c r="G711" s="7"/>
      <c r="H711" s="6"/>
      <c r="I711" s="7"/>
      <c r="J711" s="7"/>
      <c r="K711" s="7"/>
      <c r="L711" s="7"/>
      <c r="M711" s="52"/>
      <c r="N711" s="7"/>
      <c r="O711" s="7"/>
      <c r="P711" s="47"/>
      <c r="Q711" s="47"/>
      <c r="R711" s="7"/>
      <c r="S711" s="51"/>
      <c r="T711" s="51"/>
      <c r="U711" s="7"/>
      <c r="V711" s="57"/>
      <c r="W711" s="57"/>
      <c r="X711" s="57"/>
    </row>
    <row r="712" spans="1:24" ht="12.5" x14ac:dyDescent="0.25">
      <c r="A712" s="34"/>
      <c r="B712" s="7"/>
      <c r="C712" s="19"/>
      <c r="D712" s="7"/>
      <c r="E712" s="7"/>
      <c r="F712" s="7"/>
      <c r="G712" s="7"/>
      <c r="H712" s="6"/>
      <c r="I712" s="7"/>
      <c r="J712" s="7"/>
      <c r="K712" s="7"/>
      <c r="L712" s="7"/>
      <c r="M712" s="52"/>
      <c r="N712" s="7"/>
      <c r="O712" s="7"/>
      <c r="P712" s="47"/>
      <c r="Q712" s="47"/>
      <c r="R712" s="7"/>
      <c r="S712" s="51"/>
      <c r="T712" s="51"/>
      <c r="U712" s="7"/>
      <c r="V712" s="57"/>
      <c r="W712" s="57"/>
      <c r="X712" s="57"/>
    </row>
    <row r="713" spans="1:24" ht="12.5" x14ac:dyDescent="0.25">
      <c r="A713" s="34"/>
      <c r="B713" s="7"/>
      <c r="C713" s="19"/>
      <c r="D713" s="7"/>
      <c r="E713" s="7"/>
      <c r="F713" s="7"/>
      <c r="G713" s="7"/>
      <c r="H713" s="6"/>
      <c r="I713" s="7"/>
      <c r="J713" s="7"/>
      <c r="K713" s="7"/>
      <c r="L713" s="7"/>
      <c r="M713" s="52"/>
      <c r="N713" s="7"/>
      <c r="O713" s="7"/>
      <c r="P713" s="47"/>
      <c r="Q713" s="47"/>
      <c r="R713" s="7"/>
      <c r="S713" s="51"/>
      <c r="T713" s="51"/>
      <c r="U713" s="7"/>
      <c r="V713" s="57"/>
      <c r="W713" s="57"/>
      <c r="X713" s="57"/>
    </row>
    <row r="714" spans="1:24" ht="12.5" x14ac:dyDescent="0.25">
      <c r="A714" s="34"/>
      <c r="B714" s="7"/>
      <c r="C714" s="19"/>
      <c r="D714" s="7"/>
      <c r="E714" s="7"/>
      <c r="F714" s="7"/>
      <c r="G714" s="7"/>
      <c r="H714" s="6"/>
      <c r="I714" s="7"/>
      <c r="J714" s="7"/>
      <c r="K714" s="7"/>
      <c r="L714" s="7"/>
      <c r="M714" s="52"/>
      <c r="N714" s="7"/>
      <c r="O714" s="7"/>
      <c r="P714" s="47"/>
      <c r="Q714" s="47"/>
      <c r="R714" s="7"/>
      <c r="S714" s="51"/>
      <c r="T714" s="51"/>
      <c r="U714" s="7"/>
      <c r="V714" s="57"/>
      <c r="W714" s="57"/>
      <c r="X714" s="57"/>
    </row>
    <row r="715" spans="1:24" ht="12.5" x14ac:dyDescent="0.25">
      <c r="A715" s="34"/>
      <c r="B715" s="7"/>
      <c r="C715" s="19"/>
      <c r="D715" s="7"/>
      <c r="E715" s="7"/>
      <c r="F715" s="7"/>
      <c r="G715" s="7"/>
      <c r="H715" s="6"/>
      <c r="I715" s="7"/>
      <c r="J715" s="7"/>
      <c r="K715" s="7"/>
      <c r="L715" s="7"/>
      <c r="M715" s="52"/>
      <c r="N715" s="7"/>
      <c r="O715" s="7"/>
      <c r="P715" s="47"/>
      <c r="Q715" s="47"/>
      <c r="R715" s="7"/>
      <c r="S715" s="51"/>
      <c r="T715" s="51"/>
      <c r="U715" s="7"/>
      <c r="V715" s="57"/>
      <c r="W715" s="57"/>
      <c r="X715" s="57"/>
    </row>
    <row r="716" spans="1:24" ht="12.5" x14ac:dyDescent="0.25">
      <c r="A716" s="34"/>
      <c r="B716" s="7"/>
      <c r="C716" s="19"/>
      <c r="D716" s="7"/>
      <c r="E716" s="7"/>
      <c r="F716" s="7"/>
      <c r="G716" s="7"/>
      <c r="H716" s="6"/>
      <c r="I716" s="7"/>
      <c r="J716" s="7"/>
      <c r="K716" s="7"/>
      <c r="L716" s="7"/>
      <c r="M716" s="52"/>
      <c r="N716" s="7"/>
      <c r="O716" s="7"/>
      <c r="P716" s="47"/>
      <c r="Q716" s="47"/>
      <c r="R716" s="7"/>
      <c r="S716" s="51"/>
      <c r="T716" s="51"/>
      <c r="U716" s="7"/>
      <c r="V716" s="57"/>
      <c r="W716" s="57"/>
      <c r="X716" s="57"/>
    </row>
    <row r="717" spans="1:24" ht="12.5" x14ac:dyDescent="0.25">
      <c r="A717" s="34"/>
      <c r="B717" s="7"/>
      <c r="C717" s="19"/>
      <c r="D717" s="7"/>
      <c r="E717" s="7"/>
      <c r="F717" s="7"/>
      <c r="G717" s="7"/>
      <c r="H717" s="6"/>
      <c r="I717" s="7"/>
      <c r="J717" s="7"/>
      <c r="K717" s="7"/>
      <c r="L717" s="7"/>
      <c r="M717" s="52"/>
      <c r="N717" s="7"/>
      <c r="O717" s="7"/>
      <c r="P717" s="47"/>
      <c r="Q717" s="47"/>
      <c r="R717" s="7"/>
      <c r="S717" s="51"/>
      <c r="T717" s="51"/>
      <c r="U717" s="7"/>
      <c r="V717" s="57"/>
      <c r="W717" s="57"/>
      <c r="X717" s="57"/>
    </row>
    <row r="718" spans="1:24" ht="12.5" x14ac:dyDescent="0.25">
      <c r="A718" s="34"/>
      <c r="B718" s="7"/>
      <c r="C718" s="19"/>
      <c r="D718" s="7"/>
      <c r="E718" s="7"/>
      <c r="F718" s="7"/>
      <c r="G718" s="7"/>
      <c r="H718" s="6"/>
      <c r="I718" s="7"/>
      <c r="J718" s="7"/>
      <c r="K718" s="7"/>
      <c r="L718" s="7"/>
      <c r="M718" s="52"/>
      <c r="N718" s="7"/>
      <c r="O718" s="7"/>
      <c r="P718" s="47"/>
      <c r="Q718" s="47"/>
      <c r="R718" s="7"/>
      <c r="S718" s="51"/>
      <c r="T718" s="51"/>
      <c r="U718" s="7"/>
      <c r="V718" s="57"/>
      <c r="W718" s="57"/>
      <c r="X718" s="57"/>
    </row>
    <row r="719" spans="1:24" ht="12.5" x14ac:dyDescent="0.25">
      <c r="A719" s="34"/>
      <c r="B719" s="7"/>
      <c r="C719" s="19"/>
      <c r="D719" s="7"/>
      <c r="E719" s="7"/>
      <c r="F719" s="7"/>
      <c r="G719" s="7"/>
      <c r="H719" s="6"/>
      <c r="I719" s="7"/>
      <c r="J719" s="7"/>
      <c r="K719" s="7"/>
      <c r="L719" s="7"/>
      <c r="M719" s="52"/>
      <c r="N719" s="7"/>
      <c r="O719" s="7"/>
      <c r="P719" s="47"/>
      <c r="Q719" s="47"/>
      <c r="R719" s="7"/>
      <c r="S719" s="51"/>
      <c r="T719" s="51"/>
      <c r="U719" s="7"/>
      <c r="V719" s="57"/>
      <c r="W719" s="57"/>
      <c r="X719" s="57"/>
    </row>
    <row r="720" spans="1:24" ht="12.5" x14ac:dyDescent="0.25">
      <c r="A720" s="34"/>
      <c r="B720" s="7"/>
      <c r="C720" s="19"/>
      <c r="D720" s="7"/>
      <c r="E720" s="7"/>
      <c r="F720" s="7"/>
      <c r="G720" s="7"/>
      <c r="H720" s="6"/>
      <c r="I720" s="7"/>
      <c r="J720" s="7"/>
      <c r="K720" s="7"/>
      <c r="L720" s="7"/>
      <c r="M720" s="52"/>
      <c r="N720" s="7"/>
      <c r="O720" s="7"/>
      <c r="P720" s="47"/>
      <c r="Q720" s="47"/>
      <c r="R720" s="7"/>
      <c r="S720" s="51"/>
      <c r="T720" s="51"/>
      <c r="U720" s="7"/>
      <c r="V720" s="57"/>
      <c r="W720" s="57"/>
      <c r="X720" s="57"/>
    </row>
    <row r="721" spans="1:24" ht="12.5" x14ac:dyDescent="0.25">
      <c r="A721" s="34"/>
      <c r="B721" s="7"/>
      <c r="C721" s="19"/>
      <c r="D721" s="7"/>
      <c r="E721" s="7"/>
      <c r="F721" s="7"/>
      <c r="G721" s="7"/>
      <c r="H721" s="6"/>
      <c r="I721" s="7"/>
      <c r="J721" s="7"/>
      <c r="K721" s="7"/>
      <c r="L721" s="7"/>
      <c r="M721" s="52"/>
      <c r="N721" s="7"/>
      <c r="O721" s="7"/>
      <c r="P721" s="47"/>
      <c r="Q721" s="47"/>
      <c r="R721" s="7"/>
      <c r="S721" s="51"/>
      <c r="T721" s="51"/>
      <c r="U721" s="7"/>
      <c r="V721" s="57"/>
      <c r="W721" s="57"/>
      <c r="X721" s="57"/>
    </row>
    <row r="722" spans="1:24" ht="12.5" x14ac:dyDescent="0.25">
      <c r="A722" s="34"/>
      <c r="B722" s="7"/>
      <c r="C722" s="19"/>
      <c r="D722" s="7"/>
      <c r="E722" s="7"/>
      <c r="F722" s="7"/>
      <c r="G722" s="7"/>
      <c r="H722" s="6"/>
      <c r="I722" s="7"/>
      <c r="J722" s="7"/>
      <c r="K722" s="7"/>
      <c r="L722" s="7"/>
      <c r="M722" s="52"/>
      <c r="N722" s="7"/>
      <c r="O722" s="7"/>
      <c r="P722" s="47"/>
      <c r="Q722" s="47"/>
      <c r="R722" s="7"/>
      <c r="S722" s="51"/>
      <c r="T722" s="51"/>
      <c r="U722" s="7"/>
      <c r="V722" s="57"/>
      <c r="W722" s="57"/>
      <c r="X722" s="57"/>
    </row>
    <row r="723" spans="1:24" ht="12.5" x14ac:dyDescent="0.25">
      <c r="A723" s="34"/>
      <c r="B723" s="7"/>
      <c r="C723" s="19"/>
      <c r="D723" s="7"/>
      <c r="E723" s="7"/>
      <c r="F723" s="7"/>
      <c r="G723" s="7"/>
      <c r="H723" s="6"/>
      <c r="I723" s="7"/>
      <c r="J723" s="7"/>
      <c r="K723" s="7"/>
      <c r="L723" s="7"/>
      <c r="M723" s="52"/>
      <c r="N723" s="7"/>
      <c r="O723" s="7"/>
      <c r="P723" s="47"/>
      <c r="Q723" s="47"/>
      <c r="R723" s="7"/>
      <c r="S723" s="51"/>
      <c r="T723" s="51"/>
      <c r="U723" s="7"/>
      <c r="V723" s="57"/>
      <c r="W723" s="57"/>
      <c r="X723" s="57"/>
    </row>
    <row r="724" spans="1:24" ht="12.5" x14ac:dyDescent="0.25">
      <c r="A724" s="34"/>
      <c r="B724" s="7"/>
      <c r="C724" s="19"/>
      <c r="D724" s="7"/>
      <c r="E724" s="7"/>
      <c r="F724" s="7"/>
      <c r="G724" s="7"/>
      <c r="H724" s="6"/>
      <c r="I724" s="7"/>
      <c r="J724" s="7"/>
      <c r="K724" s="7"/>
      <c r="L724" s="7"/>
      <c r="M724" s="52"/>
      <c r="N724" s="7"/>
      <c r="O724" s="7"/>
      <c r="P724" s="47"/>
      <c r="Q724" s="47"/>
      <c r="R724" s="7"/>
      <c r="S724" s="51"/>
      <c r="T724" s="51"/>
      <c r="U724" s="7"/>
      <c r="V724" s="57"/>
      <c r="W724" s="57"/>
      <c r="X724" s="57"/>
    </row>
    <row r="725" spans="1:24" ht="12.5" x14ac:dyDescent="0.25">
      <c r="A725" s="34"/>
      <c r="B725" s="7"/>
      <c r="C725" s="19"/>
      <c r="D725" s="7"/>
      <c r="E725" s="7"/>
      <c r="F725" s="7"/>
      <c r="G725" s="7"/>
      <c r="H725" s="6"/>
      <c r="I725" s="7"/>
      <c r="J725" s="7"/>
      <c r="K725" s="7"/>
      <c r="L725" s="7"/>
      <c r="M725" s="52"/>
      <c r="N725" s="7"/>
      <c r="O725" s="7"/>
      <c r="P725" s="47"/>
      <c r="Q725" s="47"/>
      <c r="R725" s="7"/>
      <c r="S725" s="51"/>
      <c r="T725" s="51"/>
      <c r="U725" s="7"/>
      <c r="V725" s="57"/>
      <c r="W725" s="57"/>
      <c r="X725" s="57"/>
    </row>
    <row r="726" spans="1:24" ht="12.5" x14ac:dyDescent="0.25">
      <c r="A726" s="34"/>
      <c r="B726" s="7"/>
      <c r="C726" s="19"/>
      <c r="D726" s="7"/>
      <c r="E726" s="7"/>
      <c r="F726" s="7"/>
      <c r="G726" s="7"/>
      <c r="H726" s="6"/>
      <c r="I726" s="7"/>
      <c r="J726" s="7"/>
      <c r="K726" s="7"/>
      <c r="L726" s="7"/>
      <c r="M726" s="52"/>
      <c r="N726" s="7"/>
      <c r="O726" s="7"/>
      <c r="P726" s="47"/>
      <c r="Q726" s="47"/>
      <c r="R726" s="7"/>
      <c r="S726" s="51"/>
      <c r="T726" s="51"/>
      <c r="U726" s="7"/>
      <c r="V726" s="57"/>
      <c r="W726" s="57"/>
      <c r="X726" s="57"/>
    </row>
    <row r="727" spans="1:24" ht="12.5" x14ac:dyDescent="0.25">
      <c r="A727" s="34"/>
      <c r="B727" s="7"/>
      <c r="C727" s="19"/>
      <c r="D727" s="7"/>
      <c r="E727" s="7"/>
      <c r="F727" s="7"/>
      <c r="G727" s="7"/>
      <c r="H727" s="6"/>
      <c r="I727" s="7"/>
      <c r="J727" s="7"/>
      <c r="K727" s="7"/>
      <c r="L727" s="7"/>
      <c r="M727" s="52"/>
      <c r="N727" s="7"/>
      <c r="O727" s="7"/>
      <c r="P727" s="47"/>
      <c r="Q727" s="47"/>
      <c r="R727" s="7"/>
      <c r="S727" s="51"/>
      <c r="T727" s="51"/>
      <c r="U727" s="7"/>
      <c r="V727" s="57"/>
      <c r="W727" s="57"/>
      <c r="X727" s="57"/>
    </row>
    <row r="728" spans="1:24" ht="12.5" x14ac:dyDescent="0.25">
      <c r="A728" s="34"/>
      <c r="B728" s="7"/>
      <c r="C728" s="19"/>
      <c r="D728" s="7"/>
      <c r="E728" s="7"/>
      <c r="F728" s="7"/>
      <c r="G728" s="7"/>
      <c r="H728" s="6"/>
      <c r="I728" s="7"/>
      <c r="J728" s="7"/>
      <c r="K728" s="7"/>
      <c r="L728" s="7"/>
      <c r="M728" s="52"/>
      <c r="N728" s="7"/>
      <c r="O728" s="7"/>
      <c r="P728" s="47"/>
      <c r="Q728" s="47"/>
      <c r="R728" s="7"/>
      <c r="S728" s="51"/>
      <c r="T728" s="51"/>
      <c r="U728" s="7"/>
      <c r="V728" s="57"/>
      <c r="W728" s="57"/>
      <c r="X728" s="57"/>
    </row>
    <row r="729" spans="1:24" ht="12.5" x14ac:dyDescent="0.25">
      <c r="A729" s="34"/>
      <c r="B729" s="7"/>
      <c r="C729" s="19"/>
      <c r="D729" s="7"/>
      <c r="E729" s="7"/>
      <c r="F729" s="7"/>
      <c r="G729" s="7"/>
      <c r="H729" s="6"/>
      <c r="I729" s="7"/>
      <c r="J729" s="7"/>
      <c r="K729" s="7"/>
      <c r="L729" s="7"/>
      <c r="M729" s="52"/>
      <c r="N729" s="7"/>
      <c r="O729" s="7"/>
      <c r="P729" s="47"/>
      <c r="Q729" s="47"/>
      <c r="R729" s="7"/>
      <c r="S729" s="51"/>
      <c r="T729" s="51"/>
      <c r="U729" s="7"/>
      <c r="V729" s="57"/>
      <c r="W729" s="57"/>
      <c r="X729" s="57"/>
    </row>
    <row r="730" spans="1:24" ht="12.5" x14ac:dyDescent="0.25">
      <c r="A730" s="34"/>
      <c r="B730" s="7"/>
      <c r="C730" s="19"/>
      <c r="D730" s="7"/>
      <c r="E730" s="7"/>
      <c r="F730" s="7"/>
      <c r="G730" s="7"/>
      <c r="H730" s="6"/>
      <c r="I730" s="7"/>
      <c r="J730" s="7"/>
      <c r="K730" s="7"/>
      <c r="L730" s="7"/>
      <c r="M730" s="52"/>
      <c r="N730" s="7"/>
      <c r="O730" s="7"/>
      <c r="P730" s="47"/>
      <c r="Q730" s="47"/>
      <c r="R730" s="7"/>
      <c r="S730" s="51"/>
      <c r="T730" s="51"/>
      <c r="U730" s="7"/>
      <c r="V730" s="57"/>
      <c r="W730" s="57"/>
      <c r="X730" s="57"/>
    </row>
    <row r="731" spans="1:24" ht="12.5" x14ac:dyDescent="0.25">
      <c r="A731" s="34"/>
      <c r="B731" s="7"/>
      <c r="C731" s="19"/>
      <c r="D731" s="7"/>
      <c r="E731" s="7"/>
      <c r="F731" s="7"/>
      <c r="G731" s="7"/>
      <c r="H731" s="6"/>
      <c r="I731" s="7"/>
      <c r="J731" s="7"/>
      <c r="K731" s="7"/>
      <c r="L731" s="7"/>
      <c r="M731" s="52"/>
      <c r="N731" s="7"/>
      <c r="O731" s="7"/>
      <c r="P731" s="47"/>
      <c r="Q731" s="47"/>
      <c r="R731" s="7"/>
      <c r="S731" s="51"/>
      <c r="T731" s="51"/>
      <c r="U731" s="7"/>
      <c r="V731" s="57"/>
      <c r="W731" s="57"/>
      <c r="X731" s="57"/>
    </row>
    <row r="732" spans="1:24" ht="12.5" x14ac:dyDescent="0.25">
      <c r="A732" s="34"/>
      <c r="B732" s="7"/>
      <c r="C732" s="19"/>
      <c r="D732" s="7"/>
      <c r="E732" s="7"/>
      <c r="F732" s="7"/>
      <c r="G732" s="7"/>
      <c r="H732" s="6"/>
      <c r="I732" s="7"/>
      <c r="J732" s="7"/>
      <c r="K732" s="7"/>
      <c r="L732" s="7"/>
      <c r="M732" s="52"/>
      <c r="N732" s="7"/>
      <c r="O732" s="7"/>
      <c r="P732" s="47"/>
      <c r="Q732" s="47"/>
      <c r="R732" s="7"/>
      <c r="S732" s="51"/>
      <c r="T732" s="51"/>
      <c r="U732" s="7"/>
      <c r="V732" s="57"/>
      <c r="W732" s="57"/>
      <c r="X732" s="57"/>
    </row>
    <row r="733" spans="1:24" ht="12.5" x14ac:dyDescent="0.25">
      <c r="A733" s="34"/>
      <c r="B733" s="7"/>
      <c r="C733" s="19"/>
      <c r="D733" s="7"/>
      <c r="E733" s="7"/>
      <c r="F733" s="7"/>
      <c r="G733" s="7"/>
      <c r="H733" s="6"/>
      <c r="I733" s="7"/>
      <c r="J733" s="7"/>
      <c r="K733" s="7"/>
      <c r="L733" s="7"/>
      <c r="M733" s="52"/>
      <c r="N733" s="7"/>
      <c r="O733" s="7"/>
      <c r="P733" s="47"/>
      <c r="Q733" s="47"/>
      <c r="R733" s="7"/>
      <c r="S733" s="51"/>
      <c r="T733" s="51"/>
      <c r="U733" s="7"/>
      <c r="V733" s="57"/>
      <c r="W733" s="57"/>
      <c r="X733" s="57"/>
    </row>
    <row r="734" spans="1:24" ht="12.5" x14ac:dyDescent="0.25">
      <c r="A734" s="34"/>
      <c r="B734" s="7"/>
      <c r="C734" s="19"/>
      <c r="D734" s="7"/>
      <c r="E734" s="7"/>
      <c r="F734" s="7"/>
      <c r="G734" s="7"/>
      <c r="H734" s="6"/>
      <c r="I734" s="7"/>
      <c r="J734" s="7"/>
      <c r="K734" s="7"/>
      <c r="L734" s="7"/>
      <c r="M734" s="52"/>
      <c r="N734" s="7"/>
      <c r="O734" s="7"/>
      <c r="P734" s="47"/>
      <c r="Q734" s="47"/>
      <c r="R734" s="7"/>
      <c r="S734" s="51"/>
      <c r="T734" s="51"/>
      <c r="U734" s="7"/>
      <c r="V734" s="57"/>
      <c r="W734" s="57"/>
      <c r="X734" s="57"/>
    </row>
    <row r="735" spans="1:24" ht="12.5" x14ac:dyDescent="0.25">
      <c r="A735" s="34"/>
      <c r="B735" s="7"/>
      <c r="C735" s="19"/>
      <c r="D735" s="7"/>
      <c r="E735" s="7"/>
      <c r="F735" s="7"/>
      <c r="G735" s="7"/>
      <c r="H735" s="6"/>
      <c r="I735" s="7"/>
      <c r="J735" s="7"/>
      <c r="K735" s="7"/>
      <c r="L735" s="7"/>
      <c r="M735" s="52"/>
      <c r="N735" s="7"/>
      <c r="O735" s="7"/>
      <c r="P735" s="47"/>
      <c r="Q735" s="47"/>
      <c r="R735" s="7"/>
      <c r="S735" s="51"/>
      <c r="T735" s="51"/>
      <c r="U735" s="7"/>
      <c r="V735" s="57"/>
      <c r="W735" s="57"/>
      <c r="X735" s="57"/>
    </row>
    <row r="736" spans="1:24" ht="12.5" x14ac:dyDescent="0.25">
      <c r="A736" s="34"/>
      <c r="B736" s="7"/>
      <c r="C736" s="19"/>
      <c r="D736" s="7"/>
      <c r="E736" s="7"/>
      <c r="F736" s="7"/>
      <c r="G736" s="7"/>
      <c r="H736" s="6"/>
      <c r="I736" s="7"/>
      <c r="J736" s="7"/>
      <c r="K736" s="7"/>
      <c r="L736" s="7"/>
      <c r="M736" s="52"/>
      <c r="N736" s="7"/>
      <c r="O736" s="7"/>
      <c r="P736" s="47"/>
      <c r="Q736" s="47"/>
      <c r="R736" s="7"/>
      <c r="S736" s="51"/>
      <c r="T736" s="51"/>
      <c r="U736" s="7"/>
      <c r="V736" s="57"/>
      <c r="W736" s="57"/>
      <c r="X736" s="57"/>
    </row>
    <row r="737" spans="1:24" ht="12.5" x14ac:dyDescent="0.25">
      <c r="A737" s="34"/>
      <c r="B737" s="7"/>
      <c r="C737" s="19"/>
      <c r="D737" s="7"/>
      <c r="E737" s="7"/>
      <c r="F737" s="7"/>
      <c r="G737" s="7"/>
      <c r="H737" s="6"/>
      <c r="I737" s="7"/>
      <c r="J737" s="7"/>
      <c r="K737" s="7"/>
      <c r="L737" s="7"/>
      <c r="M737" s="52"/>
      <c r="N737" s="7"/>
      <c r="O737" s="7"/>
      <c r="P737" s="47"/>
      <c r="Q737" s="47"/>
      <c r="R737" s="7"/>
      <c r="S737" s="51"/>
      <c r="T737" s="51"/>
      <c r="U737" s="7"/>
      <c r="V737" s="57"/>
      <c r="W737" s="57"/>
      <c r="X737" s="57"/>
    </row>
    <row r="738" spans="1:24" ht="12.5" x14ac:dyDescent="0.25">
      <c r="A738" s="34"/>
      <c r="B738" s="7"/>
      <c r="C738" s="19"/>
      <c r="D738" s="7"/>
      <c r="E738" s="7"/>
      <c r="F738" s="7"/>
      <c r="G738" s="7"/>
      <c r="H738" s="6"/>
      <c r="I738" s="7"/>
      <c r="J738" s="7"/>
      <c r="K738" s="7"/>
      <c r="L738" s="7"/>
      <c r="M738" s="52"/>
      <c r="N738" s="7"/>
      <c r="O738" s="7"/>
      <c r="P738" s="47"/>
      <c r="Q738" s="47"/>
      <c r="R738" s="7"/>
      <c r="S738" s="51"/>
      <c r="T738" s="51"/>
      <c r="U738" s="7"/>
      <c r="V738" s="57"/>
      <c r="W738" s="57"/>
      <c r="X738" s="57"/>
    </row>
    <row r="739" spans="1:24" ht="12.5" x14ac:dyDescent="0.25">
      <c r="A739" s="34"/>
      <c r="B739" s="7"/>
      <c r="C739" s="19"/>
      <c r="D739" s="7"/>
      <c r="E739" s="7"/>
      <c r="F739" s="7"/>
      <c r="G739" s="7"/>
      <c r="H739" s="6"/>
      <c r="I739" s="7"/>
      <c r="J739" s="7"/>
      <c r="K739" s="7"/>
      <c r="L739" s="7"/>
      <c r="M739" s="52"/>
      <c r="N739" s="7"/>
      <c r="O739" s="7"/>
      <c r="P739" s="47"/>
      <c r="Q739" s="47"/>
      <c r="R739" s="7"/>
      <c r="S739" s="51"/>
      <c r="T739" s="51"/>
      <c r="U739" s="7"/>
      <c r="V739" s="57"/>
      <c r="W739" s="57"/>
      <c r="X739" s="57"/>
    </row>
    <row r="740" spans="1:24" ht="12.5" x14ac:dyDescent="0.25">
      <c r="A740" s="34"/>
      <c r="B740" s="7"/>
      <c r="C740" s="19"/>
      <c r="D740" s="7"/>
      <c r="E740" s="7"/>
      <c r="F740" s="7"/>
      <c r="G740" s="7"/>
      <c r="H740" s="6"/>
      <c r="I740" s="7"/>
      <c r="J740" s="7"/>
      <c r="K740" s="7"/>
      <c r="L740" s="7"/>
      <c r="M740" s="52"/>
      <c r="N740" s="7"/>
      <c r="O740" s="7"/>
      <c r="P740" s="47"/>
      <c r="Q740" s="47"/>
      <c r="R740" s="7"/>
      <c r="S740" s="51"/>
      <c r="T740" s="51"/>
      <c r="U740" s="7"/>
      <c r="V740" s="57"/>
      <c r="W740" s="57"/>
      <c r="X740" s="57"/>
    </row>
    <row r="741" spans="1:24" ht="12.5" x14ac:dyDescent="0.25">
      <c r="A741" s="34"/>
      <c r="B741" s="7"/>
      <c r="C741" s="19"/>
      <c r="D741" s="7"/>
      <c r="E741" s="7"/>
      <c r="F741" s="7"/>
      <c r="G741" s="7"/>
      <c r="H741" s="6"/>
      <c r="I741" s="7"/>
      <c r="J741" s="7"/>
      <c r="K741" s="7"/>
      <c r="L741" s="7"/>
      <c r="M741" s="52"/>
      <c r="N741" s="7"/>
      <c r="O741" s="7"/>
      <c r="P741" s="47"/>
      <c r="Q741" s="47"/>
      <c r="R741" s="7"/>
      <c r="S741" s="51"/>
      <c r="T741" s="51"/>
      <c r="U741" s="7"/>
      <c r="V741" s="57"/>
      <c r="W741" s="57"/>
      <c r="X741" s="57"/>
    </row>
    <row r="742" spans="1:24" ht="12.5" x14ac:dyDescent="0.25">
      <c r="A742" s="34"/>
      <c r="B742" s="7"/>
      <c r="C742" s="19"/>
      <c r="D742" s="7"/>
      <c r="E742" s="7"/>
      <c r="F742" s="7"/>
      <c r="G742" s="7"/>
      <c r="H742" s="6"/>
      <c r="I742" s="7"/>
      <c r="J742" s="7"/>
      <c r="K742" s="7"/>
      <c r="L742" s="7"/>
      <c r="M742" s="52"/>
      <c r="N742" s="7"/>
      <c r="O742" s="7"/>
      <c r="P742" s="47"/>
      <c r="Q742" s="47"/>
      <c r="R742" s="7"/>
      <c r="S742" s="51"/>
      <c r="T742" s="51"/>
      <c r="U742" s="7"/>
      <c r="V742" s="57"/>
      <c r="W742" s="57"/>
      <c r="X742" s="57"/>
    </row>
    <row r="743" spans="1:24" ht="12.5" x14ac:dyDescent="0.25">
      <c r="A743" s="34"/>
      <c r="B743" s="7"/>
      <c r="C743" s="19"/>
      <c r="D743" s="7"/>
      <c r="E743" s="7"/>
      <c r="F743" s="7"/>
      <c r="G743" s="7"/>
      <c r="H743" s="6"/>
      <c r="I743" s="7"/>
      <c r="J743" s="7"/>
      <c r="K743" s="7"/>
      <c r="L743" s="7"/>
      <c r="M743" s="52"/>
      <c r="N743" s="7"/>
      <c r="O743" s="7"/>
      <c r="P743" s="47"/>
      <c r="Q743" s="47"/>
      <c r="R743" s="7"/>
      <c r="S743" s="51"/>
      <c r="T743" s="51"/>
      <c r="U743" s="7"/>
      <c r="V743" s="57"/>
      <c r="W743" s="57"/>
      <c r="X743" s="57"/>
    </row>
    <row r="744" spans="1:24" ht="12.5" x14ac:dyDescent="0.25">
      <c r="A744" s="34"/>
      <c r="B744" s="7"/>
      <c r="C744" s="19"/>
      <c r="D744" s="7"/>
      <c r="E744" s="7"/>
      <c r="F744" s="7"/>
      <c r="G744" s="7"/>
      <c r="H744" s="6"/>
      <c r="I744" s="7"/>
      <c r="J744" s="7"/>
      <c r="K744" s="7"/>
      <c r="L744" s="7"/>
      <c r="M744" s="52"/>
      <c r="N744" s="7"/>
      <c r="O744" s="7"/>
      <c r="P744" s="47"/>
      <c r="Q744" s="47"/>
      <c r="R744" s="7"/>
      <c r="S744" s="51"/>
      <c r="T744" s="51"/>
      <c r="U744" s="7"/>
      <c r="V744" s="57"/>
      <c r="W744" s="57"/>
      <c r="X744" s="57"/>
    </row>
    <row r="745" spans="1:24" ht="12.5" x14ac:dyDescent="0.25">
      <c r="A745" s="34"/>
      <c r="B745" s="7"/>
      <c r="C745" s="19"/>
      <c r="D745" s="7"/>
      <c r="E745" s="7"/>
      <c r="F745" s="7"/>
      <c r="G745" s="7"/>
      <c r="H745" s="6"/>
      <c r="I745" s="7"/>
      <c r="J745" s="7"/>
      <c r="K745" s="7"/>
      <c r="L745" s="7"/>
      <c r="M745" s="52"/>
      <c r="N745" s="7"/>
      <c r="O745" s="7"/>
      <c r="P745" s="47"/>
      <c r="Q745" s="47"/>
      <c r="R745" s="7"/>
      <c r="S745" s="51"/>
      <c r="T745" s="51"/>
      <c r="U745" s="7"/>
      <c r="V745" s="57"/>
      <c r="W745" s="57"/>
      <c r="X745" s="57"/>
    </row>
    <row r="746" spans="1:24" ht="12.5" x14ac:dyDescent="0.25">
      <c r="A746" s="34"/>
      <c r="B746" s="7"/>
      <c r="C746" s="19"/>
      <c r="D746" s="7"/>
      <c r="E746" s="7"/>
      <c r="F746" s="7"/>
      <c r="G746" s="7"/>
      <c r="H746" s="6"/>
      <c r="I746" s="7"/>
      <c r="J746" s="7"/>
      <c r="K746" s="7"/>
      <c r="L746" s="7"/>
      <c r="M746" s="52"/>
      <c r="N746" s="7"/>
      <c r="O746" s="7"/>
      <c r="P746" s="47"/>
      <c r="Q746" s="47"/>
      <c r="R746" s="7"/>
      <c r="S746" s="51"/>
      <c r="T746" s="51"/>
      <c r="U746" s="7"/>
      <c r="V746" s="57"/>
      <c r="W746" s="57"/>
      <c r="X746" s="57"/>
    </row>
    <row r="747" spans="1:24" ht="12.5" x14ac:dyDescent="0.25">
      <c r="A747" s="34"/>
      <c r="B747" s="7"/>
      <c r="C747" s="19"/>
      <c r="D747" s="7"/>
      <c r="E747" s="7"/>
      <c r="F747" s="7"/>
      <c r="G747" s="7"/>
      <c r="H747" s="6"/>
      <c r="I747" s="7"/>
      <c r="J747" s="7"/>
      <c r="K747" s="7"/>
      <c r="L747" s="7"/>
      <c r="M747" s="52"/>
      <c r="N747" s="7"/>
      <c r="O747" s="7"/>
      <c r="P747" s="47"/>
      <c r="Q747" s="47"/>
      <c r="R747" s="7"/>
      <c r="S747" s="51"/>
      <c r="T747" s="51"/>
      <c r="U747" s="7"/>
      <c r="V747" s="57"/>
      <c r="W747" s="57"/>
      <c r="X747" s="57"/>
    </row>
    <row r="748" spans="1:24" ht="12.5" x14ac:dyDescent="0.25">
      <c r="A748" s="34"/>
      <c r="B748" s="7"/>
      <c r="C748" s="19"/>
      <c r="D748" s="7"/>
      <c r="E748" s="7"/>
      <c r="F748" s="7"/>
      <c r="G748" s="7"/>
      <c r="H748" s="6"/>
      <c r="I748" s="7"/>
      <c r="J748" s="7"/>
      <c r="K748" s="7"/>
      <c r="L748" s="7"/>
      <c r="M748" s="52"/>
      <c r="N748" s="7"/>
      <c r="O748" s="7"/>
      <c r="P748" s="47"/>
      <c r="Q748" s="47"/>
      <c r="R748" s="7"/>
      <c r="S748" s="51"/>
      <c r="T748" s="51"/>
      <c r="U748" s="7"/>
      <c r="V748" s="57"/>
      <c r="W748" s="57"/>
      <c r="X748" s="57"/>
    </row>
    <row r="749" spans="1:24" ht="12.5" x14ac:dyDescent="0.25">
      <c r="A749" s="34"/>
      <c r="B749" s="7"/>
      <c r="C749" s="19"/>
      <c r="D749" s="7"/>
      <c r="E749" s="7"/>
      <c r="F749" s="7"/>
      <c r="G749" s="7"/>
      <c r="H749" s="6"/>
      <c r="I749" s="7"/>
      <c r="J749" s="7"/>
      <c r="K749" s="7"/>
      <c r="L749" s="7"/>
      <c r="M749" s="52"/>
      <c r="N749" s="7"/>
      <c r="O749" s="7"/>
      <c r="P749" s="47"/>
      <c r="Q749" s="47"/>
      <c r="R749" s="7"/>
      <c r="S749" s="51"/>
      <c r="T749" s="51"/>
      <c r="U749" s="7"/>
      <c r="V749" s="57"/>
      <c r="W749" s="57"/>
      <c r="X749" s="57"/>
    </row>
    <row r="750" spans="1:24" ht="12.5" x14ac:dyDescent="0.25">
      <c r="A750" s="34"/>
      <c r="B750" s="7"/>
      <c r="C750" s="19"/>
      <c r="D750" s="7"/>
      <c r="E750" s="7"/>
      <c r="F750" s="7"/>
      <c r="G750" s="7"/>
      <c r="H750" s="6"/>
      <c r="I750" s="7"/>
      <c r="J750" s="7"/>
      <c r="K750" s="7"/>
      <c r="L750" s="7"/>
      <c r="M750" s="52"/>
      <c r="N750" s="7"/>
      <c r="O750" s="7"/>
      <c r="P750" s="47"/>
      <c r="Q750" s="47"/>
      <c r="R750" s="7"/>
      <c r="S750" s="51"/>
      <c r="T750" s="51"/>
      <c r="U750" s="7"/>
      <c r="V750" s="57"/>
      <c r="W750" s="57"/>
      <c r="X750" s="57"/>
    </row>
    <row r="751" spans="1:24" ht="12.5" x14ac:dyDescent="0.25">
      <c r="A751" s="34"/>
      <c r="B751" s="7"/>
      <c r="C751" s="19"/>
      <c r="D751" s="7"/>
      <c r="E751" s="7"/>
      <c r="F751" s="7"/>
      <c r="G751" s="7"/>
      <c r="H751" s="6"/>
      <c r="I751" s="7"/>
      <c r="J751" s="7"/>
      <c r="K751" s="7"/>
      <c r="L751" s="7"/>
      <c r="M751" s="52"/>
      <c r="N751" s="7"/>
      <c r="O751" s="7"/>
      <c r="P751" s="47"/>
      <c r="Q751" s="47"/>
      <c r="R751" s="7"/>
      <c r="S751" s="51"/>
      <c r="T751" s="51"/>
      <c r="U751" s="7"/>
      <c r="V751" s="57"/>
      <c r="W751" s="57"/>
      <c r="X751" s="57"/>
    </row>
    <row r="752" spans="1:24" ht="12.5" x14ac:dyDescent="0.25">
      <c r="A752" s="34"/>
      <c r="B752" s="7"/>
      <c r="C752" s="19"/>
      <c r="D752" s="7"/>
      <c r="E752" s="7"/>
      <c r="F752" s="7"/>
      <c r="G752" s="7"/>
      <c r="H752" s="6"/>
      <c r="I752" s="7"/>
      <c r="J752" s="7"/>
      <c r="K752" s="7"/>
      <c r="L752" s="7"/>
      <c r="M752" s="52"/>
      <c r="N752" s="7"/>
      <c r="O752" s="7"/>
      <c r="P752" s="47"/>
      <c r="Q752" s="47"/>
      <c r="R752" s="7"/>
      <c r="S752" s="51"/>
      <c r="T752" s="51"/>
      <c r="U752" s="7"/>
      <c r="V752" s="57"/>
      <c r="W752" s="57"/>
      <c r="X752" s="57"/>
    </row>
    <row r="753" spans="1:24" ht="12.5" x14ac:dyDescent="0.25">
      <c r="A753" s="34"/>
      <c r="B753" s="7"/>
      <c r="C753" s="19"/>
      <c r="D753" s="7"/>
      <c r="E753" s="7"/>
      <c r="F753" s="7"/>
      <c r="G753" s="7"/>
      <c r="H753" s="6"/>
      <c r="I753" s="7"/>
      <c r="J753" s="7"/>
      <c r="K753" s="7"/>
      <c r="L753" s="7"/>
      <c r="M753" s="52"/>
      <c r="N753" s="7"/>
      <c r="O753" s="7"/>
      <c r="P753" s="47"/>
      <c r="Q753" s="47"/>
      <c r="R753" s="7"/>
      <c r="S753" s="51"/>
      <c r="T753" s="51"/>
      <c r="U753" s="7"/>
      <c r="V753" s="57"/>
      <c r="W753" s="57"/>
      <c r="X753" s="57"/>
    </row>
    <row r="754" spans="1:24" ht="12.5" x14ac:dyDescent="0.25">
      <c r="A754" s="34"/>
      <c r="B754" s="7"/>
      <c r="C754" s="19"/>
      <c r="D754" s="7"/>
      <c r="E754" s="7"/>
      <c r="F754" s="7"/>
      <c r="G754" s="7"/>
      <c r="H754" s="6"/>
      <c r="I754" s="7"/>
      <c r="J754" s="7"/>
      <c r="K754" s="7"/>
      <c r="L754" s="7"/>
      <c r="M754" s="52"/>
      <c r="N754" s="7"/>
      <c r="O754" s="7"/>
      <c r="P754" s="47"/>
      <c r="Q754" s="47"/>
      <c r="R754" s="7"/>
      <c r="S754" s="51"/>
      <c r="T754" s="51"/>
      <c r="U754" s="7"/>
      <c r="V754" s="57"/>
      <c r="W754" s="57"/>
      <c r="X754" s="57"/>
    </row>
    <row r="755" spans="1:24" ht="12.5" x14ac:dyDescent="0.25">
      <c r="A755" s="34"/>
      <c r="B755" s="7"/>
      <c r="C755" s="19"/>
      <c r="D755" s="7"/>
      <c r="E755" s="7"/>
      <c r="F755" s="7"/>
      <c r="G755" s="7"/>
      <c r="H755" s="6"/>
      <c r="I755" s="7"/>
      <c r="J755" s="7"/>
      <c r="K755" s="7"/>
      <c r="L755" s="7"/>
      <c r="M755" s="52"/>
      <c r="N755" s="7"/>
      <c r="O755" s="7"/>
      <c r="P755" s="47"/>
      <c r="Q755" s="47"/>
      <c r="R755" s="7"/>
      <c r="S755" s="51"/>
      <c r="T755" s="51"/>
      <c r="U755" s="7"/>
      <c r="V755" s="57"/>
      <c r="W755" s="57"/>
      <c r="X755" s="57"/>
    </row>
    <row r="756" spans="1:24" ht="12.5" x14ac:dyDescent="0.25">
      <c r="A756" s="34"/>
      <c r="B756" s="7"/>
      <c r="C756" s="19"/>
      <c r="D756" s="7"/>
      <c r="E756" s="7"/>
      <c r="F756" s="7"/>
      <c r="G756" s="7"/>
      <c r="H756" s="6"/>
      <c r="I756" s="7"/>
      <c r="J756" s="7"/>
      <c r="K756" s="7"/>
      <c r="L756" s="7"/>
      <c r="M756" s="52"/>
      <c r="N756" s="7"/>
      <c r="O756" s="7"/>
      <c r="P756" s="47"/>
      <c r="Q756" s="47"/>
      <c r="R756" s="7"/>
      <c r="S756" s="51"/>
      <c r="T756" s="51"/>
      <c r="U756" s="7"/>
      <c r="V756" s="57"/>
      <c r="W756" s="57"/>
      <c r="X756" s="57"/>
    </row>
    <row r="757" spans="1:24" ht="12.5" x14ac:dyDescent="0.25">
      <c r="A757" s="34"/>
      <c r="B757" s="7"/>
      <c r="C757" s="19"/>
      <c r="D757" s="7"/>
      <c r="E757" s="7"/>
      <c r="F757" s="7"/>
      <c r="G757" s="7"/>
      <c r="H757" s="6"/>
      <c r="I757" s="7"/>
      <c r="J757" s="7"/>
      <c r="K757" s="7"/>
      <c r="L757" s="7"/>
      <c r="M757" s="52"/>
      <c r="N757" s="7"/>
      <c r="O757" s="7"/>
      <c r="P757" s="47"/>
      <c r="Q757" s="47"/>
      <c r="R757" s="7"/>
      <c r="S757" s="51"/>
      <c r="T757" s="51"/>
      <c r="U757" s="7"/>
      <c r="V757" s="57"/>
      <c r="W757" s="57"/>
      <c r="X757" s="57"/>
    </row>
    <row r="758" spans="1:24" ht="12.5" x14ac:dyDescent="0.25">
      <c r="A758" s="34"/>
      <c r="B758" s="7"/>
      <c r="C758" s="19"/>
      <c r="D758" s="7"/>
      <c r="E758" s="7"/>
      <c r="F758" s="7"/>
      <c r="G758" s="7"/>
      <c r="H758" s="6"/>
      <c r="I758" s="7"/>
      <c r="J758" s="7"/>
      <c r="K758" s="7"/>
      <c r="L758" s="7"/>
      <c r="M758" s="52"/>
      <c r="N758" s="7"/>
      <c r="O758" s="7"/>
      <c r="P758" s="47"/>
      <c r="Q758" s="47"/>
      <c r="R758" s="7"/>
      <c r="S758" s="51"/>
      <c r="T758" s="51"/>
      <c r="U758" s="7"/>
      <c r="V758" s="57"/>
      <c r="W758" s="57"/>
      <c r="X758" s="57"/>
    </row>
    <row r="759" spans="1:24" ht="12.5" x14ac:dyDescent="0.25">
      <c r="A759" s="34"/>
      <c r="B759" s="7"/>
      <c r="C759" s="19"/>
      <c r="D759" s="7"/>
      <c r="E759" s="7"/>
      <c r="F759" s="7"/>
      <c r="G759" s="7"/>
      <c r="H759" s="6"/>
      <c r="I759" s="7"/>
      <c r="J759" s="7"/>
      <c r="K759" s="7"/>
      <c r="L759" s="7"/>
      <c r="M759" s="52"/>
      <c r="N759" s="7"/>
      <c r="O759" s="7"/>
      <c r="P759" s="47"/>
      <c r="Q759" s="47"/>
      <c r="R759" s="7"/>
      <c r="S759" s="51"/>
      <c r="T759" s="51"/>
      <c r="U759" s="7"/>
      <c r="V759" s="57"/>
      <c r="W759" s="57"/>
      <c r="X759" s="57"/>
    </row>
    <row r="760" spans="1:24" ht="12.5" x14ac:dyDescent="0.25">
      <c r="A760" s="34"/>
      <c r="B760" s="7"/>
      <c r="C760" s="19"/>
      <c r="D760" s="7"/>
      <c r="E760" s="7"/>
      <c r="F760" s="7"/>
      <c r="G760" s="7"/>
      <c r="H760" s="6"/>
      <c r="I760" s="7"/>
      <c r="J760" s="7"/>
      <c r="K760" s="7"/>
      <c r="L760" s="7"/>
      <c r="M760" s="52"/>
      <c r="N760" s="7"/>
      <c r="O760" s="7"/>
      <c r="P760" s="47"/>
      <c r="Q760" s="47"/>
      <c r="R760" s="7"/>
      <c r="S760" s="51"/>
      <c r="T760" s="51"/>
      <c r="U760" s="7"/>
      <c r="V760" s="57"/>
      <c r="W760" s="57"/>
      <c r="X760" s="57"/>
    </row>
    <row r="761" spans="1:24" ht="12.5" x14ac:dyDescent="0.25">
      <c r="A761" s="34"/>
      <c r="B761" s="7"/>
      <c r="C761" s="19"/>
      <c r="D761" s="7"/>
      <c r="E761" s="7"/>
      <c r="F761" s="7"/>
      <c r="G761" s="7"/>
      <c r="H761" s="6"/>
      <c r="I761" s="7"/>
      <c r="J761" s="7"/>
      <c r="K761" s="7"/>
      <c r="L761" s="7"/>
      <c r="M761" s="52"/>
      <c r="N761" s="7"/>
      <c r="O761" s="7"/>
      <c r="P761" s="47"/>
      <c r="Q761" s="47"/>
      <c r="R761" s="7"/>
      <c r="S761" s="51"/>
      <c r="T761" s="51"/>
      <c r="U761" s="7"/>
      <c r="V761" s="57"/>
      <c r="W761" s="57"/>
      <c r="X761" s="57"/>
    </row>
    <row r="762" spans="1:24" ht="12.5" x14ac:dyDescent="0.25">
      <c r="A762" s="34"/>
      <c r="B762" s="7"/>
      <c r="C762" s="19"/>
      <c r="D762" s="7"/>
      <c r="E762" s="7"/>
      <c r="F762" s="7"/>
      <c r="G762" s="7"/>
      <c r="H762" s="6"/>
      <c r="I762" s="7"/>
      <c r="J762" s="7"/>
      <c r="K762" s="7"/>
      <c r="L762" s="7"/>
      <c r="M762" s="52"/>
      <c r="N762" s="7"/>
      <c r="O762" s="7"/>
      <c r="P762" s="47"/>
      <c r="Q762" s="47"/>
      <c r="R762" s="7"/>
      <c r="S762" s="51"/>
      <c r="T762" s="51"/>
      <c r="U762" s="7"/>
      <c r="V762" s="57"/>
      <c r="W762" s="57"/>
      <c r="X762" s="57"/>
    </row>
    <row r="763" spans="1:24" ht="12.5" x14ac:dyDescent="0.25">
      <c r="A763" s="34"/>
      <c r="B763" s="7"/>
      <c r="C763" s="19"/>
      <c r="D763" s="7"/>
      <c r="E763" s="7"/>
      <c r="F763" s="7"/>
      <c r="G763" s="7"/>
      <c r="H763" s="6"/>
      <c r="I763" s="7"/>
      <c r="J763" s="7"/>
      <c r="K763" s="7"/>
      <c r="L763" s="7"/>
      <c r="M763" s="52"/>
      <c r="N763" s="7"/>
      <c r="O763" s="7"/>
      <c r="P763" s="47"/>
      <c r="Q763" s="47"/>
      <c r="R763" s="7"/>
      <c r="S763" s="51"/>
      <c r="T763" s="51"/>
      <c r="U763" s="7"/>
      <c r="V763" s="57"/>
      <c r="W763" s="57"/>
      <c r="X763" s="57"/>
    </row>
    <row r="764" spans="1:24" ht="12.5" x14ac:dyDescent="0.25">
      <c r="A764" s="34"/>
      <c r="B764" s="7"/>
      <c r="C764" s="19"/>
      <c r="D764" s="7"/>
      <c r="E764" s="7"/>
      <c r="F764" s="7"/>
      <c r="G764" s="7"/>
      <c r="H764" s="6"/>
      <c r="I764" s="7"/>
      <c r="J764" s="7"/>
      <c r="K764" s="7"/>
      <c r="L764" s="7"/>
      <c r="M764" s="52"/>
      <c r="N764" s="7"/>
      <c r="O764" s="7"/>
      <c r="P764" s="47"/>
      <c r="Q764" s="47"/>
      <c r="R764" s="7"/>
      <c r="S764" s="51"/>
      <c r="T764" s="51"/>
      <c r="U764" s="7"/>
      <c r="V764" s="57"/>
      <c r="W764" s="57"/>
      <c r="X764" s="57"/>
    </row>
    <row r="765" spans="1:24" ht="12.5" x14ac:dyDescent="0.25">
      <c r="A765" s="34"/>
      <c r="B765" s="7"/>
      <c r="C765" s="19"/>
      <c r="D765" s="7"/>
      <c r="E765" s="7"/>
      <c r="F765" s="7"/>
      <c r="G765" s="7"/>
      <c r="H765" s="6"/>
      <c r="I765" s="7"/>
      <c r="J765" s="7"/>
      <c r="K765" s="7"/>
      <c r="L765" s="7"/>
      <c r="M765" s="52"/>
      <c r="N765" s="7"/>
      <c r="O765" s="7"/>
      <c r="P765" s="47"/>
      <c r="Q765" s="47"/>
      <c r="R765" s="7"/>
      <c r="S765" s="51"/>
      <c r="T765" s="51"/>
      <c r="U765" s="7"/>
      <c r="V765" s="57"/>
      <c r="W765" s="57"/>
      <c r="X765" s="57"/>
    </row>
    <row r="766" spans="1:24" ht="12.5" x14ac:dyDescent="0.25">
      <c r="A766" s="34"/>
      <c r="B766" s="7"/>
      <c r="C766" s="19"/>
      <c r="D766" s="7"/>
      <c r="E766" s="7"/>
      <c r="F766" s="7"/>
      <c r="G766" s="7"/>
      <c r="H766" s="6"/>
      <c r="I766" s="7"/>
      <c r="J766" s="7"/>
      <c r="K766" s="7"/>
      <c r="L766" s="7"/>
      <c r="M766" s="52"/>
      <c r="N766" s="7"/>
      <c r="O766" s="7"/>
      <c r="P766" s="47"/>
      <c r="Q766" s="47"/>
      <c r="R766" s="7"/>
      <c r="S766" s="51"/>
      <c r="T766" s="51"/>
      <c r="U766" s="7"/>
      <c r="V766" s="57"/>
      <c r="W766" s="57"/>
      <c r="X766" s="57"/>
    </row>
    <row r="767" spans="1:24" ht="12.5" x14ac:dyDescent="0.25">
      <c r="A767" s="34"/>
      <c r="B767" s="7"/>
      <c r="C767" s="19"/>
      <c r="D767" s="7"/>
      <c r="E767" s="7"/>
      <c r="F767" s="7"/>
      <c r="G767" s="7"/>
      <c r="H767" s="6"/>
      <c r="I767" s="7"/>
      <c r="J767" s="7"/>
      <c r="K767" s="7"/>
      <c r="L767" s="7"/>
      <c r="M767" s="52"/>
      <c r="N767" s="7"/>
      <c r="O767" s="7"/>
      <c r="P767" s="47"/>
      <c r="Q767" s="47"/>
      <c r="R767" s="7"/>
      <c r="S767" s="51"/>
      <c r="T767" s="51"/>
      <c r="U767" s="7"/>
      <c r="V767" s="57"/>
      <c r="W767" s="57"/>
      <c r="X767" s="57"/>
    </row>
    <row r="768" spans="1:24" ht="12.5" x14ac:dyDescent="0.25">
      <c r="A768" s="34"/>
      <c r="B768" s="7"/>
      <c r="C768" s="19"/>
      <c r="D768" s="7"/>
      <c r="E768" s="7"/>
      <c r="F768" s="7"/>
      <c r="G768" s="7"/>
      <c r="H768" s="6"/>
      <c r="I768" s="7"/>
      <c r="J768" s="7"/>
      <c r="K768" s="7"/>
      <c r="L768" s="7"/>
      <c r="M768" s="52"/>
      <c r="N768" s="7"/>
      <c r="O768" s="7"/>
      <c r="P768" s="47"/>
      <c r="Q768" s="47"/>
      <c r="R768" s="7"/>
      <c r="S768" s="51"/>
      <c r="T768" s="51"/>
      <c r="U768" s="7"/>
      <c r="V768" s="57"/>
      <c r="W768" s="57"/>
      <c r="X768" s="57"/>
    </row>
    <row r="769" spans="1:24" ht="12.5" x14ac:dyDescent="0.25">
      <c r="A769" s="34"/>
      <c r="B769" s="7"/>
      <c r="C769" s="19"/>
      <c r="D769" s="7"/>
      <c r="E769" s="7"/>
      <c r="F769" s="7"/>
      <c r="G769" s="7"/>
      <c r="H769" s="6"/>
      <c r="I769" s="7"/>
      <c r="J769" s="7"/>
      <c r="K769" s="7"/>
      <c r="L769" s="7"/>
      <c r="M769" s="52"/>
      <c r="N769" s="7"/>
      <c r="O769" s="7"/>
      <c r="P769" s="47"/>
      <c r="Q769" s="47"/>
      <c r="R769" s="7"/>
      <c r="S769" s="51"/>
      <c r="T769" s="51"/>
      <c r="U769" s="7"/>
      <c r="V769" s="57"/>
      <c r="W769" s="57"/>
      <c r="X769" s="57"/>
    </row>
    <row r="770" spans="1:24" ht="12.5" x14ac:dyDescent="0.25">
      <c r="A770" s="34"/>
      <c r="B770" s="7"/>
      <c r="C770" s="19"/>
      <c r="D770" s="7"/>
      <c r="E770" s="7"/>
      <c r="F770" s="7"/>
      <c r="G770" s="7"/>
      <c r="H770" s="6"/>
      <c r="I770" s="7"/>
      <c r="J770" s="7"/>
      <c r="K770" s="7"/>
      <c r="L770" s="7"/>
      <c r="M770" s="52"/>
      <c r="N770" s="7"/>
      <c r="O770" s="7"/>
      <c r="P770" s="47"/>
      <c r="Q770" s="47"/>
      <c r="R770" s="7"/>
      <c r="S770" s="51"/>
      <c r="T770" s="51"/>
      <c r="U770" s="7"/>
      <c r="V770" s="57"/>
      <c r="W770" s="57"/>
      <c r="X770" s="57"/>
    </row>
    <row r="771" spans="1:24" ht="12.5" x14ac:dyDescent="0.25">
      <c r="A771" s="34"/>
      <c r="B771" s="7"/>
      <c r="C771" s="19"/>
      <c r="D771" s="7"/>
      <c r="E771" s="7"/>
      <c r="F771" s="7"/>
      <c r="G771" s="7"/>
      <c r="H771" s="6"/>
      <c r="I771" s="7"/>
      <c r="J771" s="7"/>
      <c r="K771" s="7"/>
      <c r="L771" s="7"/>
      <c r="M771" s="52"/>
      <c r="N771" s="7"/>
      <c r="O771" s="7"/>
      <c r="P771" s="47"/>
      <c r="Q771" s="47"/>
      <c r="R771" s="7"/>
      <c r="S771" s="51"/>
      <c r="T771" s="51"/>
      <c r="U771" s="7"/>
      <c r="V771" s="57"/>
      <c r="W771" s="57"/>
      <c r="X771" s="57"/>
    </row>
    <row r="772" spans="1:24" ht="12.5" x14ac:dyDescent="0.25">
      <c r="A772" s="34"/>
      <c r="B772" s="7"/>
      <c r="C772" s="19"/>
      <c r="D772" s="7"/>
      <c r="E772" s="7"/>
      <c r="F772" s="7"/>
      <c r="G772" s="7"/>
      <c r="H772" s="6"/>
      <c r="I772" s="7"/>
      <c r="J772" s="7"/>
      <c r="K772" s="7"/>
      <c r="L772" s="7"/>
      <c r="M772" s="52"/>
      <c r="N772" s="7"/>
      <c r="O772" s="7"/>
      <c r="P772" s="47"/>
      <c r="Q772" s="47"/>
      <c r="R772" s="7"/>
      <c r="S772" s="51"/>
      <c r="T772" s="51"/>
      <c r="U772" s="7"/>
      <c r="V772" s="57"/>
      <c r="W772" s="57"/>
      <c r="X772" s="57"/>
    </row>
    <row r="773" spans="1:24" ht="12.5" x14ac:dyDescent="0.25">
      <c r="A773" s="34"/>
      <c r="B773" s="7"/>
      <c r="C773" s="19"/>
      <c r="D773" s="7"/>
      <c r="E773" s="7"/>
      <c r="F773" s="7"/>
      <c r="G773" s="7"/>
      <c r="H773" s="6"/>
      <c r="I773" s="7"/>
      <c r="J773" s="7"/>
      <c r="K773" s="7"/>
      <c r="L773" s="7"/>
      <c r="M773" s="52"/>
      <c r="N773" s="7"/>
      <c r="O773" s="7"/>
      <c r="P773" s="47"/>
      <c r="Q773" s="47"/>
      <c r="R773" s="7"/>
      <c r="S773" s="51"/>
      <c r="T773" s="51"/>
      <c r="U773" s="7"/>
      <c r="V773" s="57"/>
      <c r="W773" s="57"/>
      <c r="X773" s="57"/>
    </row>
    <row r="774" spans="1:24" ht="12.5" x14ac:dyDescent="0.25">
      <c r="A774" s="34"/>
      <c r="B774" s="7"/>
      <c r="C774" s="19"/>
      <c r="D774" s="7"/>
      <c r="E774" s="7"/>
      <c r="F774" s="7"/>
      <c r="G774" s="7"/>
      <c r="H774" s="6"/>
      <c r="I774" s="7"/>
      <c r="J774" s="7"/>
      <c r="K774" s="7"/>
      <c r="L774" s="7"/>
      <c r="M774" s="52"/>
      <c r="N774" s="7"/>
      <c r="O774" s="7"/>
      <c r="P774" s="47"/>
      <c r="Q774" s="47"/>
      <c r="R774" s="7"/>
      <c r="S774" s="51"/>
      <c r="T774" s="51"/>
      <c r="U774" s="7"/>
      <c r="V774" s="57"/>
      <c r="W774" s="57"/>
      <c r="X774" s="57"/>
    </row>
    <row r="775" spans="1:24" ht="12.5" x14ac:dyDescent="0.25">
      <c r="A775" s="34"/>
      <c r="B775" s="7"/>
      <c r="C775" s="19"/>
      <c r="D775" s="7"/>
      <c r="E775" s="7"/>
      <c r="F775" s="7"/>
      <c r="G775" s="7"/>
      <c r="H775" s="6"/>
      <c r="I775" s="7"/>
      <c r="J775" s="7"/>
      <c r="K775" s="7"/>
      <c r="L775" s="7"/>
      <c r="M775" s="52"/>
      <c r="N775" s="7"/>
      <c r="O775" s="7"/>
      <c r="P775" s="47"/>
      <c r="Q775" s="47"/>
      <c r="R775" s="7"/>
      <c r="S775" s="51"/>
      <c r="T775" s="51"/>
      <c r="U775" s="7"/>
      <c r="V775" s="57"/>
      <c r="W775" s="57"/>
      <c r="X775" s="57"/>
    </row>
    <row r="776" spans="1:24" ht="12.5" x14ac:dyDescent="0.25">
      <c r="A776" s="34"/>
      <c r="B776" s="7"/>
      <c r="C776" s="19"/>
      <c r="D776" s="7"/>
      <c r="E776" s="7"/>
      <c r="F776" s="7"/>
      <c r="G776" s="7"/>
      <c r="H776" s="6"/>
      <c r="I776" s="7"/>
      <c r="J776" s="7"/>
      <c r="K776" s="7"/>
      <c r="L776" s="7"/>
      <c r="M776" s="52"/>
      <c r="N776" s="7"/>
      <c r="O776" s="7"/>
      <c r="P776" s="47"/>
      <c r="Q776" s="47"/>
      <c r="R776" s="7"/>
      <c r="S776" s="51"/>
      <c r="T776" s="51"/>
      <c r="U776" s="7"/>
      <c r="V776" s="57"/>
      <c r="W776" s="57"/>
      <c r="X776" s="57"/>
    </row>
    <row r="777" spans="1:24" ht="12.5" x14ac:dyDescent="0.25">
      <c r="A777" s="34"/>
      <c r="B777" s="7"/>
      <c r="C777" s="19"/>
      <c r="D777" s="7"/>
      <c r="E777" s="7"/>
      <c r="F777" s="7"/>
      <c r="G777" s="7"/>
      <c r="H777" s="6"/>
      <c r="I777" s="7"/>
      <c r="J777" s="7"/>
      <c r="K777" s="7"/>
      <c r="L777" s="7"/>
      <c r="M777" s="52"/>
      <c r="N777" s="7"/>
      <c r="O777" s="7"/>
      <c r="P777" s="47"/>
      <c r="Q777" s="47"/>
      <c r="R777" s="7"/>
      <c r="S777" s="51"/>
      <c r="T777" s="51"/>
      <c r="U777" s="7"/>
      <c r="V777" s="57"/>
      <c r="W777" s="57"/>
      <c r="X777" s="57"/>
    </row>
    <row r="778" spans="1:24" ht="12.5" x14ac:dyDescent="0.25">
      <c r="A778" s="34"/>
      <c r="B778" s="7"/>
      <c r="C778" s="19"/>
      <c r="D778" s="7"/>
      <c r="E778" s="7"/>
      <c r="F778" s="7"/>
      <c r="G778" s="7"/>
      <c r="H778" s="6"/>
      <c r="I778" s="7"/>
      <c r="J778" s="7"/>
      <c r="K778" s="7"/>
      <c r="L778" s="7"/>
      <c r="M778" s="52"/>
      <c r="N778" s="7"/>
      <c r="O778" s="7"/>
      <c r="P778" s="47"/>
      <c r="Q778" s="47"/>
      <c r="R778" s="7"/>
      <c r="S778" s="51"/>
      <c r="T778" s="51"/>
      <c r="U778" s="7"/>
      <c r="V778" s="57"/>
      <c r="W778" s="57"/>
      <c r="X778" s="57"/>
    </row>
    <row r="779" spans="1:24" ht="12.5" x14ac:dyDescent="0.25">
      <c r="A779" s="34"/>
      <c r="B779" s="7"/>
      <c r="C779" s="19"/>
      <c r="D779" s="7"/>
      <c r="E779" s="7"/>
      <c r="F779" s="7"/>
      <c r="G779" s="7"/>
      <c r="H779" s="6"/>
      <c r="I779" s="7"/>
      <c r="J779" s="7"/>
      <c r="K779" s="7"/>
      <c r="L779" s="7"/>
      <c r="M779" s="52"/>
      <c r="N779" s="7"/>
      <c r="O779" s="7"/>
      <c r="P779" s="47"/>
      <c r="Q779" s="47"/>
      <c r="R779" s="7"/>
      <c r="S779" s="51"/>
      <c r="T779" s="51"/>
      <c r="U779" s="7"/>
      <c r="V779" s="57"/>
      <c r="W779" s="57"/>
      <c r="X779" s="57"/>
    </row>
    <row r="780" spans="1:24" ht="12.5" x14ac:dyDescent="0.25">
      <c r="A780" s="34"/>
      <c r="B780" s="7"/>
      <c r="C780" s="19"/>
      <c r="D780" s="7"/>
      <c r="E780" s="7"/>
      <c r="F780" s="7"/>
      <c r="G780" s="7"/>
      <c r="H780" s="6"/>
      <c r="I780" s="7"/>
      <c r="J780" s="7"/>
      <c r="K780" s="7"/>
      <c r="L780" s="7"/>
      <c r="M780" s="52"/>
      <c r="N780" s="7"/>
      <c r="O780" s="7"/>
      <c r="P780" s="47"/>
      <c r="Q780" s="47"/>
      <c r="R780" s="7"/>
      <c r="S780" s="51"/>
      <c r="T780" s="51"/>
      <c r="U780" s="7"/>
      <c r="V780" s="57"/>
      <c r="W780" s="57"/>
      <c r="X780" s="57"/>
    </row>
    <row r="781" spans="1:24" ht="12.5" x14ac:dyDescent="0.25">
      <c r="A781" s="34"/>
      <c r="B781" s="7"/>
      <c r="C781" s="19"/>
      <c r="D781" s="7"/>
      <c r="E781" s="7"/>
      <c r="F781" s="7"/>
      <c r="G781" s="7"/>
      <c r="H781" s="6"/>
      <c r="I781" s="7"/>
      <c r="J781" s="7"/>
      <c r="K781" s="7"/>
      <c r="L781" s="7"/>
      <c r="M781" s="52"/>
      <c r="N781" s="7"/>
      <c r="O781" s="7"/>
      <c r="P781" s="47"/>
      <c r="Q781" s="47"/>
      <c r="R781" s="7"/>
      <c r="S781" s="51"/>
      <c r="T781" s="51"/>
      <c r="U781" s="7"/>
      <c r="V781" s="57"/>
      <c r="W781" s="57"/>
      <c r="X781" s="57"/>
    </row>
    <row r="782" spans="1:24" ht="12.5" x14ac:dyDescent="0.25">
      <c r="A782" s="34"/>
      <c r="B782" s="7"/>
      <c r="C782" s="19"/>
      <c r="D782" s="7"/>
      <c r="E782" s="7"/>
      <c r="F782" s="7"/>
      <c r="G782" s="7"/>
      <c r="H782" s="6"/>
      <c r="I782" s="7"/>
      <c r="J782" s="7"/>
      <c r="K782" s="7"/>
      <c r="L782" s="7"/>
      <c r="M782" s="52"/>
      <c r="N782" s="7"/>
      <c r="O782" s="7"/>
      <c r="P782" s="47"/>
      <c r="Q782" s="47"/>
      <c r="R782" s="7"/>
      <c r="S782" s="51"/>
      <c r="T782" s="51"/>
      <c r="U782" s="7"/>
      <c r="V782" s="57"/>
      <c r="W782" s="57"/>
      <c r="X782" s="57"/>
    </row>
    <row r="783" spans="1:24" ht="12.5" x14ac:dyDescent="0.25">
      <c r="A783" s="34"/>
      <c r="B783" s="7"/>
      <c r="C783" s="19"/>
      <c r="D783" s="7"/>
      <c r="E783" s="7"/>
      <c r="F783" s="7"/>
      <c r="G783" s="7"/>
      <c r="H783" s="6"/>
      <c r="I783" s="7"/>
      <c r="J783" s="7"/>
      <c r="K783" s="7"/>
      <c r="L783" s="7"/>
      <c r="M783" s="52"/>
      <c r="N783" s="7"/>
      <c r="O783" s="7"/>
      <c r="P783" s="47"/>
      <c r="Q783" s="47"/>
      <c r="R783" s="7"/>
      <c r="S783" s="51"/>
      <c r="T783" s="51"/>
      <c r="U783" s="7"/>
      <c r="V783" s="57"/>
      <c r="W783" s="57"/>
      <c r="X783" s="57"/>
    </row>
    <row r="784" spans="1:24" ht="12.5" x14ac:dyDescent="0.25">
      <c r="A784" s="34"/>
      <c r="B784" s="7"/>
      <c r="C784" s="19"/>
      <c r="D784" s="7"/>
      <c r="E784" s="7"/>
      <c r="F784" s="7"/>
      <c r="G784" s="7"/>
      <c r="H784" s="6"/>
      <c r="I784" s="7"/>
      <c r="J784" s="7"/>
      <c r="K784" s="7"/>
      <c r="L784" s="7"/>
      <c r="M784" s="52"/>
      <c r="N784" s="7"/>
      <c r="O784" s="7"/>
      <c r="P784" s="47"/>
      <c r="Q784" s="47"/>
      <c r="R784" s="7"/>
      <c r="S784" s="51"/>
      <c r="T784" s="51"/>
      <c r="U784" s="7"/>
      <c r="V784" s="57"/>
      <c r="W784" s="57"/>
      <c r="X784" s="57"/>
    </row>
    <row r="785" spans="1:24" ht="12.5" x14ac:dyDescent="0.25">
      <c r="A785" s="34"/>
      <c r="B785" s="7"/>
      <c r="C785" s="19"/>
      <c r="D785" s="7"/>
      <c r="E785" s="7"/>
      <c r="F785" s="7"/>
      <c r="G785" s="7"/>
      <c r="H785" s="6"/>
      <c r="I785" s="7"/>
      <c r="J785" s="7"/>
      <c r="K785" s="7"/>
      <c r="L785" s="7"/>
      <c r="M785" s="52"/>
      <c r="N785" s="7"/>
      <c r="O785" s="7"/>
      <c r="P785" s="47"/>
      <c r="Q785" s="47"/>
      <c r="R785" s="7"/>
      <c r="S785" s="51"/>
      <c r="T785" s="51"/>
      <c r="U785" s="7"/>
      <c r="V785" s="57"/>
      <c r="W785" s="57"/>
      <c r="X785" s="57"/>
    </row>
    <row r="786" spans="1:24" ht="12.5" x14ac:dyDescent="0.25">
      <c r="A786" s="34"/>
      <c r="B786" s="7"/>
      <c r="C786" s="19"/>
      <c r="D786" s="7"/>
      <c r="E786" s="7"/>
      <c r="F786" s="7"/>
      <c r="G786" s="7"/>
      <c r="H786" s="6"/>
      <c r="I786" s="7"/>
      <c r="J786" s="7"/>
      <c r="K786" s="7"/>
      <c r="L786" s="7"/>
      <c r="M786" s="52"/>
      <c r="N786" s="7"/>
      <c r="O786" s="7"/>
      <c r="P786" s="47"/>
      <c r="Q786" s="47"/>
      <c r="R786" s="7"/>
      <c r="S786" s="51"/>
      <c r="T786" s="51"/>
      <c r="U786" s="7"/>
      <c r="V786" s="57"/>
      <c r="W786" s="57"/>
      <c r="X786" s="57"/>
    </row>
    <row r="787" spans="1:24" ht="12.5" x14ac:dyDescent="0.25">
      <c r="A787" s="34"/>
      <c r="B787" s="7"/>
      <c r="C787" s="19"/>
      <c r="D787" s="7"/>
      <c r="E787" s="7"/>
      <c r="F787" s="7"/>
      <c r="G787" s="7"/>
      <c r="H787" s="6"/>
      <c r="I787" s="7"/>
      <c r="J787" s="7"/>
      <c r="K787" s="7"/>
      <c r="L787" s="7"/>
      <c r="M787" s="52"/>
      <c r="N787" s="7"/>
      <c r="O787" s="7"/>
      <c r="P787" s="47"/>
      <c r="Q787" s="47"/>
      <c r="R787" s="7"/>
      <c r="S787" s="51"/>
      <c r="T787" s="51"/>
      <c r="U787" s="7"/>
      <c r="V787" s="57"/>
      <c r="W787" s="57"/>
      <c r="X787" s="57"/>
    </row>
    <row r="788" spans="1:24" ht="12.5" x14ac:dyDescent="0.25">
      <c r="A788" s="34"/>
      <c r="B788" s="7"/>
      <c r="C788" s="19"/>
      <c r="D788" s="7"/>
      <c r="E788" s="7"/>
      <c r="F788" s="7"/>
      <c r="G788" s="7"/>
      <c r="H788" s="6"/>
      <c r="I788" s="7"/>
      <c r="J788" s="7"/>
      <c r="K788" s="7"/>
      <c r="L788" s="7"/>
      <c r="M788" s="52"/>
      <c r="N788" s="7"/>
      <c r="O788" s="7"/>
      <c r="P788" s="47"/>
      <c r="Q788" s="47"/>
      <c r="R788" s="7"/>
      <c r="S788" s="51"/>
      <c r="T788" s="51"/>
      <c r="U788" s="7"/>
      <c r="V788" s="57"/>
      <c r="W788" s="57"/>
      <c r="X788" s="57"/>
    </row>
    <row r="789" spans="1:24" ht="12.5" x14ac:dyDescent="0.25">
      <c r="A789" s="34"/>
      <c r="B789" s="7"/>
      <c r="C789" s="19"/>
      <c r="D789" s="7"/>
      <c r="E789" s="7"/>
      <c r="F789" s="7"/>
      <c r="G789" s="7"/>
      <c r="H789" s="6"/>
      <c r="I789" s="7"/>
      <c r="J789" s="7"/>
      <c r="K789" s="7"/>
      <c r="L789" s="7"/>
      <c r="M789" s="52"/>
      <c r="N789" s="7"/>
      <c r="O789" s="7"/>
      <c r="P789" s="47"/>
      <c r="Q789" s="47"/>
      <c r="R789" s="7"/>
      <c r="S789" s="51"/>
      <c r="T789" s="51"/>
      <c r="U789" s="7"/>
      <c r="V789" s="57"/>
      <c r="W789" s="57"/>
      <c r="X789" s="57"/>
    </row>
    <row r="790" spans="1:24" ht="12.5" x14ac:dyDescent="0.25">
      <c r="A790" s="34"/>
      <c r="B790" s="7"/>
      <c r="C790" s="19"/>
      <c r="D790" s="7"/>
      <c r="E790" s="7"/>
      <c r="F790" s="7"/>
      <c r="G790" s="7"/>
      <c r="H790" s="6"/>
      <c r="I790" s="7"/>
      <c r="J790" s="7"/>
      <c r="K790" s="7"/>
      <c r="L790" s="7"/>
      <c r="M790" s="52"/>
      <c r="N790" s="7"/>
      <c r="O790" s="7"/>
      <c r="P790" s="47"/>
      <c r="Q790" s="47"/>
      <c r="R790" s="7"/>
      <c r="S790" s="51"/>
      <c r="T790" s="51"/>
      <c r="U790" s="7"/>
      <c r="V790" s="57"/>
      <c r="W790" s="57"/>
      <c r="X790" s="57"/>
    </row>
    <row r="791" spans="1:24" ht="12.5" x14ac:dyDescent="0.25">
      <c r="A791" s="34"/>
      <c r="B791" s="7"/>
      <c r="C791" s="19"/>
      <c r="D791" s="7"/>
      <c r="E791" s="7"/>
      <c r="F791" s="7"/>
      <c r="G791" s="7"/>
      <c r="H791" s="6"/>
      <c r="I791" s="7"/>
      <c r="J791" s="7"/>
      <c r="K791" s="7"/>
      <c r="L791" s="7"/>
      <c r="M791" s="52"/>
      <c r="N791" s="7"/>
      <c r="O791" s="7"/>
      <c r="P791" s="47"/>
      <c r="Q791" s="47"/>
      <c r="R791" s="7"/>
      <c r="S791" s="51"/>
      <c r="T791" s="51"/>
      <c r="U791" s="7"/>
      <c r="V791" s="57"/>
      <c r="W791" s="57"/>
      <c r="X791" s="57"/>
    </row>
    <row r="792" spans="1:24" ht="12.5" x14ac:dyDescent="0.25">
      <c r="A792" s="34"/>
      <c r="B792" s="7"/>
      <c r="C792" s="19"/>
      <c r="D792" s="7"/>
      <c r="E792" s="7"/>
      <c r="F792" s="7"/>
      <c r="G792" s="7"/>
      <c r="H792" s="6"/>
      <c r="I792" s="7"/>
      <c r="J792" s="7"/>
      <c r="K792" s="7"/>
      <c r="L792" s="7"/>
      <c r="M792" s="52"/>
      <c r="N792" s="7"/>
      <c r="O792" s="7"/>
      <c r="P792" s="47"/>
      <c r="Q792" s="47"/>
      <c r="R792" s="7"/>
      <c r="S792" s="51"/>
      <c r="T792" s="51"/>
      <c r="U792" s="7"/>
      <c r="V792" s="57"/>
      <c r="W792" s="57"/>
      <c r="X792" s="57"/>
    </row>
    <row r="793" spans="1:24" ht="12.5" x14ac:dyDescent="0.25">
      <c r="A793" s="34"/>
      <c r="B793" s="7"/>
      <c r="C793" s="19"/>
      <c r="D793" s="7"/>
      <c r="E793" s="7"/>
      <c r="F793" s="7"/>
      <c r="G793" s="7"/>
      <c r="H793" s="6"/>
      <c r="I793" s="7"/>
      <c r="J793" s="7"/>
      <c r="K793" s="7"/>
      <c r="L793" s="7"/>
      <c r="M793" s="52"/>
      <c r="N793" s="7"/>
      <c r="O793" s="7"/>
      <c r="P793" s="47"/>
      <c r="Q793" s="47"/>
      <c r="R793" s="7"/>
      <c r="S793" s="51"/>
      <c r="T793" s="51"/>
      <c r="U793" s="7"/>
      <c r="V793" s="57"/>
      <c r="W793" s="57"/>
      <c r="X793" s="57"/>
    </row>
    <row r="794" spans="1:24" ht="12.5" x14ac:dyDescent="0.25">
      <c r="A794" s="34"/>
      <c r="B794" s="7"/>
      <c r="C794" s="19"/>
      <c r="D794" s="7"/>
      <c r="E794" s="7"/>
      <c r="F794" s="7"/>
      <c r="G794" s="7"/>
      <c r="H794" s="6"/>
      <c r="I794" s="7"/>
      <c r="J794" s="7"/>
      <c r="K794" s="7"/>
      <c r="L794" s="7"/>
      <c r="M794" s="52"/>
      <c r="N794" s="7"/>
      <c r="O794" s="7"/>
      <c r="P794" s="47"/>
      <c r="Q794" s="47"/>
      <c r="R794" s="7"/>
      <c r="S794" s="51"/>
      <c r="T794" s="51"/>
      <c r="U794" s="7"/>
      <c r="V794" s="57"/>
      <c r="W794" s="57"/>
      <c r="X794" s="57"/>
    </row>
    <row r="795" spans="1:24" ht="12.5" x14ac:dyDescent="0.25">
      <c r="A795" s="34"/>
      <c r="B795" s="7"/>
      <c r="C795" s="19"/>
      <c r="D795" s="7"/>
      <c r="E795" s="7"/>
      <c r="F795" s="7"/>
      <c r="G795" s="7"/>
      <c r="H795" s="6"/>
      <c r="I795" s="7"/>
      <c r="J795" s="7"/>
      <c r="K795" s="7"/>
      <c r="L795" s="7"/>
      <c r="M795" s="52"/>
      <c r="N795" s="7"/>
      <c r="O795" s="7"/>
      <c r="P795" s="47"/>
      <c r="Q795" s="47"/>
      <c r="R795" s="7"/>
      <c r="S795" s="51"/>
      <c r="T795" s="51"/>
      <c r="U795" s="7"/>
      <c r="V795" s="57"/>
      <c r="W795" s="57"/>
      <c r="X795" s="57"/>
    </row>
    <row r="796" spans="1:24" ht="12.5" x14ac:dyDescent="0.25">
      <c r="A796" s="34"/>
      <c r="B796" s="7"/>
      <c r="C796" s="19"/>
      <c r="D796" s="7"/>
      <c r="E796" s="7"/>
      <c r="F796" s="7"/>
      <c r="G796" s="7"/>
      <c r="H796" s="6"/>
      <c r="I796" s="7"/>
      <c r="J796" s="7"/>
      <c r="K796" s="7"/>
      <c r="L796" s="7"/>
      <c r="M796" s="52"/>
      <c r="N796" s="7"/>
      <c r="O796" s="7"/>
      <c r="P796" s="47"/>
      <c r="Q796" s="47"/>
      <c r="R796" s="7"/>
      <c r="S796" s="51"/>
      <c r="T796" s="51"/>
      <c r="U796" s="7"/>
      <c r="V796" s="57"/>
      <c r="W796" s="57"/>
      <c r="X796" s="57"/>
    </row>
    <row r="797" spans="1:24" ht="12.5" x14ac:dyDescent="0.25">
      <c r="A797" s="34"/>
      <c r="B797" s="7"/>
      <c r="C797" s="19"/>
      <c r="D797" s="7"/>
      <c r="E797" s="7"/>
      <c r="F797" s="7"/>
      <c r="G797" s="7"/>
      <c r="H797" s="6"/>
      <c r="I797" s="7"/>
      <c r="J797" s="7"/>
      <c r="K797" s="7"/>
      <c r="L797" s="7"/>
      <c r="M797" s="52"/>
      <c r="N797" s="7"/>
      <c r="O797" s="7"/>
      <c r="P797" s="47"/>
      <c r="Q797" s="47"/>
      <c r="R797" s="7"/>
      <c r="S797" s="51"/>
      <c r="T797" s="51"/>
      <c r="U797" s="7"/>
      <c r="V797" s="57"/>
      <c r="W797" s="57"/>
      <c r="X797" s="57"/>
    </row>
    <row r="798" spans="1:24" ht="12.5" x14ac:dyDescent="0.25">
      <c r="A798" s="34"/>
      <c r="B798" s="7"/>
      <c r="C798" s="19"/>
      <c r="D798" s="7"/>
      <c r="E798" s="7"/>
      <c r="F798" s="7"/>
      <c r="G798" s="7"/>
      <c r="H798" s="6"/>
      <c r="I798" s="7"/>
      <c r="J798" s="7"/>
      <c r="K798" s="7"/>
      <c r="L798" s="7"/>
      <c r="M798" s="52"/>
      <c r="N798" s="7"/>
      <c r="O798" s="7"/>
      <c r="P798" s="47"/>
      <c r="Q798" s="47"/>
      <c r="R798" s="7"/>
      <c r="S798" s="51"/>
      <c r="T798" s="51"/>
      <c r="U798" s="7"/>
      <c r="V798" s="57"/>
      <c r="W798" s="57"/>
      <c r="X798" s="57"/>
    </row>
    <row r="799" spans="1:24" ht="12.5" x14ac:dyDescent="0.25">
      <c r="A799" s="34"/>
      <c r="B799" s="7"/>
      <c r="C799" s="19"/>
      <c r="D799" s="7"/>
      <c r="E799" s="7"/>
      <c r="F799" s="7"/>
      <c r="G799" s="7"/>
      <c r="H799" s="6"/>
      <c r="I799" s="7"/>
      <c r="J799" s="7"/>
      <c r="K799" s="7"/>
      <c r="L799" s="7"/>
      <c r="M799" s="52"/>
      <c r="N799" s="7"/>
      <c r="O799" s="7"/>
      <c r="P799" s="47"/>
      <c r="Q799" s="47"/>
      <c r="R799" s="7"/>
      <c r="S799" s="51"/>
      <c r="T799" s="51"/>
      <c r="U799" s="7"/>
      <c r="V799" s="57"/>
      <c r="W799" s="57"/>
      <c r="X799" s="57"/>
    </row>
    <row r="800" spans="1:24" ht="12.5" x14ac:dyDescent="0.25">
      <c r="A800" s="34"/>
      <c r="B800" s="7"/>
      <c r="C800" s="19"/>
      <c r="D800" s="7"/>
      <c r="E800" s="7"/>
      <c r="F800" s="7"/>
      <c r="G800" s="7"/>
      <c r="H800" s="6"/>
      <c r="I800" s="7"/>
      <c r="J800" s="7"/>
      <c r="K800" s="7"/>
      <c r="L800" s="7"/>
      <c r="M800" s="52"/>
      <c r="N800" s="7"/>
      <c r="O800" s="7"/>
      <c r="P800" s="47"/>
      <c r="Q800" s="47"/>
      <c r="R800" s="7"/>
      <c r="S800" s="51"/>
      <c r="T800" s="51"/>
      <c r="U800" s="7"/>
      <c r="V800" s="57"/>
      <c r="W800" s="57"/>
      <c r="X800" s="57"/>
    </row>
    <row r="801" spans="1:24" ht="12.5" x14ac:dyDescent="0.25">
      <c r="A801" s="34"/>
      <c r="B801" s="7"/>
      <c r="C801" s="19"/>
      <c r="D801" s="7"/>
      <c r="E801" s="7"/>
      <c r="F801" s="7"/>
      <c r="G801" s="7"/>
      <c r="H801" s="6"/>
      <c r="I801" s="7"/>
      <c r="J801" s="7"/>
      <c r="K801" s="7"/>
      <c r="L801" s="7"/>
      <c r="M801" s="52"/>
      <c r="N801" s="7"/>
      <c r="O801" s="7"/>
      <c r="P801" s="47"/>
      <c r="Q801" s="47"/>
      <c r="R801" s="7"/>
      <c r="S801" s="51"/>
      <c r="T801" s="51"/>
      <c r="U801" s="7"/>
      <c r="V801" s="57"/>
      <c r="W801" s="57"/>
      <c r="X801" s="57"/>
    </row>
    <row r="802" spans="1:24" ht="12.5" x14ac:dyDescent="0.25">
      <c r="A802" s="34"/>
      <c r="B802" s="7"/>
      <c r="C802" s="19"/>
      <c r="D802" s="7"/>
      <c r="E802" s="7"/>
      <c r="F802" s="7"/>
      <c r="G802" s="7"/>
      <c r="H802" s="6"/>
      <c r="I802" s="7"/>
      <c r="J802" s="7"/>
      <c r="K802" s="7"/>
      <c r="L802" s="7"/>
      <c r="M802" s="52"/>
      <c r="N802" s="7"/>
      <c r="O802" s="7"/>
      <c r="P802" s="47"/>
      <c r="Q802" s="47"/>
      <c r="R802" s="7"/>
      <c r="S802" s="51"/>
      <c r="T802" s="51"/>
      <c r="U802" s="7"/>
      <c r="V802" s="57"/>
      <c r="W802" s="57"/>
      <c r="X802" s="57"/>
    </row>
    <row r="803" spans="1:24" ht="12.5" x14ac:dyDescent="0.25">
      <c r="A803" s="34"/>
      <c r="B803" s="7"/>
      <c r="C803" s="19"/>
      <c r="D803" s="7"/>
      <c r="E803" s="7"/>
      <c r="F803" s="7"/>
      <c r="G803" s="7"/>
      <c r="H803" s="6"/>
      <c r="I803" s="7"/>
      <c r="J803" s="7"/>
      <c r="K803" s="7"/>
      <c r="L803" s="7"/>
      <c r="M803" s="52"/>
      <c r="N803" s="7"/>
      <c r="O803" s="7"/>
      <c r="P803" s="47"/>
      <c r="Q803" s="47"/>
      <c r="R803" s="7"/>
      <c r="S803" s="51"/>
      <c r="T803" s="51"/>
      <c r="U803" s="7"/>
      <c r="V803" s="57"/>
      <c r="W803" s="57"/>
      <c r="X803" s="57"/>
    </row>
    <row r="804" spans="1:24" ht="12.5" x14ac:dyDescent="0.25">
      <c r="A804" s="34"/>
      <c r="B804" s="7"/>
      <c r="C804" s="19"/>
      <c r="D804" s="7"/>
      <c r="E804" s="7"/>
      <c r="F804" s="7"/>
      <c r="G804" s="7"/>
      <c r="H804" s="6"/>
      <c r="I804" s="7"/>
      <c r="J804" s="7"/>
      <c r="K804" s="7"/>
      <c r="L804" s="7"/>
      <c r="M804" s="52"/>
      <c r="N804" s="7"/>
      <c r="O804" s="7"/>
      <c r="P804" s="47"/>
      <c r="Q804" s="47"/>
      <c r="R804" s="7"/>
      <c r="S804" s="51"/>
      <c r="T804" s="51"/>
      <c r="U804" s="7"/>
      <c r="V804" s="57"/>
      <c r="W804" s="57"/>
      <c r="X804" s="57"/>
    </row>
    <row r="805" spans="1:24" ht="12.5" x14ac:dyDescent="0.25">
      <c r="A805" s="34"/>
      <c r="B805" s="7"/>
      <c r="C805" s="19"/>
      <c r="D805" s="7"/>
      <c r="E805" s="7"/>
      <c r="F805" s="7"/>
      <c r="G805" s="7"/>
      <c r="H805" s="6"/>
      <c r="I805" s="7"/>
      <c r="J805" s="7"/>
      <c r="K805" s="7"/>
      <c r="L805" s="7"/>
      <c r="M805" s="52"/>
      <c r="N805" s="7"/>
      <c r="O805" s="7"/>
      <c r="P805" s="47"/>
      <c r="Q805" s="47"/>
      <c r="R805" s="7"/>
      <c r="S805" s="51"/>
      <c r="T805" s="51"/>
      <c r="U805" s="7"/>
      <c r="V805" s="57"/>
      <c r="W805" s="57"/>
      <c r="X805" s="57"/>
    </row>
    <row r="806" spans="1:24" ht="12.5" x14ac:dyDescent="0.25">
      <c r="A806" s="34"/>
      <c r="B806" s="7"/>
      <c r="C806" s="19"/>
      <c r="D806" s="7"/>
      <c r="E806" s="7"/>
      <c r="F806" s="7"/>
      <c r="G806" s="7"/>
      <c r="H806" s="6"/>
      <c r="I806" s="7"/>
      <c r="J806" s="7"/>
      <c r="K806" s="7"/>
      <c r="L806" s="7"/>
      <c r="M806" s="52"/>
      <c r="N806" s="7"/>
      <c r="O806" s="7"/>
      <c r="P806" s="47"/>
      <c r="Q806" s="47"/>
      <c r="R806" s="7"/>
      <c r="S806" s="51"/>
      <c r="T806" s="51"/>
      <c r="U806" s="7"/>
      <c r="V806" s="57"/>
      <c r="W806" s="57"/>
      <c r="X806" s="57"/>
    </row>
    <row r="807" spans="1:24" ht="12.5" x14ac:dyDescent="0.25">
      <c r="A807" s="34"/>
      <c r="B807" s="7"/>
      <c r="C807" s="19"/>
      <c r="D807" s="7"/>
      <c r="E807" s="7"/>
      <c r="F807" s="7"/>
      <c r="G807" s="7"/>
      <c r="H807" s="6"/>
      <c r="I807" s="7"/>
      <c r="J807" s="7"/>
      <c r="K807" s="7"/>
      <c r="L807" s="7"/>
      <c r="M807" s="52"/>
      <c r="N807" s="7"/>
      <c r="O807" s="7"/>
      <c r="P807" s="47"/>
      <c r="Q807" s="47"/>
      <c r="R807" s="7"/>
      <c r="S807" s="51"/>
      <c r="T807" s="51"/>
      <c r="U807" s="7"/>
      <c r="V807" s="57"/>
      <c r="W807" s="57"/>
      <c r="X807" s="57"/>
    </row>
    <row r="808" spans="1:24" ht="12.5" x14ac:dyDescent="0.25">
      <c r="A808" s="34"/>
      <c r="B808" s="7"/>
      <c r="C808" s="19"/>
      <c r="D808" s="7"/>
      <c r="E808" s="7"/>
      <c r="F808" s="7"/>
      <c r="G808" s="7"/>
      <c r="H808" s="6"/>
      <c r="I808" s="7"/>
      <c r="J808" s="7"/>
      <c r="K808" s="7"/>
      <c r="L808" s="7"/>
      <c r="M808" s="52"/>
      <c r="N808" s="7"/>
      <c r="O808" s="7"/>
      <c r="P808" s="47"/>
      <c r="Q808" s="47"/>
      <c r="R808" s="7"/>
      <c r="S808" s="51"/>
      <c r="T808" s="51"/>
      <c r="U808" s="7"/>
      <c r="V808" s="57"/>
      <c r="W808" s="57"/>
      <c r="X808" s="57"/>
    </row>
    <row r="809" spans="1:24" ht="12.5" x14ac:dyDescent="0.25">
      <c r="A809" s="34"/>
      <c r="B809" s="7"/>
      <c r="C809" s="19"/>
      <c r="D809" s="7"/>
      <c r="E809" s="7"/>
      <c r="F809" s="7"/>
      <c r="G809" s="7"/>
      <c r="H809" s="6"/>
      <c r="I809" s="7"/>
      <c r="J809" s="7"/>
      <c r="K809" s="7"/>
      <c r="L809" s="7"/>
      <c r="M809" s="52"/>
      <c r="N809" s="7"/>
      <c r="O809" s="7"/>
      <c r="P809" s="47"/>
      <c r="Q809" s="47"/>
      <c r="R809" s="7"/>
      <c r="S809" s="51"/>
      <c r="T809" s="51"/>
      <c r="U809" s="7"/>
      <c r="V809" s="57"/>
      <c r="W809" s="57"/>
      <c r="X809" s="57"/>
    </row>
    <row r="810" spans="1:24" ht="12.5" x14ac:dyDescent="0.25">
      <c r="A810" s="34"/>
      <c r="B810" s="7"/>
      <c r="C810" s="19"/>
      <c r="D810" s="7"/>
      <c r="E810" s="7"/>
      <c r="F810" s="7"/>
      <c r="G810" s="7"/>
      <c r="H810" s="6"/>
      <c r="I810" s="7"/>
      <c r="J810" s="7"/>
      <c r="K810" s="7"/>
      <c r="L810" s="7"/>
      <c r="M810" s="52"/>
      <c r="N810" s="7"/>
      <c r="O810" s="7"/>
      <c r="P810" s="47"/>
      <c r="Q810" s="47"/>
      <c r="R810" s="7"/>
      <c r="S810" s="51"/>
      <c r="T810" s="51"/>
      <c r="U810" s="7"/>
      <c r="V810" s="57"/>
      <c r="W810" s="57"/>
      <c r="X810" s="57"/>
    </row>
    <row r="811" spans="1:24" ht="12.5" x14ac:dyDescent="0.25">
      <c r="A811" s="34"/>
      <c r="B811" s="7"/>
      <c r="C811" s="19"/>
      <c r="D811" s="7"/>
      <c r="E811" s="7"/>
      <c r="F811" s="7"/>
      <c r="G811" s="7"/>
      <c r="H811" s="6"/>
      <c r="I811" s="7"/>
      <c r="J811" s="7"/>
      <c r="K811" s="7"/>
      <c r="L811" s="7"/>
      <c r="M811" s="52"/>
      <c r="N811" s="7"/>
      <c r="O811" s="7"/>
      <c r="P811" s="47"/>
      <c r="Q811" s="47"/>
      <c r="R811" s="7"/>
      <c r="S811" s="51"/>
      <c r="T811" s="51"/>
      <c r="U811" s="7"/>
      <c r="V811" s="57"/>
      <c r="W811" s="57"/>
      <c r="X811" s="57"/>
    </row>
    <row r="812" spans="1:24" ht="12.5" x14ac:dyDescent="0.25">
      <c r="A812" s="34"/>
      <c r="B812" s="7"/>
      <c r="C812" s="19"/>
      <c r="D812" s="7"/>
      <c r="E812" s="7"/>
      <c r="F812" s="7"/>
      <c r="G812" s="7"/>
      <c r="H812" s="6"/>
      <c r="I812" s="7"/>
      <c r="J812" s="7"/>
      <c r="K812" s="7"/>
      <c r="L812" s="7"/>
      <c r="M812" s="52"/>
      <c r="N812" s="7"/>
      <c r="O812" s="7"/>
      <c r="P812" s="47"/>
      <c r="Q812" s="47"/>
      <c r="R812" s="7"/>
      <c r="S812" s="51"/>
      <c r="T812" s="51"/>
      <c r="U812" s="7"/>
      <c r="V812" s="57"/>
      <c r="W812" s="57"/>
      <c r="X812" s="57"/>
    </row>
    <row r="813" spans="1:24" ht="12.5" x14ac:dyDescent="0.25">
      <c r="A813" s="34"/>
      <c r="B813" s="7"/>
      <c r="C813" s="19"/>
      <c r="D813" s="7"/>
      <c r="E813" s="7"/>
      <c r="F813" s="7"/>
      <c r="G813" s="7"/>
      <c r="H813" s="6"/>
      <c r="I813" s="7"/>
      <c r="J813" s="7"/>
      <c r="K813" s="7"/>
      <c r="L813" s="7"/>
      <c r="M813" s="52"/>
      <c r="N813" s="7"/>
      <c r="O813" s="7"/>
      <c r="P813" s="47"/>
      <c r="Q813" s="47"/>
      <c r="R813" s="7"/>
      <c r="S813" s="51"/>
      <c r="T813" s="51"/>
      <c r="U813" s="7"/>
      <c r="V813" s="57"/>
      <c r="W813" s="57"/>
      <c r="X813" s="57"/>
    </row>
    <row r="814" spans="1:24" ht="12.5" x14ac:dyDescent="0.25">
      <c r="A814" s="34"/>
      <c r="B814" s="7"/>
      <c r="C814" s="19"/>
      <c r="D814" s="7"/>
      <c r="E814" s="7"/>
      <c r="F814" s="7"/>
      <c r="G814" s="7"/>
      <c r="H814" s="6"/>
      <c r="I814" s="7"/>
      <c r="J814" s="7"/>
      <c r="K814" s="7"/>
      <c r="L814" s="7"/>
      <c r="M814" s="52"/>
      <c r="N814" s="7"/>
      <c r="O814" s="7"/>
      <c r="P814" s="47"/>
      <c r="Q814" s="47"/>
      <c r="R814" s="7"/>
      <c r="S814" s="51"/>
      <c r="T814" s="51"/>
      <c r="U814" s="7"/>
      <c r="V814" s="57"/>
      <c r="W814" s="57"/>
      <c r="X814" s="57"/>
    </row>
    <row r="815" spans="1:24" ht="12.5" x14ac:dyDescent="0.25">
      <c r="A815" s="34"/>
      <c r="B815" s="7"/>
      <c r="C815" s="19"/>
      <c r="D815" s="7"/>
      <c r="E815" s="7"/>
      <c r="F815" s="7"/>
      <c r="G815" s="7"/>
      <c r="H815" s="6"/>
      <c r="I815" s="7"/>
      <c r="J815" s="7"/>
      <c r="K815" s="7"/>
      <c r="L815" s="7"/>
      <c r="M815" s="52"/>
      <c r="N815" s="7"/>
      <c r="O815" s="7"/>
      <c r="P815" s="47"/>
      <c r="Q815" s="47"/>
      <c r="R815" s="7"/>
      <c r="S815" s="51"/>
      <c r="T815" s="51"/>
      <c r="U815" s="7"/>
      <c r="V815" s="57"/>
      <c r="W815" s="57"/>
      <c r="X815" s="57"/>
    </row>
    <row r="816" spans="1:24" ht="12.5" x14ac:dyDescent="0.25">
      <c r="A816" s="34"/>
      <c r="B816" s="7"/>
      <c r="C816" s="19"/>
      <c r="D816" s="7"/>
      <c r="E816" s="7"/>
      <c r="F816" s="7"/>
      <c r="G816" s="7"/>
      <c r="H816" s="6"/>
      <c r="I816" s="7"/>
      <c r="J816" s="7"/>
      <c r="K816" s="7"/>
      <c r="L816" s="7"/>
      <c r="M816" s="52"/>
      <c r="N816" s="7"/>
      <c r="O816" s="7"/>
      <c r="P816" s="47"/>
      <c r="Q816" s="47"/>
      <c r="R816" s="7"/>
      <c r="S816" s="51"/>
      <c r="T816" s="51"/>
      <c r="U816" s="7"/>
      <c r="V816" s="57"/>
      <c r="W816" s="57"/>
      <c r="X816" s="57"/>
    </row>
    <row r="817" spans="1:24" ht="12.5" x14ac:dyDescent="0.25">
      <c r="A817" s="34"/>
      <c r="B817" s="7"/>
      <c r="C817" s="19"/>
      <c r="D817" s="7"/>
      <c r="E817" s="7"/>
      <c r="F817" s="7"/>
      <c r="G817" s="7"/>
      <c r="H817" s="6"/>
      <c r="I817" s="7"/>
      <c r="J817" s="7"/>
      <c r="K817" s="7"/>
      <c r="L817" s="7"/>
      <c r="M817" s="52"/>
      <c r="N817" s="7"/>
      <c r="O817" s="7"/>
      <c r="P817" s="47"/>
      <c r="Q817" s="47"/>
      <c r="R817" s="7"/>
      <c r="S817" s="51"/>
      <c r="T817" s="51"/>
      <c r="U817" s="7"/>
      <c r="V817" s="57"/>
      <c r="W817" s="57"/>
      <c r="X817" s="57"/>
    </row>
    <row r="818" spans="1:24" ht="12.5" x14ac:dyDescent="0.25">
      <c r="A818" s="34"/>
      <c r="B818" s="7"/>
      <c r="C818" s="19"/>
      <c r="D818" s="7"/>
      <c r="E818" s="7"/>
      <c r="F818" s="7"/>
      <c r="G818" s="7"/>
      <c r="H818" s="6"/>
      <c r="I818" s="7"/>
      <c r="J818" s="7"/>
      <c r="K818" s="7"/>
      <c r="L818" s="7"/>
      <c r="M818" s="52"/>
      <c r="N818" s="7"/>
      <c r="O818" s="7"/>
      <c r="P818" s="47"/>
      <c r="Q818" s="47"/>
      <c r="R818" s="7"/>
      <c r="S818" s="51"/>
      <c r="T818" s="51"/>
      <c r="U818" s="7"/>
      <c r="V818" s="57"/>
      <c r="W818" s="57"/>
      <c r="X818" s="57"/>
    </row>
    <row r="819" spans="1:24" ht="12.5" x14ac:dyDescent="0.25">
      <c r="A819" s="34"/>
      <c r="B819" s="7"/>
      <c r="C819" s="19"/>
      <c r="D819" s="7"/>
      <c r="E819" s="7"/>
      <c r="F819" s="7"/>
      <c r="G819" s="7"/>
      <c r="H819" s="6"/>
      <c r="I819" s="7"/>
      <c r="J819" s="7"/>
      <c r="K819" s="7"/>
      <c r="L819" s="7"/>
      <c r="M819" s="52"/>
      <c r="N819" s="7"/>
      <c r="O819" s="7"/>
      <c r="P819" s="47"/>
      <c r="Q819" s="47"/>
      <c r="R819" s="7"/>
      <c r="S819" s="51"/>
      <c r="T819" s="51"/>
      <c r="U819" s="7"/>
      <c r="V819" s="57"/>
      <c r="W819" s="57"/>
      <c r="X819" s="57"/>
    </row>
    <row r="820" spans="1:24" ht="12.5" x14ac:dyDescent="0.25">
      <c r="A820" s="34"/>
      <c r="B820" s="7"/>
      <c r="C820" s="19"/>
      <c r="D820" s="7"/>
      <c r="E820" s="7"/>
      <c r="F820" s="7"/>
      <c r="G820" s="7"/>
      <c r="H820" s="6"/>
      <c r="I820" s="7"/>
      <c r="J820" s="7"/>
      <c r="K820" s="7"/>
      <c r="L820" s="7"/>
      <c r="M820" s="52"/>
      <c r="N820" s="7"/>
      <c r="O820" s="7"/>
      <c r="P820" s="47"/>
      <c r="Q820" s="47"/>
      <c r="R820" s="7"/>
      <c r="S820" s="51"/>
      <c r="T820" s="51"/>
      <c r="U820" s="7"/>
      <c r="V820" s="57"/>
      <c r="W820" s="57"/>
      <c r="X820" s="57"/>
    </row>
    <row r="821" spans="1:24" ht="12.5" x14ac:dyDescent="0.25">
      <c r="A821" s="34"/>
      <c r="B821" s="7"/>
      <c r="C821" s="19"/>
      <c r="D821" s="7"/>
      <c r="E821" s="7"/>
      <c r="F821" s="7"/>
      <c r="G821" s="7"/>
      <c r="H821" s="6"/>
      <c r="I821" s="7"/>
      <c r="J821" s="7"/>
      <c r="K821" s="7"/>
      <c r="L821" s="7"/>
      <c r="M821" s="52"/>
      <c r="N821" s="7"/>
      <c r="O821" s="7"/>
      <c r="P821" s="47"/>
      <c r="Q821" s="47"/>
      <c r="R821" s="7"/>
      <c r="S821" s="51"/>
      <c r="T821" s="51"/>
      <c r="U821" s="7"/>
      <c r="V821" s="57"/>
      <c r="W821" s="57"/>
      <c r="X821" s="57"/>
    </row>
    <row r="822" spans="1:24" ht="12.5" x14ac:dyDescent="0.25">
      <c r="A822" s="34"/>
      <c r="B822" s="7"/>
      <c r="C822" s="19"/>
      <c r="D822" s="7"/>
      <c r="E822" s="7"/>
      <c r="F822" s="7"/>
      <c r="G822" s="7"/>
      <c r="H822" s="6"/>
      <c r="I822" s="7"/>
      <c r="J822" s="7"/>
      <c r="K822" s="7"/>
      <c r="L822" s="7"/>
      <c r="M822" s="52"/>
      <c r="N822" s="7"/>
      <c r="O822" s="7"/>
      <c r="P822" s="47"/>
      <c r="Q822" s="47"/>
      <c r="R822" s="7"/>
      <c r="S822" s="51"/>
      <c r="T822" s="51"/>
      <c r="U822" s="7"/>
      <c r="V822" s="57"/>
      <c r="W822" s="57"/>
      <c r="X822" s="57"/>
    </row>
    <row r="823" spans="1:24" ht="12.5" x14ac:dyDescent="0.25">
      <c r="A823" s="34"/>
      <c r="B823" s="7"/>
      <c r="C823" s="19"/>
      <c r="D823" s="7"/>
      <c r="E823" s="7"/>
      <c r="F823" s="7"/>
      <c r="G823" s="7"/>
      <c r="H823" s="6"/>
      <c r="I823" s="7"/>
      <c r="J823" s="7"/>
      <c r="K823" s="7"/>
      <c r="L823" s="7"/>
      <c r="M823" s="52"/>
      <c r="N823" s="7"/>
      <c r="O823" s="7"/>
      <c r="P823" s="47"/>
      <c r="Q823" s="47"/>
      <c r="R823" s="7"/>
      <c r="S823" s="51"/>
      <c r="T823" s="51"/>
      <c r="U823" s="7"/>
      <c r="V823" s="57"/>
      <c r="W823" s="57"/>
      <c r="X823" s="57"/>
    </row>
    <row r="824" spans="1:24" ht="12.5" x14ac:dyDescent="0.25">
      <c r="A824" s="34"/>
      <c r="B824" s="7"/>
      <c r="C824" s="19"/>
      <c r="D824" s="7"/>
      <c r="E824" s="7"/>
      <c r="F824" s="7"/>
      <c r="G824" s="7"/>
      <c r="H824" s="6"/>
      <c r="I824" s="7"/>
      <c r="J824" s="7"/>
      <c r="K824" s="7"/>
      <c r="L824" s="7"/>
      <c r="M824" s="52"/>
      <c r="N824" s="7"/>
      <c r="O824" s="7"/>
      <c r="P824" s="47"/>
      <c r="Q824" s="47"/>
      <c r="R824" s="7"/>
      <c r="S824" s="51"/>
      <c r="T824" s="51"/>
      <c r="U824" s="7"/>
      <c r="V824" s="57"/>
      <c r="W824" s="57"/>
      <c r="X824" s="57"/>
    </row>
    <row r="825" spans="1:24" ht="12.5" x14ac:dyDescent="0.25">
      <c r="A825" s="34"/>
      <c r="B825" s="7"/>
      <c r="C825" s="19"/>
      <c r="D825" s="7"/>
      <c r="E825" s="7"/>
      <c r="F825" s="7"/>
      <c r="G825" s="7"/>
      <c r="H825" s="6"/>
      <c r="I825" s="7"/>
      <c r="J825" s="7"/>
      <c r="K825" s="7"/>
      <c r="L825" s="7"/>
      <c r="M825" s="52"/>
      <c r="N825" s="7"/>
      <c r="O825" s="7"/>
      <c r="P825" s="47"/>
      <c r="Q825" s="47"/>
      <c r="R825" s="7"/>
      <c r="S825" s="51"/>
      <c r="T825" s="51"/>
      <c r="U825" s="7"/>
      <c r="V825" s="57"/>
      <c r="W825" s="57"/>
      <c r="X825" s="57"/>
    </row>
    <row r="826" spans="1:24" ht="12.5" x14ac:dyDescent="0.25">
      <c r="A826" s="34"/>
      <c r="B826" s="7"/>
      <c r="C826" s="19"/>
      <c r="D826" s="7"/>
      <c r="E826" s="7"/>
      <c r="F826" s="7"/>
      <c r="G826" s="7"/>
      <c r="H826" s="6"/>
      <c r="I826" s="7"/>
      <c r="J826" s="7"/>
      <c r="K826" s="7"/>
      <c r="L826" s="7"/>
      <c r="M826" s="52"/>
      <c r="N826" s="7"/>
      <c r="O826" s="7"/>
      <c r="P826" s="47"/>
      <c r="Q826" s="47"/>
      <c r="R826" s="7"/>
      <c r="S826" s="51"/>
      <c r="T826" s="51"/>
      <c r="U826" s="7"/>
      <c r="V826" s="57"/>
      <c r="W826" s="57"/>
      <c r="X826" s="57"/>
    </row>
    <row r="827" spans="1:24" ht="12.5" x14ac:dyDescent="0.25">
      <c r="A827" s="34"/>
      <c r="B827" s="7"/>
      <c r="C827" s="19"/>
      <c r="D827" s="7"/>
      <c r="E827" s="7"/>
      <c r="F827" s="7"/>
      <c r="G827" s="7"/>
      <c r="H827" s="6"/>
      <c r="I827" s="7"/>
      <c r="J827" s="7"/>
      <c r="K827" s="7"/>
      <c r="L827" s="7"/>
      <c r="M827" s="52"/>
      <c r="N827" s="7"/>
      <c r="O827" s="7"/>
      <c r="P827" s="47"/>
      <c r="Q827" s="47"/>
      <c r="R827" s="7"/>
      <c r="S827" s="51"/>
      <c r="T827" s="51"/>
      <c r="U827" s="7"/>
      <c r="V827" s="57"/>
      <c r="W827" s="57"/>
      <c r="X827" s="57"/>
    </row>
    <row r="828" spans="1:24" ht="12.5" x14ac:dyDescent="0.25">
      <c r="A828" s="34"/>
      <c r="B828" s="7"/>
      <c r="C828" s="19"/>
      <c r="D828" s="7"/>
      <c r="E828" s="7"/>
      <c r="F828" s="7"/>
      <c r="G828" s="7"/>
      <c r="H828" s="6"/>
      <c r="I828" s="7"/>
      <c r="J828" s="7"/>
      <c r="K828" s="7"/>
      <c r="L828" s="7"/>
      <c r="M828" s="52"/>
      <c r="N828" s="7"/>
      <c r="O828" s="7"/>
      <c r="P828" s="47"/>
      <c r="Q828" s="47"/>
      <c r="R828" s="7"/>
      <c r="S828" s="51"/>
      <c r="T828" s="51"/>
      <c r="U828" s="7"/>
      <c r="V828" s="57"/>
      <c r="W828" s="57"/>
      <c r="X828" s="57"/>
    </row>
    <row r="829" spans="1:24" ht="12.5" x14ac:dyDescent="0.25">
      <c r="A829" s="34"/>
      <c r="B829" s="7"/>
      <c r="C829" s="19"/>
      <c r="D829" s="7"/>
      <c r="E829" s="7"/>
      <c r="F829" s="7"/>
      <c r="G829" s="7"/>
      <c r="H829" s="6"/>
      <c r="I829" s="7"/>
      <c r="J829" s="7"/>
      <c r="K829" s="7"/>
      <c r="L829" s="7"/>
      <c r="M829" s="52"/>
      <c r="N829" s="7"/>
      <c r="O829" s="7"/>
      <c r="P829" s="47"/>
      <c r="Q829" s="47"/>
      <c r="R829" s="7"/>
      <c r="S829" s="51"/>
      <c r="T829" s="51"/>
      <c r="U829" s="7"/>
      <c r="V829" s="57"/>
      <c r="W829" s="57"/>
      <c r="X829" s="57"/>
    </row>
    <row r="830" spans="1:24" ht="12.5" x14ac:dyDescent="0.25">
      <c r="A830" s="34"/>
      <c r="B830" s="7"/>
      <c r="C830" s="19"/>
      <c r="D830" s="7"/>
      <c r="E830" s="7"/>
      <c r="F830" s="7"/>
      <c r="G830" s="7"/>
      <c r="H830" s="6"/>
      <c r="I830" s="7"/>
      <c r="J830" s="7"/>
      <c r="K830" s="7"/>
      <c r="L830" s="7"/>
      <c r="M830" s="52"/>
      <c r="N830" s="7"/>
      <c r="O830" s="7"/>
      <c r="P830" s="47"/>
      <c r="Q830" s="47"/>
      <c r="R830" s="7"/>
      <c r="S830" s="51"/>
      <c r="T830" s="51"/>
      <c r="U830" s="7"/>
      <c r="V830" s="57"/>
      <c r="W830" s="57"/>
      <c r="X830" s="57"/>
    </row>
    <row r="831" spans="1:24" ht="12.5" x14ac:dyDescent="0.25">
      <c r="A831" s="34"/>
      <c r="B831" s="7"/>
      <c r="C831" s="19"/>
      <c r="D831" s="7"/>
      <c r="E831" s="7"/>
      <c r="F831" s="7"/>
      <c r="G831" s="7"/>
      <c r="H831" s="6"/>
      <c r="I831" s="7"/>
      <c r="J831" s="7"/>
      <c r="K831" s="7"/>
      <c r="L831" s="7"/>
      <c r="M831" s="52"/>
      <c r="N831" s="7"/>
      <c r="O831" s="7"/>
      <c r="P831" s="47"/>
      <c r="Q831" s="47"/>
      <c r="R831" s="7"/>
      <c r="S831" s="51"/>
      <c r="T831" s="51"/>
      <c r="U831" s="7"/>
      <c r="V831" s="57"/>
      <c r="W831" s="57"/>
      <c r="X831" s="57"/>
    </row>
    <row r="832" spans="1:24" ht="12.5" x14ac:dyDescent="0.25">
      <c r="A832" s="34"/>
      <c r="B832" s="7"/>
      <c r="C832" s="19"/>
      <c r="D832" s="7"/>
      <c r="E832" s="7"/>
      <c r="F832" s="7"/>
      <c r="G832" s="7"/>
      <c r="H832" s="6"/>
      <c r="I832" s="7"/>
      <c r="J832" s="7"/>
      <c r="K832" s="7"/>
      <c r="L832" s="7"/>
      <c r="M832" s="52"/>
      <c r="N832" s="7"/>
      <c r="O832" s="7"/>
      <c r="P832" s="47"/>
      <c r="Q832" s="47"/>
      <c r="R832" s="7"/>
      <c r="S832" s="51"/>
      <c r="T832" s="51"/>
      <c r="U832" s="7"/>
      <c r="V832" s="57"/>
      <c r="W832" s="57"/>
      <c r="X832" s="57"/>
    </row>
    <row r="833" spans="1:24" ht="12.5" x14ac:dyDescent="0.25">
      <c r="A833" s="34"/>
      <c r="B833" s="7"/>
      <c r="C833" s="19"/>
      <c r="D833" s="7"/>
      <c r="E833" s="7"/>
      <c r="F833" s="7"/>
      <c r="G833" s="7"/>
      <c r="H833" s="6"/>
      <c r="I833" s="7"/>
      <c r="J833" s="7"/>
      <c r="K833" s="7"/>
      <c r="L833" s="7"/>
      <c r="M833" s="52"/>
      <c r="N833" s="7"/>
      <c r="O833" s="7"/>
      <c r="P833" s="47"/>
      <c r="Q833" s="47"/>
      <c r="R833" s="7"/>
      <c r="S833" s="51"/>
      <c r="T833" s="51"/>
      <c r="U833" s="7"/>
      <c r="V833" s="57"/>
      <c r="W833" s="57"/>
      <c r="X833" s="57"/>
    </row>
    <row r="834" spans="1:24" ht="12.5" x14ac:dyDescent="0.25">
      <c r="A834" s="34"/>
      <c r="B834" s="7"/>
      <c r="C834" s="19"/>
      <c r="D834" s="7"/>
      <c r="E834" s="7"/>
      <c r="F834" s="7"/>
      <c r="G834" s="7"/>
      <c r="H834" s="6"/>
      <c r="I834" s="7"/>
      <c r="J834" s="7"/>
      <c r="K834" s="7"/>
      <c r="L834" s="7"/>
      <c r="M834" s="52"/>
      <c r="N834" s="7"/>
      <c r="O834" s="7"/>
      <c r="P834" s="47"/>
      <c r="Q834" s="47"/>
      <c r="R834" s="7"/>
      <c r="S834" s="51"/>
      <c r="T834" s="51"/>
      <c r="U834" s="7"/>
      <c r="V834" s="57"/>
      <c r="W834" s="57"/>
      <c r="X834" s="57"/>
    </row>
    <row r="835" spans="1:24" ht="12.5" x14ac:dyDescent="0.25">
      <c r="A835" s="34"/>
      <c r="B835" s="7"/>
      <c r="C835" s="19"/>
      <c r="D835" s="7"/>
      <c r="E835" s="7"/>
      <c r="F835" s="7"/>
      <c r="G835" s="7"/>
      <c r="H835" s="6"/>
      <c r="I835" s="7"/>
      <c r="J835" s="7"/>
      <c r="K835" s="7"/>
      <c r="L835" s="7"/>
      <c r="M835" s="52"/>
      <c r="N835" s="7"/>
      <c r="O835" s="7"/>
      <c r="P835" s="47"/>
      <c r="Q835" s="47"/>
      <c r="R835" s="7"/>
      <c r="S835" s="51"/>
      <c r="T835" s="51"/>
      <c r="U835" s="7"/>
      <c r="V835" s="57"/>
      <c r="W835" s="57"/>
      <c r="X835" s="57"/>
    </row>
    <row r="836" spans="1:24" ht="12.5" x14ac:dyDescent="0.25">
      <c r="A836" s="34"/>
      <c r="B836" s="7"/>
      <c r="C836" s="19"/>
      <c r="D836" s="7"/>
      <c r="E836" s="7"/>
      <c r="F836" s="7"/>
      <c r="G836" s="7"/>
      <c r="H836" s="6"/>
      <c r="I836" s="7"/>
      <c r="J836" s="7"/>
      <c r="K836" s="7"/>
      <c r="L836" s="7"/>
      <c r="M836" s="52"/>
      <c r="N836" s="7"/>
      <c r="O836" s="7"/>
      <c r="P836" s="47"/>
      <c r="Q836" s="47"/>
      <c r="R836" s="7"/>
      <c r="S836" s="51"/>
      <c r="T836" s="51"/>
      <c r="U836" s="7"/>
      <c r="V836" s="57"/>
      <c r="W836" s="57"/>
      <c r="X836" s="57"/>
    </row>
    <row r="837" spans="1:24" ht="12.5" x14ac:dyDescent="0.25">
      <c r="A837" s="34"/>
      <c r="B837" s="7"/>
      <c r="C837" s="19"/>
      <c r="D837" s="7"/>
      <c r="E837" s="7"/>
      <c r="F837" s="7"/>
      <c r="G837" s="7"/>
      <c r="H837" s="6"/>
      <c r="I837" s="7"/>
      <c r="J837" s="7"/>
      <c r="K837" s="7"/>
      <c r="L837" s="7"/>
      <c r="M837" s="52"/>
      <c r="N837" s="7"/>
      <c r="O837" s="7"/>
      <c r="P837" s="47"/>
      <c r="Q837" s="47"/>
      <c r="R837" s="7"/>
      <c r="S837" s="51"/>
      <c r="T837" s="51"/>
      <c r="U837" s="7"/>
      <c r="V837" s="57"/>
      <c r="W837" s="57"/>
      <c r="X837" s="57"/>
    </row>
    <row r="838" spans="1:24" ht="12.5" x14ac:dyDescent="0.25">
      <c r="A838" s="34"/>
      <c r="B838" s="7"/>
      <c r="C838" s="19"/>
      <c r="D838" s="7"/>
      <c r="E838" s="7"/>
      <c r="F838" s="7"/>
      <c r="G838" s="7"/>
      <c r="H838" s="6"/>
      <c r="I838" s="7"/>
      <c r="J838" s="7"/>
      <c r="K838" s="7"/>
      <c r="L838" s="7"/>
      <c r="M838" s="52"/>
      <c r="N838" s="7"/>
      <c r="O838" s="7"/>
      <c r="P838" s="47"/>
      <c r="Q838" s="47"/>
      <c r="R838" s="7"/>
      <c r="S838" s="51"/>
      <c r="T838" s="51"/>
      <c r="U838" s="7"/>
      <c r="V838" s="57"/>
      <c r="W838" s="57"/>
      <c r="X838" s="57"/>
    </row>
    <row r="839" spans="1:24" ht="12.5" x14ac:dyDescent="0.25">
      <c r="A839" s="34"/>
      <c r="B839" s="7"/>
      <c r="C839" s="19"/>
      <c r="D839" s="7"/>
      <c r="E839" s="7"/>
      <c r="F839" s="7"/>
      <c r="G839" s="7"/>
      <c r="H839" s="6"/>
      <c r="I839" s="7"/>
      <c r="J839" s="7"/>
      <c r="K839" s="7"/>
      <c r="L839" s="7"/>
      <c r="M839" s="52"/>
      <c r="N839" s="7"/>
      <c r="O839" s="7"/>
      <c r="P839" s="47"/>
      <c r="Q839" s="47"/>
      <c r="R839" s="7"/>
      <c r="S839" s="51"/>
      <c r="T839" s="51"/>
      <c r="U839" s="7"/>
      <c r="V839" s="57"/>
      <c r="W839" s="57"/>
      <c r="X839" s="57"/>
    </row>
    <row r="840" spans="1:24" ht="12.5" x14ac:dyDescent="0.25">
      <c r="A840" s="34"/>
      <c r="B840" s="7"/>
      <c r="C840" s="19"/>
      <c r="D840" s="7"/>
      <c r="E840" s="7"/>
      <c r="F840" s="7"/>
      <c r="G840" s="7"/>
      <c r="H840" s="6"/>
      <c r="I840" s="7"/>
      <c r="J840" s="7"/>
      <c r="K840" s="7"/>
      <c r="L840" s="7"/>
      <c r="M840" s="52"/>
      <c r="N840" s="7"/>
      <c r="O840" s="7"/>
      <c r="P840" s="47"/>
      <c r="Q840" s="47"/>
      <c r="R840" s="7"/>
      <c r="S840" s="51"/>
      <c r="T840" s="51"/>
      <c r="U840" s="7"/>
      <c r="V840" s="57"/>
      <c r="W840" s="57"/>
      <c r="X840" s="57"/>
    </row>
    <row r="841" spans="1:24" ht="12.5" x14ac:dyDescent="0.25">
      <c r="A841" s="34"/>
      <c r="B841" s="7"/>
      <c r="C841" s="19"/>
      <c r="D841" s="7"/>
      <c r="E841" s="7"/>
      <c r="F841" s="7"/>
      <c r="G841" s="7"/>
      <c r="H841" s="6"/>
      <c r="I841" s="7"/>
      <c r="J841" s="7"/>
      <c r="K841" s="7"/>
      <c r="L841" s="7"/>
      <c r="M841" s="52"/>
      <c r="N841" s="7"/>
      <c r="O841" s="7"/>
      <c r="P841" s="47"/>
      <c r="Q841" s="47"/>
      <c r="R841" s="7"/>
      <c r="S841" s="51"/>
      <c r="T841" s="51"/>
      <c r="U841" s="7"/>
      <c r="V841" s="57"/>
      <c r="W841" s="57"/>
      <c r="X841" s="57"/>
    </row>
    <row r="842" spans="1:24" ht="12.5" x14ac:dyDescent="0.25">
      <c r="A842" s="34"/>
      <c r="B842" s="7"/>
      <c r="C842" s="19"/>
      <c r="D842" s="7"/>
      <c r="E842" s="7"/>
      <c r="F842" s="7"/>
      <c r="G842" s="7"/>
      <c r="H842" s="6"/>
      <c r="I842" s="7"/>
      <c r="J842" s="7"/>
      <c r="K842" s="7"/>
      <c r="L842" s="7"/>
      <c r="M842" s="52"/>
      <c r="N842" s="7"/>
      <c r="O842" s="7"/>
      <c r="P842" s="47"/>
      <c r="Q842" s="47"/>
      <c r="R842" s="7"/>
      <c r="S842" s="51"/>
      <c r="T842" s="51"/>
      <c r="U842" s="7"/>
      <c r="V842" s="57"/>
      <c r="W842" s="57"/>
      <c r="X842" s="57"/>
    </row>
    <row r="843" spans="1:24" ht="12.5" x14ac:dyDescent="0.25">
      <c r="A843" s="34"/>
      <c r="B843" s="7"/>
      <c r="C843" s="19"/>
      <c r="D843" s="7"/>
      <c r="E843" s="7"/>
      <c r="F843" s="7"/>
      <c r="G843" s="7"/>
      <c r="H843" s="6"/>
      <c r="I843" s="7"/>
      <c r="J843" s="7"/>
      <c r="K843" s="7"/>
      <c r="L843" s="7"/>
      <c r="M843" s="52"/>
      <c r="N843" s="7"/>
      <c r="O843" s="7"/>
      <c r="P843" s="47"/>
      <c r="Q843" s="47"/>
      <c r="R843" s="7"/>
      <c r="S843" s="51"/>
      <c r="T843" s="51"/>
      <c r="U843" s="7"/>
      <c r="V843" s="57"/>
      <c r="W843" s="57"/>
      <c r="X843" s="57"/>
    </row>
    <row r="844" spans="1:24" ht="12.5" x14ac:dyDescent="0.25">
      <c r="A844" s="34"/>
      <c r="B844" s="7"/>
      <c r="C844" s="19"/>
      <c r="D844" s="7"/>
      <c r="E844" s="7"/>
      <c r="F844" s="7"/>
      <c r="G844" s="7"/>
      <c r="H844" s="6"/>
      <c r="I844" s="7"/>
      <c r="J844" s="7"/>
      <c r="K844" s="7"/>
      <c r="L844" s="7"/>
      <c r="M844" s="52"/>
      <c r="N844" s="7"/>
      <c r="O844" s="7"/>
      <c r="P844" s="47"/>
      <c r="Q844" s="47"/>
      <c r="R844" s="7"/>
      <c r="S844" s="51"/>
      <c r="T844" s="51"/>
      <c r="U844" s="7"/>
      <c r="V844" s="57"/>
      <c r="W844" s="57"/>
      <c r="X844" s="57"/>
    </row>
    <row r="845" spans="1:24" ht="12.5" x14ac:dyDescent="0.25">
      <c r="A845" s="34"/>
      <c r="B845" s="7"/>
      <c r="C845" s="19"/>
      <c r="D845" s="7"/>
      <c r="E845" s="7"/>
      <c r="F845" s="7"/>
      <c r="G845" s="7"/>
      <c r="H845" s="6"/>
      <c r="I845" s="7"/>
      <c r="J845" s="7"/>
      <c r="K845" s="7"/>
      <c r="L845" s="7"/>
      <c r="M845" s="52"/>
      <c r="N845" s="7"/>
      <c r="O845" s="7"/>
      <c r="P845" s="47"/>
      <c r="Q845" s="47"/>
      <c r="R845" s="7"/>
      <c r="S845" s="51"/>
      <c r="T845" s="51"/>
      <c r="U845" s="7"/>
      <c r="V845" s="57"/>
      <c r="W845" s="57"/>
      <c r="X845" s="57"/>
    </row>
    <row r="846" spans="1:24" ht="12.5" x14ac:dyDescent="0.25">
      <c r="A846" s="34"/>
      <c r="B846" s="7"/>
      <c r="C846" s="19"/>
      <c r="D846" s="7"/>
      <c r="E846" s="7"/>
      <c r="F846" s="7"/>
      <c r="G846" s="7"/>
      <c r="H846" s="6"/>
      <c r="I846" s="7"/>
      <c r="J846" s="7"/>
      <c r="K846" s="7"/>
      <c r="L846" s="7"/>
      <c r="M846" s="52"/>
      <c r="N846" s="7"/>
      <c r="O846" s="7"/>
      <c r="P846" s="47"/>
      <c r="Q846" s="47"/>
      <c r="R846" s="7"/>
      <c r="S846" s="51"/>
      <c r="T846" s="51"/>
      <c r="U846" s="7"/>
      <c r="V846" s="57"/>
      <c r="W846" s="57"/>
      <c r="X846" s="57"/>
    </row>
    <row r="847" spans="1:24" ht="12.5" x14ac:dyDescent="0.25">
      <c r="A847" s="34"/>
      <c r="B847" s="7"/>
      <c r="C847" s="19"/>
      <c r="D847" s="7"/>
      <c r="E847" s="7"/>
      <c r="F847" s="7"/>
      <c r="G847" s="7"/>
      <c r="H847" s="6"/>
      <c r="I847" s="7"/>
      <c r="J847" s="7"/>
      <c r="K847" s="7"/>
      <c r="L847" s="7"/>
      <c r="M847" s="52"/>
      <c r="N847" s="7"/>
      <c r="O847" s="7"/>
      <c r="P847" s="47"/>
      <c r="Q847" s="47"/>
      <c r="R847" s="7"/>
      <c r="S847" s="51"/>
      <c r="T847" s="51"/>
      <c r="U847" s="7"/>
      <c r="V847" s="57"/>
      <c r="W847" s="57"/>
      <c r="X847" s="57"/>
    </row>
    <row r="848" spans="1:24" ht="12.5" x14ac:dyDescent="0.25">
      <c r="A848" s="34"/>
      <c r="B848" s="7"/>
      <c r="C848" s="19"/>
      <c r="D848" s="7"/>
      <c r="E848" s="7"/>
      <c r="F848" s="7"/>
      <c r="G848" s="7"/>
      <c r="H848" s="6"/>
      <c r="I848" s="7"/>
      <c r="J848" s="7"/>
      <c r="K848" s="7"/>
      <c r="L848" s="7"/>
      <c r="M848" s="52"/>
      <c r="N848" s="7"/>
      <c r="O848" s="7"/>
      <c r="P848" s="47"/>
      <c r="Q848" s="47"/>
      <c r="R848" s="7"/>
      <c r="S848" s="51"/>
      <c r="T848" s="51"/>
      <c r="U848" s="7"/>
      <c r="V848" s="57"/>
      <c r="W848" s="57"/>
      <c r="X848" s="57"/>
    </row>
    <row r="849" spans="1:24" ht="12.5" x14ac:dyDescent="0.25">
      <c r="A849" s="34"/>
      <c r="B849" s="7"/>
      <c r="C849" s="19"/>
      <c r="D849" s="7"/>
      <c r="E849" s="7"/>
      <c r="F849" s="7"/>
      <c r="G849" s="7"/>
      <c r="H849" s="6"/>
      <c r="I849" s="7"/>
      <c r="J849" s="7"/>
      <c r="K849" s="7"/>
      <c r="L849" s="7"/>
      <c r="M849" s="52"/>
      <c r="N849" s="7"/>
      <c r="O849" s="7"/>
      <c r="P849" s="47"/>
      <c r="Q849" s="47"/>
      <c r="R849" s="7"/>
      <c r="S849" s="51"/>
      <c r="T849" s="51"/>
      <c r="U849" s="7"/>
      <c r="V849" s="57"/>
      <c r="W849" s="57"/>
      <c r="X849" s="57"/>
    </row>
    <row r="850" spans="1:24" ht="12.5" x14ac:dyDescent="0.25">
      <c r="A850" s="34"/>
      <c r="B850" s="7"/>
      <c r="C850" s="19"/>
      <c r="D850" s="7"/>
      <c r="E850" s="7"/>
      <c r="F850" s="7"/>
      <c r="G850" s="7"/>
      <c r="H850" s="6"/>
      <c r="I850" s="7"/>
      <c r="J850" s="7"/>
      <c r="K850" s="7"/>
      <c r="L850" s="7"/>
      <c r="M850" s="52"/>
      <c r="N850" s="7"/>
      <c r="O850" s="7"/>
      <c r="P850" s="47"/>
      <c r="Q850" s="47"/>
      <c r="R850" s="7"/>
      <c r="S850" s="51"/>
      <c r="T850" s="51"/>
      <c r="U850" s="7"/>
      <c r="V850" s="57"/>
      <c r="W850" s="57"/>
      <c r="X850" s="57"/>
    </row>
    <row r="851" spans="1:24" ht="12.5" x14ac:dyDescent="0.25">
      <c r="A851" s="34"/>
      <c r="B851" s="7"/>
      <c r="C851" s="19"/>
      <c r="D851" s="7"/>
      <c r="E851" s="7"/>
      <c r="F851" s="7"/>
      <c r="G851" s="7"/>
      <c r="H851" s="6"/>
      <c r="I851" s="7"/>
      <c r="J851" s="7"/>
      <c r="K851" s="7"/>
      <c r="L851" s="7"/>
      <c r="M851" s="52"/>
      <c r="N851" s="7"/>
      <c r="O851" s="7"/>
      <c r="P851" s="47"/>
      <c r="Q851" s="47"/>
      <c r="R851" s="7"/>
      <c r="S851" s="51"/>
      <c r="T851" s="51"/>
      <c r="U851" s="7"/>
      <c r="V851" s="57"/>
      <c r="W851" s="57"/>
      <c r="X851" s="57"/>
    </row>
    <row r="852" spans="1:24" ht="12.5" x14ac:dyDescent="0.25">
      <c r="A852" s="34"/>
      <c r="B852" s="7"/>
      <c r="C852" s="19"/>
      <c r="D852" s="7"/>
      <c r="E852" s="7"/>
      <c r="F852" s="7"/>
      <c r="G852" s="7"/>
      <c r="H852" s="6"/>
      <c r="I852" s="7"/>
      <c r="J852" s="7"/>
      <c r="K852" s="7"/>
      <c r="L852" s="7"/>
      <c r="M852" s="52"/>
      <c r="N852" s="7"/>
      <c r="O852" s="7"/>
      <c r="P852" s="47"/>
      <c r="Q852" s="47"/>
      <c r="R852" s="7"/>
      <c r="S852" s="51"/>
      <c r="T852" s="51"/>
      <c r="U852" s="7"/>
      <c r="V852" s="57"/>
      <c r="W852" s="57"/>
      <c r="X852" s="57"/>
    </row>
    <row r="853" spans="1:24" ht="12.5" x14ac:dyDescent="0.25">
      <c r="A853" s="34"/>
      <c r="B853" s="7"/>
      <c r="C853" s="19"/>
      <c r="D853" s="7"/>
      <c r="E853" s="7"/>
      <c r="F853" s="7"/>
      <c r="G853" s="7"/>
      <c r="H853" s="6"/>
      <c r="I853" s="7"/>
      <c r="J853" s="7"/>
      <c r="K853" s="7"/>
      <c r="L853" s="7"/>
      <c r="M853" s="52"/>
      <c r="N853" s="7"/>
      <c r="O853" s="7"/>
      <c r="P853" s="47"/>
      <c r="Q853" s="47"/>
      <c r="R853" s="7"/>
      <c r="S853" s="51"/>
      <c r="T853" s="51"/>
      <c r="U853" s="7"/>
      <c r="V853" s="57"/>
      <c r="W853" s="57"/>
      <c r="X853" s="57"/>
    </row>
    <row r="854" spans="1:24" ht="12.5" x14ac:dyDescent="0.25">
      <c r="A854" s="34"/>
      <c r="B854" s="7"/>
      <c r="C854" s="19"/>
      <c r="D854" s="7"/>
      <c r="E854" s="7"/>
      <c r="F854" s="7"/>
      <c r="G854" s="7"/>
      <c r="H854" s="6"/>
      <c r="I854" s="7"/>
      <c r="J854" s="7"/>
      <c r="K854" s="7"/>
      <c r="L854" s="7"/>
      <c r="M854" s="52"/>
      <c r="N854" s="7"/>
      <c r="O854" s="7"/>
      <c r="P854" s="47"/>
      <c r="Q854" s="47"/>
      <c r="R854" s="7"/>
      <c r="S854" s="51"/>
      <c r="T854" s="51"/>
      <c r="U854" s="7"/>
      <c r="V854" s="57"/>
      <c r="W854" s="57"/>
      <c r="X854" s="57"/>
    </row>
    <row r="855" spans="1:24" ht="12.5" x14ac:dyDescent="0.25">
      <c r="A855" s="34"/>
      <c r="B855" s="7"/>
      <c r="C855" s="19"/>
      <c r="D855" s="7"/>
      <c r="E855" s="7"/>
      <c r="F855" s="7"/>
      <c r="G855" s="7"/>
      <c r="H855" s="6"/>
      <c r="I855" s="7"/>
      <c r="J855" s="7"/>
      <c r="K855" s="7"/>
      <c r="L855" s="7"/>
      <c r="M855" s="52"/>
      <c r="N855" s="7"/>
      <c r="O855" s="7"/>
      <c r="P855" s="47"/>
      <c r="Q855" s="47"/>
      <c r="R855" s="7"/>
      <c r="S855" s="51"/>
      <c r="T855" s="51"/>
      <c r="U855" s="7"/>
      <c r="V855" s="57"/>
      <c r="W855" s="57"/>
      <c r="X855" s="57"/>
    </row>
    <row r="856" spans="1:24" ht="12.5" x14ac:dyDescent="0.25">
      <c r="A856" s="34"/>
      <c r="B856" s="7"/>
      <c r="C856" s="19"/>
      <c r="D856" s="7"/>
      <c r="E856" s="7"/>
      <c r="F856" s="7"/>
      <c r="G856" s="7"/>
      <c r="H856" s="6"/>
      <c r="I856" s="7"/>
      <c r="J856" s="7"/>
      <c r="K856" s="7"/>
      <c r="L856" s="7"/>
      <c r="M856" s="52"/>
      <c r="N856" s="7"/>
      <c r="O856" s="7"/>
      <c r="P856" s="47"/>
      <c r="Q856" s="47"/>
      <c r="R856" s="7"/>
      <c r="S856" s="51"/>
      <c r="T856" s="51"/>
      <c r="U856" s="7"/>
      <c r="V856" s="57"/>
      <c r="W856" s="57"/>
      <c r="X856" s="57"/>
    </row>
    <row r="857" spans="1:24" ht="12.5" x14ac:dyDescent="0.25">
      <c r="A857" s="34"/>
      <c r="B857" s="7"/>
      <c r="C857" s="19"/>
      <c r="D857" s="7"/>
      <c r="E857" s="7"/>
      <c r="F857" s="7"/>
      <c r="G857" s="7"/>
      <c r="H857" s="6"/>
      <c r="I857" s="7"/>
      <c r="J857" s="7"/>
      <c r="K857" s="7"/>
      <c r="L857" s="7"/>
      <c r="M857" s="52"/>
      <c r="N857" s="7"/>
      <c r="O857" s="7"/>
      <c r="P857" s="47"/>
      <c r="Q857" s="47"/>
      <c r="R857" s="7"/>
      <c r="S857" s="51"/>
      <c r="T857" s="51"/>
      <c r="U857" s="7"/>
      <c r="V857" s="57"/>
      <c r="W857" s="57"/>
      <c r="X857" s="57"/>
    </row>
    <row r="858" spans="1:24" ht="12.5" x14ac:dyDescent="0.25">
      <c r="A858" s="34"/>
      <c r="B858" s="7"/>
      <c r="C858" s="19"/>
      <c r="D858" s="7"/>
      <c r="E858" s="7"/>
      <c r="F858" s="7"/>
      <c r="G858" s="7"/>
      <c r="H858" s="6"/>
      <c r="I858" s="7"/>
      <c r="J858" s="7"/>
      <c r="K858" s="7"/>
      <c r="L858" s="7"/>
      <c r="M858" s="52"/>
      <c r="N858" s="7"/>
      <c r="O858" s="7"/>
      <c r="P858" s="47"/>
      <c r="Q858" s="47"/>
      <c r="R858" s="7"/>
      <c r="S858" s="51"/>
      <c r="T858" s="51"/>
      <c r="U858" s="7"/>
      <c r="V858" s="57"/>
      <c r="W858" s="57"/>
      <c r="X858" s="57"/>
    </row>
    <row r="859" spans="1:24" ht="12.5" x14ac:dyDescent="0.25">
      <c r="A859" s="34"/>
      <c r="B859" s="7"/>
      <c r="C859" s="19"/>
      <c r="D859" s="7"/>
      <c r="E859" s="7"/>
      <c r="F859" s="7"/>
      <c r="G859" s="7"/>
      <c r="H859" s="6"/>
      <c r="I859" s="7"/>
      <c r="J859" s="7"/>
      <c r="K859" s="7"/>
      <c r="L859" s="7"/>
      <c r="M859" s="52"/>
      <c r="N859" s="7"/>
      <c r="O859" s="7"/>
      <c r="P859" s="47"/>
      <c r="Q859" s="47"/>
      <c r="R859" s="7"/>
      <c r="S859" s="51"/>
      <c r="T859" s="51"/>
      <c r="U859" s="7"/>
      <c r="V859" s="57"/>
      <c r="W859" s="57"/>
      <c r="X859" s="57"/>
    </row>
    <row r="860" spans="1:24" ht="12.5" x14ac:dyDescent="0.25">
      <c r="A860" s="34"/>
      <c r="B860" s="7"/>
      <c r="C860" s="19"/>
      <c r="D860" s="7"/>
      <c r="E860" s="7"/>
      <c r="F860" s="7"/>
      <c r="G860" s="7"/>
      <c r="H860" s="6"/>
      <c r="I860" s="7"/>
      <c r="J860" s="7"/>
      <c r="K860" s="7"/>
      <c r="L860" s="7"/>
      <c r="M860" s="52"/>
      <c r="N860" s="7"/>
      <c r="O860" s="7"/>
      <c r="P860" s="47"/>
      <c r="Q860" s="47"/>
      <c r="R860" s="7"/>
      <c r="S860" s="51"/>
      <c r="T860" s="51"/>
      <c r="U860" s="7"/>
      <c r="V860" s="57"/>
      <c r="W860" s="57"/>
      <c r="X860" s="57"/>
    </row>
    <row r="861" spans="1:24" ht="12.5" x14ac:dyDescent="0.25">
      <c r="A861" s="34"/>
      <c r="B861" s="7"/>
      <c r="C861" s="19"/>
      <c r="D861" s="7"/>
      <c r="E861" s="7"/>
      <c r="F861" s="7"/>
      <c r="G861" s="7"/>
      <c r="H861" s="6"/>
      <c r="I861" s="7"/>
      <c r="J861" s="7"/>
      <c r="K861" s="7"/>
      <c r="L861" s="7"/>
      <c r="M861" s="52"/>
      <c r="N861" s="7"/>
      <c r="O861" s="7"/>
      <c r="P861" s="47"/>
      <c r="Q861" s="47"/>
      <c r="R861" s="7"/>
      <c r="S861" s="51"/>
      <c r="T861" s="51"/>
      <c r="U861" s="7"/>
      <c r="V861" s="57"/>
      <c r="W861" s="57"/>
      <c r="X861" s="57"/>
    </row>
    <row r="862" spans="1:24" ht="12.5" x14ac:dyDescent="0.25">
      <c r="A862" s="34"/>
      <c r="B862" s="7"/>
      <c r="C862" s="19"/>
      <c r="D862" s="7"/>
      <c r="E862" s="7"/>
      <c r="F862" s="7"/>
      <c r="G862" s="7"/>
      <c r="H862" s="6"/>
      <c r="I862" s="7"/>
      <c r="J862" s="7"/>
      <c r="K862" s="7"/>
      <c r="L862" s="7"/>
      <c r="M862" s="52"/>
      <c r="N862" s="7"/>
      <c r="O862" s="7"/>
      <c r="P862" s="47"/>
      <c r="Q862" s="47"/>
      <c r="R862" s="7"/>
      <c r="S862" s="51"/>
      <c r="T862" s="51"/>
      <c r="U862" s="7"/>
      <c r="V862" s="57"/>
      <c r="W862" s="57"/>
      <c r="X862" s="57"/>
    </row>
    <row r="863" spans="1:24" ht="12.5" x14ac:dyDescent="0.25">
      <c r="A863" s="34"/>
      <c r="B863" s="7"/>
      <c r="C863" s="19"/>
      <c r="D863" s="7"/>
      <c r="E863" s="7"/>
      <c r="F863" s="7"/>
      <c r="G863" s="7"/>
      <c r="H863" s="6"/>
      <c r="I863" s="7"/>
      <c r="J863" s="7"/>
      <c r="K863" s="7"/>
      <c r="L863" s="7"/>
      <c r="M863" s="52"/>
      <c r="N863" s="7"/>
      <c r="O863" s="7"/>
      <c r="P863" s="47"/>
      <c r="Q863" s="47"/>
      <c r="R863" s="7"/>
      <c r="S863" s="51"/>
      <c r="T863" s="51"/>
      <c r="U863" s="7"/>
      <c r="V863" s="57"/>
      <c r="W863" s="57"/>
      <c r="X863" s="57"/>
    </row>
    <row r="864" spans="1:24" ht="12.5" x14ac:dyDescent="0.25">
      <c r="A864" s="34"/>
      <c r="B864" s="7"/>
      <c r="C864" s="19"/>
      <c r="D864" s="7"/>
      <c r="E864" s="7"/>
      <c r="F864" s="7"/>
      <c r="G864" s="7"/>
      <c r="H864" s="6"/>
      <c r="I864" s="7"/>
      <c r="J864" s="7"/>
      <c r="K864" s="7"/>
      <c r="L864" s="7"/>
      <c r="M864" s="52"/>
      <c r="N864" s="7"/>
      <c r="O864" s="7"/>
      <c r="P864" s="47"/>
      <c r="Q864" s="47"/>
      <c r="R864" s="7"/>
      <c r="S864" s="51"/>
      <c r="T864" s="51"/>
      <c r="U864" s="7"/>
      <c r="V864" s="57"/>
      <c r="W864" s="57"/>
      <c r="X864" s="57"/>
    </row>
    <row r="865" spans="1:24" ht="12.5" x14ac:dyDescent="0.25">
      <c r="A865" s="34"/>
      <c r="B865" s="7"/>
      <c r="C865" s="19"/>
      <c r="D865" s="7"/>
      <c r="E865" s="7"/>
      <c r="F865" s="7"/>
      <c r="G865" s="7"/>
      <c r="H865" s="6"/>
      <c r="I865" s="7"/>
      <c r="J865" s="7"/>
      <c r="K865" s="7"/>
      <c r="L865" s="7"/>
      <c r="M865" s="52"/>
      <c r="N865" s="7"/>
      <c r="O865" s="7"/>
      <c r="P865" s="47"/>
      <c r="Q865" s="47"/>
      <c r="R865" s="7"/>
      <c r="S865" s="51"/>
      <c r="T865" s="51"/>
      <c r="U865" s="7"/>
      <c r="V865" s="57"/>
      <c r="W865" s="57"/>
      <c r="X865" s="57"/>
    </row>
    <row r="866" spans="1:24" ht="12.5" x14ac:dyDescent="0.25">
      <c r="A866" s="34"/>
      <c r="B866" s="7"/>
      <c r="C866" s="19"/>
      <c r="D866" s="7"/>
      <c r="E866" s="7"/>
      <c r="F866" s="7"/>
      <c r="G866" s="7"/>
      <c r="H866" s="6"/>
      <c r="I866" s="7"/>
      <c r="J866" s="7"/>
      <c r="K866" s="7"/>
      <c r="L866" s="7"/>
      <c r="M866" s="52"/>
      <c r="N866" s="7"/>
      <c r="O866" s="7"/>
      <c r="P866" s="47"/>
      <c r="Q866" s="47"/>
      <c r="R866" s="7"/>
      <c r="S866" s="51"/>
      <c r="T866" s="51"/>
      <c r="U866" s="7"/>
      <c r="V866" s="57"/>
      <c r="W866" s="57"/>
      <c r="X866" s="57"/>
    </row>
    <row r="867" spans="1:24" ht="12.5" x14ac:dyDescent="0.25">
      <c r="A867" s="34"/>
      <c r="B867" s="7"/>
      <c r="C867" s="19"/>
      <c r="D867" s="7"/>
      <c r="E867" s="7"/>
      <c r="F867" s="7"/>
      <c r="G867" s="7"/>
      <c r="H867" s="6"/>
      <c r="I867" s="7"/>
      <c r="J867" s="7"/>
      <c r="K867" s="7"/>
      <c r="L867" s="7"/>
      <c r="M867" s="52"/>
      <c r="N867" s="7"/>
      <c r="O867" s="7"/>
      <c r="P867" s="47"/>
      <c r="Q867" s="47"/>
      <c r="R867" s="7"/>
      <c r="S867" s="51"/>
      <c r="T867" s="51"/>
      <c r="U867" s="7"/>
      <c r="V867" s="57"/>
      <c r="W867" s="57"/>
      <c r="X867" s="57"/>
    </row>
    <row r="868" spans="1:24" ht="12.5" x14ac:dyDescent="0.25">
      <c r="A868" s="34"/>
      <c r="B868" s="7"/>
      <c r="C868" s="19"/>
      <c r="D868" s="7"/>
      <c r="E868" s="7"/>
      <c r="F868" s="7"/>
      <c r="G868" s="7"/>
      <c r="H868" s="6"/>
      <c r="I868" s="7"/>
      <c r="J868" s="7"/>
      <c r="K868" s="7"/>
      <c r="L868" s="7"/>
      <c r="M868" s="52"/>
      <c r="N868" s="7"/>
      <c r="O868" s="7"/>
      <c r="P868" s="47"/>
      <c r="Q868" s="47"/>
      <c r="R868" s="7"/>
      <c r="S868" s="51"/>
      <c r="T868" s="51"/>
      <c r="U868" s="7"/>
      <c r="V868" s="57"/>
      <c r="W868" s="57"/>
      <c r="X868" s="57"/>
    </row>
    <row r="869" spans="1:24" ht="12.5" x14ac:dyDescent="0.25">
      <c r="A869" s="34"/>
      <c r="B869" s="7"/>
      <c r="C869" s="19"/>
      <c r="D869" s="7"/>
      <c r="E869" s="7"/>
      <c r="F869" s="7"/>
      <c r="G869" s="7"/>
      <c r="H869" s="6"/>
      <c r="I869" s="7"/>
      <c r="J869" s="7"/>
      <c r="K869" s="7"/>
      <c r="L869" s="7"/>
      <c r="M869" s="52"/>
      <c r="N869" s="7"/>
      <c r="O869" s="7"/>
      <c r="P869" s="47"/>
      <c r="Q869" s="47"/>
      <c r="R869" s="7"/>
      <c r="S869" s="51"/>
      <c r="T869" s="51"/>
      <c r="U869" s="7"/>
      <c r="V869" s="57"/>
      <c r="W869" s="57"/>
      <c r="X869" s="57"/>
    </row>
    <row r="870" spans="1:24" ht="12.5" x14ac:dyDescent="0.25">
      <c r="A870" s="34"/>
      <c r="B870" s="7"/>
      <c r="C870" s="19"/>
      <c r="D870" s="7"/>
      <c r="E870" s="7"/>
      <c r="F870" s="7"/>
      <c r="G870" s="7"/>
      <c r="H870" s="6"/>
      <c r="I870" s="7"/>
      <c r="J870" s="7"/>
      <c r="K870" s="7"/>
      <c r="L870" s="7"/>
      <c r="M870" s="52"/>
      <c r="N870" s="7"/>
      <c r="O870" s="7"/>
      <c r="P870" s="47"/>
      <c r="Q870" s="47"/>
      <c r="R870" s="7"/>
      <c r="S870" s="51"/>
      <c r="T870" s="51"/>
      <c r="U870" s="7"/>
      <c r="V870" s="57"/>
      <c r="W870" s="57"/>
      <c r="X870" s="57"/>
    </row>
    <row r="871" spans="1:24" ht="12.5" x14ac:dyDescent="0.25">
      <c r="A871" s="34"/>
      <c r="B871" s="7"/>
      <c r="C871" s="19"/>
      <c r="D871" s="7"/>
      <c r="E871" s="7"/>
      <c r="F871" s="7"/>
      <c r="G871" s="7"/>
      <c r="H871" s="6"/>
      <c r="I871" s="7"/>
      <c r="J871" s="7"/>
      <c r="K871" s="7"/>
      <c r="L871" s="7"/>
      <c r="M871" s="52"/>
      <c r="N871" s="7"/>
      <c r="O871" s="7"/>
      <c r="P871" s="47"/>
      <c r="Q871" s="47"/>
      <c r="R871" s="7"/>
      <c r="S871" s="51"/>
      <c r="T871" s="51"/>
      <c r="U871" s="7"/>
      <c r="V871" s="57"/>
      <c r="W871" s="57"/>
      <c r="X871" s="57"/>
    </row>
    <row r="872" spans="1:24" ht="12.5" x14ac:dyDescent="0.25">
      <c r="A872" s="34"/>
      <c r="B872" s="7"/>
      <c r="C872" s="19"/>
      <c r="D872" s="7"/>
      <c r="E872" s="7"/>
      <c r="F872" s="7"/>
      <c r="G872" s="7"/>
      <c r="H872" s="6"/>
      <c r="I872" s="7"/>
      <c r="J872" s="7"/>
      <c r="K872" s="7"/>
      <c r="L872" s="7"/>
      <c r="M872" s="52"/>
      <c r="N872" s="7"/>
      <c r="O872" s="7"/>
      <c r="P872" s="47"/>
      <c r="Q872" s="47"/>
      <c r="R872" s="7"/>
      <c r="S872" s="51"/>
      <c r="T872" s="51"/>
      <c r="U872" s="7"/>
      <c r="V872" s="57"/>
      <c r="W872" s="57"/>
      <c r="X872" s="57"/>
    </row>
    <row r="873" spans="1:24" ht="12.5" x14ac:dyDescent="0.25">
      <c r="A873" s="34"/>
      <c r="B873" s="7"/>
      <c r="C873" s="19"/>
      <c r="D873" s="7"/>
      <c r="E873" s="7"/>
      <c r="F873" s="7"/>
      <c r="G873" s="7"/>
      <c r="H873" s="6"/>
      <c r="I873" s="7"/>
      <c r="J873" s="7"/>
      <c r="K873" s="7"/>
      <c r="L873" s="7"/>
      <c r="M873" s="52"/>
      <c r="N873" s="7"/>
      <c r="O873" s="7"/>
      <c r="P873" s="47"/>
      <c r="Q873" s="47"/>
      <c r="R873" s="7"/>
      <c r="S873" s="51"/>
      <c r="T873" s="51"/>
      <c r="U873" s="7"/>
      <c r="V873" s="57"/>
      <c r="W873" s="57"/>
      <c r="X873" s="57"/>
    </row>
    <row r="874" spans="1:24" ht="12.5" x14ac:dyDescent="0.25">
      <c r="A874" s="34"/>
      <c r="B874" s="7"/>
      <c r="C874" s="19"/>
      <c r="D874" s="7"/>
      <c r="E874" s="7"/>
      <c r="F874" s="7"/>
      <c r="G874" s="7"/>
      <c r="H874" s="6"/>
      <c r="I874" s="7"/>
      <c r="J874" s="7"/>
      <c r="K874" s="7"/>
      <c r="L874" s="7"/>
      <c r="M874" s="52"/>
      <c r="N874" s="7"/>
      <c r="O874" s="7"/>
      <c r="P874" s="47"/>
      <c r="Q874" s="47"/>
      <c r="R874" s="7"/>
      <c r="S874" s="51"/>
      <c r="T874" s="51"/>
      <c r="U874" s="7"/>
      <c r="V874" s="57"/>
      <c r="W874" s="57"/>
      <c r="X874" s="57"/>
    </row>
    <row r="875" spans="1:24" ht="12.5" x14ac:dyDescent="0.25">
      <c r="A875" s="34"/>
      <c r="B875" s="7"/>
      <c r="C875" s="19"/>
      <c r="D875" s="7"/>
      <c r="E875" s="7"/>
      <c r="F875" s="7"/>
      <c r="G875" s="7"/>
      <c r="H875" s="6"/>
      <c r="I875" s="7"/>
      <c r="J875" s="7"/>
      <c r="K875" s="7"/>
      <c r="L875" s="7"/>
      <c r="M875" s="52"/>
      <c r="N875" s="7"/>
      <c r="O875" s="7"/>
      <c r="P875" s="47"/>
      <c r="Q875" s="47"/>
      <c r="R875" s="7"/>
      <c r="S875" s="51"/>
      <c r="T875" s="51"/>
      <c r="U875" s="7"/>
      <c r="V875" s="57"/>
      <c r="W875" s="57"/>
      <c r="X875" s="57"/>
    </row>
    <row r="876" spans="1:24" ht="12.5" x14ac:dyDescent="0.25">
      <c r="A876" s="34"/>
      <c r="B876" s="7"/>
      <c r="C876" s="19"/>
      <c r="D876" s="7"/>
      <c r="E876" s="7"/>
      <c r="F876" s="7"/>
      <c r="G876" s="7"/>
      <c r="H876" s="6"/>
      <c r="I876" s="7"/>
      <c r="J876" s="7"/>
      <c r="K876" s="7"/>
      <c r="L876" s="7"/>
      <c r="M876" s="52"/>
      <c r="N876" s="7"/>
      <c r="O876" s="7"/>
      <c r="P876" s="47"/>
      <c r="Q876" s="47"/>
      <c r="R876" s="7"/>
      <c r="S876" s="51"/>
      <c r="T876" s="51"/>
      <c r="U876" s="7"/>
      <c r="V876" s="57"/>
      <c r="W876" s="57"/>
      <c r="X876" s="57"/>
    </row>
    <row r="877" spans="1:24" ht="12.5" x14ac:dyDescent="0.25">
      <c r="A877" s="34"/>
      <c r="B877" s="7"/>
      <c r="C877" s="19"/>
      <c r="D877" s="7"/>
      <c r="E877" s="7"/>
      <c r="F877" s="7"/>
      <c r="G877" s="7"/>
      <c r="H877" s="6"/>
      <c r="I877" s="7"/>
      <c r="J877" s="7"/>
      <c r="K877" s="7"/>
      <c r="L877" s="7"/>
      <c r="M877" s="52"/>
      <c r="N877" s="7"/>
      <c r="O877" s="7"/>
      <c r="P877" s="47"/>
      <c r="Q877" s="47"/>
      <c r="R877" s="7"/>
      <c r="S877" s="51"/>
      <c r="T877" s="51"/>
      <c r="U877" s="7"/>
      <c r="V877" s="57"/>
      <c r="W877" s="57"/>
      <c r="X877" s="57"/>
    </row>
    <row r="878" spans="1:24" ht="12.5" x14ac:dyDescent="0.25">
      <c r="A878" s="34"/>
      <c r="B878" s="7"/>
      <c r="C878" s="19"/>
      <c r="D878" s="7"/>
      <c r="E878" s="7"/>
      <c r="F878" s="7"/>
      <c r="G878" s="7"/>
      <c r="H878" s="6"/>
      <c r="I878" s="7"/>
      <c r="J878" s="7"/>
      <c r="K878" s="7"/>
      <c r="L878" s="7"/>
      <c r="M878" s="52"/>
      <c r="N878" s="7"/>
      <c r="O878" s="7"/>
      <c r="P878" s="47"/>
      <c r="Q878" s="47"/>
      <c r="R878" s="7"/>
      <c r="S878" s="51"/>
      <c r="T878" s="51"/>
      <c r="U878" s="7"/>
      <c r="V878" s="57"/>
      <c r="W878" s="57"/>
      <c r="X878" s="57"/>
    </row>
    <row r="879" spans="1:24" ht="12.5" x14ac:dyDescent="0.25">
      <c r="A879" s="34"/>
      <c r="B879" s="7"/>
      <c r="C879" s="19"/>
      <c r="D879" s="7"/>
      <c r="E879" s="7"/>
      <c r="F879" s="7"/>
      <c r="G879" s="7"/>
      <c r="H879" s="6"/>
      <c r="I879" s="7"/>
      <c r="J879" s="7"/>
      <c r="K879" s="7"/>
      <c r="L879" s="7"/>
      <c r="M879" s="52"/>
      <c r="N879" s="7"/>
      <c r="O879" s="7"/>
      <c r="P879" s="47"/>
      <c r="Q879" s="47"/>
      <c r="R879" s="7"/>
      <c r="S879" s="51"/>
      <c r="T879" s="51"/>
      <c r="U879" s="7"/>
      <c r="V879" s="57"/>
      <c r="W879" s="57"/>
      <c r="X879" s="57"/>
    </row>
    <row r="880" spans="1:24" ht="12.5" x14ac:dyDescent="0.25">
      <c r="A880" s="34"/>
      <c r="B880" s="7"/>
      <c r="C880" s="19"/>
      <c r="D880" s="7"/>
      <c r="E880" s="7"/>
      <c r="F880" s="7"/>
      <c r="G880" s="7"/>
      <c r="H880" s="6"/>
      <c r="I880" s="7"/>
      <c r="J880" s="7"/>
      <c r="K880" s="7"/>
      <c r="L880" s="7"/>
      <c r="M880" s="52"/>
      <c r="N880" s="7"/>
      <c r="O880" s="7"/>
      <c r="P880" s="47"/>
      <c r="Q880" s="47"/>
      <c r="R880" s="7"/>
      <c r="S880" s="51"/>
      <c r="T880" s="51"/>
      <c r="U880" s="7"/>
      <c r="V880" s="57"/>
      <c r="W880" s="57"/>
      <c r="X880" s="57"/>
    </row>
    <row r="881" spans="1:24" ht="12.5" x14ac:dyDescent="0.25">
      <c r="A881" s="34"/>
      <c r="B881" s="7"/>
      <c r="C881" s="19"/>
      <c r="D881" s="7"/>
      <c r="E881" s="7"/>
      <c r="F881" s="7"/>
      <c r="G881" s="7"/>
      <c r="H881" s="6"/>
      <c r="I881" s="7"/>
      <c r="J881" s="7"/>
      <c r="K881" s="7"/>
      <c r="L881" s="7"/>
      <c r="M881" s="52"/>
      <c r="N881" s="7"/>
      <c r="O881" s="7"/>
      <c r="P881" s="47"/>
      <c r="Q881" s="47"/>
      <c r="R881" s="7"/>
      <c r="S881" s="51"/>
      <c r="T881" s="51"/>
      <c r="U881" s="7"/>
      <c r="V881" s="57"/>
      <c r="W881" s="57"/>
      <c r="X881" s="57"/>
    </row>
    <row r="882" spans="1:24" ht="12.5" x14ac:dyDescent="0.25">
      <c r="A882" s="34"/>
      <c r="B882" s="7"/>
      <c r="C882" s="19"/>
      <c r="D882" s="7"/>
      <c r="E882" s="7"/>
      <c r="F882" s="7"/>
      <c r="G882" s="7"/>
      <c r="H882" s="6"/>
      <c r="I882" s="7"/>
      <c r="J882" s="7"/>
      <c r="K882" s="7"/>
      <c r="L882" s="7"/>
      <c r="M882" s="52"/>
      <c r="N882" s="7"/>
      <c r="O882" s="7"/>
      <c r="P882" s="47"/>
      <c r="Q882" s="47"/>
      <c r="R882" s="7"/>
      <c r="S882" s="51"/>
      <c r="T882" s="51"/>
      <c r="U882" s="7"/>
      <c r="V882" s="57"/>
      <c r="W882" s="57"/>
      <c r="X882" s="57"/>
    </row>
    <row r="883" spans="1:24" ht="12.5" x14ac:dyDescent="0.25">
      <c r="A883" s="34"/>
      <c r="B883" s="7"/>
      <c r="C883" s="19"/>
      <c r="D883" s="7"/>
      <c r="E883" s="7"/>
      <c r="F883" s="7"/>
      <c r="G883" s="7"/>
      <c r="H883" s="6"/>
      <c r="I883" s="7"/>
      <c r="J883" s="7"/>
      <c r="K883" s="7"/>
      <c r="L883" s="7"/>
      <c r="M883" s="52"/>
      <c r="N883" s="7"/>
      <c r="O883" s="7"/>
      <c r="P883" s="47"/>
      <c r="Q883" s="47"/>
      <c r="R883" s="7"/>
      <c r="S883" s="51"/>
      <c r="T883" s="51"/>
      <c r="U883" s="7"/>
      <c r="V883" s="57"/>
      <c r="W883" s="57"/>
      <c r="X883" s="57"/>
    </row>
    <row r="884" spans="1:24" ht="12.5" x14ac:dyDescent="0.25">
      <c r="A884" s="34"/>
      <c r="B884" s="7"/>
      <c r="C884" s="19"/>
      <c r="D884" s="7"/>
      <c r="E884" s="7"/>
      <c r="F884" s="7"/>
      <c r="G884" s="7"/>
      <c r="H884" s="6"/>
      <c r="I884" s="7"/>
      <c r="J884" s="7"/>
      <c r="K884" s="7"/>
      <c r="L884" s="7"/>
      <c r="M884" s="52"/>
      <c r="N884" s="7"/>
      <c r="O884" s="7"/>
      <c r="P884" s="47"/>
      <c r="Q884" s="47"/>
      <c r="R884" s="7"/>
      <c r="S884" s="51"/>
      <c r="T884" s="51"/>
      <c r="U884" s="7"/>
      <c r="V884" s="57"/>
      <c r="W884" s="57"/>
      <c r="X884" s="57"/>
    </row>
    <row r="885" spans="1:24" ht="12.5" x14ac:dyDescent="0.25">
      <c r="A885" s="34"/>
      <c r="B885" s="7"/>
      <c r="C885" s="19"/>
      <c r="D885" s="7"/>
      <c r="E885" s="7"/>
      <c r="F885" s="7"/>
      <c r="G885" s="7"/>
      <c r="H885" s="6"/>
      <c r="I885" s="7"/>
      <c r="J885" s="7"/>
      <c r="K885" s="7"/>
      <c r="L885" s="7"/>
      <c r="M885" s="52"/>
      <c r="N885" s="7"/>
      <c r="O885" s="7"/>
      <c r="P885" s="47"/>
      <c r="Q885" s="47"/>
      <c r="R885" s="7"/>
      <c r="S885" s="51"/>
      <c r="T885" s="51"/>
      <c r="U885" s="7"/>
      <c r="V885" s="57"/>
      <c r="W885" s="57"/>
      <c r="X885" s="57"/>
    </row>
    <row r="886" spans="1:24" ht="12.5" x14ac:dyDescent="0.25">
      <c r="A886" s="34"/>
      <c r="B886" s="7"/>
      <c r="C886" s="19"/>
      <c r="D886" s="7"/>
      <c r="E886" s="7"/>
      <c r="F886" s="7"/>
      <c r="G886" s="7"/>
      <c r="H886" s="6"/>
      <c r="I886" s="7"/>
      <c r="J886" s="7"/>
      <c r="K886" s="7"/>
      <c r="L886" s="7"/>
      <c r="M886" s="52"/>
      <c r="N886" s="7"/>
      <c r="O886" s="7"/>
      <c r="P886" s="47"/>
      <c r="Q886" s="47"/>
      <c r="R886" s="7"/>
      <c r="S886" s="51"/>
      <c r="T886" s="51"/>
      <c r="U886" s="7"/>
      <c r="V886" s="57"/>
      <c r="W886" s="57"/>
      <c r="X886" s="57"/>
    </row>
    <row r="887" spans="1:24" ht="12.5" x14ac:dyDescent="0.25">
      <c r="A887" s="34"/>
      <c r="B887" s="7"/>
      <c r="C887" s="19"/>
      <c r="D887" s="7"/>
      <c r="E887" s="7"/>
      <c r="F887" s="7"/>
      <c r="G887" s="7"/>
      <c r="H887" s="6"/>
      <c r="I887" s="7"/>
      <c r="J887" s="7"/>
      <c r="K887" s="7"/>
      <c r="L887" s="7"/>
      <c r="M887" s="52"/>
      <c r="N887" s="7"/>
      <c r="O887" s="7"/>
      <c r="P887" s="47"/>
      <c r="Q887" s="47"/>
      <c r="R887" s="7"/>
      <c r="S887" s="51"/>
      <c r="T887" s="51"/>
      <c r="U887" s="7"/>
      <c r="V887" s="57"/>
      <c r="W887" s="57"/>
      <c r="X887" s="57"/>
    </row>
    <row r="888" spans="1:24" ht="12.5" x14ac:dyDescent="0.25">
      <c r="A888" s="34"/>
      <c r="B888" s="7"/>
      <c r="C888" s="19"/>
      <c r="D888" s="7"/>
      <c r="E888" s="7"/>
      <c r="F888" s="7"/>
      <c r="G888" s="7"/>
      <c r="H888" s="6"/>
      <c r="I888" s="7"/>
      <c r="J888" s="7"/>
      <c r="K888" s="7"/>
      <c r="L888" s="7"/>
      <c r="M888" s="52"/>
      <c r="N888" s="7"/>
      <c r="O888" s="7"/>
      <c r="P888" s="47"/>
      <c r="Q888" s="47"/>
      <c r="R888" s="7"/>
      <c r="S888" s="51"/>
      <c r="T888" s="51"/>
      <c r="U888" s="7"/>
      <c r="V888" s="57"/>
      <c r="W888" s="57"/>
      <c r="X888" s="57"/>
    </row>
    <row r="889" spans="1:24" ht="12.5" x14ac:dyDescent="0.25">
      <c r="A889" s="34"/>
      <c r="B889" s="7"/>
      <c r="C889" s="19"/>
      <c r="D889" s="7"/>
      <c r="E889" s="7"/>
      <c r="F889" s="7"/>
      <c r="G889" s="7"/>
      <c r="H889" s="6"/>
      <c r="I889" s="7"/>
      <c r="J889" s="7"/>
      <c r="K889" s="7"/>
      <c r="L889" s="7"/>
      <c r="M889" s="52"/>
      <c r="N889" s="7"/>
      <c r="O889" s="7"/>
      <c r="P889" s="47"/>
      <c r="Q889" s="47"/>
      <c r="R889" s="7"/>
      <c r="S889" s="51"/>
      <c r="T889" s="51"/>
      <c r="U889" s="7"/>
      <c r="V889" s="57"/>
      <c r="W889" s="57"/>
      <c r="X889" s="57"/>
    </row>
    <row r="890" spans="1:24" ht="12.5" x14ac:dyDescent="0.25">
      <c r="A890" s="34"/>
      <c r="B890" s="7"/>
      <c r="C890" s="19"/>
      <c r="D890" s="7"/>
      <c r="E890" s="7"/>
      <c r="F890" s="7"/>
      <c r="G890" s="7"/>
      <c r="H890" s="6"/>
      <c r="I890" s="7"/>
      <c r="J890" s="7"/>
      <c r="K890" s="7"/>
      <c r="L890" s="7"/>
      <c r="M890" s="52"/>
      <c r="N890" s="7"/>
      <c r="O890" s="7"/>
      <c r="P890" s="47"/>
      <c r="Q890" s="47"/>
      <c r="R890" s="7"/>
      <c r="S890" s="51"/>
      <c r="T890" s="51"/>
      <c r="U890" s="7"/>
      <c r="V890" s="57"/>
      <c r="W890" s="57"/>
      <c r="X890" s="57"/>
    </row>
    <row r="891" spans="1:24" ht="12.5" x14ac:dyDescent="0.25">
      <c r="A891" s="34"/>
      <c r="B891" s="7"/>
      <c r="C891" s="19"/>
      <c r="D891" s="7"/>
      <c r="E891" s="7"/>
      <c r="F891" s="7"/>
      <c r="G891" s="7"/>
      <c r="H891" s="6"/>
      <c r="I891" s="7"/>
      <c r="J891" s="7"/>
      <c r="K891" s="7"/>
      <c r="L891" s="7"/>
      <c r="M891" s="52"/>
      <c r="N891" s="7"/>
      <c r="O891" s="7"/>
      <c r="P891" s="47"/>
      <c r="Q891" s="47"/>
      <c r="R891" s="7"/>
      <c r="S891" s="51"/>
      <c r="T891" s="51"/>
      <c r="U891" s="7"/>
      <c r="V891" s="57"/>
      <c r="W891" s="57"/>
      <c r="X891" s="57"/>
    </row>
    <row r="892" spans="1:24" ht="12.5" x14ac:dyDescent="0.25">
      <c r="A892" s="34"/>
      <c r="B892" s="7"/>
      <c r="C892" s="19"/>
      <c r="D892" s="7"/>
      <c r="E892" s="7"/>
      <c r="F892" s="7"/>
      <c r="G892" s="7"/>
      <c r="H892" s="6"/>
      <c r="I892" s="7"/>
      <c r="J892" s="7"/>
      <c r="K892" s="7"/>
      <c r="L892" s="7"/>
      <c r="M892" s="52"/>
      <c r="N892" s="7"/>
      <c r="O892" s="7"/>
      <c r="P892" s="47"/>
      <c r="Q892" s="47"/>
      <c r="R892" s="7"/>
      <c r="S892" s="51"/>
      <c r="T892" s="51"/>
      <c r="U892" s="7"/>
      <c r="V892" s="57"/>
      <c r="W892" s="57"/>
      <c r="X892" s="57"/>
    </row>
    <row r="893" spans="1:24" ht="12.5" x14ac:dyDescent="0.25">
      <c r="A893" s="34"/>
      <c r="B893" s="7"/>
      <c r="C893" s="19"/>
      <c r="D893" s="7"/>
      <c r="E893" s="7"/>
      <c r="F893" s="7"/>
      <c r="G893" s="7"/>
      <c r="H893" s="6"/>
      <c r="I893" s="7"/>
      <c r="J893" s="7"/>
      <c r="K893" s="7"/>
      <c r="L893" s="7"/>
      <c r="M893" s="52"/>
      <c r="N893" s="7"/>
      <c r="O893" s="7"/>
      <c r="P893" s="47"/>
      <c r="Q893" s="47"/>
      <c r="R893" s="7"/>
      <c r="S893" s="51"/>
      <c r="T893" s="51"/>
      <c r="U893" s="7"/>
      <c r="V893" s="57"/>
      <c r="W893" s="57"/>
      <c r="X893" s="57"/>
    </row>
    <row r="894" spans="1:24" ht="12.5" x14ac:dyDescent="0.25">
      <c r="A894" s="34"/>
      <c r="B894" s="7"/>
      <c r="C894" s="19"/>
      <c r="D894" s="7"/>
      <c r="E894" s="7"/>
      <c r="F894" s="7"/>
      <c r="G894" s="7"/>
      <c r="H894" s="6"/>
      <c r="I894" s="7"/>
      <c r="J894" s="7"/>
      <c r="K894" s="7"/>
      <c r="L894" s="7"/>
      <c r="M894" s="52"/>
      <c r="N894" s="7"/>
      <c r="O894" s="7"/>
      <c r="P894" s="47"/>
      <c r="Q894" s="47"/>
      <c r="R894" s="7"/>
      <c r="S894" s="51"/>
      <c r="T894" s="51"/>
      <c r="U894" s="7"/>
      <c r="V894" s="57"/>
      <c r="W894" s="57"/>
      <c r="X894" s="57"/>
    </row>
    <row r="895" spans="1:24" ht="12.5" x14ac:dyDescent="0.25">
      <c r="A895" s="34"/>
      <c r="B895" s="7"/>
      <c r="C895" s="19"/>
      <c r="D895" s="7"/>
      <c r="E895" s="7"/>
      <c r="F895" s="7"/>
      <c r="G895" s="7"/>
      <c r="H895" s="6"/>
      <c r="I895" s="7"/>
      <c r="J895" s="7"/>
      <c r="K895" s="7"/>
      <c r="L895" s="7"/>
      <c r="M895" s="52"/>
      <c r="N895" s="7"/>
      <c r="O895" s="7"/>
      <c r="P895" s="47"/>
      <c r="Q895" s="47"/>
      <c r="R895" s="7"/>
      <c r="S895" s="51"/>
      <c r="T895" s="51"/>
      <c r="U895" s="7"/>
      <c r="V895" s="57"/>
      <c r="W895" s="57"/>
      <c r="X895" s="57"/>
    </row>
    <row r="896" spans="1:24" ht="12.5" x14ac:dyDescent="0.25">
      <c r="A896" s="34"/>
      <c r="B896" s="7"/>
      <c r="C896" s="19"/>
      <c r="D896" s="7"/>
      <c r="E896" s="7"/>
      <c r="F896" s="7"/>
      <c r="G896" s="7"/>
      <c r="H896" s="6"/>
      <c r="I896" s="7"/>
      <c r="J896" s="7"/>
      <c r="K896" s="7"/>
      <c r="L896" s="7"/>
      <c r="M896" s="52"/>
      <c r="N896" s="7"/>
      <c r="O896" s="7"/>
      <c r="P896" s="47"/>
      <c r="Q896" s="47"/>
      <c r="R896" s="7"/>
      <c r="S896" s="51"/>
      <c r="T896" s="51"/>
      <c r="U896" s="7"/>
      <c r="V896" s="57"/>
      <c r="W896" s="57"/>
      <c r="X896" s="57"/>
    </row>
    <row r="897" spans="1:24" ht="12.5" x14ac:dyDescent="0.25">
      <c r="A897" s="34"/>
      <c r="B897" s="7"/>
      <c r="C897" s="19"/>
      <c r="D897" s="7"/>
      <c r="E897" s="7"/>
      <c r="F897" s="7"/>
      <c r="G897" s="7"/>
      <c r="H897" s="6"/>
      <c r="I897" s="7"/>
      <c r="J897" s="7"/>
      <c r="K897" s="7"/>
      <c r="L897" s="7"/>
      <c r="M897" s="52"/>
      <c r="N897" s="7"/>
      <c r="O897" s="7"/>
      <c r="P897" s="47"/>
      <c r="Q897" s="47"/>
      <c r="R897" s="7"/>
      <c r="S897" s="51"/>
      <c r="T897" s="51"/>
      <c r="U897" s="7"/>
      <c r="V897" s="57"/>
      <c r="W897" s="57"/>
      <c r="X897" s="57"/>
    </row>
    <row r="898" spans="1:24" ht="12.5" x14ac:dyDescent="0.25">
      <c r="A898" s="34"/>
      <c r="B898" s="7"/>
      <c r="C898" s="19"/>
      <c r="D898" s="7"/>
      <c r="E898" s="7"/>
      <c r="F898" s="7"/>
      <c r="G898" s="7"/>
      <c r="H898" s="6"/>
      <c r="I898" s="7"/>
      <c r="J898" s="7"/>
      <c r="K898" s="7"/>
      <c r="L898" s="7"/>
      <c r="M898" s="52"/>
      <c r="N898" s="7"/>
      <c r="O898" s="7"/>
      <c r="P898" s="47"/>
      <c r="Q898" s="47"/>
      <c r="R898" s="7"/>
      <c r="S898" s="51"/>
      <c r="T898" s="51"/>
      <c r="U898" s="7"/>
      <c r="V898" s="57"/>
      <c r="W898" s="57"/>
      <c r="X898" s="57"/>
    </row>
    <row r="899" spans="1:24" ht="12.5" x14ac:dyDescent="0.25">
      <c r="A899" s="34"/>
      <c r="B899" s="7"/>
      <c r="C899" s="19"/>
      <c r="D899" s="7"/>
      <c r="E899" s="7"/>
      <c r="F899" s="7"/>
      <c r="G899" s="7"/>
      <c r="H899" s="6"/>
      <c r="I899" s="7"/>
      <c r="J899" s="7"/>
      <c r="K899" s="7"/>
      <c r="L899" s="7"/>
      <c r="M899" s="52"/>
      <c r="N899" s="7"/>
      <c r="O899" s="7"/>
      <c r="P899" s="47"/>
      <c r="Q899" s="47"/>
      <c r="R899" s="7"/>
      <c r="S899" s="51"/>
      <c r="T899" s="51"/>
      <c r="U899" s="7"/>
      <c r="V899" s="57"/>
      <c r="W899" s="57"/>
      <c r="X899" s="57"/>
    </row>
    <row r="900" spans="1:24" ht="12.5" x14ac:dyDescent="0.25">
      <c r="A900" s="34"/>
      <c r="B900" s="7"/>
      <c r="C900" s="19"/>
      <c r="D900" s="7"/>
      <c r="E900" s="7"/>
      <c r="F900" s="7"/>
      <c r="G900" s="7"/>
      <c r="H900" s="6"/>
      <c r="I900" s="7"/>
      <c r="J900" s="7"/>
      <c r="K900" s="7"/>
      <c r="L900" s="7"/>
      <c r="M900" s="52"/>
      <c r="N900" s="7"/>
      <c r="O900" s="7"/>
      <c r="P900" s="47"/>
      <c r="Q900" s="47"/>
      <c r="R900" s="7"/>
      <c r="S900" s="51"/>
      <c r="T900" s="51"/>
      <c r="U900" s="7"/>
      <c r="V900" s="57"/>
      <c r="W900" s="57"/>
      <c r="X900" s="57"/>
    </row>
    <row r="901" spans="1:24" ht="12.5" x14ac:dyDescent="0.25">
      <c r="A901" s="34"/>
      <c r="B901" s="7"/>
      <c r="C901" s="19"/>
      <c r="D901" s="7"/>
      <c r="E901" s="7"/>
      <c r="F901" s="7"/>
      <c r="G901" s="7"/>
      <c r="H901" s="6"/>
      <c r="I901" s="7"/>
      <c r="J901" s="7"/>
      <c r="K901" s="7"/>
      <c r="L901" s="7"/>
      <c r="M901" s="52"/>
      <c r="N901" s="7"/>
      <c r="O901" s="7"/>
      <c r="P901" s="47"/>
      <c r="Q901" s="47"/>
      <c r="R901" s="7"/>
      <c r="S901" s="51"/>
      <c r="T901" s="51"/>
      <c r="U901" s="7"/>
      <c r="V901" s="57"/>
      <c r="W901" s="57"/>
      <c r="X901" s="57"/>
    </row>
    <row r="902" spans="1:24" ht="12.5" x14ac:dyDescent="0.25">
      <c r="A902" s="34"/>
      <c r="B902" s="7"/>
      <c r="C902" s="19"/>
      <c r="D902" s="7"/>
      <c r="E902" s="7"/>
      <c r="F902" s="7"/>
      <c r="G902" s="7"/>
      <c r="H902" s="6"/>
      <c r="I902" s="7"/>
      <c r="J902" s="7"/>
      <c r="K902" s="7"/>
      <c r="L902" s="7"/>
      <c r="M902" s="52"/>
      <c r="N902" s="7"/>
      <c r="O902" s="7"/>
      <c r="P902" s="47"/>
      <c r="Q902" s="47"/>
      <c r="R902" s="7"/>
      <c r="S902" s="51"/>
      <c r="T902" s="51"/>
      <c r="U902" s="7"/>
      <c r="V902" s="57"/>
      <c r="W902" s="57"/>
      <c r="X902" s="57"/>
    </row>
    <row r="903" spans="1:24" ht="12.5" x14ac:dyDescent="0.25">
      <c r="A903" s="34"/>
      <c r="B903" s="7"/>
      <c r="C903" s="19"/>
      <c r="D903" s="7"/>
      <c r="E903" s="7"/>
      <c r="F903" s="7"/>
      <c r="G903" s="7"/>
      <c r="H903" s="6"/>
      <c r="I903" s="7"/>
      <c r="J903" s="7"/>
      <c r="K903" s="7"/>
      <c r="L903" s="7"/>
      <c r="M903" s="52"/>
      <c r="N903" s="7"/>
      <c r="O903" s="7"/>
      <c r="P903" s="47"/>
      <c r="Q903" s="47"/>
      <c r="R903" s="7"/>
      <c r="S903" s="51"/>
      <c r="T903" s="51"/>
      <c r="U903" s="7"/>
      <c r="V903" s="57"/>
      <c r="W903" s="57"/>
      <c r="X903" s="57"/>
    </row>
    <row r="904" spans="1:24" ht="12.5" x14ac:dyDescent="0.25">
      <c r="A904" s="34"/>
      <c r="B904" s="7"/>
      <c r="C904" s="19"/>
      <c r="D904" s="7"/>
      <c r="E904" s="7"/>
      <c r="F904" s="7"/>
      <c r="G904" s="7"/>
      <c r="H904" s="6"/>
      <c r="I904" s="7"/>
      <c r="J904" s="7"/>
      <c r="K904" s="7"/>
      <c r="L904" s="7"/>
      <c r="M904" s="52"/>
      <c r="N904" s="7"/>
      <c r="O904" s="7"/>
      <c r="P904" s="47"/>
      <c r="Q904" s="47"/>
      <c r="R904" s="7"/>
      <c r="S904" s="51"/>
      <c r="T904" s="51"/>
      <c r="U904" s="7"/>
      <c r="V904" s="57"/>
      <c r="W904" s="57"/>
      <c r="X904" s="57"/>
    </row>
    <row r="905" spans="1:24" ht="12.5" x14ac:dyDescent="0.25">
      <c r="A905" s="34"/>
      <c r="B905" s="7"/>
      <c r="C905" s="19"/>
      <c r="D905" s="7"/>
      <c r="E905" s="7"/>
      <c r="F905" s="7"/>
      <c r="G905" s="7"/>
      <c r="H905" s="6"/>
      <c r="I905" s="7"/>
      <c r="J905" s="7"/>
      <c r="K905" s="7"/>
      <c r="L905" s="7"/>
      <c r="M905" s="52"/>
      <c r="N905" s="7"/>
      <c r="O905" s="7"/>
      <c r="P905" s="47"/>
      <c r="Q905" s="47"/>
      <c r="R905" s="7"/>
      <c r="S905" s="51"/>
      <c r="T905" s="51"/>
      <c r="U905" s="7"/>
      <c r="V905" s="57"/>
      <c r="W905" s="57"/>
      <c r="X905" s="57"/>
    </row>
    <row r="906" spans="1:24" ht="12.5" x14ac:dyDescent="0.25">
      <c r="A906" s="34"/>
      <c r="B906" s="7"/>
      <c r="C906" s="19"/>
      <c r="D906" s="7"/>
      <c r="E906" s="7"/>
      <c r="F906" s="7"/>
      <c r="G906" s="7"/>
      <c r="H906" s="6"/>
      <c r="I906" s="7"/>
      <c r="J906" s="7"/>
      <c r="K906" s="7"/>
      <c r="L906" s="7"/>
      <c r="M906" s="52"/>
      <c r="N906" s="7"/>
      <c r="O906" s="7"/>
      <c r="P906" s="47"/>
      <c r="Q906" s="47"/>
      <c r="R906" s="7"/>
      <c r="S906" s="51"/>
      <c r="T906" s="51"/>
      <c r="U906" s="7"/>
      <c r="V906" s="57"/>
      <c r="W906" s="57"/>
      <c r="X906" s="57"/>
    </row>
    <row r="907" spans="1:24" ht="12.5" x14ac:dyDescent="0.25">
      <c r="A907" s="34"/>
      <c r="B907" s="7"/>
      <c r="C907" s="19"/>
      <c r="D907" s="7"/>
      <c r="E907" s="7"/>
      <c r="F907" s="7"/>
      <c r="G907" s="7"/>
      <c r="H907" s="6"/>
      <c r="I907" s="7"/>
      <c r="J907" s="7"/>
      <c r="K907" s="7"/>
      <c r="L907" s="7"/>
      <c r="M907" s="52"/>
      <c r="N907" s="7"/>
      <c r="O907" s="7"/>
      <c r="P907" s="47"/>
      <c r="Q907" s="47"/>
      <c r="R907" s="7"/>
      <c r="S907" s="51"/>
      <c r="T907" s="51"/>
      <c r="U907" s="7"/>
      <c r="V907" s="57"/>
      <c r="W907" s="57"/>
      <c r="X907" s="57"/>
    </row>
    <row r="908" spans="1:24" ht="12.5" x14ac:dyDescent="0.25">
      <c r="A908" s="34"/>
      <c r="B908" s="7"/>
      <c r="C908" s="19"/>
      <c r="D908" s="7"/>
      <c r="E908" s="7"/>
      <c r="F908" s="7"/>
      <c r="G908" s="7"/>
      <c r="H908" s="6"/>
      <c r="I908" s="7"/>
      <c r="J908" s="7"/>
      <c r="K908" s="7"/>
      <c r="L908" s="7"/>
      <c r="M908" s="52"/>
      <c r="N908" s="7"/>
      <c r="O908" s="7"/>
      <c r="P908" s="47"/>
      <c r="Q908" s="47"/>
      <c r="R908" s="7"/>
      <c r="S908" s="51"/>
      <c r="T908" s="51"/>
      <c r="U908" s="7"/>
      <c r="V908" s="57"/>
      <c r="W908" s="57"/>
      <c r="X908" s="57"/>
    </row>
    <row r="909" spans="1:24" ht="12.5" x14ac:dyDescent="0.25">
      <c r="A909" s="34"/>
      <c r="B909" s="7"/>
      <c r="C909" s="19"/>
      <c r="D909" s="7"/>
      <c r="E909" s="7"/>
      <c r="F909" s="7"/>
      <c r="G909" s="7"/>
      <c r="H909" s="6"/>
      <c r="I909" s="7"/>
      <c r="J909" s="7"/>
      <c r="K909" s="7"/>
      <c r="L909" s="7"/>
      <c r="M909" s="52"/>
      <c r="N909" s="7"/>
      <c r="O909" s="7"/>
      <c r="P909" s="47"/>
      <c r="Q909" s="47"/>
      <c r="R909" s="7"/>
      <c r="S909" s="51"/>
      <c r="T909" s="51"/>
      <c r="U909" s="7"/>
      <c r="V909" s="57"/>
      <c r="W909" s="57"/>
      <c r="X909" s="57"/>
    </row>
    <row r="910" spans="1:24" ht="12.5" x14ac:dyDescent="0.25">
      <c r="A910" s="34"/>
      <c r="B910" s="7"/>
      <c r="C910" s="19"/>
      <c r="D910" s="7"/>
      <c r="E910" s="7"/>
      <c r="F910" s="7"/>
      <c r="G910" s="7"/>
      <c r="H910" s="6"/>
      <c r="I910" s="7"/>
      <c r="J910" s="7"/>
      <c r="K910" s="7"/>
      <c r="L910" s="7"/>
      <c r="M910" s="52"/>
      <c r="N910" s="7"/>
      <c r="O910" s="7"/>
      <c r="P910" s="47"/>
      <c r="Q910" s="47"/>
      <c r="R910" s="7"/>
      <c r="S910" s="51"/>
      <c r="T910" s="51"/>
      <c r="U910" s="7"/>
      <c r="V910" s="57"/>
      <c r="W910" s="57"/>
      <c r="X910" s="57"/>
    </row>
    <row r="911" spans="1:24" ht="12.5" x14ac:dyDescent="0.25">
      <c r="A911" s="34"/>
      <c r="B911" s="7"/>
      <c r="C911" s="19"/>
      <c r="D911" s="7"/>
      <c r="E911" s="7"/>
      <c r="F911" s="7"/>
      <c r="G911" s="7"/>
      <c r="H911" s="6"/>
      <c r="I911" s="7"/>
      <c r="J911" s="7"/>
      <c r="K911" s="7"/>
      <c r="L911" s="7"/>
      <c r="M911" s="52"/>
      <c r="N911" s="7"/>
      <c r="O911" s="7"/>
      <c r="P911" s="47"/>
      <c r="Q911" s="47"/>
      <c r="R911" s="7"/>
      <c r="S911" s="51"/>
      <c r="T911" s="51"/>
      <c r="U911" s="7"/>
      <c r="V911" s="57"/>
      <c r="W911" s="57"/>
      <c r="X911" s="57"/>
    </row>
    <row r="912" spans="1:24" ht="12.5" x14ac:dyDescent="0.25">
      <c r="A912" s="34"/>
      <c r="B912" s="7"/>
      <c r="C912" s="19"/>
      <c r="D912" s="7"/>
      <c r="E912" s="7"/>
      <c r="F912" s="7"/>
      <c r="G912" s="7"/>
      <c r="H912" s="6"/>
      <c r="I912" s="7"/>
      <c r="J912" s="7"/>
      <c r="K912" s="7"/>
      <c r="L912" s="7"/>
      <c r="M912" s="52"/>
      <c r="N912" s="7"/>
      <c r="O912" s="7"/>
      <c r="P912" s="47"/>
      <c r="Q912" s="47"/>
      <c r="R912" s="7"/>
      <c r="S912" s="51"/>
      <c r="T912" s="51"/>
      <c r="U912" s="7"/>
      <c r="V912" s="57"/>
      <c r="W912" s="57"/>
      <c r="X912" s="57"/>
    </row>
    <row r="913" spans="1:24" ht="12.5" x14ac:dyDescent="0.25">
      <c r="A913" s="34"/>
      <c r="B913" s="7"/>
      <c r="C913" s="19"/>
      <c r="D913" s="7"/>
      <c r="E913" s="7"/>
      <c r="F913" s="7"/>
      <c r="G913" s="7"/>
      <c r="H913" s="6"/>
      <c r="I913" s="7"/>
      <c r="J913" s="7"/>
      <c r="K913" s="7"/>
      <c r="L913" s="7"/>
      <c r="M913" s="52"/>
      <c r="N913" s="7"/>
      <c r="O913" s="7"/>
      <c r="P913" s="47"/>
      <c r="Q913" s="47"/>
      <c r="R913" s="7"/>
      <c r="S913" s="51"/>
      <c r="T913" s="51"/>
      <c r="U913" s="7"/>
      <c r="V913" s="57"/>
      <c r="W913" s="57"/>
      <c r="X913" s="57"/>
    </row>
    <row r="914" spans="1:24" ht="12.5" x14ac:dyDescent="0.25">
      <c r="A914" s="34"/>
      <c r="B914" s="7"/>
      <c r="C914" s="19"/>
      <c r="D914" s="7"/>
      <c r="E914" s="7"/>
      <c r="F914" s="7"/>
      <c r="G914" s="7"/>
      <c r="H914" s="6"/>
      <c r="I914" s="7"/>
      <c r="J914" s="7"/>
      <c r="K914" s="7"/>
      <c r="L914" s="7"/>
      <c r="M914" s="52"/>
      <c r="N914" s="7"/>
      <c r="O914" s="7"/>
      <c r="P914" s="47"/>
      <c r="Q914" s="47"/>
      <c r="R914" s="7"/>
      <c r="S914" s="51"/>
      <c r="T914" s="51"/>
      <c r="U914" s="7"/>
      <c r="V914" s="57"/>
      <c r="W914" s="57"/>
      <c r="X914" s="57"/>
    </row>
    <row r="915" spans="1:24" ht="12.5" x14ac:dyDescent="0.25">
      <c r="A915" s="34"/>
      <c r="B915" s="7"/>
      <c r="C915" s="19"/>
      <c r="D915" s="7"/>
      <c r="E915" s="7"/>
      <c r="F915" s="7"/>
      <c r="G915" s="7"/>
      <c r="H915" s="6"/>
      <c r="I915" s="7"/>
      <c r="J915" s="7"/>
      <c r="K915" s="7"/>
      <c r="L915" s="7"/>
      <c r="M915" s="52"/>
      <c r="N915" s="7"/>
      <c r="O915" s="7"/>
      <c r="P915" s="47"/>
      <c r="Q915" s="47"/>
      <c r="R915" s="7"/>
      <c r="S915" s="51"/>
      <c r="T915" s="51"/>
      <c r="U915" s="7"/>
      <c r="V915" s="57"/>
      <c r="W915" s="57"/>
      <c r="X915" s="57"/>
    </row>
    <row r="916" spans="1:24" ht="12.5" x14ac:dyDescent="0.25">
      <c r="A916" s="34"/>
      <c r="B916" s="7"/>
      <c r="C916" s="19"/>
      <c r="D916" s="7"/>
      <c r="E916" s="7"/>
      <c r="F916" s="7"/>
      <c r="G916" s="7"/>
      <c r="H916" s="6"/>
      <c r="I916" s="7"/>
      <c r="J916" s="7"/>
      <c r="K916" s="7"/>
      <c r="L916" s="7"/>
      <c r="M916" s="52"/>
      <c r="N916" s="7"/>
      <c r="O916" s="7"/>
      <c r="P916" s="47"/>
      <c r="Q916" s="47"/>
      <c r="R916" s="7"/>
      <c r="S916" s="51"/>
      <c r="T916" s="51"/>
      <c r="U916" s="7"/>
      <c r="V916" s="57"/>
      <c r="W916" s="57"/>
      <c r="X916" s="57"/>
    </row>
    <row r="917" spans="1:24" ht="12.5" x14ac:dyDescent="0.25">
      <c r="A917" s="34"/>
      <c r="B917" s="7"/>
      <c r="C917" s="19"/>
      <c r="D917" s="7"/>
      <c r="E917" s="7"/>
      <c r="F917" s="7"/>
      <c r="G917" s="7"/>
      <c r="H917" s="6"/>
      <c r="I917" s="7"/>
      <c r="J917" s="7"/>
      <c r="K917" s="7"/>
      <c r="L917" s="7"/>
      <c r="M917" s="52"/>
      <c r="N917" s="7"/>
      <c r="O917" s="7"/>
      <c r="P917" s="47"/>
      <c r="Q917" s="47"/>
      <c r="R917" s="7"/>
      <c r="S917" s="51"/>
      <c r="T917" s="51"/>
      <c r="U917" s="7"/>
      <c r="V917" s="57"/>
      <c r="W917" s="57"/>
      <c r="X917" s="57"/>
    </row>
    <row r="918" spans="1:24" ht="12.5" x14ac:dyDescent="0.25">
      <c r="A918" s="34"/>
      <c r="B918" s="7"/>
      <c r="C918" s="19"/>
      <c r="D918" s="7"/>
      <c r="E918" s="7"/>
      <c r="F918" s="7"/>
      <c r="G918" s="7"/>
      <c r="H918" s="6"/>
      <c r="I918" s="7"/>
      <c r="J918" s="7"/>
      <c r="K918" s="7"/>
      <c r="L918" s="7"/>
      <c r="M918" s="52"/>
      <c r="N918" s="7"/>
      <c r="O918" s="7"/>
      <c r="P918" s="47"/>
      <c r="Q918" s="47"/>
      <c r="R918" s="7"/>
      <c r="S918" s="51"/>
      <c r="T918" s="51"/>
      <c r="U918" s="7"/>
      <c r="V918" s="57"/>
      <c r="W918" s="57"/>
      <c r="X918" s="57"/>
    </row>
    <row r="919" spans="1:24" ht="12.5" x14ac:dyDescent="0.25">
      <c r="A919" s="34"/>
      <c r="B919" s="7"/>
      <c r="C919" s="19"/>
      <c r="D919" s="7"/>
      <c r="E919" s="7"/>
      <c r="F919" s="7"/>
      <c r="G919" s="7"/>
      <c r="H919" s="6"/>
      <c r="I919" s="7"/>
      <c r="J919" s="7"/>
      <c r="K919" s="7"/>
      <c r="L919" s="7"/>
      <c r="M919" s="52"/>
      <c r="N919" s="7"/>
      <c r="O919" s="7"/>
      <c r="P919" s="47"/>
      <c r="Q919" s="47"/>
      <c r="R919" s="7"/>
      <c r="S919" s="51"/>
      <c r="T919" s="51"/>
      <c r="U919" s="7"/>
      <c r="V919" s="57"/>
      <c r="W919" s="57"/>
      <c r="X919" s="57"/>
    </row>
    <row r="920" spans="1:24" ht="12.5" x14ac:dyDescent="0.25">
      <c r="A920" s="34"/>
      <c r="B920" s="7"/>
      <c r="C920" s="19"/>
      <c r="D920" s="7"/>
      <c r="E920" s="7"/>
      <c r="F920" s="7"/>
      <c r="G920" s="7"/>
      <c r="H920" s="6"/>
      <c r="I920" s="7"/>
      <c r="J920" s="7"/>
      <c r="K920" s="7"/>
      <c r="L920" s="7"/>
      <c r="M920" s="52"/>
      <c r="N920" s="7"/>
      <c r="O920" s="7"/>
      <c r="P920" s="47"/>
      <c r="Q920" s="47"/>
      <c r="R920" s="7"/>
      <c r="S920" s="51"/>
      <c r="T920" s="51"/>
      <c r="U920" s="7"/>
      <c r="V920" s="57"/>
      <c r="W920" s="57"/>
      <c r="X920" s="57"/>
    </row>
    <row r="921" spans="1:24" ht="12.5" x14ac:dyDescent="0.25">
      <c r="A921" s="34"/>
      <c r="B921" s="7"/>
      <c r="C921" s="19"/>
      <c r="D921" s="7"/>
      <c r="E921" s="7"/>
      <c r="F921" s="7"/>
      <c r="G921" s="7"/>
      <c r="H921" s="6"/>
      <c r="I921" s="7"/>
      <c r="J921" s="7"/>
      <c r="K921" s="7"/>
      <c r="L921" s="7"/>
      <c r="M921" s="52"/>
      <c r="N921" s="7"/>
      <c r="O921" s="7"/>
      <c r="P921" s="47"/>
      <c r="Q921" s="47"/>
      <c r="R921" s="7"/>
      <c r="S921" s="51"/>
      <c r="T921" s="51"/>
      <c r="U921" s="7"/>
      <c r="V921" s="57"/>
      <c r="W921" s="57"/>
      <c r="X921" s="57"/>
    </row>
    <row r="922" spans="1:24" ht="12.5" x14ac:dyDescent="0.25">
      <c r="A922" s="34"/>
      <c r="B922" s="7"/>
      <c r="C922" s="19"/>
      <c r="D922" s="7"/>
      <c r="E922" s="7"/>
      <c r="F922" s="7"/>
      <c r="G922" s="7"/>
      <c r="H922" s="6"/>
      <c r="I922" s="7"/>
      <c r="J922" s="7"/>
      <c r="K922" s="7"/>
      <c r="L922" s="7"/>
      <c r="M922" s="52"/>
      <c r="N922" s="7"/>
      <c r="O922" s="7"/>
      <c r="P922" s="47"/>
      <c r="Q922" s="47"/>
      <c r="R922" s="7"/>
      <c r="S922" s="51"/>
      <c r="T922" s="51"/>
      <c r="U922" s="7"/>
      <c r="V922" s="57"/>
      <c r="W922" s="57"/>
      <c r="X922" s="57"/>
    </row>
    <row r="923" spans="1:24" ht="12.5" x14ac:dyDescent="0.25">
      <c r="A923" s="34"/>
      <c r="B923" s="7"/>
      <c r="C923" s="19"/>
      <c r="D923" s="7"/>
      <c r="E923" s="7"/>
      <c r="F923" s="7"/>
      <c r="G923" s="7"/>
      <c r="H923" s="6"/>
      <c r="I923" s="7"/>
      <c r="J923" s="7"/>
      <c r="K923" s="7"/>
      <c r="L923" s="7"/>
      <c r="M923" s="52"/>
      <c r="N923" s="7"/>
      <c r="O923" s="7"/>
      <c r="P923" s="47"/>
      <c r="Q923" s="47"/>
      <c r="R923" s="7"/>
      <c r="S923" s="51"/>
      <c r="T923" s="51"/>
      <c r="U923" s="7"/>
      <c r="V923" s="57"/>
      <c r="W923" s="57"/>
      <c r="X923" s="57"/>
    </row>
    <row r="924" spans="1:24" ht="12.5" x14ac:dyDescent="0.25">
      <c r="A924" s="34"/>
      <c r="B924" s="7"/>
      <c r="C924" s="19"/>
      <c r="D924" s="7"/>
      <c r="E924" s="7"/>
      <c r="F924" s="7"/>
      <c r="G924" s="7"/>
      <c r="H924" s="6"/>
      <c r="I924" s="7"/>
      <c r="J924" s="7"/>
      <c r="K924" s="7"/>
      <c r="L924" s="7"/>
      <c r="M924" s="52"/>
      <c r="N924" s="7"/>
      <c r="O924" s="7"/>
      <c r="P924" s="47"/>
      <c r="Q924" s="47"/>
      <c r="R924" s="7"/>
      <c r="S924" s="51"/>
      <c r="T924" s="51"/>
      <c r="U924" s="7"/>
      <c r="V924" s="57"/>
      <c r="W924" s="57"/>
      <c r="X924" s="57"/>
    </row>
    <row r="925" spans="1:24" ht="12.5" x14ac:dyDescent="0.25">
      <c r="A925" s="34"/>
      <c r="B925" s="7"/>
      <c r="C925" s="19"/>
      <c r="D925" s="7"/>
      <c r="E925" s="7"/>
      <c r="F925" s="7"/>
      <c r="G925" s="7"/>
      <c r="H925" s="6"/>
      <c r="I925" s="7"/>
      <c r="J925" s="7"/>
      <c r="K925" s="7"/>
      <c r="L925" s="7"/>
      <c r="M925" s="52"/>
      <c r="N925" s="7"/>
      <c r="O925" s="7"/>
      <c r="P925" s="47"/>
      <c r="Q925" s="47"/>
      <c r="R925" s="7"/>
      <c r="S925" s="51"/>
      <c r="T925" s="51"/>
      <c r="U925" s="7"/>
      <c r="V925" s="57"/>
      <c r="W925" s="57"/>
      <c r="X925" s="57"/>
    </row>
    <row r="926" spans="1:24" ht="12.5" x14ac:dyDescent="0.25">
      <c r="A926" s="34"/>
      <c r="B926" s="7"/>
      <c r="C926" s="19"/>
      <c r="D926" s="7"/>
      <c r="E926" s="7"/>
      <c r="F926" s="7"/>
      <c r="G926" s="7"/>
      <c r="H926" s="6"/>
      <c r="I926" s="7"/>
      <c r="J926" s="7"/>
      <c r="K926" s="7"/>
      <c r="L926" s="7"/>
      <c r="M926" s="52"/>
      <c r="N926" s="7"/>
      <c r="O926" s="7"/>
      <c r="P926" s="47"/>
      <c r="Q926" s="47"/>
      <c r="R926" s="7"/>
      <c r="S926" s="51"/>
      <c r="T926" s="51"/>
      <c r="U926" s="7"/>
      <c r="V926" s="57"/>
      <c r="W926" s="57"/>
      <c r="X926" s="57"/>
    </row>
    <row r="927" spans="1:24" ht="12.5" x14ac:dyDescent="0.25">
      <c r="A927" s="34"/>
      <c r="B927" s="7"/>
      <c r="C927" s="19"/>
      <c r="D927" s="7"/>
      <c r="E927" s="7"/>
      <c r="F927" s="7"/>
      <c r="G927" s="7"/>
      <c r="H927" s="6"/>
      <c r="I927" s="7"/>
      <c r="J927" s="7"/>
      <c r="K927" s="7"/>
      <c r="L927" s="7"/>
      <c r="M927" s="52"/>
      <c r="N927" s="7"/>
      <c r="O927" s="7"/>
      <c r="P927" s="47"/>
      <c r="Q927" s="47"/>
      <c r="R927" s="7"/>
      <c r="S927" s="51"/>
      <c r="T927" s="51"/>
      <c r="U927" s="7"/>
      <c r="V927" s="57"/>
      <c r="W927" s="57"/>
      <c r="X927" s="57"/>
    </row>
    <row r="928" spans="1:24" ht="12.5" x14ac:dyDescent="0.25">
      <c r="A928" s="34"/>
      <c r="B928" s="7"/>
      <c r="C928" s="19"/>
      <c r="D928" s="7"/>
      <c r="E928" s="7"/>
      <c r="F928" s="7"/>
      <c r="G928" s="7"/>
      <c r="H928" s="6"/>
      <c r="I928" s="7"/>
      <c r="J928" s="7"/>
      <c r="K928" s="7"/>
      <c r="L928" s="7"/>
      <c r="M928" s="52"/>
      <c r="N928" s="7"/>
      <c r="O928" s="7"/>
      <c r="P928" s="47"/>
      <c r="Q928" s="47"/>
      <c r="R928" s="7"/>
      <c r="S928" s="51"/>
      <c r="T928" s="51"/>
      <c r="U928" s="7"/>
      <c r="V928" s="57"/>
      <c r="W928" s="57"/>
      <c r="X928" s="57"/>
    </row>
    <row r="929" spans="1:24" ht="12.5" x14ac:dyDescent="0.25">
      <c r="A929" s="34"/>
      <c r="B929" s="7"/>
      <c r="C929" s="19"/>
      <c r="D929" s="7"/>
      <c r="E929" s="7"/>
      <c r="F929" s="7"/>
      <c r="G929" s="7"/>
      <c r="H929" s="6"/>
      <c r="I929" s="7"/>
      <c r="J929" s="7"/>
      <c r="K929" s="7"/>
      <c r="L929" s="7"/>
      <c r="M929" s="52"/>
      <c r="N929" s="7"/>
      <c r="O929" s="7"/>
      <c r="P929" s="47"/>
      <c r="Q929" s="47"/>
      <c r="R929" s="7"/>
      <c r="S929" s="51"/>
      <c r="T929" s="51"/>
      <c r="U929" s="7"/>
      <c r="V929" s="57"/>
      <c r="W929" s="57"/>
      <c r="X929" s="57"/>
    </row>
    <row r="930" spans="1:24" ht="12.5" x14ac:dyDescent="0.25">
      <c r="A930" s="34"/>
      <c r="B930" s="7"/>
      <c r="C930" s="19"/>
      <c r="D930" s="7"/>
      <c r="E930" s="7"/>
      <c r="F930" s="7"/>
      <c r="G930" s="7"/>
      <c r="H930" s="6"/>
      <c r="I930" s="7"/>
      <c r="J930" s="7"/>
      <c r="K930" s="7"/>
      <c r="L930" s="7"/>
      <c r="M930" s="52"/>
      <c r="N930" s="7"/>
      <c r="O930" s="7"/>
      <c r="P930" s="47"/>
      <c r="Q930" s="47"/>
      <c r="R930" s="7"/>
      <c r="S930" s="51"/>
      <c r="T930" s="51"/>
      <c r="U930" s="7"/>
      <c r="V930" s="57"/>
      <c r="W930" s="57"/>
      <c r="X930" s="57"/>
    </row>
    <row r="931" spans="1:24" ht="12.5" x14ac:dyDescent="0.25">
      <c r="A931" s="34"/>
      <c r="B931" s="7"/>
      <c r="C931" s="19"/>
      <c r="D931" s="7"/>
      <c r="E931" s="7"/>
      <c r="F931" s="7"/>
      <c r="G931" s="7"/>
      <c r="H931" s="6"/>
      <c r="I931" s="7"/>
      <c r="J931" s="7"/>
      <c r="K931" s="7"/>
      <c r="L931" s="7"/>
      <c r="M931" s="52"/>
      <c r="N931" s="7"/>
      <c r="O931" s="7"/>
      <c r="P931" s="47"/>
      <c r="Q931" s="47"/>
      <c r="R931" s="7"/>
      <c r="S931" s="51"/>
      <c r="T931" s="51"/>
      <c r="U931" s="7"/>
      <c r="V931" s="57"/>
      <c r="W931" s="57"/>
      <c r="X931" s="57"/>
    </row>
    <row r="932" spans="1:24" ht="12.5" x14ac:dyDescent="0.25">
      <c r="A932" s="34"/>
      <c r="B932" s="7"/>
      <c r="C932" s="19"/>
      <c r="D932" s="7"/>
      <c r="E932" s="7"/>
      <c r="F932" s="7"/>
      <c r="G932" s="7"/>
      <c r="H932" s="6"/>
      <c r="I932" s="7"/>
      <c r="J932" s="7"/>
      <c r="K932" s="7"/>
      <c r="L932" s="7"/>
      <c r="M932" s="52"/>
      <c r="N932" s="7"/>
      <c r="O932" s="7"/>
      <c r="P932" s="47"/>
      <c r="Q932" s="47"/>
      <c r="R932" s="7"/>
      <c r="S932" s="51"/>
      <c r="T932" s="51"/>
      <c r="U932" s="7"/>
      <c r="V932" s="57"/>
      <c r="W932" s="57"/>
      <c r="X932" s="57"/>
    </row>
    <row r="933" spans="1:24" ht="12.5" x14ac:dyDescent="0.25">
      <c r="A933" s="34"/>
      <c r="B933" s="7"/>
      <c r="C933" s="19"/>
      <c r="D933" s="7"/>
      <c r="E933" s="7"/>
      <c r="F933" s="7"/>
      <c r="G933" s="7"/>
      <c r="H933" s="6"/>
      <c r="I933" s="7"/>
      <c r="J933" s="7"/>
      <c r="K933" s="7"/>
      <c r="L933" s="7"/>
      <c r="M933" s="52"/>
      <c r="N933" s="7"/>
      <c r="O933" s="7"/>
      <c r="P933" s="47"/>
      <c r="Q933" s="47"/>
      <c r="R933" s="7"/>
      <c r="S933" s="51"/>
      <c r="T933" s="51"/>
      <c r="U933" s="7"/>
      <c r="V933" s="57"/>
      <c r="W933" s="57"/>
      <c r="X933" s="57"/>
    </row>
    <row r="934" spans="1:24" ht="12.5" x14ac:dyDescent="0.25">
      <c r="A934" s="34"/>
      <c r="B934" s="7"/>
      <c r="C934" s="19"/>
      <c r="D934" s="7"/>
      <c r="E934" s="7"/>
      <c r="F934" s="7"/>
      <c r="G934" s="7"/>
      <c r="H934" s="6"/>
      <c r="I934" s="7"/>
      <c r="J934" s="7"/>
      <c r="K934" s="7"/>
      <c r="L934" s="7"/>
      <c r="M934" s="52"/>
      <c r="N934" s="7"/>
      <c r="O934" s="7"/>
      <c r="P934" s="47"/>
      <c r="Q934" s="47"/>
      <c r="R934" s="7"/>
      <c r="S934" s="51"/>
      <c r="T934" s="51"/>
      <c r="U934" s="7"/>
      <c r="V934" s="57"/>
      <c r="W934" s="57"/>
      <c r="X934" s="57"/>
    </row>
    <row r="935" spans="1:24" ht="12.5" x14ac:dyDescent="0.25">
      <c r="A935" s="34"/>
      <c r="B935" s="7"/>
      <c r="C935" s="19"/>
      <c r="D935" s="7"/>
      <c r="E935" s="7"/>
      <c r="F935" s="7"/>
      <c r="G935" s="7"/>
      <c r="H935" s="6"/>
      <c r="I935" s="7"/>
      <c r="J935" s="7"/>
      <c r="K935" s="7"/>
      <c r="L935" s="7"/>
      <c r="M935" s="52"/>
      <c r="N935" s="7"/>
      <c r="O935" s="7"/>
      <c r="P935" s="47"/>
      <c r="Q935" s="47"/>
      <c r="R935" s="7"/>
      <c r="S935" s="51"/>
      <c r="T935" s="51"/>
      <c r="U935" s="7"/>
      <c r="V935" s="57"/>
      <c r="W935" s="57"/>
      <c r="X935" s="57"/>
    </row>
    <row r="936" spans="1:24" ht="12.5" x14ac:dyDescent="0.25">
      <c r="A936" s="34"/>
      <c r="B936" s="7"/>
      <c r="C936" s="19"/>
      <c r="D936" s="7"/>
      <c r="E936" s="7"/>
      <c r="F936" s="7"/>
      <c r="G936" s="7"/>
      <c r="H936" s="6"/>
      <c r="I936" s="7"/>
      <c r="J936" s="7"/>
      <c r="K936" s="7"/>
      <c r="L936" s="7"/>
      <c r="M936" s="52"/>
      <c r="N936" s="7"/>
      <c r="O936" s="7"/>
      <c r="P936" s="47"/>
      <c r="Q936" s="47"/>
      <c r="R936" s="7"/>
      <c r="S936" s="51"/>
      <c r="T936" s="51"/>
      <c r="U936" s="7"/>
      <c r="V936" s="57"/>
      <c r="W936" s="57"/>
      <c r="X936" s="57"/>
    </row>
    <row r="937" spans="1:24" ht="12.5" x14ac:dyDescent="0.25">
      <c r="A937" s="34"/>
      <c r="B937" s="7"/>
      <c r="C937" s="19"/>
      <c r="D937" s="7"/>
      <c r="E937" s="7"/>
      <c r="F937" s="7"/>
      <c r="G937" s="7"/>
      <c r="H937" s="6"/>
      <c r="I937" s="7"/>
      <c r="J937" s="7"/>
      <c r="K937" s="7"/>
      <c r="L937" s="7"/>
      <c r="M937" s="52"/>
      <c r="N937" s="7"/>
      <c r="O937" s="7"/>
      <c r="P937" s="47"/>
      <c r="Q937" s="47"/>
      <c r="R937" s="7"/>
      <c r="S937" s="51"/>
      <c r="T937" s="51"/>
      <c r="U937" s="7"/>
      <c r="V937" s="57"/>
      <c r="W937" s="57"/>
      <c r="X937" s="57"/>
    </row>
    <row r="938" spans="1:24" ht="12.5" x14ac:dyDescent="0.25">
      <c r="A938" s="34"/>
      <c r="B938" s="7"/>
      <c r="C938" s="19"/>
      <c r="D938" s="7"/>
      <c r="E938" s="7"/>
      <c r="F938" s="7"/>
      <c r="G938" s="7"/>
      <c r="H938" s="6"/>
      <c r="I938" s="7"/>
      <c r="J938" s="7"/>
      <c r="K938" s="7"/>
      <c r="L938" s="7"/>
      <c r="M938" s="52"/>
      <c r="N938" s="7"/>
      <c r="O938" s="7"/>
      <c r="P938" s="47"/>
      <c r="Q938" s="47"/>
      <c r="R938" s="7"/>
      <c r="S938" s="51"/>
      <c r="T938" s="51"/>
      <c r="U938" s="7"/>
      <c r="V938" s="57"/>
      <c r="W938" s="57"/>
      <c r="X938" s="57"/>
    </row>
    <row r="939" spans="1:24" ht="12.5" x14ac:dyDescent="0.25">
      <c r="A939" s="34"/>
      <c r="B939" s="7"/>
      <c r="C939" s="19"/>
      <c r="D939" s="7"/>
      <c r="E939" s="7"/>
      <c r="F939" s="7"/>
      <c r="G939" s="7"/>
      <c r="H939" s="6"/>
      <c r="I939" s="7"/>
      <c r="J939" s="7"/>
      <c r="K939" s="7"/>
      <c r="L939" s="7"/>
      <c r="M939" s="52"/>
      <c r="N939" s="7"/>
      <c r="O939" s="7"/>
      <c r="P939" s="47"/>
      <c r="Q939" s="47"/>
      <c r="R939" s="7"/>
      <c r="S939" s="51"/>
      <c r="T939" s="51"/>
      <c r="U939" s="7"/>
      <c r="V939" s="57"/>
      <c r="W939" s="57"/>
      <c r="X939" s="57"/>
    </row>
    <row r="940" spans="1:24" ht="12.5" x14ac:dyDescent="0.25">
      <c r="A940" s="34"/>
      <c r="B940" s="7"/>
      <c r="C940" s="19"/>
      <c r="D940" s="7"/>
      <c r="E940" s="7"/>
      <c r="F940" s="7"/>
      <c r="G940" s="7"/>
      <c r="H940" s="6"/>
      <c r="I940" s="7"/>
      <c r="J940" s="7"/>
      <c r="K940" s="7"/>
      <c r="L940" s="7"/>
      <c r="M940" s="52"/>
      <c r="N940" s="7"/>
      <c r="O940" s="7"/>
      <c r="P940" s="47"/>
      <c r="Q940" s="47"/>
      <c r="R940" s="7"/>
      <c r="S940" s="51"/>
      <c r="T940" s="51"/>
      <c r="U940" s="7"/>
      <c r="V940" s="57"/>
      <c r="W940" s="57"/>
      <c r="X940" s="57"/>
    </row>
    <row r="941" spans="1:24" ht="12.5" x14ac:dyDescent="0.25">
      <c r="A941" s="34"/>
      <c r="B941" s="7"/>
      <c r="C941" s="19"/>
      <c r="D941" s="7"/>
      <c r="E941" s="7"/>
      <c r="F941" s="7"/>
      <c r="G941" s="7"/>
      <c r="H941" s="6"/>
      <c r="I941" s="7"/>
      <c r="J941" s="7"/>
      <c r="K941" s="7"/>
      <c r="L941" s="7"/>
      <c r="M941" s="52"/>
      <c r="N941" s="7"/>
      <c r="O941" s="7"/>
      <c r="P941" s="47"/>
      <c r="Q941" s="47"/>
      <c r="R941" s="7"/>
      <c r="S941" s="51"/>
      <c r="T941" s="51"/>
      <c r="U941" s="7"/>
      <c r="V941" s="57"/>
      <c r="W941" s="57"/>
      <c r="X941" s="57"/>
    </row>
    <row r="942" spans="1:24" ht="12.5" x14ac:dyDescent="0.25">
      <c r="A942" s="34"/>
      <c r="B942" s="7"/>
      <c r="C942" s="19"/>
      <c r="D942" s="7"/>
      <c r="E942" s="7"/>
      <c r="F942" s="7"/>
      <c r="G942" s="7"/>
      <c r="H942" s="6"/>
      <c r="I942" s="7"/>
      <c r="J942" s="7"/>
      <c r="K942" s="7"/>
      <c r="L942" s="7"/>
      <c r="M942" s="52"/>
      <c r="N942" s="7"/>
      <c r="O942" s="7"/>
      <c r="P942" s="47"/>
      <c r="Q942" s="47"/>
      <c r="R942" s="7"/>
      <c r="S942" s="51"/>
      <c r="T942" s="51"/>
      <c r="U942" s="7"/>
      <c r="V942" s="57"/>
      <c r="W942" s="57"/>
      <c r="X942" s="57"/>
    </row>
    <row r="943" spans="1:24" ht="12.5" x14ac:dyDescent="0.25">
      <c r="A943" s="34"/>
      <c r="B943" s="7"/>
      <c r="C943" s="19"/>
      <c r="D943" s="7"/>
      <c r="E943" s="7"/>
      <c r="F943" s="7"/>
      <c r="G943" s="7"/>
      <c r="H943" s="6"/>
      <c r="I943" s="7"/>
      <c r="J943" s="7"/>
      <c r="K943" s="7"/>
      <c r="L943" s="7"/>
      <c r="M943" s="52"/>
      <c r="N943" s="7"/>
      <c r="O943" s="7"/>
      <c r="P943" s="47"/>
      <c r="Q943" s="47"/>
      <c r="R943" s="7"/>
      <c r="S943" s="51"/>
      <c r="T943" s="51"/>
      <c r="U943" s="7"/>
      <c r="V943" s="57"/>
      <c r="W943" s="57"/>
      <c r="X943" s="57"/>
    </row>
    <row r="944" spans="1:24" ht="12.5" x14ac:dyDescent="0.25">
      <c r="A944" s="34"/>
      <c r="B944" s="7"/>
      <c r="C944" s="19"/>
      <c r="D944" s="7"/>
      <c r="E944" s="7"/>
      <c r="F944" s="7"/>
      <c r="G944" s="7"/>
      <c r="H944" s="6"/>
      <c r="I944" s="7"/>
      <c r="J944" s="7"/>
      <c r="K944" s="7"/>
      <c r="L944" s="7"/>
      <c r="M944" s="52"/>
      <c r="N944" s="7"/>
      <c r="O944" s="7"/>
      <c r="P944" s="47"/>
      <c r="Q944" s="47"/>
      <c r="R944" s="7"/>
      <c r="S944" s="51"/>
      <c r="T944" s="51"/>
      <c r="U944" s="7"/>
      <c r="V944" s="57"/>
      <c r="W944" s="57"/>
      <c r="X944" s="57"/>
    </row>
    <row r="945" spans="1:24" ht="12.5" x14ac:dyDescent="0.25">
      <c r="A945" s="34"/>
      <c r="B945" s="7"/>
      <c r="C945" s="19"/>
      <c r="D945" s="7"/>
      <c r="E945" s="7"/>
      <c r="F945" s="7"/>
      <c r="G945" s="7"/>
      <c r="H945" s="6"/>
      <c r="I945" s="7"/>
      <c r="J945" s="7"/>
      <c r="K945" s="7"/>
      <c r="L945" s="7"/>
      <c r="M945" s="52"/>
      <c r="N945" s="7"/>
      <c r="O945" s="7"/>
      <c r="P945" s="47"/>
      <c r="Q945" s="47"/>
      <c r="R945" s="7"/>
      <c r="S945" s="51"/>
      <c r="T945" s="51"/>
      <c r="U945" s="7"/>
      <c r="V945" s="57"/>
      <c r="W945" s="57"/>
      <c r="X945" s="57"/>
    </row>
    <row r="946" spans="1:24" ht="12.5" x14ac:dyDescent="0.25">
      <c r="A946" s="34"/>
      <c r="B946" s="7"/>
      <c r="C946" s="19"/>
      <c r="D946" s="7"/>
      <c r="E946" s="7"/>
      <c r="F946" s="7"/>
      <c r="G946" s="7"/>
      <c r="H946" s="6"/>
      <c r="I946" s="7"/>
      <c r="J946" s="7"/>
      <c r="K946" s="7"/>
      <c r="L946" s="7"/>
      <c r="M946" s="52"/>
      <c r="N946" s="7"/>
      <c r="O946" s="7"/>
      <c r="P946" s="47"/>
      <c r="Q946" s="47"/>
      <c r="R946" s="7"/>
      <c r="S946" s="51"/>
      <c r="T946" s="51"/>
      <c r="U946" s="7"/>
      <c r="V946" s="57"/>
      <c r="W946" s="57"/>
      <c r="X946" s="57"/>
    </row>
    <row r="947" spans="1:24" ht="12.5" x14ac:dyDescent="0.25">
      <c r="A947" s="34"/>
      <c r="B947" s="7"/>
      <c r="C947" s="19"/>
      <c r="D947" s="7"/>
      <c r="E947" s="7"/>
      <c r="F947" s="7"/>
      <c r="G947" s="7"/>
      <c r="H947" s="6"/>
      <c r="I947" s="7"/>
      <c r="J947" s="7"/>
      <c r="K947" s="7"/>
      <c r="L947" s="7"/>
      <c r="M947" s="52"/>
      <c r="N947" s="7"/>
      <c r="O947" s="7"/>
      <c r="P947" s="47"/>
      <c r="Q947" s="47"/>
      <c r="R947" s="7"/>
      <c r="S947" s="51"/>
      <c r="T947" s="51"/>
      <c r="U947" s="7"/>
      <c r="V947" s="57"/>
      <c r="W947" s="57"/>
      <c r="X947" s="57"/>
    </row>
    <row r="948" spans="1:24" ht="12.5" x14ac:dyDescent="0.25">
      <c r="A948" s="34"/>
      <c r="B948" s="7"/>
      <c r="C948" s="19"/>
      <c r="D948" s="7"/>
      <c r="E948" s="7"/>
      <c r="F948" s="7"/>
      <c r="G948" s="7"/>
      <c r="H948" s="6"/>
      <c r="I948" s="7"/>
      <c r="J948" s="7"/>
      <c r="K948" s="7"/>
      <c r="L948" s="7"/>
      <c r="M948" s="52"/>
      <c r="N948" s="7"/>
      <c r="O948" s="7"/>
      <c r="P948" s="47"/>
      <c r="Q948" s="47"/>
      <c r="R948" s="7"/>
      <c r="S948" s="51"/>
      <c r="T948" s="51"/>
      <c r="U948" s="7"/>
      <c r="V948" s="57"/>
      <c r="W948" s="57"/>
      <c r="X948" s="57"/>
    </row>
    <row r="949" spans="1:24" ht="12.5" x14ac:dyDescent="0.25">
      <c r="A949" s="34"/>
      <c r="B949" s="7"/>
      <c r="C949" s="19"/>
      <c r="D949" s="7"/>
      <c r="E949" s="7"/>
      <c r="F949" s="7"/>
      <c r="G949" s="7"/>
      <c r="H949" s="6"/>
      <c r="I949" s="7"/>
      <c r="J949" s="7"/>
      <c r="K949" s="7"/>
      <c r="L949" s="7"/>
      <c r="M949" s="52"/>
      <c r="N949" s="7"/>
      <c r="O949" s="7"/>
      <c r="P949" s="47"/>
      <c r="Q949" s="47"/>
      <c r="R949" s="7"/>
      <c r="S949" s="51"/>
      <c r="T949" s="51"/>
      <c r="U949" s="7"/>
      <c r="V949" s="57"/>
      <c r="W949" s="57"/>
      <c r="X949" s="57"/>
    </row>
    <row r="950" spans="1:24" ht="12.5" x14ac:dyDescent="0.25">
      <c r="A950" s="34"/>
      <c r="B950" s="7"/>
      <c r="C950" s="19"/>
      <c r="D950" s="7"/>
      <c r="E950" s="7"/>
      <c r="F950" s="7"/>
      <c r="G950" s="7"/>
      <c r="H950" s="6"/>
      <c r="I950" s="7"/>
      <c r="J950" s="7"/>
      <c r="K950" s="7"/>
      <c r="L950" s="7"/>
      <c r="M950" s="52"/>
      <c r="N950" s="7"/>
      <c r="O950" s="7"/>
      <c r="P950" s="47"/>
      <c r="Q950" s="47"/>
      <c r="R950" s="7"/>
      <c r="S950" s="51"/>
      <c r="T950" s="51"/>
      <c r="U950" s="7"/>
      <c r="V950" s="57"/>
      <c r="W950" s="57"/>
      <c r="X950" s="57"/>
    </row>
    <row r="951" spans="1:24" ht="12.5" x14ac:dyDescent="0.25">
      <c r="A951" s="34"/>
      <c r="B951" s="7"/>
      <c r="C951" s="19"/>
      <c r="D951" s="7"/>
      <c r="E951" s="7"/>
      <c r="F951" s="7"/>
      <c r="G951" s="7"/>
      <c r="H951" s="6"/>
      <c r="I951" s="7"/>
      <c r="J951" s="7"/>
      <c r="K951" s="7"/>
      <c r="L951" s="7"/>
      <c r="M951" s="52"/>
      <c r="N951" s="7"/>
      <c r="O951" s="7"/>
      <c r="P951" s="47"/>
      <c r="Q951" s="47"/>
      <c r="R951" s="7"/>
      <c r="S951" s="51"/>
      <c r="T951" s="51"/>
      <c r="U951" s="7"/>
      <c r="V951" s="57"/>
      <c r="W951" s="57"/>
      <c r="X951" s="57"/>
    </row>
    <row r="952" spans="1:24" ht="12.5" x14ac:dyDescent="0.25">
      <c r="A952" s="34"/>
      <c r="B952" s="7"/>
      <c r="C952" s="19"/>
      <c r="D952" s="7"/>
      <c r="E952" s="7"/>
      <c r="F952" s="7"/>
      <c r="G952" s="7"/>
      <c r="H952" s="6"/>
      <c r="I952" s="7"/>
      <c r="J952" s="7"/>
      <c r="K952" s="7"/>
      <c r="L952" s="7"/>
      <c r="M952" s="52"/>
      <c r="N952" s="7"/>
      <c r="O952" s="7"/>
      <c r="P952" s="47"/>
      <c r="Q952" s="47"/>
      <c r="R952" s="7"/>
      <c r="S952" s="51"/>
      <c r="T952" s="51"/>
      <c r="U952" s="7"/>
      <c r="V952" s="57"/>
      <c r="W952" s="57"/>
      <c r="X952" s="57"/>
    </row>
    <row r="953" spans="1:24" ht="12.5" x14ac:dyDescent="0.25">
      <c r="A953" s="34"/>
      <c r="B953" s="7"/>
      <c r="C953" s="19"/>
      <c r="D953" s="7"/>
      <c r="E953" s="7"/>
      <c r="F953" s="7"/>
      <c r="G953" s="7"/>
      <c r="H953" s="6"/>
      <c r="I953" s="7"/>
      <c r="J953" s="7"/>
      <c r="K953" s="7"/>
      <c r="L953" s="7"/>
      <c r="M953" s="52"/>
      <c r="N953" s="7"/>
      <c r="O953" s="7"/>
      <c r="P953" s="47"/>
      <c r="Q953" s="47"/>
      <c r="R953" s="7"/>
      <c r="S953" s="51"/>
      <c r="T953" s="51"/>
      <c r="U953" s="7"/>
      <c r="V953" s="57"/>
      <c r="W953" s="57"/>
      <c r="X953" s="57"/>
    </row>
    <row r="954" spans="1:24" ht="12.5" x14ac:dyDescent="0.25">
      <c r="A954" s="34"/>
      <c r="B954" s="7"/>
      <c r="C954" s="19"/>
      <c r="D954" s="7"/>
      <c r="E954" s="7"/>
      <c r="F954" s="7"/>
      <c r="G954" s="7"/>
      <c r="H954" s="6"/>
      <c r="I954" s="7"/>
      <c r="J954" s="7"/>
      <c r="K954" s="7"/>
      <c r="L954" s="7"/>
      <c r="M954" s="52"/>
      <c r="N954" s="7"/>
      <c r="O954" s="7"/>
      <c r="P954" s="47"/>
      <c r="Q954" s="47"/>
      <c r="R954" s="7"/>
      <c r="S954" s="51"/>
      <c r="T954" s="51"/>
      <c r="U954" s="7"/>
      <c r="V954" s="57"/>
      <c r="W954" s="57"/>
      <c r="X954" s="57"/>
    </row>
    <row r="955" spans="1:24" ht="12.5" x14ac:dyDescent="0.25">
      <c r="A955" s="34"/>
      <c r="B955" s="7"/>
      <c r="C955" s="19"/>
      <c r="D955" s="7"/>
      <c r="E955" s="7"/>
      <c r="F955" s="7"/>
      <c r="G955" s="7"/>
      <c r="H955" s="6"/>
      <c r="I955" s="7"/>
      <c r="J955" s="7"/>
      <c r="K955" s="7"/>
      <c r="L955" s="7"/>
      <c r="M955" s="52"/>
      <c r="N955" s="7"/>
      <c r="O955" s="7"/>
      <c r="P955" s="47"/>
      <c r="Q955" s="47"/>
      <c r="R955" s="7"/>
      <c r="S955" s="51"/>
      <c r="T955" s="51"/>
      <c r="U955" s="7"/>
      <c r="V955" s="57"/>
      <c r="W955" s="57"/>
      <c r="X955" s="57"/>
    </row>
    <row r="956" spans="1:24" ht="12.5" x14ac:dyDescent="0.25">
      <c r="A956" s="34"/>
      <c r="B956" s="7"/>
      <c r="C956" s="19"/>
      <c r="D956" s="7"/>
      <c r="E956" s="7"/>
      <c r="F956" s="7"/>
      <c r="G956" s="7"/>
      <c r="H956" s="6"/>
      <c r="I956" s="7"/>
      <c r="J956" s="7"/>
      <c r="K956" s="7"/>
      <c r="L956" s="7"/>
      <c r="M956" s="52"/>
      <c r="N956" s="7"/>
      <c r="O956" s="7"/>
      <c r="P956" s="47"/>
      <c r="Q956" s="47"/>
      <c r="R956" s="7"/>
      <c r="S956" s="51"/>
      <c r="T956" s="51"/>
      <c r="U956" s="7"/>
      <c r="V956" s="57"/>
      <c r="W956" s="57"/>
      <c r="X956" s="57"/>
    </row>
    <row r="957" spans="1:24" ht="12.5" x14ac:dyDescent="0.25">
      <c r="A957" s="34"/>
      <c r="B957" s="7"/>
      <c r="C957" s="19"/>
      <c r="D957" s="7"/>
      <c r="E957" s="7"/>
      <c r="F957" s="7"/>
      <c r="G957" s="7"/>
      <c r="H957" s="6"/>
      <c r="I957" s="7"/>
      <c r="J957" s="7"/>
      <c r="K957" s="7"/>
      <c r="L957" s="7"/>
      <c r="M957" s="52"/>
      <c r="N957" s="7"/>
      <c r="O957" s="7"/>
      <c r="P957" s="47"/>
      <c r="Q957" s="47"/>
      <c r="R957" s="7"/>
      <c r="S957" s="51"/>
      <c r="T957" s="51"/>
      <c r="U957" s="7"/>
      <c r="V957" s="57"/>
      <c r="W957" s="57"/>
      <c r="X957" s="57"/>
    </row>
    <row r="958" spans="1:24" ht="12.5" x14ac:dyDescent="0.25">
      <c r="A958" s="34"/>
      <c r="B958" s="7"/>
      <c r="C958" s="19"/>
      <c r="D958" s="7"/>
      <c r="E958" s="7"/>
      <c r="F958" s="7"/>
      <c r="G958" s="7"/>
      <c r="H958" s="6"/>
      <c r="I958" s="7"/>
      <c r="J958" s="7"/>
      <c r="K958" s="7"/>
      <c r="L958" s="7"/>
      <c r="M958" s="52"/>
      <c r="N958" s="7"/>
      <c r="O958" s="7"/>
      <c r="P958" s="47"/>
      <c r="Q958" s="47"/>
      <c r="R958" s="7"/>
      <c r="S958" s="51"/>
      <c r="T958" s="51"/>
      <c r="U958" s="7"/>
      <c r="V958" s="57"/>
      <c r="W958" s="57"/>
      <c r="X958" s="57"/>
    </row>
    <row r="959" spans="1:24" ht="12.5" x14ac:dyDescent="0.25">
      <c r="A959" s="34"/>
      <c r="B959" s="7"/>
      <c r="C959" s="19"/>
      <c r="D959" s="7"/>
      <c r="E959" s="7"/>
      <c r="F959" s="7"/>
      <c r="G959" s="7"/>
      <c r="H959" s="6"/>
      <c r="I959" s="7"/>
      <c r="J959" s="7"/>
      <c r="K959" s="7"/>
      <c r="L959" s="7"/>
      <c r="M959" s="52"/>
      <c r="N959" s="7"/>
      <c r="O959" s="7"/>
      <c r="P959" s="47"/>
      <c r="Q959" s="47"/>
      <c r="R959" s="7"/>
      <c r="S959" s="51"/>
      <c r="T959" s="51"/>
      <c r="U959" s="7"/>
      <c r="V959" s="57"/>
      <c r="W959" s="57"/>
      <c r="X959" s="57"/>
    </row>
    <row r="960" spans="1:24" ht="12.5" x14ac:dyDescent="0.25">
      <c r="A960" s="34"/>
      <c r="B960" s="7"/>
      <c r="C960" s="19"/>
      <c r="D960" s="7"/>
      <c r="E960" s="7"/>
      <c r="F960" s="7"/>
      <c r="G960" s="7"/>
      <c r="H960" s="6"/>
      <c r="I960" s="7"/>
      <c r="J960" s="7"/>
      <c r="K960" s="7"/>
      <c r="L960" s="7"/>
      <c r="M960" s="52"/>
      <c r="N960" s="7"/>
      <c r="O960" s="7"/>
      <c r="P960" s="47"/>
      <c r="Q960" s="47"/>
      <c r="R960" s="7"/>
      <c r="S960" s="51"/>
      <c r="T960" s="51"/>
      <c r="U960" s="7"/>
      <c r="V960" s="57"/>
      <c r="W960" s="57"/>
      <c r="X960" s="57"/>
    </row>
    <row r="961" spans="1:24" ht="12.5" x14ac:dyDescent="0.25">
      <c r="A961" s="34"/>
      <c r="B961" s="7"/>
      <c r="C961" s="19"/>
      <c r="D961" s="7"/>
      <c r="E961" s="7"/>
      <c r="F961" s="7"/>
      <c r="G961" s="7"/>
      <c r="H961" s="6"/>
      <c r="I961" s="7"/>
      <c r="J961" s="7"/>
      <c r="K961" s="7"/>
      <c r="L961" s="7"/>
      <c r="M961" s="52"/>
      <c r="N961" s="7"/>
      <c r="O961" s="7"/>
      <c r="P961" s="47"/>
      <c r="Q961" s="47"/>
      <c r="R961" s="7"/>
      <c r="S961" s="51"/>
      <c r="T961" s="51"/>
      <c r="U961" s="7"/>
      <c r="V961" s="57"/>
      <c r="W961" s="57"/>
      <c r="X961" s="57"/>
    </row>
    <row r="962" spans="1:24" ht="12.5" x14ac:dyDescent="0.25">
      <c r="A962" s="34"/>
      <c r="B962" s="7"/>
      <c r="C962" s="19"/>
      <c r="D962" s="7"/>
      <c r="E962" s="7"/>
      <c r="F962" s="7"/>
      <c r="G962" s="7"/>
      <c r="H962" s="6"/>
      <c r="I962" s="7"/>
      <c r="J962" s="7"/>
      <c r="K962" s="7"/>
      <c r="L962" s="7"/>
      <c r="M962" s="52"/>
      <c r="N962" s="7"/>
      <c r="O962" s="7"/>
      <c r="P962" s="47"/>
      <c r="Q962" s="47"/>
      <c r="R962" s="7"/>
      <c r="S962" s="51"/>
      <c r="T962" s="51"/>
      <c r="U962" s="7"/>
      <c r="V962" s="57"/>
      <c r="W962" s="57"/>
      <c r="X962" s="57"/>
    </row>
    <row r="963" spans="1:24" ht="12.5" x14ac:dyDescent="0.25">
      <c r="A963" s="34"/>
      <c r="B963" s="7"/>
      <c r="C963" s="19"/>
      <c r="D963" s="7"/>
      <c r="E963" s="7"/>
      <c r="F963" s="7"/>
      <c r="G963" s="7"/>
      <c r="H963" s="6"/>
      <c r="I963" s="7"/>
      <c r="J963" s="7"/>
      <c r="K963" s="7"/>
      <c r="L963" s="7"/>
      <c r="M963" s="52"/>
      <c r="N963" s="7"/>
      <c r="O963" s="7"/>
      <c r="P963" s="47"/>
      <c r="Q963" s="47"/>
      <c r="R963" s="7"/>
      <c r="S963" s="51"/>
      <c r="T963" s="51"/>
      <c r="U963" s="7"/>
      <c r="V963" s="57"/>
      <c r="W963" s="57"/>
      <c r="X963" s="57"/>
    </row>
    <row r="964" spans="1:24" ht="12.5" x14ac:dyDescent="0.25">
      <c r="A964" s="34"/>
      <c r="B964" s="7"/>
      <c r="C964" s="19"/>
      <c r="D964" s="7"/>
      <c r="E964" s="7"/>
      <c r="F964" s="7"/>
      <c r="G964" s="7"/>
      <c r="H964" s="6"/>
      <c r="I964" s="7"/>
      <c r="J964" s="7"/>
      <c r="K964" s="7"/>
      <c r="L964" s="7"/>
      <c r="M964" s="52"/>
      <c r="N964" s="7"/>
      <c r="O964" s="7"/>
      <c r="P964" s="47"/>
      <c r="Q964" s="47"/>
      <c r="R964" s="7"/>
      <c r="S964" s="51"/>
      <c r="T964" s="51"/>
      <c r="U964" s="7"/>
      <c r="V964" s="57"/>
      <c r="W964" s="57"/>
      <c r="X964" s="57"/>
    </row>
    <row r="965" spans="1:24" ht="12.5" x14ac:dyDescent="0.25">
      <c r="A965" s="34"/>
      <c r="B965" s="7"/>
      <c r="C965" s="19"/>
      <c r="D965" s="7"/>
      <c r="E965" s="7"/>
      <c r="F965" s="7"/>
      <c r="G965" s="7"/>
      <c r="H965" s="6"/>
      <c r="I965" s="7"/>
      <c r="J965" s="7"/>
      <c r="K965" s="7"/>
      <c r="L965" s="7"/>
      <c r="M965" s="52"/>
      <c r="N965" s="7"/>
      <c r="O965" s="7"/>
      <c r="P965" s="47"/>
      <c r="Q965" s="47"/>
      <c r="R965" s="7"/>
      <c r="S965" s="51"/>
      <c r="T965" s="51"/>
      <c r="U965" s="7"/>
      <c r="V965" s="57"/>
      <c r="W965" s="57"/>
      <c r="X965" s="57"/>
    </row>
    <row r="966" spans="1:24" ht="12.5" x14ac:dyDescent="0.25">
      <c r="A966" s="34"/>
      <c r="B966" s="7"/>
      <c r="C966" s="19"/>
      <c r="D966" s="7"/>
      <c r="E966" s="7"/>
      <c r="F966" s="7"/>
      <c r="G966" s="7"/>
      <c r="H966" s="6"/>
      <c r="I966" s="7"/>
      <c r="J966" s="7"/>
      <c r="K966" s="7"/>
      <c r="L966" s="7"/>
      <c r="M966" s="52"/>
      <c r="N966" s="7"/>
      <c r="O966" s="7"/>
      <c r="P966" s="47"/>
      <c r="Q966" s="47"/>
      <c r="R966" s="7"/>
      <c r="S966" s="51"/>
      <c r="T966" s="51"/>
      <c r="U966" s="7"/>
      <c r="V966" s="57"/>
      <c r="W966" s="57"/>
      <c r="X966" s="57"/>
    </row>
    <row r="967" spans="1:24" ht="12.5" x14ac:dyDescent="0.25">
      <c r="A967" s="34"/>
      <c r="B967" s="7"/>
      <c r="C967" s="19"/>
      <c r="D967" s="7"/>
      <c r="E967" s="7"/>
      <c r="F967" s="7"/>
      <c r="G967" s="7"/>
      <c r="H967" s="6"/>
      <c r="I967" s="7"/>
      <c r="J967" s="7"/>
      <c r="K967" s="7"/>
      <c r="L967" s="7"/>
      <c r="M967" s="52"/>
      <c r="N967" s="7"/>
      <c r="O967" s="7"/>
      <c r="P967" s="47"/>
      <c r="Q967" s="47"/>
      <c r="R967" s="7"/>
      <c r="S967" s="51"/>
      <c r="T967" s="51"/>
      <c r="U967" s="7"/>
      <c r="V967" s="57"/>
      <c r="W967" s="57"/>
      <c r="X967" s="57"/>
    </row>
    <row r="968" spans="1:24" ht="12.5" x14ac:dyDescent="0.25">
      <c r="A968" s="34"/>
      <c r="B968" s="7"/>
      <c r="C968" s="19"/>
      <c r="D968" s="7"/>
      <c r="E968" s="7"/>
      <c r="F968" s="7"/>
      <c r="G968" s="7"/>
      <c r="H968" s="6"/>
      <c r="I968" s="7"/>
      <c r="J968" s="7"/>
      <c r="K968" s="7"/>
      <c r="L968" s="7"/>
      <c r="M968" s="52"/>
      <c r="N968" s="7"/>
      <c r="O968" s="7"/>
      <c r="P968" s="47"/>
      <c r="Q968" s="47"/>
      <c r="R968" s="7"/>
      <c r="S968" s="51"/>
      <c r="T968" s="51"/>
      <c r="U968" s="7"/>
      <c r="V968" s="57"/>
      <c r="W968" s="57"/>
      <c r="X968" s="57"/>
    </row>
    <row r="969" spans="1:24" ht="12.5" x14ac:dyDescent="0.25">
      <c r="A969" s="34"/>
      <c r="B969" s="7"/>
      <c r="C969" s="19"/>
      <c r="D969" s="7"/>
      <c r="E969" s="7"/>
      <c r="F969" s="7"/>
      <c r="G969" s="7"/>
      <c r="H969" s="6"/>
      <c r="I969" s="7"/>
      <c r="J969" s="7"/>
      <c r="K969" s="7"/>
      <c r="L969" s="7"/>
      <c r="M969" s="52"/>
      <c r="N969" s="7"/>
      <c r="O969" s="7"/>
      <c r="P969" s="47"/>
      <c r="Q969" s="47"/>
      <c r="R969" s="7"/>
      <c r="S969" s="51"/>
      <c r="T969" s="51"/>
      <c r="U969" s="7"/>
      <c r="V969" s="57"/>
      <c r="W969" s="57"/>
      <c r="X969" s="57"/>
    </row>
    <row r="970" spans="1:24" ht="12.5" x14ac:dyDescent="0.25">
      <c r="A970" s="34"/>
      <c r="B970" s="7"/>
      <c r="C970" s="19"/>
      <c r="D970" s="7"/>
      <c r="E970" s="7"/>
      <c r="F970" s="7"/>
      <c r="G970" s="7"/>
      <c r="H970" s="6"/>
      <c r="I970" s="7"/>
      <c r="J970" s="7"/>
      <c r="K970" s="7"/>
      <c r="L970" s="7"/>
      <c r="M970" s="52"/>
      <c r="N970" s="7"/>
      <c r="O970" s="7"/>
      <c r="P970" s="47"/>
      <c r="Q970" s="47"/>
      <c r="R970" s="7"/>
      <c r="S970" s="51"/>
      <c r="T970" s="51"/>
      <c r="U970" s="7"/>
      <c r="V970" s="57"/>
      <c r="W970" s="57"/>
      <c r="X970" s="57"/>
    </row>
    <row r="971" spans="1:24" ht="12.5" x14ac:dyDescent="0.25">
      <c r="A971" s="34"/>
      <c r="B971" s="7"/>
      <c r="C971" s="19"/>
      <c r="D971" s="7"/>
      <c r="E971" s="7"/>
      <c r="F971" s="7"/>
      <c r="G971" s="7"/>
      <c r="H971" s="6"/>
      <c r="I971" s="7"/>
      <c r="J971" s="7"/>
      <c r="K971" s="7"/>
      <c r="L971" s="7"/>
      <c r="M971" s="52"/>
      <c r="N971" s="7"/>
      <c r="O971" s="7"/>
      <c r="P971" s="47"/>
      <c r="Q971" s="47"/>
      <c r="R971" s="7"/>
      <c r="S971" s="51"/>
      <c r="T971" s="51"/>
      <c r="U971" s="7"/>
      <c r="V971" s="57"/>
      <c r="W971" s="57"/>
      <c r="X971" s="57"/>
    </row>
    <row r="972" spans="1:24" ht="12.5" x14ac:dyDescent="0.25">
      <c r="A972" s="34"/>
      <c r="B972" s="7"/>
      <c r="C972" s="19"/>
      <c r="D972" s="7"/>
      <c r="E972" s="7"/>
      <c r="F972" s="7"/>
      <c r="G972" s="7"/>
      <c r="H972" s="6"/>
      <c r="I972" s="7"/>
      <c r="J972" s="7"/>
      <c r="K972" s="7"/>
      <c r="L972" s="7"/>
      <c r="M972" s="52"/>
      <c r="N972" s="7"/>
      <c r="O972" s="7"/>
      <c r="P972" s="47"/>
      <c r="Q972" s="47"/>
      <c r="R972" s="7"/>
      <c r="S972" s="51"/>
      <c r="T972" s="51"/>
      <c r="U972" s="7"/>
      <c r="V972" s="57"/>
      <c r="W972" s="57"/>
      <c r="X972" s="57"/>
    </row>
    <row r="973" spans="1:24" ht="12.5" x14ac:dyDescent="0.25">
      <c r="A973" s="34"/>
      <c r="B973" s="7"/>
      <c r="C973" s="19"/>
      <c r="D973" s="7"/>
      <c r="E973" s="7"/>
      <c r="F973" s="7"/>
      <c r="G973" s="7"/>
      <c r="H973" s="6"/>
      <c r="I973" s="7"/>
      <c r="J973" s="7"/>
      <c r="K973" s="7"/>
      <c r="L973" s="7"/>
      <c r="M973" s="52"/>
      <c r="N973" s="7"/>
      <c r="O973" s="7"/>
      <c r="P973" s="47"/>
      <c r="Q973" s="47"/>
      <c r="R973" s="7"/>
      <c r="S973" s="51"/>
      <c r="T973" s="51"/>
      <c r="U973" s="7"/>
      <c r="V973" s="57"/>
      <c r="W973" s="57"/>
      <c r="X973" s="57"/>
    </row>
    <row r="974" spans="1:24" ht="12.5" x14ac:dyDescent="0.25">
      <c r="A974" s="34"/>
      <c r="B974" s="7"/>
      <c r="C974" s="19"/>
      <c r="D974" s="7"/>
      <c r="E974" s="7"/>
      <c r="F974" s="7"/>
      <c r="G974" s="7"/>
      <c r="H974" s="6"/>
      <c r="I974" s="7"/>
      <c r="J974" s="7"/>
      <c r="K974" s="7"/>
      <c r="L974" s="7"/>
      <c r="M974" s="52"/>
      <c r="N974" s="7"/>
      <c r="O974" s="7"/>
      <c r="P974" s="47"/>
      <c r="Q974" s="47"/>
      <c r="R974" s="7"/>
      <c r="S974" s="51"/>
      <c r="T974" s="51"/>
      <c r="U974" s="7"/>
      <c r="V974" s="57"/>
      <c r="W974" s="57"/>
      <c r="X974" s="57"/>
    </row>
    <row r="975" spans="1:24" ht="12.5" x14ac:dyDescent="0.25">
      <c r="A975" s="34"/>
      <c r="B975" s="7"/>
      <c r="C975" s="19"/>
      <c r="D975" s="7"/>
      <c r="E975" s="7"/>
      <c r="F975" s="7"/>
      <c r="G975" s="7"/>
      <c r="H975" s="6"/>
      <c r="I975" s="7"/>
      <c r="J975" s="7"/>
      <c r="K975" s="7"/>
      <c r="L975" s="7"/>
      <c r="M975" s="52"/>
      <c r="N975" s="7"/>
      <c r="O975" s="7"/>
      <c r="P975" s="47"/>
      <c r="Q975" s="47"/>
      <c r="R975" s="7"/>
      <c r="S975" s="51"/>
      <c r="T975" s="51"/>
      <c r="U975" s="7"/>
      <c r="V975" s="57"/>
      <c r="W975" s="57"/>
      <c r="X975" s="57"/>
    </row>
    <row r="976" spans="1:24" ht="12.5" x14ac:dyDescent="0.25">
      <c r="A976" s="34"/>
      <c r="B976" s="7"/>
      <c r="C976" s="19"/>
      <c r="D976" s="7"/>
      <c r="E976" s="7"/>
      <c r="F976" s="7"/>
      <c r="G976" s="7"/>
      <c r="H976" s="6"/>
      <c r="I976" s="7"/>
      <c r="J976" s="7"/>
      <c r="K976" s="7"/>
      <c r="L976" s="7"/>
      <c r="M976" s="52"/>
      <c r="N976" s="7"/>
      <c r="O976" s="7"/>
      <c r="P976" s="47"/>
      <c r="Q976" s="47"/>
      <c r="R976" s="7"/>
      <c r="S976" s="51"/>
      <c r="T976" s="51"/>
      <c r="U976" s="7"/>
      <c r="V976" s="57"/>
      <c r="W976" s="57"/>
      <c r="X976" s="57"/>
    </row>
    <row r="977" spans="1:24" ht="12.5" x14ac:dyDescent="0.25">
      <c r="A977" s="34"/>
      <c r="B977" s="7"/>
      <c r="C977" s="19"/>
      <c r="D977" s="7"/>
      <c r="E977" s="7"/>
      <c r="F977" s="7"/>
      <c r="G977" s="7"/>
      <c r="H977" s="6"/>
      <c r="I977" s="7"/>
      <c r="J977" s="7"/>
      <c r="K977" s="7"/>
      <c r="L977" s="7"/>
      <c r="M977" s="52"/>
      <c r="N977" s="7"/>
      <c r="O977" s="7"/>
      <c r="P977" s="47"/>
      <c r="Q977" s="47"/>
      <c r="R977" s="7"/>
      <c r="S977" s="51"/>
      <c r="T977" s="51"/>
      <c r="U977" s="7"/>
      <c r="V977" s="57"/>
      <c r="W977" s="57"/>
      <c r="X977" s="57"/>
    </row>
    <row r="978" spans="1:24" ht="12.5" x14ac:dyDescent="0.25">
      <c r="A978" s="34"/>
      <c r="B978" s="7"/>
      <c r="C978" s="19"/>
      <c r="D978" s="7"/>
      <c r="E978" s="7"/>
      <c r="F978" s="7"/>
      <c r="G978" s="7"/>
      <c r="H978" s="6"/>
      <c r="I978" s="7"/>
      <c r="J978" s="7"/>
      <c r="K978" s="7"/>
      <c r="L978" s="7"/>
      <c r="M978" s="52"/>
      <c r="N978" s="7"/>
      <c r="O978" s="7"/>
      <c r="P978" s="47"/>
      <c r="Q978" s="47"/>
      <c r="R978" s="7"/>
      <c r="S978" s="51"/>
      <c r="T978" s="51"/>
      <c r="U978" s="7"/>
      <c r="V978" s="57"/>
      <c r="W978" s="57"/>
      <c r="X978" s="57"/>
    </row>
    <row r="979" spans="1:24" ht="12.5" x14ac:dyDescent="0.25">
      <c r="A979" s="34"/>
      <c r="B979" s="7"/>
      <c r="C979" s="19"/>
      <c r="D979" s="7"/>
      <c r="E979" s="7"/>
      <c r="F979" s="7"/>
      <c r="G979" s="7"/>
      <c r="H979" s="6"/>
      <c r="I979" s="7"/>
      <c r="J979" s="7"/>
      <c r="K979" s="7"/>
      <c r="L979" s="7"/>
      <c r="M979" s="52"/>
      <c r="N979" s="7"/>
      <c r="O979" s="7"/>
      <c r="P979" s="47"/>
      <c r="Q979" s="47"/>
      <c r="R979" s="7"/>
      <c r="S979" s="51"/>
      <c r="T979" s="51"/>
      <c r="U979" s="7"/>
      <c r="V979" s="57"/>
      <c r="W979" s="57"/>
      <c r="X979" s="57"/>
    </row>
    <row r="980" spans="1:24" ht="12.5" x14ac:dyDescent="0.25">
      <c r="A980" s="34"/>
      <c r="B980" s="7"/>
      <c r="C980" s="19"/>
      <c r="D980" s="7"/>
      <c r="E980" s="7"/>
      <c r="F980" s="7"/>
      <c r="G980" s="7"/>
      <c r="H980" s="6"/>
      <c r="I980" s="7"/>
      <c r="J980" s="7"/>
      <c r="K980" s="7"/>
      <c r="L980" s="7"/>
      <c r="M980" s="52"/>
      <c r="N980" s="7"/>
      <c r="O980" s="7"/>
      <c r="P980" s="47"/>
      <c r="Q980" s="47"/>
      <c r="R980" s="7"/>
      <c r="S980" s="51"/>
      <c r="T980" s="51"/>
      <c r="U980" s="7"/>
      <c r="V980" s="57"/>
      <c r="W980" s="57"/>
      <c r="X980" s="57"/>
    </row>
    <row r="981" spans="1:24" ht="12.5" x14ac:dyDescent="0.25">
      <c r="A981" s="34"/>
      <c r="B981" s="7"/>
      <c r="C981" s="19"/>
      <c r="D981" s="7"/>
      <c r="E981" s="7"/>
      <c r="F981" s="7"/>
      <c r="G981" s="7"/>
      <c r="H981" s="6"/>
      <c r="I981" s="7"/>
      <c r="J981" s="7"/>
      <c r="K981" s="7"/>
      <c r="L981" s="7"/>
      <c r="M981" s="52"/>
      <c r="N981" s="7"/>
      <c r="O981" s="7"/>
      <c r="P981" s="47"/>
      <c r="Q981" s="47"/>
      <c r="R981" s="7"/>
      <c r="S981" s="51"/>
      <c r="T981" s="51"/>
      <c r="U981" s="7"/>
      <c r="V981" s="57"/>
      <c r="W981" s="57"/>
      <c r="X981" s="57"/>
    </row>
    <row r="982" spans="1:24" ht="12.5" x14ac:dyDescent="0.25">
      <c r="A982" s="34"/>
      <c r="B982" s="7"/>
      <c r="C982" s="19"/>
      <c r="D982" s="7"/>
      <c r="E982" s="7"/>
      <c r="F982" s="7"/>
      <c r="G982" s="7"/>
      <c r="H982" s="6"/>
      <c r="I982" s="7"/>
      <c r="J982" s="7"/>
      <c r="K982" s="7"/>
      <c r="L982" s="7"/>
      <c r="M982" s="52"/>
      <c r="N982" s="7"/>
      <c r="O982" s="7"/>
      <c r="P982" s="47"/>
      <c r="Q982" s="47"/>
      <c r="R982" s="7"/>
      <c r="S982" s="51"/>
      <c r="T982" s="51"/>
      <c r="U982" s="7"/>
      <c r="V982" s="57"/>
      <c r="W982" s="57"/>
      <c r="X982" s="57"/>
    </row>
    <row r="983" spans="1:24" ht="12.5" x14ac:dyDescent="0.25">
      <c r="A983" s="34"/>
      <c r="B983" s="7"/>
      <c r="C983" s="19"/>
      <c r="D983" s="7"/>
      <c r="E983" s="7"/>
      <c r="F983" s="7"/>
      <c r="G983" s="7"/>
      <c r="H983" s="6"/>
      <c r="I983" s="7"/>
      <c r="J983" s="7"/>
      <c r="K983" s="7"/>
      <c r="L983" s="7"/>
      <c r="M983" s="52"/>
      <c r="N983" s="7"/>
      <c r="O983" s="7"/>
      <c r="P983" s="47"/>
      <c r="Q983" s="47"/>
      <c r="R983" s="7"/>
      <c r="S983" s="51"/>
      <c r="T983" s="51"/>
      <c r="U983" s="7"/>
      <c r="V983" s="57"/>
      <c r="W983" s="57"/>
      <c r="X983" s="57"/>
    </row>
    <row r="984" spans="1:24" ht="12.5" x14ac:dyDescent="0.25">
      <c r="A984" s="34"/>
      <c r="B984" s="7"/>
      <c r="C984" s="19"/>
      <c r="D984" s="7"/>
      <c r="E984" s="7"/>
      <c r="F984" s="7"/>
      <c r="G984" s="7"/>
      <c r="H984" s="6"/>
      <c r="I984" s="7"/>
      <c r="J984" s="7"/>
      <c r="K984" s="7"/>
      <c r="L984" s="7"/>
      <c r="M984" s="52"/>
      <c r="N984" s="7"/>
      <c r="O984" s="7"/>
      <c r="P984" s="47"/>
      <c r="Q984" s="47"/>
      <c r="R984" s="7"/>
      <c r="S984" s="51"/>
      <c r="T984" s="51"/>
      <c r="U984" s="7"/>
      <c r="V984" s="57"/>
      <c r="W984" s="57"/>
      <c r="X984" s="57"/>
    </row>
    <row r="985" spans="1:24" ht="12.5" x14ac:dyDescent="0.25">
      <c r="A985" s="34"/>
      <c r="B985" s="7"/>
      <c r="C985" s="19"/>
      <c r="D985" s="7"/>
      <c r="E985" s="7"/>
      <c r="F985" s="7"/>
      <c r="G985" s="7"/>
      <c r="H985" s="6"/>
      <c r="I985" s="7"/>
      <c r="J985" s="7"/>
      <c r="K985" s="7"/>
      <c r="L985" s="7"/>
      <c r="M985" s="52"/>
      <c r="N985" s="7"/>
      <c r="O985" s="7"/>
      <c r="P985" s="47"/>
      <c r="Q985" s="47"/>
      <c r="R985" s="7"/>
      <c r="S985" s="51"/>
      <c r="T985" s="51"/>
      <c r="U985" s="7"/>
      <c r="V985" s="57"/>
      <c r="W985" s="57"/>
      <c r="X985" s="57"/>
    </row>
    <row r="986" spans="1:24" ht="12.5" x14ac:dyDescent="0.25">
      <c r="A986" s="34"/>
      <c r="B986" s="7"/>
      <c r="C986" s="19"/>
      <c r="D986" s="7"/>
      <c r="E986" s="7"/>
      <c r="F986" s="7"/>
      <c r="G986" s="7"/>
      <c r="H986" s="6"/>
      <c r="I986" s="7"/>
      <c r="J986" s="7"/>
      <c r="K986" s="7"/>
      <c r="L986" s="7"/>
      <c r="M986" s="52"/>
      <c r="N986" s="7"/>
      <c r="O986" s="7"/>
      <c r="P986" s="47"/>
      <c r="Q986" s="47"/>
      <c r="R986" s="7"/>
      <c r="S986" s="51"/>
      <c r="T986" s="51"/>
      <c r="U986" s="7"/>
      <c r="V986" s="57"/>
      <c r="W986" s="57"/>
      <c r="X986" s="57"/>
    </row>
    <row r="987" spans="1:24" ht="12.5" x14ac:dyDescent="0.25">
      <c r="A987" s="34"/>
      <c r="B987" s="7"/>
      <c r="C987" s="19"/>
      <c r="D987" s="7"/>
      <c r="E987" s="7"/>
      <c r="F987" s="7"/>
      <c r="G987" s="7"/>
      <c r="H987" s="6"/>
      <c r="I987" s="7"/>
      <c r="J987" s="7"/>
      <c r="K987" s="7"/>
      <c r="L987" s="7"/>
      <c r="M987" s="52"/>
      <c r="N987" s="7"/>
      <c r="O987" s="7"/>
      <c r="P987" s="47"/>
      <c r="Q987" s="47"/>
      <c r="R987" s="7"/>
      <c r="S987" s="51"/>
      <c r="T987" s="51"/>
      <c r="U987" s="7"/>
      <c r="V987" s="57"/>
      <c r="W987" s="57"/>
      <c r="X987" s="57"/>
    </row>
    <row r="988" spans="1:24" ht="12.5" x14ac:dyDescent="0.25">
      <c r="A988" s="34"/>
      <c r="B988" s="7"/>
      <c r="C988" s="19"/>
      <c r="D988" s="7"/>
      <c r="E988" s="7"/>
      <c r="F988" s="7"/>
      <c r="G988" s="7"/>
      <c r="H988" s="6"/>
      <c r="I988" s="7"/>
      <c r="J988" s="7"/>
      <c r="K988" s="7"/>
      <c r="L988" s="7"/>
      <c r="M988" s="52"/>
      <c r="N988" s="7"/>
      <c r="O988" s="7"/>
      <c r="P988" s="47"/>
      <c r="Q988" s="47"/>
      <c r="R988" s="7"/>
      <c r="S988" s="51"/>
      <c r="T988" s="51"/>
      <c r="U988" s="7"/>
      <c r="V988" s="57"/>
      <c r="W988" s="57"/>
      <c r="X988" s="57"/>
    </row>
    <row r="989" spans="1:24" ht="12.5" x14ac:dyDescent="0.25">
      <c r="A989" s="34"/>
      <c r="B989" s="7"/>
      <c r="C989" s="19"/>
      <c r="D989" s="7"/>
      <c r="E989" s="7"/>
      <c r="F989" s="7"/>
      <c r="G989" s="7"/>
      <c r="H989" s="6"/>
      <c r="I989" s="7"/>
      <c r="J989" s="7"/>
      <c r="K989" s="7"/>
      <c r="L989" s="7"/>
      <c r="M989" s="52"/>
      <c r="N989" s="7"/>
      <c r="O989" s="7"/>
      <c r="P989" s="47"/>
      <c r="Q989" s="47"/>
      <c r="R989" s="7"/>
      <c r="S989" s="51"/>
      <c r="T989" s="51"/>
      <c r="U989" s="7"/>
      <c r="V989" s="57"/>
      <c r="W989" s="57"/>
      <c r="X989" s="57"/>
    </row>
    <row r="990" spans="1:24" ht="12.5" x14ac:dyDescent="0.25">
      <c r="A990" s="34"/>
      <c r="B990" s="7"/>
      <c r="C990" s="19"/>
      <c r="D990" s="7"/>
      <c r="E990" s="7"/>
      <c r="F990" s="7"/>
      <c r="G990" s="7"/>
      <c r="H990" s="6"/>
      <c r="I990" s="7"/>
      <c r="J990" s="7"/>
      <c r="K990" s="7"/>
      <c r="L990" s="7"/>
      <c r="M990" s="52"/>
      <c r="N990" s="7"/>
      <c r="O990" s="7"/>
      <c r="P990" s="47"/>
      <c r="Q990" s="47"/>
      <c r="R990" s="7"/>
      <c r="S990" s="51"/>
      <c r="T990" s="51"/>
      <c r="U990" s="7"/>
      <c r="V990" s="57"/>
      <c r="W990" s="57"/>
      <c r="X990" s="57"/>
    </row>
    <row r="991" spans="1:24" ht="12.5" x14ac:dyDescent="0.25">
      <c r="A991" s="34"/>
      <c r="B991" s="7"/>
      <c r="C991" s="19"/>
      <c r="D991" s="7"/>
      <c r="E991" s="7"/>
      <c r="F991" s="7"/>
      <c r="G991" s="7"/>
      <c r="H991" s="6"/>
      <c r="I991" s="7"/>
      <c r="J991" s="7"/>
      <c r="K991" s="7"/>
      <c r="L991" s="7"/>
      <c r="M991" s="52"/>
      <c r="N991" s="7"/>
      <c r="O991" s="7"/>
      <c r="P991" s="47"/>
      <c r="Q991" s="47"/>
      <c r="R991" s="7"/>
      <c r="S991" s="51"/>
      <c r="T991" s="51"/>
      <c r="U991" s="7"/>
      <c r="V991" s="57"/>
      <c r="W991" s="57"/>
      <c r="X991" s="57"/>
    </row>
    <row r="992" spans="1:24" ht="12.5" x14ac:dyDescent="0.25">
      <c r="A992" s="34"/>
      <c r="B992" s="7"/>
      <c r="C992" s="19"/>
      <c r="D992" s="7"/>
      <c r="E992" s="7"/>
      <c r="F992" s="7"/>
      <c r="G992" s="7"/>
      <c r="H992" s="6"/>
      <c r="I992" s="7"/>
      <c r="J992" s="7"/>
      <c r="K992" s="7"/>
      <c r="L992" s="7"/>
      <c r="M992" s="52"/>
      <c r="N992" s="7"/>
      <c r="O992" s="7"/>
      <c r="P992" s="47"/>
      <c r="Q992" s="47"/>
      <c r="R992" s="7"/>
      <c r="S992" s="51"/>
      <c r="T992" s="51"/>
      <c r="U992" s="7"/>
      <c r="V992" s="57"/>
      <c r="W992" s="57"/>
      <c r="X992" s="57"/>
    </row>
    <row r="993" spans="1:24" ht="12.5" x14ac:dyDescent="0.25">
      <c r="A993" s="34"/>
      <c r="B993" s="7"/>
      <c r="C993" s="19"/>
      <c r="D993" s="7"/>
      <c r="E993" s="7"/>
      <c r="F993" s="7"/>
      <c r="G993" s="7"/>
      <c r="H993" s="6"/>
      <c r="I993" s="7"/>
      <c r="J993" s="7"/>
      <c r="K993" s="7"/>
      <c r="L993" s="7"/>
      <c r="M993" s="52"/>
      <c r="N993" s="7"/>
      <c r="O993" s="7"/>
      <c r="P993" s="47"/>
      <c r="Q993" s="47"/>
      <c r="R993" s="7"/>
      <c r="S993" s="51"/>
      <c r="T993" s="51"/>
      <c r="U993" s="7"/>
      <c r="V993" s="57"/>
      <c r="W993" s="57"/>
      <c r="X993" s="57"/>
    </row>
    <row r="994" spans="1:24" ht="12.5" x14ac:dyDescent="0.25">
      <c r="A994" s="34"/>
      <c r="B994" s="7"/>
      <c r="C994" s="19"/>
      <c r="D994" s="7"/>
      <c r="E994" s="7"/>
      <c r="F994" s="7"/>
      <c r="G994" s="7"/>
      <c r="H994" s="6"/>
      <c r="I994" s="7"/>
      <c r="J994" s="7"/>
      <c r="K994" s="7"/>
      <c r="L994" s="7"/>
      <c r="M994" s="52"/>
      <c r="N994" s="7"/>
      <c r="O994" s="7"/>
      <c r="P994" s="47"/>
      <c r="Q994" s="47"/>
      <c r="R994" s="7"/>
      <c r="S994" s="51"/>
      <c r="T994" s="51"/>
      <c r="U994" s="7"/>
      <c r="V994" s="57"/>
      <c r="W994" s="57"/>
      <c r="X994" s="57"/>
    </row>
    <row r="995" spans="1:24" ht="12.5" x14ac:dyDescent="0.25">
      <c r="A995" s="34"/>
      <c r="B995" s="7"/>
      <c r="C995" s="19"/>
      <c r="D995" s="7"/>
      <c r="E995" s="7"/>
      <c r="F995" s="7"/>
      <c r="G995" s="7"/>
      <c r="H995" s="6"/>
      <c r="I995" s="7"/>
      <c r="J995" s="7"/>
      <c r="K995" s="7"/>
      <c r="L995" s="7"/>
      <c r="M995" s="52"/>
      <c r="N995" s="7"/>
      <c r="O995" s="7"/>
      <c r="P995" s="47"/>
      <c r="Q995" s="47"/>
      <c r="R995" s="7"/>
      <c r="S995" s="51"/>
      <c r="T995" s="51"/>
      <c r="U995" s="7"/>
      <c r="V995" s="57"/>
      <c r="W995" s="57"/>
      <c r="X995" s="57"/>
    </row>
    <row r="996" spans="1:24" ht="12.5" x14ac:dyDescent="0.25">
      <c r="A996" s="34"/>
      <c r="B996" s="7"/>
      <c r="C996" s="19"/>
      <c r="D996" s="7"/>
      <c r="E996" s="7"/>
      <c r="F996" s="7"/>
      <c r="G996" s="7"/>
      <c r="H996" s="6"/>
      <c r="I996" s="7"/>
      <c r="J996" s="7"/>
      <c r="K996" s="7"/>
      <c r="L996" s="7"/>
      <c r="M996" s="52"/>
      <c r="N996" s="7"/>
      <c r="O996" s="7"/>
      <c r="P996" s="47"/>
      <c r="Q996" s="47"/>
      <c r="R996" s="7"/>
      <c r="S996" s="51"/>
      <c r="T996" s="51"/>
      <c r="U996" s="7"/>
      <c r="V996" s="57"/>
      <c r="W996" s="57"/>
      <c r="X996" s="57"/>
    </row>
    <row r="997" spans="1:24" ht="12.5" x14ac:dyDescent="0.25">
      <c r="A997" s="34"/>
      <c r="B997" s="7"/>
      <c r="C997" s="19"/>
      <c r="D997" s="7"/>
      <c r="E997" s="7"/>
      <c r="F997" s="7"/>
      <c r="G997" s="7"/>
      <c r="H997" s="6"/>
      <c r="I997" s="7"/>
      <c r="J997" s="7"/>
      <c r="K997" s="7"/>
      <c r="L997" s="7"/>
      <c r="M997" s="52"/>
      <c r="N997" s="7"/>
      <c r="O997" s="7"/>
      <c r="P997" s="47"/>
      <c r="Q997" s="47"/>
      <c r="R997" s="7"/>
      <c r="S997" s="51"/>
      <c r="T997" s="51"/>
      <c r="U997" s="7"/>
      <c r="V997" s="57"/>
      <c r="W997" s="57"/>
      <c r="X997" s="57"/>
    </row>
    <row r="998" spans="1:24" ht="12.5" x14ac:dyDescent="0.25">
      <c r="A998" s="34"/>
      <c r="B998" s="7"/>
      <c r="C998" s="19"/>
      <c r="D998" s="7"/>
      <c r="E998" s="7"/>
      <c r="F998" s="7"/>
      <c r="G998" s="7"/>
      <c r="H998" s="6"/>
      <c r="I998" s="7"/>
      <c r="J998" s="7"/>
      <c r="K998" s="7"/>
      <c r="L998" s="7"/>
      <c r="M998" s="52"/>
      <c r="N998" s="7"/>
      <c r="O998" s="7"/>
      <c r="P998" s="47"/>
      <c r="Q998" s="47"/>
      <c r="R998" s="7"/>
      <c r="S998" s="51"/>
      <c r="T998" s="51"/>
      <c r="U998" s="7"/>
      <c r="V998" s="57"/>
      <c r="W998" s="57"/>
      <c r="X998" s="57"/>
    </row>
    <row r="999" spans="1:24" ht="12.5" x14ac:dyDescent="0.25">
      <c r="A999" s="34"/>
      <c r="B999" s="7"/>
      <c r="C999" s="19"/>
      <c r="D999" s="7"/>
      <c r="E999" s="7"/>
      <c r="F999" s="7"/>
      <c r="G999" s="7"/>
      <c r="H999" s="6"/>
      <c r="I999" s="7"/>
      <c r="J999" s="7"/>
      <c r="K999" s="7"/>
      <c r="L999" s="7"/>
      <c r="M999" s="52"/>
      <c r="N999" s="7"/>
      <c r="O999" s="7"/>
      <c r="P999" s="47"/>
      <c r="Q999" s="47"/>
      <c r="R999" s="7"/>
      <c r="S999" s="51"/>
      <c r="T999" s="51"/>
      <c r="U999" s="7"/>
      <c r="V999" s="57"/>
      <c r="W999" s="57"/>
      <c r="X999" s="57"/>
    </row>
    <row r="1000" spans="1:24" ht="12.5" x14ac:dyDescent="0.25">
      <c r="A1000" s="34"/>
      <c r="B1000" s="7"/>
      <c r="C1000" s="19"/>
      <c r="D1000" s="7"/>
      <c r="E1000" s="7"/>
      <c r="F1000" s="7"/>
      <c r="G1000" s="7"/>
      <c r="H1000" s="6"/>
      <c r="I1000" s="7"/>
      <c r="J1000" s="7"/>
      <c r="K1000" s="7"/>
      <c r="L1000" s="7"/>
      <c r="M1000" s="52"/>
      <c r="N1000" s="7"/>
      <c r="O1000" s="7"/>
      <c r="P1000" s="47"/>
      <c r="Q1000" s="47"/>
      <c r="R1000" s="7"/>
      <c r="S1000" s="51"/>
      <c r="T1000" s="51"/>
      <c r="U1000" s="7"/>
      <c r="V1000" s="57"/>
      <c r="W1000" s="57"/>
      <c r="X1000" s="57"/>
    </row>
    <row r="1001" spans="1:24" ht="12.5" x14ac:dyDescent="0.25">
      <c r="A1001" s="34"/>
      <c r="B1001" s="7"/>
      <c r="C1001" s="19"/>
      <c r="D1001" s="7"/>
      <c r="E1001" s="7"/>
      <c r="F1001" s="7"/>
      <c r="G1001" s="7"/>
      <c r="H1001" s="6"/>
      <c r="I1001" s="7"/>
      <c r="J1001" s="7"/>
      <c r="K1001" s="7"/>
      <c r="L1001" s="7"/>
      <c r="M1001" s="52"/>
      <c r="N1001" s="7"/>
      <c r="O1001" s="7"/>
      <c r="P1001" s="47"/>
      <c r="Q1001" s="47"/>
      <c r="R1001" s="7"/>
      <c r="S1001" s="51"/>
      <c r="T1001" s="51"/>
      <c r="U1001" s="7"/>
      <c r="V1001" s="57"/>
      <c r="W1001" s="57"/>
      <c r="X1001" s="57"/>
    </row>
    <row r="1002" spans="1:24" ht="12.5" x14ac:dyDescent="0.25">
      <c r="A1002" s="34"/>
      <c r="B1002" s="7"/>
      <c r="C1002" s="19"/>
      <c r="D1002" s="7"/>
      <c r="E1002" s="7"/>
      <c r="F1002" s="7"/>
      <c r="G1002" s="7"/>
      <c r="H1002" s="6"/>
      <c r="I1002" s="7"/>
      <c r="J1002" s="7"/>
      <c r="K1002" s="7"/>
      <c r="L1002" s="7"/>
      <c r="M1002" s="52"/>
      <c r="N1002" s="7"/>
      <c r="O1002" s="7"/>
      <c r="P1002" s="47"/>
      <c r="Q1002" s="47"/>
      <c r="R1002" s="7"/>
      <c r="S1002" s="51"/>
      <c r="T1002" s="51"/>
      <c r="U1002" s="7"/>
      <c r="V1002" s="57"/>
      <c r="W1002" s="57"/>
      <c r="X1002" s="57"/>
    </row>
    <row r="1003" spans="1:24" ht="12.5" x14ac:dyDescent="0.25">
      <c r="A1003" s="34"/>
      <c r="B1003" s="7"/>
      <c r="C1003" s="19"/>
      <c r="D1003" s="7"/>
      <c r="E1003" s="7"/>
      <c r="F1003" s="7"/>
      <c r="G1003" s="7"/>
      <c r="H1003" s="6"/>
      <c r="I1003" s="7"/>
      <c r="J1003" s="7"/>
      <c r="K1003" s="7"/>
      <c r="L1003" s="7"/>
      <c r="M1003" s="52"/>
      <c r="N1003" s="7"/>
      <c r="O1003" s="7"/>
      <c r="P1003" s="47"/>
      <c r="Q1003" s="47"/>
      <c r="R1003" s="7"/>
      <c r="S1003" s="51"/>
      <c r="T1003" s="51"/>
      <c r="U1003" s="7"/>
      <c r="V1003" s="57"/>
      <c r="W1003" s="57"/>
      <c r="X1003" s="57"/>
    </row>
    <row r="1004" spans="1:24" ht="12.5" x14ac:dyDescent="0.25">
      <c r="A1004" s="34"/>
      <c r="B1004" s="7"/>
      <c r="C1004" s="19"/>
      <c r="D1004" s="7"/>
      <c r="E1004" s="7"/>
      <c r="F1004" s="7"/>
      <c r="G1004" s="7"/>
      <c r="H1004" s="6"/>
      <c r="I1004" s="7"/>
      <c r="J1004" s="7"/>
      <c r="K1004" s="7"/>
      <c r="L1004" s="7"/>
      <c r="M1004" s="52"/>
      <c r="N1004" s="7"/>
      <c r="O1004" s="7"/>
      <c r="P1004" s="47"/>
      <c r="Q1004" s="47"/>
      <c r="R1004" s="7"/>
      <c r="S1004" s="51"/>
      <c r="T1004" s="51"/>
      <c r="U1004" s="7"/>
      <c r="V1004" s="57"/>
      <c r="W1004" s="57"/>
      <c r="X1004" s="57"/>
    </row>
    <row r="1005" spans="1:24" ht="12.5" x14ac:dyDescent="0.25">
      <c r="A1005" s="34"/>
      <c r="B1005" s="7"/>
      <c r="C1005" s="19"/>
      <c r="D1005" s="7"/>
      <c r="E1005" s="7"/>
      <c r="F1005" s="7"/>
      <c r="G1005" s="7"/>
      <c r="H1005" s="6"/>
      <c r="I1005" s="7"/>
      <c r="J1005" s="7"/>
      <c r="K1005" s="7"/>
      <c r="L1005" s="7"/>
      <c r="M1005" s="52"/>
      <c r="N1005" s="7"/>
      <c r="O1005" s="7"/>
      <c r="P1005" s="47"/>
      <c r="Q1005" s="47"/>
      <c r="R1005" s="7"/>
      <c r="S1005" s="51"/>
      <c r="T1005" s="51"/>
      <c r="U1005" s="7"/>
      <c r="V1005" s="57"/>
      <c r="W1005" s="57"/>
      <c r="X1005" s="57"/>
    </row>
    <row r="1006" spans="1:24" ht="12.5" x14ac:dyDescent="0.25">
      <c r="A1006" s="34"/>
      <c r="B1006" s="7"/>
      <c r="C1006" s="19"/>
      <c r="D1006" s="7"/>
      <c r="E1006" s="7"/>
      <c r="F1006" s="7"/>
      <c r="G1006" s="7"/>
      <c r="H1006" s="6"/>
      <c r="I1006" s="7"/>
      <c r="J1006" s="7"/>
      <c r="K1006" s="7"/>
      <c r="L1006" s="7"/>
      <c r="M1006" s="52"/>
      <c r="N1006" s="7"/>
      <c r="O1006" s="7"/>
      <c r="P1006" s="47"/>
      <c r="Q1006" s="47"/>
      <c r="R1006" s="7"/>
      <c r="S1006" s="51"/>
      <c r="T1006" s="51"/>
      <c r="U1006" s="7"/>
      <c r="V1006" s="57"/>
      <c r="W1006" s="57"/>
      <c r="X1006" s="57"/>
    </row>
    <row r="1007" spans="1:24" ht="12.5" x14ac:dyDescent="0.25">
      <c r="A1007" s="34"/>
      <c r="B1007" s="7"/>
      <c r="C1007" s="19"/>
      <c r="D1007" s="7"/>
      <c r="E1007" s="7"/>
      <c r="F1007" s="7"/>
      <c r="G1007" s="7"/>
      <c r="H1007" s="6"/>
      <c r="I1007" s="7"/>
      <c r="J1007" s="7"/>
      <c r="K1007" s="7"/>
      <c r="L1007" s="7"/>
      <c r="M1007" s="52"/>
      <c r="N1007" s="7"/>
      <c r="O1007" s="7"/>
      <c r="P1007" s="47"/>
      <c r="Q1007" s="47"/>
      <c r="R1007" s="7"/>
      <c r="S1007" s="51"/>
      <c r="T1007" s="51"/>
      <c r="U1007" s="7"/>
      <c r="V1007" s="57"/>
      <c r="W1007" s="57"/>
      <c r="X1007" s="57"/>
    </row>
    <row r="1008" spans="1:24" ht="12.5" x14ac:dyDescent="0.25">
      <c r="A1008" s="34"/>
      <c r="B1008" s="7"/>
      <c r="C1008" s="19"/>
      <c r="D1008" s="7"/>
      <c r="E1008" s="7"/>
      <c r="F1008" s="7"/>
      <c r="G1008" s="7"/>
      <c r="H1008" s="6"/>
      <c r="I1008" s="7"/>
      <c r="J1008" s="7"/>
      <c r="K1008" s="7"/>
      <c r="L1008" s="7"/>
      <c r="M1008" s="52"/>
      <c r="N1008" s="7"/>
      <c r="O1008" s="7"/>
      <c r="P1008" s="47"/>
      <c r="Q1008" s="47"/>
      <c r="R1008" s="7"/>
      <c r="S1008" s="51"/>
      <c r="T1008" s="51"/>
      <c r="U1008" s="7"/>
      <c r="V1008" s="57"/>
      <c r="W1008" s="57"/>
      <c r="X1008" s="57"/>
    </row>
    <row r="1009" spans="1:24" ht="12.5" x14ac:dyDescent="0.25">
      <c r="A1009" s="34"/>
      <c r="B1009" s="7"/>
      <c r="C1009" s="19"/>
      <c r="D1009" s="7"/>
      <c r="E1009" s="7"/>
      <c r="F1009" s="7"/>
      <c r="G1009" s="7"/>
      <c r="H1009" s="6"/>
      <c r="I1009" s="7"/>
      <c r="J1009" s="7"/>
      <c r="K1009" s="7"/>
      <c r="L1009" s="7"/>
      <c r="M1009" s="52"/>
      <c r="N1009" s="7"/>
      <c r="O1009" s="7"/>
      <c r="P1009" s="47"/>
      <c r="Q1009" s="47"/>
      <c r="R1009" s="7"/>
      <c r="S1009" s="51"/>
      <c r="T1009" s="51"/>
      <c r="U1009" s="7"/>
      <c r="V1009" s="57"/>
      <c r="W1009" s="57"/>
      <c r="X1009" s="57"/>
    </row>
    <row r="1010" spans="1:24" ht="12.5" x14ac:dyDescent="0.25">
      <c r="A1010" s="34"/>
      <c r="B1010" s="7"/>
      <c r="C1010" s="19"/>
      <c r="D1010" s="7"/>
      <c r="E1010" s="7"/>
      <c r="F1010" s="7"/>
      <c r="G1010" s="7"/>
      <c r="H1010" s="6"/>
      <c r="I1010" s="7"/>
      <c r="J1010" s="7"/>
      <c r="K1010" s="7"/>
      <c r="L1010" s="7"/>
      <c r="M1010" s="52"/>
      <c r="N1010" s="7"/>
      <c r="O1010" s="7"/>
      <c r="P1010" s="47"/>
      <c r="Q1010" s="47"/>
      <c r="R1010" s="7"/>
      <c r="S1010" s="51"/>
      <c r="T1010" s="51"/>
      <c r="U1010" s="7"/>
      <c r="V1010" s="57"/>
      <c r="W1010" s="57"/>
      <c r="X1010" s="57"/>
    </row>
    <row r="1011" spans="1:24" ht="12.5" x14ac:dyDescent="0.25">
      <c r="A1011" s="34"/>
      <c r="B1011" s="7"/>
      <c r="C1011" s="19"/>
      <c r="D1011" s="7"/>
      <c r="E1011" s="7"/>
      <c r="F1011" s="7"/>
      <c r="G1011" s="7"/>
      <c r="H1011" s="6"/>
      <c r="I1011" s="7"/>
      <c r="J1011" s="7"/>
      <c r="K1011" s="7"/>
      <c r="L1011" s="7"/>
      <c r="M1011" s="52"/>
      <c r="N1011" s="7"/>
      <c r="O1011" s="7"/>
      <c r="P1011" s="47"/>
      <c r="Q1011" s="47"/>
      <c r="R1011" s="7"/>
      <c r="S1011" s="51"/>
      <c r="T1011" s="51"/>
      <c r="U1011" s="7"/>
      <c r="V1011" s="57"/>
      <c r="W1011" s="57"/>
      <c r="X1011" s="57"/>
    </row>
    <row r="1012" spans="1:24" ht="12.5" x14ac:dyDescent="0.25">
      <c r="A1012" s="34"/>
      <c r="B1012" s="7"/>
      <c r="C1012" s="19"/>
      <c r="D1012" s="7"/>
      <c r="E1012" s="7"/>
      <c r="F1012" s="7"/>
      <c r="G1012" s="7"/>
      <c r="H1012" s="6"/>
      <c r="I1012" s="7"/>
      <c r="J1012" s="7"/>
      <c r="K1012" s="7"/>
      <c r="L1012" s="7"/>
      <c r="M1012" s="52"/>
      <c r="N1012" s="7"/>
      <c r="O1012" s="7"/>
      <c r="P1012" s="47"/>
      <c r="Q1012" s="47"/>
      <c r="R1012" s="7"/>
      <c r="S1012" s="51"/>
      <c r="T1012" s="51"/>
      <c r="U1012" s="7"/>
      <c r="V1012" s="57"/>
      <c r="W1012" s="57"/>
      <c r="X1012" s="57"/>
    </row>
    <row r="1013" spans="1:24" ht="12.5" x14ac:dyDescent="0.25">
      <c r="A1013" s="34"/>
      <c r="B1013" s="7"/>
      <c r="C1013" s="19"/>
      <c r="D1013" s="7"/>
      <c r="E1013" s="7"/>
      <c r="F1013" s="7"/>
      <c r="G1013" s="7"/>
      <c r="H1013" s="6"/>
      <c r="I1013" s="7"/>
      <c r="J1013" s="7"/>
      <c r="K1013" s="7"/>
      <c r="L1013" s="7"/>
      <c r="M1013" s="52"/>
      <c r="N1013" s="7"/>
      <c r="O1013" s="7"/>
      <c r="P1013" s="47"/>
      <c r="Q1013" s="47"/>
      <c r="R1013" s="7"/>
      <c r="S1013" s="51"/>
      <c r="T1013" s="51"/>
      <c r="U1013" s="7"/>
      <c r="V1013" s="57"/>
      <c r="W1013" s="57"/>
      <c r="X1013" s="57"/>
    </row>
    <row r="1014" spans="1:24" ht="12.5" x14ac:dyDescent="0.25">
      <c r="A1014" s="34"/>
      <c r="B1014" s="7"/>
      <c r="C1014" s="19"/>
      <c r="D1014" s="7"/>
      <c r="E1014" s="7"/>
      <c r="F1014" s="7"/>
      <c r="G1014" s="7"/>
      <c r="H1014" s="6"/>
      <c r="I1014" s="7"/>
      <c r="J1014" s="7"/>
      <c r="K1014" s="7"/>
      <c r="L1014" s="7"/>
      <c r="M1014" s="52"/>
      <c r="N1014" s="7"/>
      <c r="O1014" s="7"/>
      <c r="P1014" s="47"/>
      <c r="Q1014" s="47"/>
      <c r="R1014" s="7"/>
      <c r="S1014" s="51"/>
      <c r="T1014" s="51"/>
      <c r="U1014" s="7"/>
      <c r="V1014" s="57"/>
      <c r="W1014" s="57"/>
      <c r="X1014" s="57"/>
    </row>
    <row r="1015" spans="1:24" ht="12.5" x14ac:dyDescent="0.25">
      <c r="A1015" s="34"/>
      <c r="B1015" s="7"/>
      <c r="C1015" s="19"/>
      <c r="D1015" s="7"/>
      <c r="E1015" s="7"/>
      <c r="F1015" s="7"/>
      <c r="G1015" s="7"/>
      <c r="H1015" s="6"/>
      <c r="I1015" s="7"/>
      <c r="J1015" s="7"/>
      <c r="K1015" s="7"/>
      <c r="L1015" s="7"/>
      <c r="M1015" s="52"/>
      <c r="N1015" s="7"/>
      <c r="O1015" s="7"/>
      <c r="P1015" s="47"/>
      <c r="Q1015" s="47"/>
      <c r="R1015" s="7"/>
      <c r="S1015" s="51"/>
      <c r="T1015" s="51"/>
      <c r="U1015" s="7"/>
      <c r="V1015" s="57"/>
      <c r="W1015" s="57"/>
      <c r="X1015" s="57"/>
    </row>
    <row r="1016" spans="1:24" ht="12.5" x14ac:dyDescent="0.25">
      <c r="A1016" s="34"/>
      <c r="B1016" s="7"/>
      <c r="C1016" s="19"/>
      <c r="D1016" s="7"/>
      <c r="E1016" s="7"/>
      <c r="F1016" s="7"/>
      <c r="G1016" s="7"/>
      <c r="H1016" s="6"/>
      <c r="I1016" s="7"/>
      <c r="J1016" s="7"/>
      <c r="K1016" s="7"/>
      <c r="L1016" s="7"/>
      <c r="M1016" s="52"/>
      <c r="N1016" s="7"/>
      <c r="O1016" s="7"/>
      <c r="P1016" s="47"/>
      <c r="Q1016" s="47"/>
      <c r="R1016" s="7"/>
      <c r="S1016" s="51"/>
      <c r="T1016" s="51"/>
      <c r="U1016" s="7"/>
      <c r="V1016" s="57"/>
      <c r="W1016" s="57"/>
      <c r="X1016" s="57"/>
    </row>
    <row r="1017" spans="1:24" ht="12.5" x14ac:dyDescent="0.25">
      <c r="A1017" s="34"/>
      <c r="B1017" s="7"/>
      <c r="C1017" s="19"/>
      <c r="D1017" s="7"/>
      <c r="E1017" s="7"/>
      <c r="F1017" s="7"/>
      <c r="G1017" s="7"/>
      <c r="H1017" s="6"/>
      <c r="I1017" s="7"/>
      <c r="J1017" s="7"/>
      <c r="K1017" s="7"/>
      <c r="L1017" s="7"/>
      <c r="M1017" s="52"/>
      <c r="N1017" s="7"/>
      <c r="O1017" s="7"/>
      <c r="P1017" s="47"/>
      <c r="Q1017" s="47"/>
      <c r="R1017" s="7"/>
      <c r="S1017" s="51"/>
      <c r="T1017" s="51"/>
      <c r="U1017" s="7"/>
      <c r="V1017" s="57"/>
      <c r="W1017" s="57"/>
      <c r="X1017" s="57"/>
    </row>
    <row r="1018" spans="1:24" ht="12.5" x14ac:dyDescent="0.25">
      <c r="A1018" s="34"/>
      <c r="B1018" s="7"/>
      <c r="C1018" s="19"/>
      <c r="D1018" s="7"/>
      <c r="E1018" s="7"/>
      <c r="F1018" s="7"/>
      <c r="G1018" s="7"/>
      <c r="H1018" s="6"/>
      <c r="I1018" s="7"/>
      <c r="J1018" s="7"/>
      <c r="K1018" s="7"/>
      <c r="L1018" s="7"/>
      <c r="M1018" s="52"/>
      <c r="N1018" s="7"/>
      <c r="O1018" s="7"/>
      <c r="P1018" s="47"/>
      <c r="Q1018" s="47"/>
      <c r="R1018" s="7"/>
      <c r="S1018" s="51"/>
      <c r="T1018" s="51"/>
      <c r="U1018" s="7"/>
      <c r="V1018" s="57"/>
      <c r="W1018" s="57"/>
      <c r="X1018" s="57"/>
    </row>
    <row r="1019" spans="1:24" ht="12.5" x14ac:dyDescent="0.25">
      <c r="A1019" s="34"/>
      <c r="B1019" s="7"/>
      <c r="C1019" s="19"/>
      <c r="D1019" s="7"/>
      <c r="E1019" s="7"/>
      <c r="F1019" s="7"/>
      <c r="G1019" s="7"/>
      <c r="H1019" s="6"/>
      <c r="I1019" s="7"/>
      <c r="J1019" s="7"/>
      <c r="K1019" s="7"/>
      <c r="L1019" s="7"/>
      <c r="M1019" s="52"/>
      <c r="N1019" s="7"/>
      <c r="O1019" s="7"/>
      <c r="P1019" s="47"/>
      <c r="Q1019" s="47"/>
      <c r="R1019" s="7"/>
      <c r="S1019" s="51"/>
      <c r="T1019" s="51"/>
      <c r="U1019" s="7"/>
      <c r="V1019" s="57"/>
      <c r="W1019" s="57"/>
      <c r="X1019" s="57"/>
    </row>
    <row r="1020" spans="1:24" ht="12.5" x14ac:dyDescent="0.25">
      <c r="A1020" s="34"/>
      <c r="B1020" s="7"/>
      <c r="C1020" s="19"/>
      <c r="D1020" s="7"/>
      <c r="E1020" s="7"/>
      <c r="F1020" s="7"/>
      <c r="G1020" s="7"/>
      <c r="H1020" s="6"/>
      <c r="I1020" s="7"/>
      <c r="J1020" s="7"/>
      <c r="K1020" s="7"/>
      <c r="L1020" s="7"/>
      <c r="M1020" s="52"/>
      <c r="N1020" s="7"/>
      <c r="O1020" s="7"/>
      <c r="P1020" s="47"/>
      <c r="Q1020" s="47"/>
      <c r="R1020" s="7"/>
      <c r="S1020" s="51"/>
      <c r="T1020" s="51"/>
      <c r="U1020" s="7"/>
      <c r="V1020" s="57"/>
      <c r="W1020" s="57"/>
      <c r="X1020" s="57"/>
    </row>
    <row r="1021" spans="1:24" ht="12.5" x14ac:dyDescent="0.25">
      <c r="A1021" s="34"/>
      <c r="B1021" s="7"/>
      <c r="C1021" s="19"/>
      <c r="D1021" s="7"/>
      <c r="E1021" s="7"/>
      <c r="F1021" s="7"/>
      <c r="G1021" s="7"/>
      <c r="H1021" s="6"/>
      <c r="I1021" s="7"/>
      <c r="J1021" s="7"/>
      <c r="K1021" s="7"/>
      <c r="L1021" s="7"/>
      <c r="M1021" s="52"/>
      <c r="N1021" s="7"/>
      <c r="O1021" s="7"/>
      <c r="P1021" s="47"/>
      <c r="Q1021" s="47"/>
      <c r="R1021" s="7"/>
      <c r="S1021" s="51"/>
      <c r="T1021" s="51"/>
      <c r="U1021" s="7"/>
      <c r="V1021" s="57"/>
      <c r="W1021" s="57"/>
      <c r="X1021" s="57"/>
    </row>
    <row r="1022" spans="1:24" ht="12.5" x14ac:dyDescent="0.25">
      <c r="A1022" s="34"/>
      <c r="B1022" s="7"/>
      <c r="C1022" s="19"/>
      <c r="D1022" s="7"/>
      <c r="E1022" s="7"/>
      <c r="F1022" s="7"/>
      <c r="G1022" s="7"/>
      <c r="H1022" s="6"/>
      <c r="I1022" s="7"/>
      <c r="J1022" s="7"/>
      <c r="K1022" s="7"/>
      <c r="L1022" s="7"/>
      <c r="M1022" s="52"/>
      <c r="N1022" s="7"/>
      <c r="O1022" s="7"/>
      <c r="P1022" s="47"/>
      <c r="Q1022" s="47"/>
      <c r="R1022" s="7"/>
      <c r="S1022" s="51"/>
      <c r="T1022" s="51"/>
      <c r="U1022" s="7"/>
      <c r="V1022" s="57"/>
      <c r="W1022" s="57"/>
      <c r="X1022" s="57"/>
    </row>
    <row r="1023" spans="1:24" ht="12.5" x14ac:dyDescent="0.25">
      <c r="A1023" s="34"/>
      <c r="B1023" s="7"/>
      <c r="C1023" s="19"/>
      <c r="D1023" s="7"/>
      <c r="E1023" s="7"/>
      <c r="F1023" s="7"/>
      <c r="G1023" s="7"/>
      <c r="H1023" s="6"/>
      <c r="I1023" s="7"/>
      <c r="J1023" s="7"/>
      <c r="K1023" s="7"/>
      <c r="L1023" s="7"/>
      <c r="M1023" s="52"/>
      <c r="N1023" s="7"/>
      <c r="O1023" s="7"/>
      <c r="P1023" s="47"/>
      <c r="Q1023" s="47"/>
      <c r="R1023" s="7"/>
      <c r="S1023" s="51"/>
      <c r="T1023" s="51"/>
      <c r="U1023" s="7"/>
      <c r="V1023" s="57"/>
      <c r="W1023" s="57"/>
      <c r="X1023" s="57"/>
    </row>
    <row r="1024" spans="1:24" ht="12.5" x14ac:dyDescent="0.25">
      <c r="A1024" s="34"/>
      <c r="B1024" s="7"/>
      <c r="C1024" s="19"/>
      <c r="D1024" s="7"/>
      <c r="E1024" s="7"/>
      <c r="F1024" s="7"/>
      <c r="G1024" s="7"/>
      <c r="H1024" s="6"/>
      <c r="I1024" s="7"/>
      <c r="J1024" s="7"/>
      <c r="K1024" s="7"/>
      <c r="L1024" s="7"/>
      <c r="M1024" s="52"/>
      <c r="N1024" s="7"/>
      <c r="O1024" s="7"/>
      <c r="P1024" s="47"/>
      <c r="Q1024" s="47"/>
      <c r="R1024" s="7"/>
      <c r="S1024" s="51"/>
      <c r="T1024" s="51"/>
      <c r="U1024" s="7"/>
      <c r="V1024" s="57"/>
      <c r="W1024" s="57"/>
      <c r="X1024" s="57"/>
    </row>
    <row r="1025" spans="1:24" ht="12.5" x14ac:dyDescent="0.25">
      <c r="A1025" s="34"/>
      <c r="B1025" s="7"/>
      <c r="C1025" s="19"/>
      <c r="D1025" s="7"/>
      <c r="E1025" s="7"/>
      <c r="F1025" s="7"/>
      <c r="G1025" s="7"/>
      <c r="H1025" s="6"/>
      <c r="I1025" s="7"/>
      <c r="J1025" s="7"/>
      <c r="K1025" s="7"/>
      <c r="L1025" s="7"/>
      <c r="M1025" s="52"/>
      <c r="N1025" s="7"/>
      <c r="O1025" s="7"/>
      <c r="P1025" s="47"/>
      <c r="Q1025" s="47"/>
      <c r="R1025" s="7"/>
      <c r="S1025" s="51"/>
      <c r="T1025" s="51"/>
      <c r="U1025" s="7"/>
      <c r="V1025" s="57"/>
      <c r="W1025" s="57"/>
      <c r="X1025" s="57"/>
    </row>
    <row r="1026" spans="1:24" ht="12.5" x14ac:dyDescent="0.25">
      <c r="A1026" s="34"/>
      <c r="B1026" s="7"/>
      <c r="C1026" s="19"/>
      <c r="D1026" s="7"/>
      <c r="E1026" s="7"/>
      <c r="F1026" s="7"/>
      <c r="G1026" s="7"/>
      <c r="H1026" s="6"/>
      <c r="I1026" s="7"/>
      <c r="J1026" s="7"/>
      <c r="K1026" s="7"/>
      <c r="L1026" s="7"/>
      <c r="M1026" s="52"/>
      <c r="N1026" s="7"/>
      <c r="O1026" s="7"/>
      <c r="P1026" s="47"/>
      <c r="Q1026" s="47"/>
      <c r="R1026" s="7"/>
      <c r="S1026" s="51"/>
      <c r="T1026" s="51"/>
      <c r="U1026" s="7"/>
      <c r="V1026" s="57"/>
      <c r="W1026" s="57"/>
      <c r="X1026" s="57"/>
    </row>
    <row r="1027" spans="1:24" ht="12.5" x14ac:dyDescent="0.25">
      <c r="A1027" s="34"/>
      <c r="B1027" s="7"/>
      <c r="C1027" s="19"/>
      <c r="D1027" s="7"/>
      <c r="E1027" s="7"/>
      <c r="F1027" s="7"/>
      <c r="G1027" s="7"/>
      <c r="H1027" s="6"/>
      <c r="I1027" s="7"/>
      <c r="J1027" s="7"/>
      <c r="K1027" s="7"/>
      <c r="L1027" s="7"/>
      <c r="M1027" s="52"/>
      <c r="N1027" s="7"/>
      <c r="O1027" s="7"/>
      <c r="P1027" s="47"/>
      <c r="Q1027" s="47"/>
      <c r="R1027" s="7"/>
      <c r="S1027" s="51"/>
      <c r="T1027" s="51"/>
      <c r="U1027" s="7"/>
      <c r="V1027" s="57"/>
      <c r="W1027" s="57"/>
      <c r="X1027" s="57"/>
    </row>
    <row r="1028" spans="1:24" ht="12.5" x14ac:dyDescent="0.25">
      <c r="A1028" s="34"/>
      <c r="B1028" s="7"/>
      <c r="C1028" s="19"/>
      <c r="D1028" s="7"/>
      <c r="E1028" s="7"/>
      <c r="F1028" s="7"/>
      <c r="G1028" s="7"/>
      <c r="H1028" s="6"/>
      <c r="I1028" s="7"/>
      <c r="J1028" s="7"/>
      <c r="K1028" s="7"/>
      <c r="L1028" s="7"/>
      <c r="M1028" s="52"/>
      <c r="N1028" s="7"/>
      <c r="O1028" s="7"/>
      <c r="P1028" s="47"/>
      <c r="Q1028" s="47"/>
      <c r="R1028" s="7"/>
      <c r="S1028" s="51"/>
      <c r="T1028" s="51"/>
      <c r="U1028" s="7"/>
      <c r="V1028" s="57"/>
      <c r="W1028" s="57"/>
      <c r="X1028" s="57"/>
    </row>
    <row r="1029" spans="1:24" ht="12.5" x14ac:dyDescent="0.25">
      <c r="A1029" s="34"/>
      <c r="B1029" s="7"/>
      <c r="C1029" s="19"/>
      <c r="D1029" s="7"/>
      <c r="E1029" s="7"/>
      <c r="F1029" s="7"/>
      <c r="G1029" s="7"/>
      <c r="H1029" s="6"/>
      <c r="I1029" s="7"/>
      <c r="J1029" s="7"/>
      <c r="K1029" s="7"/>
      <c r="L1029" s="7"/>
      <c r="M1029" s="52"/>
      <c r="N1029" s="7"/>
      <c r="O1029" s="7"/>
      <c r="P1029" s="47"/>
      <c r="Q1029" s="47"/>
      <c r="R1029" s="7"/>
      <c r="S1029" s="51"/>
      <c r="T1029" s="51"/>
      <c r="U1029" s="7"/>
      <c r="V1029" s="57"/>
      <c r="W1029" s="57"/>
      <c r="X1029" s="5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029"/>
  <sheetViews>
    <sheetView workbookViewId="0"/>
  </sheetViews>
  <sheetFormatPr defaultColWidth="12.54296875" defaultRowHeight="15.75" customHeight="1" x14ac:dyDescent="0.25"/>
  <cols>
    <col min="2" max="2" width="14.453125" customWidth="1"/>
    <col min="11" max="11" width="14.453125" customWidth="1"/>
    <col min="16" max="16" width="14.1796875" customWidth="1"/>
    <col min="20" max="20" width="14.453125" customWidth="1"/>
  </cols>
  <sheetData>
    <row r="1" spans="1:24" ht="15.75" customHeight="1" x14ac:dyDescent="0.3">
      <c r="A1" s="33" t="s">
        <v>41</v>
      </c>
      <c r="B1" s="3" t="s">
        <v>42</v>
      </c>
      <c r="C1" s="4" t="s">
        <v>1</v>
      </c>
      <c r="D1" s="3" t="s">
        <v>43</v>
      </c>
      <c r="E1" s="3" t="s">
        <v>78</v>
      </c>
      <c r="F1" s="3"/>
      <c r="G1" s="44" t="s">
        <v>79</v>
      </c>
      <c r="H1" s="45" t="s">
        <v>47</v>
      </c>
      <c r="I1" s="45"/>
      <c r="J1" s="45" t="s">
        <v>81</v>
      </c>
      <c r="K1" s="45" t="s">
        <v>82</v>
      </c>
      <c r="L1" s="45" t="s">
        <v>83</v>
      </c>
      <c r="M1" s="45" t="s">
        <v>50</v>
      </c>
      <c r="N1" s="46" t="s">
        <v>84</v>
      </c>
      <c r="O1" s="47"/>
      <c r="P1" s="48" t="s">
        <v>85</v>
      </c>
      <c r="Q1" s="49" t="s">
        <v>79</v>
      </c>
      <c r="R1" s="45"/>
      <c r="S1" s="45" t="s">
        <v>81</v>
      </c>
      <c r="T1" s="45" t="s">
        <v>82</v>
      </c>
      <c r="U1" s="45" t="s">
        <v>86</v>
      </c>
      <c r="V1" s="46" t="s">
        <v>34</v>
      </c>
      <c r="W1" s="3"/>
      <c r="X1" s="3"/>
    </row>
    <row r="2" spans="1:24" ht="15.75" customHeight="1" x14ac:dyDescent="0.25">
      <c r="A2" s="34">
        <f ca="1">IFERROR(__xludf.DUMMYFUNCTION("unique(filter('Training Responses'!$L$2:$L1029,'Training Responses'!$S$2:$S1029='Team Practice Report'!$AE$8,'Training Responses'!$DT$2:$DT1029=1))"),44945)</f>
        <v>44945</v>
      </c>
      <c r="B2" s="7" t="str">
        <f ca="1">IFERROR(__xludf.DUMMYFUNCTION("unique('Training Responses'!$S$2:$S1029)"),"In-Season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7" t="e">
        <f ca="1">IF(OR(#REF!=$C$3,#REF!=$C$4,#REF!=$C$5,#REF!=$C$6,#REF!=$C$7,#REF!=$C$8,#REF!=$C$9,#REF!=$C$10),#REF!,"")</f>
        <v>#REF!</v>
      </c>
      <c r="F2" s="7"/>
      <c r="G2" s="50">
        <v>4</v>
      </c>
      <c r="H2" s="6" t="e">
        <f>#REF!</f>
        <v>#REF!</v>
      </c>
      <c r="I2" s="51"/>
      <c r="J2" s="51">
        <f ca="1">IFERROR(__xludf.DUMMYFUNCTION("IF($H2="""","""",iferror(average(filter('Training Responses'!$AM$2:$AM1029,'Training Responses'!$L$2:$L1029=$H2)),0))"),525)</f>
        <v>525</v>
      </c>
      <c r="K2" s="51">
        <f ca="1">IFERROR(__xludf.DUMMYFUNCTION("IF($H2="""","""",iferror(average(filter('Training Responses'!$AL$2:$AL1029,'Training Responses'!$L$2:$L1029=$H2,'Training Responses'!$DU$2:$DU1029=1)),0))"),0)</f>
        <v>0</v>
      </c>
      <c r="L2" s="51" t="e">
        <f t="shared" ref="L2:L29" si="0">IF($H2="","", SUM(I2:K2))</f>
        <v>#REF!</v>
      </c>
      <c r="M2" s="52">
        <f ca="1">IFERROR(__xludf.DUMMYFUNCTION("IF($H2="""","""",iferror(average(filter('Training Responses'!$DZ$2:$DZ1029,'Training Responses'!$L$2:$L1029=H2)),0))"),0.870210564250185)</f>
        <v>0.87021056425018495</v>
      </c>
      <c r="N2" s="53">
        <f ca="1">IFERROR(__xludf.DUMMYFUNCTION("iferror(IF($H2="""","""", average(filter('Wellness Responses'!$AS$2:$AS1029,'Wellness Responses'!$O$2:$O1029=H2))),"""")"),0.586538461538461)</f>
        <v>0.58653846153846101</v>
      </c>
      <c r="O2" s="7"/>
      <c r="P2" s="54">
        <v>1</v>
      </c>
      <c r="Q2" s="19" t="e">
        <f t="shared" ref="Q2:Q28" si="1">IF(U3&lt;&gt;"",P2, IF(U2="","",P2))</f>
        <v>#REF!</v>
      </c>
      <c r="R2" s="7"/>
      <c r="S2" s="51" t="e">
        <f>IF(SUMIF(#REF!,$P2,#REF!)/#REF!=0,"",SUMIF(#REF!,$P2,#REF!)/#REF!)</f>
        <v>#REF!</v>
      </c>
      <c r="T2" s="51" t="e">
        <f>IF(SUMIFS(#REF!,#REF!,$P2,#REF!,1)/#REF!=0,"",SUMIFS(#REF!,#REF!,$P2,#REF!,1)/#REF!)</f>
        <v>#REF!</v>
      </c>
      <c r="U2" s="51" t="e">
        <f t="shared" ref="U2:U29" si="2">IF(SUM(R2:T2)=0,"",SUM(R2:T2))</f>
        <v>#REF!</v>
      </c>
      <c r="V2" s="55"/>
      <c r="W2" s="19"/>
      <c r="X2" s="47"/>
    </row>
    <row r="3" spans="1:24" ht="15.75" customHeight="1" x14ac:dyDescent="0.25">
      <c r="A3" s="34">
        <f ca="1">IFERROR(__xludf.DUMMYFUNCTION("""COMPUTED_VALUE"""),44950)</f>
        <v>44950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3" s="7"/>
      <c r="G3" s="50">
        <v>4</v>
      </c>
      <c r="H3" s="6" t="e">
        <f>IF(
(IF($H2&lt;1,"",_xludf.MaxIFS(#REF!,#REF!,#REF!,#REF!,"&lt;"&amp;$H2)))&lt;1,"",
(IF($H2&lt;1,"",_xludf.MaxIFS(#REF!,#REF!,#REF!,#REF!,"&lt;"&amp;$H2))))</f>
        <v>#REF!</v>
      </c>
      <c r="I3" s="51"/>
      <c r="J3" s="51">
        <f ca="1">IFERROR(__xludf.DUMMYFUNCTION("IF($H3="""","""",iferror(average(filter('Training Responses'!$AM$2:$AM1029,'Training Responses'!$L$2:$L1029=$H3)),0))"),450)</f>
        <v>450</v>
      </c>
      <c r="K3" s="51">
        <f ca="1">IFERROR(__xludf.DUMMYFUNCTION("IF($H3="""","""",iferror(average(filter('Training Responses'!$AL$2:$AL1029,'Training Responses'!$L$2:$L1029=$H3,'Training Responses'!$DU$2:$DU1029=1)),0))"),315)</f>
        <v>315</v>
      </c>
      <c r="L3" s="51" t="e">
        <f t="shared" si="0"/>
        <v>#REF!</v>
      </c>
      <c r="M3" s="52">
        <f ca="1">IFERROR(__xludf.DUMMYFUNCTION("IF($H3="""","""",iferror(average(filter('Training Responses'!$DZ$2:$DZ1029,'Training Responses'!$L$2:$L1029=H3)),0))"),0.806196337154697)</f>
        <v>0.80619633715469696</v>
      </c>
      <c r="N3" s="53">
        <f ca="1">IFERROR(__xludf.DUMMYFUNCTION("iferror(IF($H3="""","""", average(filter('Wellness Responses'!$AS$2:$AS1029,'Wellness Responses'!$O$2:$O1029=H3))),"""")"),0.693452380952381)</f>
        <v>0.69345238095238104</v>
      </c>
      <c r="O3" s="7"/>
      <c r="P3" s="54">
        <v>2</v>
      </c>
      <c r="Q3" s="19" t="e">
        <f t="shared" si="1"/>
        <v>#REF!</v>
      </c>
      <c r="R3" s="7"/>
      <c r="S3" s="51" t="e">
        <f>IF(SUMIF(#REF!,$P3,#REF!)/#REF!=0,"",SUMIF(#REF!,$P3,#REF!)/#REF!)</f>
        <v>#REF!</v>
      </c>
      <c r="T3" s="51" t="e">
        <f>IF(SUMIFS(#REF!,#REF!,$P3,#REF!,1)/#REF!=0,"",SUMIFS(#REF!,#REF!,$P3,#REF!,1)/#REF!)</f>
        <v>#REF!</v>
      </c>
      <c r="U3" s="51" t="e">
        <f t="shared" si="2"/>
        <v>#REF!</v>
      </c>
      <c r="V3" s="56" t="str">
        <f t="shared" ref="V3:V29" si="3">IFERROR((U3-U2)/U2,"")</f>
        <v/>
      </c>
      <c r="W3" s="57"/>
      <c r="X3" s="57"/>
    </row>
    <row r="4" spans="1:24" ht="15.75" customHeight="1" x14ac:dyDescent="0.3">
      <c r="A4" s="34">
        <f ca="1">IFERROR(__xludf.DUMMYFUNCTION("""COMPUTED_VALUE"""),44951)</f>
        <v>44951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" t="s">
        <v>87</v>
      </c>
      <c r="F4" s="7"/>
      <c r="G4" s="50">
        <v>3</v>
      </c>
      <c r="H4" s="6" t="e">
        <f>IF(
(IF($H3&lt;1,"",_xludf.MaxIFS(#REF!,#REF!,#REF!,#REF!,"&lt;"&amp;$H3)))&lt;1,"",
(IF($H3&lt;1,"",_xludf.MaxIFS(#REF!,#REF!,#REF!,#REF!,"&lt;"&amp;$H3))))</f>
        <v>#REF!</v>
      </c>
      <c r="I4" s="51"/>
      <c r="J4" s="51">
        <f ca="1">IFERROR(__xludf.DUMMYFUNCTION("IF($H4="""","""",iferror(average(filter('Training Responses'!$AM$2:$AM1029,'Training Responses'!$L$2:$L1029=$H4)),0))"),0)</f>
        <v>0</v>
      </c>
      <c r="K4" s="51">
        <f ca="1">IFERROR(__xludf.DUMMYFUNCTION("IF($H4="""","""",iferror(average(filter('Training Responses'!$AL$2:$AL1029,'Training Responses'!$L$2:$L1029=$H4,'Training Responses'!$DU$2:$DU1029=1)),0))"),480)</f>
        <v>480</v>
      </c>
      <c r="L4" s="51" t="e">
        <f t="shared" si="0"/>
        <v>#REF!</v>
      </c>
      <c r="M4" s="52">
        <f ca="1">IFERROR(__xludf.DUMMYFUNCTION("IF($H4="""","""",iferror(average(filter('Training Responses'!$DZ$2:$DZ1029,'Training Responses'!$L$2:$L1029=H4)),0))"),1.09793351439369)</f>
        <v>1.0979335143936899</v>
      </c>
      <c r="N4" s="53">
        <f ca="1">IFERROR(__xludf.DUMMYFUNCTION("iferror(IF($H4="""","""", average(filter('Wellness Responses'!$AS$2:$AS1029,'Wellness Responses'!$O$2:$O1029=H4))),"""")"),0.675595238095238)</f>
        <v>0.67559523809523803</v>
      </c>
      <c r="O4" s="7"/>
      <c r="P4" s="54">
        <v>3</v>
      </c>
      <c r="Q4" s="19" t="e">
        <f t="shared" si="1"/>
        <v>#REF!</v>
      </c>
      <c r="R4" s="7"/>
      <c r="S4" s="51" t="e">
        <f>IF(SUMIF(#REF!,$P4,#REF!)/#REF!=0,"",SUMIF(#REF!,$P4,#REF!)/#REF!)</f>
        <v>#REF!</v>
      </c>
      <c r="T4" s="51" t="e">
        <f>IF(SUMIFS(#REF!,#REF!,$P4,#REF!,1)/#REF!=0,"",SUMIFS(#REF!,#REF!,$P4,#REF!,1)/#REF!)</f>
        <v>#REF!</v>
      </c>
      <c r="U4" s="51" t="e">
        <f t="shared" si="2"/>
        <v>#REF!</v>
      </c>
      <c r="V4" s="56" t="str">
        <f t="shared" si="3"/>
        <v/>
      </c>
      <c r="W4" s="57"/>
      <c r="X4" s="57"/>
    </row>
    <row r="5" spans="1:24" ht="15.75" customHeight="1" x14ac:dyDescent="0.25">
      <c r="A5" s="34">
        <f ca="1">IFERROR(__xludf.DUMMYFUNCTION("""COMPUTED_VALUE"""),44952)</f>
        <v>44952</v>
      </c>
      <c r="B5" s="7"/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7" t="e">
        <f ca="1">IF(OR(#REF!=$C$3,#REF!=$C$4,#REF!=$C$5,#REF!=$C$6,#REF!=$C$7,#REF!=$C$8,#REF!=$C$9,#REF!=$C$10),#REF!,"")</f>
        <v>#REF!</v>
      </c>
      <c r="F5" s="7"/>
      <c r="G5" s="50">
        <v>3</v>
      </c>
      <c r="H5" s="6" t="e">
        <f>IF(
(IF($H4&lt;1,"",_xludf.MaxIFS(#REF!,#REF!,#REF!,#REF!,"&lt;"&amp;$H4)))&lt;1,"",
(IF($H4&lt;1,"",_xludf.MaxIFS(#REF!,#REF!,#REF!,#REF!,"&lt;"&amp;$H4))))</f>
        <v>#REF!</v>
      </c>
      <c r="I5" s="51"/>
      <c r="J5" s="51">
        <f ca="1">IFERROR(__xludf.DUMMYFUNCTION("IF($H5="""","""",iferror(average(filter('Training Responses'!$AM$2:$AM1029,'Training Responses'!$L$2:$L1029=$H5)),0))"),960)</f>
        <v>960</v>
      </c>
      <c r="K5" s="51">
        <f ca="1">IFERROR(__xludf.DUMMYFUNCTION("IF($H5="""","""",iferror(average(filter('Training Responses'!$AL$2:$AL1029,'Training Responses'!$L$2:$L1029=$H5,'Training Responses'!$DU$2:$DU1029=1)),0))"),405)</f>
        <v>405</v>
      </c>
      <c r="L5" s="51" t="e">
        <f t="shared" si="0"/>
        <v>#REF!</v>
      </c>
      <c r="M5" s="52">
        <f ca="1">IFERROR(__xludf.DUMMYFUNCTION("IF($H5="""","""",iferror(average(filter('Training Responses'!$DZ$2:$DZ1029,'Training Responses'!$L$2:$L1029=H5)),0))"),1.17152410327208)</f>
        <v>1.17152410327208</v>
      </c>
      <c r="N5" s="53">
        <f ca="1">IFERROR(__xludf.DUMMYFUNCTION("iferror(IF($H5="""","""", average(filter('Wellness Responses'!$AS$2:$AS1029,'Wellness Responses'!$O$2:$O1029=H5))),"""")"),0.673076923076923)</f>
        <v>0.67307692307692302</v>
      </c>
      <c r="O5" s="7"/>
      <c r="P5" s="54">
        <v>4</v>
      </c>
      <c r="Q5" s="19" t="e">
        <f t="shared" si="1"/>
        <v>#REF!</v>
      </c>
      <c r="R5" s="7"/>
      <c r="S5" s="51" t="e">
        <f>IF(SUMIF(#REF!,$P5,#REF!)/#REF!=0,"",SUMIF(#REF!,$P5,#REF!)/#REF!)</f>
        <v>#REF!</v>
      </c>
      <c r="T5" s="51" t="e">
        <f>IF(SUMIFS(#REF!,#REF!,$P5,#REF!,1)/#REF!=0,"",SUMIFS(#REF!,#REF!,$P5,#REF!,1)/#REF!)</f>
        <v>#REF!</v>
      </c>
      <c r="U5" s="51" t="e">
        <f t="shared" si="2"/>
        <v>#REF!</v>
      </c>
      <c r="V5" s="56" t="str">
        <f t="shared" si="3"/>
        <v/>
      </c>
      <c r="W5" s="57"/>
      <c r="X5" s="57"/>
    </row>
    <row r="6" spans="1:24" ht="15.75" customHeight="1" x14ac:dyDescent="0.25">
      <c r="A6" s="34">
        <f ca="1">IFERROR(__xludf.DUMMYFUNCTION("""COMPUTED_VALUE"""),44957)</f>
        <v>44957</v>
      </c>
      <c r="B6" s="7"/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7"/>
      <c r="G6" s="50">
        <v>3</v>
      </c>
      <c r="H6" s="6" t="e">
        <f>IF(
(IF($H5&lt;1,"",_xludf.MaxIFS(#REF!,#REF!,#REF!,#REF!,"&lt;"&amp;$H5)))&lt;1,"",
(IF($H5&lt;1,"",_xludf.MaxIFS(#REF!,#REF!,#REF!,#REF!,"&lt;"&amp;$H5))))</f>
        <v>#REF!</v>
      </c>
      <c r="I6" s="51"/>
      <c r="J6" s="51">
        <f ca="1">IFERROR(__xludf.DUMMYFUNCTION("IF($H6="""","""",iferror(average(filter('Training Responses'!$AM$2:$AM1029,'Training Responses'!$L$2:$L1029=$H6)),0))"),525)</f>
        <v>525</v>
      </c>
      <c r="K6" s="51">
        <f ca="1">IFERROR(__xludf.DUMMYFUNCTION("IF($H6="""","""",iferror(average(filter('Training Responses'!$AL$2:$AL1029,'Training Responses'!$L$2:$L1029=$H6,'Training Responses'!$DU$2:$DU1029=1)),0))"),0)</f>
        <v>0</v>
      </c>
      <c r="L6" s="51" t="e">
        <f t="shared" si="0"/>
        <v>#REF!</v>
      </c>
      <c r="M6" s="52">
        <f ca="1">IFERROR(__xludf.DUMMYFUNCTION("IF($H6="""","""",iferror(average(filter('Training Responses'!$DZ$2:$DZ1029,'Training Responses'!$L$2:$L1029=H6)),0))"),0.867415617358052)</f>
        <v>0.86741561735805195</v>
      </c>
      <c r="N6" s="53">
        <f ca="1">IFERROR(__xludf.DUMMYFUNCTION("iferror(IF($H6="""","""", average(filter('Wellness Responses'!$AS$2:$AS1029,'Wellness Responses'!$O$2:$O1029=H6))),"""")"),0.584558823529411)</f>
        <v>0.58455882352941102</v>
      </c>
      <c r="O6" s="7"/>
      <c r="P6" s="54">
        <v>5</v>
      </c>
      <c r="Q6" s="19" t="e">
        <f t="shared" si="1"/>
        <v>#REF!</v>
      </c>
      <c r="R6" s="7"/>
      <c r="S6" s="51" t="e">
        <f>IF(SUMIF(#REF!,$P6,#REF!)/#REF!=0,"",SUMIF(#REF!,$P6,#REF!)/#REF!)</f>
        <v>#REF!</v>
      </c>
      <c r="T6" s="51" t="e">
        <f>IF(SUMIFS(#REF!,#REF!,$P6,#REF!,1)/#REF!=0,"",SUMIFS(#REF!,#REF!,$P6,#REF!,1)/#REF!)</f>
        <v>#REF!</v>
      </c>
      <c r="U6" s="51" t="e">
        <f t="shared" si="2"/>
        <v>#REF!</v>
      </c>
      <c r="V6" s="56" t="str">
        <f t="shared" si="3"/>
        <v/>
      </c>
      <c r="W6" s="57"/>
      <c r="X6" s="57"/>
    </row>
    <row r="7" spans="1:24" ht="15.75" customHeight="1" x14ac:dyDescent="0.3">
      <c r="A7" s="34">
        <f ca="1">IFERROR(__xludf.DUMMYFUNCTION("""COMPUTED_VALUE"""),44958)</f>
        <v>44958</v>
      </c>
      <c r="B7" s="7"/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E7" s="3" t="s">
        <v>88</v>
      </c>
      <c r="F7" s="7"/>
      <c r="G7" s="50">
        <v>3</v>
      </c>
      <c r="H7" s="6" t="e">
        <f>IF(
(IF($H6&lt;1,"",_xludf.MaxIFS(#REF!,#REF!,#REF!,#REF!,"&lt;"&amp;$H6)))&lt;1,"",
(IF($H6&lt;1,"",_xludf.MaxIFS(#REF!,#REF!,#REF!,#REF!,"&lt;"&amp;$H6))))</f>
        <v>#REF!</v>
      </c>
      <c r="I7" s="51"/>
      <c r="J7" s="51">
        <f ca="1">IFERROR(__xludf.DUMMYFUNCTION("IF($H7="""","""",iferror(average(filter('Training Responses'!$AM$2:$AM1029,'Training Responses'!$L$2:$L1029=$H7)),0))"),630)</f>
        <v>630</v>
      </c>
      <c r="K7" s="51">
        <f ca="1">IFERROR(__xludf.DUMMYFUNCTION("IF($H7="""","""",iferror(average(filter('Training Responses'!$AL$2:$AL1029,'Training Responses'!$L$2:$L1029=$H7,'Training Responses'!$DU$2:$DU1029=1)),0))"),480)</f>
        <v>480</v>
      </c>
      <c r="L7" s="51" t="e">
        <f t="shared" si="0"/>
        <v>#REF!</v>
      </c>
      <c r="M7" s="52">
        <f ca="1">IFERROR(__xludf.DUMMYFUNCTION("IF($H7="""","""",iferror(average(filter('Training Responses'!$DZ$2:$DZ1029,'Training Responses'!$L$2:$L1029=H7)),0))"),0.823075943201022)</f>
        <v>0.82307594320102195</v>
      </c>
      <c r="N7" s="53">
        <f ca="1">IFERROR(__xludf.DUMMYFUNCTION("iferror(IF($H7="""","""", average(filter('Wellness Responses'!$AS$2:$AS1029,'Wellness Responses'!$O$2:$O1029=H7))),"""")"),0.638888888888888)</f>
        <v>0.63888888888888795</v>
      </c>
      <c r="O7" s="7"/>
      <c r="P7" s="54">
        <v>6</v>
      </c>
      <c r="Q7" s="19" t="e">
        <f t="shared" si="1"/>
        <v>#REF!</v>
      </c>
      <c r="R7" s="7"/>
      <c r="S7" s="51" t="e">
        <f>IF(SUMIF(#REF!,$P7,#REF!)/#REF!=0,"",SUMIF(#REF!,$P7,#REF!)/#REF!)</f>
        <v>#REF!</v>
      </c>
      <c r="T7" s="51" t="e">
        <f>IF(SUMIFS(#REF!,#REF!,$P7,#REF!,1)/#REF!=0,"",SUMIFS(#REF!,#REF!,$P7,#REF!,1)/#REF!)</f>
        <v>#REF!</v>
      </c>
      <c r="U7" s="51" t="e">
        <f t="shared" si="2"/>
        <v>#REF!</v>
      </c>
      <c r="V7" s="56" t="str">
        <f t="shared" si="3"/>
        <v/>
      </c>
      <c r="W7" s="57"/>
      <c r="X7" s="57"/>
    </row>
    <row r="8" spans="1:24" ht="15.75" customHeight="1" x14ac:dyDescent="0.25">
      <c r="A8" s="34">
        <f ca="1">IFERROR(__xludf.DUMMYFUNCTION("""COMPUTED_VALUE"""),44959)</f>
        <v>44959</v>
      </c>
      <c r="B8" s="7"/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E8" s="7" t="e">
        <f ca="1">IF(OR(#REF!=$C$3,#REF!=$C$4,#REF!=$C$5,#REF!=$C$6,#REF!=$C$7,#REF!=$C$8,#REF!=$C$9,#REF!=$C$10),#REF!,"")</f>
        <v>#REF!</v>
      </c>
      <c r="F8" s="7"/>
      <c r="G8" s="50">
        <v>2</v>
      </c>
      <c r="H8" s="6" t="e">
        <f>IF(
(IF($H7&lt;1,"",_xludf.MaxIFS(#REF!,#REF!,#REF!,#REF!,"&lt;"&amp;$H7)))&lt;1,"",
(IF($H7&lt;1,"",_xludf.MaxIFS(#REF!,#REF!,#REF!,#REF!,"&lt;"&amp;$H7))))</f>
        <v>#REF!</v>
      </c>
      <c r="I8" s="51"/>
      <c r="J8" s="51">
        <f ca="1">IFERROR(__xludf.DUMMYFUNCTION("IF($H8="""","""",iferror(average(filter('Training Responses'!$AM$2:$AM1029,'Training Responses'!$L$2:$L1029=$H8)),0))"),630)</f>
        <v>630</v>
      </c>
      <c r="K8" s="51">
        <f ca="1">IFERROR(__xludf.DUMMYFUNCTION("IF($H8="""","""",iferror(average(filter('Training Responses'!$AL$2:$AL1029,'Training Responses'!$L$2:$L1029=$H8,'Training Responses'!$DU$2:$DU1029=1)),0))"),360)</f>
        <v>360</v>
      </c>
      <c r="L8" s="51" t="e">
        <f t="shared" si="0"/>
        <v>#REF!</v>
      </c>
      <c r="M8" s="52">
        <f ca="1">IFERROR(__xludf.DUMMYFUNCTION("IF($H8="""","""",iferror(average(filter('Training Responses'!$DZ$2:$DZ1029,'Training Responses'!$L$2:$L1029=H8)),0))"),1.01544918188603)</f>
        <v>1.0154491818860301</v>
      </c>
      <c r="N8" s="53">
        <f ca="1">IFERROR(__xludf.DUMMYFUNCTION("iferror(IF($H8="""","""", average(filter('Wellness Responses'!$AS$2:$AS1029,'Wellness Responses'!$O$2:$O1029=H8))),"""")"),0.598958333333333)</f>
        <v>0.59895833333333304</v>
      </c>
      <c r="O8" s="7"/>
      <c r="P8" s="54">
        <v>7</v>
      </c>
      <c r="Q8" s="19" t="e">
        <f t="shared" si="1"/>
        <v>#REF!</v>
      </c>
      <c r="R8" s="7"/>
      <c r="S8" s="51" t="e">
        <f>IF(SUMIF(#REF!,$P8,#REF!)/#REF!=0,"",SUMIF(#REF!,$P8,#REF!)/#REF!)</f>
        <v>#REF!</v>
      </c>
      <c r="T8" s="51" t="e">
        <f>IF(SUMIFS(#REF!,#REF!,$P8,#REF!,1)/#REF!=0,"",SUMIFS(#REF!,#REF!,$P8,#REF!,1)/#REF!)</f>
        <v>#REF!</v>
      </c>
      <c r="U8" s="51" t="e">
        <f t="shared" si="2"/>
        <v>#REF!</v>
      </c>
      <c r="V8" s="56" t="str">
        <f t="shared" si="3"/>
        <v/>
      </c>
      <c r="W8" s="57"/>
      <c r="X8" s="57"/>
    </row>
    <row r="9" spans="1:24" ht="15.75" customHeight="1" x14ac:dyDescent="0.25">
      <c r="A9" s="34">
        <f ca="1">IFERROR(__xludf.DUMMYFUNCTION("""COMPUTED_VALUE"""),44964)</f>
        <v>44964</v>
      </c>
      <c r="B9" s="7"/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E9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9" s="7"/>
      <c r="G9" s="50">
        <v>2</v>
      </c>
      <c r="H9" s="6" t="e">
        <f>IF(
(IF($H8&lt;1,"",_xludf.MaxIFS(#REF!,#REF!,#REF!,#REF!,"&lt;"&amp;$H8)))&lt;1,"",
(IF($H8&lt;1,"",_xludf.MaxIFS(#REF!,#REF!,#REF!,#REF!,"&lt;"&amp;$H8))))</f>
        <v>#REF!</v>
      </c>
      <c r="I9" s="51"/>
      <c r="J9" s="51">
        <f ca="1">IFERROR(__xludf.DUMMYFUNCTION("IF($H9="""","""",iferror(average(filter('Training Responses'!$AM$2:$AM1029,'Training Responses'!$L$2:$L1029=$H9)),0))"),720)</f>
        <v>720</v>
      </c>
      <c r="K9" s="51">
        <f ca="1">IFERROR(__xludf.DUMMYFUNCTION("IF($H9="""","""",iferror(average(filter('Training Responses'!$AL$2:$AL1029,'Training Responses'!$L$2:$L1029=$H9,'Training Responses'!$DU$2:$DU1029=1)),0))"),0)</f>
        <v>0</v>
      </c>
      <c r="L9" s="51" t="e">
        <f t="shared" si="0"/>
        <v>#REF!</v>
      </c>
      <c r="M9" s="52">
        <f ca="1">IFERROR(__xludf.DUMMYFUNCTION("IF($H9="""","""",iferror(average(filter('Training Responses'!$DZ$2:$DZ1029,'Training Responses'!$L$2:$L1029=H9)),0))"),0.874111895849864)</f>
        <v>0.87411189584986404</v>
      </c>
      <c r="N9" s="53">
        <f ca="1">IFERROR(__xludf.DUMMYFUNCTION("iferror(IF($H9="""","""", average(filter('Wellness Responses'!$AS$2:$AS1029,'Wellness Responses'!$O$2:$O1029=H9))),"""")"),0.584558823529411)</f>
        <v>0.58455882352941102</v>
      </c>
      <c r="O9" s="7"/>
      <c r="P9" s="54">
        <v>8</v>
      </c>
      <c r="Q9" s="19" t="e">
        <f t="shared" si="1"/>
        <v>#REF!</v>
      </c>
      <c r="R9" s="7"/>
      <c r="S9" s="51" t="e">
        <f>IF(SUMIF(#REF!,$P9,#REF!)/#REF!=0,"",SUMIF(#REF!,$P9,#REF!)/#REF!)</f>
        <v>#REF!</v>
      </c>
      <c r="T9" s="51" t="e">
        <f>IF(SUMIFS(#REF!,#REF!,$P9,#REF!,1)/#REF!=0,"",SUMIFS(#REF!,#REF!,$P9,#REF!,1)/#REF!)</f>
        <v>#REF!</v>
      </c>
      <c r="U9" s="51" t="e">
        <f t="shared" si="2"/>
        <v>#REF!</v>
      </c>
      <c r="V9" s="56" t="str">
        <f t="shared" si="3"/>
        <v/>
      </c>
      <c r="W9" s="57"/>
      <c r="X9" s="57"/>
    </row>
    <row r="10" spans="1:24" ht="15.75" customHeight="1" x14ac:dyDescent="0.3">
      <c r="A10" s="34">
        <f ca="1">IFERROR(__xludf.DUMMYFUNCTION("""COMPUTED_VALUE"""),44965)</f>
        <v>44965</v>
      </c>
      <c r="B10" s="7"/>
      <c r="C10" s="19"/>
      <c r="D10" s="7"/>
      <c r="E10" s="3" t="s">
        <v>89</v>
      </c>
      <c r="F10" s="7"/>
      <c r="G10" s="50">
        <v>2</v>
      </c>
      <c r="H10" s="6" t="e">
        <f>IF(
(IF($H9&lt;1,"",_xludf.MaxIFS(#REF!,#REF!,#REF!,#REF!,"&lt;"&amp;$H9)))&lt;1,"",
(IF($H9&lt;1,"",_xludf.MaxIFS(#REF!,#REF!,#REF!,#REF!,"&lt;"&amp;$H9))))</f>
        <v>#REF!</v>
      </c>
      <c r="I10" s="51"/>
      <c r="J10" s="51">
        <f ca="1">IFERROR(__xludf.DUMMYFUNCTION("IF($H10="""","""",iferror(average(filter('Training Responses'!$AM$2:$AM1029,'Training Responses'!$L$2:$L1029=$H10)),0))"),720)</f>
        <v>720</v>
      </c>
      <c r="K10" s="51">
        <f ca="1">IFERROR(__xludf.DUMMYFUNCTION("IF($H10="""","""",iferror(average(filter('Training Responses'!$AL$2:$AL1029,'Training Responses'!$L$2:$L1029=$H10,'Training Responses'!$DU$2:$DU1029=1)),0))"),360)</f>
        <v>360</v>
      </c>
      <c r="L10" s="51" t="e">
        <f t="shared" si="0"/>
        <v>#REF!</v>
      </c>
      <c r="M10" s="52">
        <f ca="1">IFERROR(__xludf.DUMMYFUNCTION("IF($H10="""","""",iferror(average(filter('Training Responses'!$DZ$2:$DZ1029,'Training Responses'!$L$2:$L1029=H10)),0))"),0.785024266027228)</f>
        <v>0.78502426602722797</v>
      </c>
      <c r="N10" s="53">
        <f ca="1">IFERROR(__xludf.DUMMYFUNCTION("iferror(IF($H10="""","""", average(filter('Wellness Responses'!$AS$2:$AS1029,'Wellness Responses'!$O$2:$O1029=H10))),"""")"),0.6875)</f>
        <v>0.6875</v>
      </c>
      <c r="O10" s="7"/>
      <c r="P10" s="54">
        <v>9</v>
      </c>
      <c r="Q10" s="19" t="e">
        <f t="shared" si="1"/>
        <v>#REF!</v>
      </c>
      <c r="R10" s="7"/>
      <c r="S10" s="51" t="e">
        <f>IF(SUMIF(#REF!,$P10,#REF!)/#REF!=0,"",SUMIF(#REF!,$P10,#REF!)/#REF!)</f>
        <v>#REF!</v>
      </c>
      <c r="T10" s="51" t="e">
        <f>IF(SUMIFS(#REF!,#REF!,$P10,#REF!,1)/#REF!=0,"",SUMIFS(#REF!,#REF!,$P10,#REF!,1)/#REF!)</f>
        <v>#REF!</v>
      </c>
      <c r="U10" s="51" t="e">
        <f t="shared" si="2"/>
        <v>#REF!</v>
      </c>
      <c r="V10" s="56" t="str">
        <f t="shared" si="3"/>
        <v/>
      </c>
      <c r="W10" s="57"/>
      <c r="X10" s="57"/>
    </row>
    <row r="11" spans="1:24" ht="15.75" customHeight="1" x14ac:dyDescent="0.25">
      <c r="A11" s="34">
        <f ca="1">IFERROR(__xludf.DUMMYFUNCTION("""COMPUTED_VALUE"""),44972)</f>
        <v>44972</v>
      </c>
      <c r="B11" s="7"/>
      <c r="C11" s="19" t="str">
        <f ca="1">IFERROR(__xludf.DUMMYFUNCTION("unique(Roster!$D$3:$D$42)"),"FWD")</f>
        <v>FWD</v>
      </c>
      <c r="D11" s="7"/>
      <c r="E11" s="7" t="e">
        <f ca="1">IF(OR(#REF!=$C$3,#REF!=$C$4,#REF!=$C$5,#REF!=$C$6,#REF!=$C$7,#REF!=$C$8,#REF!=$C$9,#REF!=$C$10),#REF!,"")</f>
        <v>#REF!</v>
      </c>
      <c r="F11" s="7"/>
      <c r="G11" s="50">
        <v>1</v>
      </c>
      <c r="H11" s="6" t="e">
        <f>IF(
(IF($H10&lt;1,"",_xludf.MaxIFS(#REF!,#REF!,#REF!,#REF!,"&lt;"&amp;$H10)))&lt;1,"",
(IF($H10&lt;1,"",_xludf.MaxIFS(#REF!,#REF!,#REF!,#REF!,"&lt;"&amp;$H10))))</f>
        <v>#REF!</v>
      </c>
      <c r="I11" s="51"/>
      <c r="J11" s="51">
        <f ca="1">IFERROR(__xludf.DUMMYFUNCTION("IF($H11="""","""",iferror(average(filter('Training Responses'!$AM$2:$AM1029,'Training Responses'!$L$2:$L1029=$H11)),0))"),0)</f>
        <v>0</v>
      </c>
      <c r="K11" s="51">
        <f ca="1">IFERROR(__xludf.DUMMYFUNCTION("IF($H11="""","""",iferror(average(filter('Training Responses'!$AL$2:$AL1029,'Training Responses'!$L$2:$L1029=$H11,'Training Responses'!$DU$2:$DU1029=1)),0))"),420)</f>
        <v>420</v>
      </c>
      <c r="L11" s="51" t="e">
        <f t="shared" si="0"/>
        <v>#REF!</v>
      </c>
      <c r="M11" s="52">
        <f ca="1">IFERROR(__xludf.DUMMYFUNCTION("IF($H11="""","""",iferror(average(filter('Training Responses'!$DZ$2:$DZ1029,'Training Responses'!$L$2:$L1029=H11)),0))"),0.920802919708029)</f>
        <v>0.92080291970802897</v>
      </c>
      <c r="N11" s="53">
        <f ca="1">IFERROR(__xludf.DUMMYFUNCTION("iferror(IF($H11="""","""", average(filter('Wellness Responses'!$AS$2:$AS1029,'Wellness Responses'!$O$2:$O1029=H11))),"""")"),0.647058823529411)</f>
        <v>0.64705882352941102</v>
      </c>
      <c r="O11" s="7"/>
      <c r="P11" s="54">
        <v>10</v>
      </c>
      <c r="Q11" s="19" t="e">
        <f t="shared" si="1"/>
        <v>#REF!</v>
      </c>
      <c r="R11" s="7"/>
      <c r="S11" s="51" t="e">
        <f>IF(SUMIF(#REF!,$P11,#REF!)/#REF!=0,"",SUMIF(#REF!,$P11,#REF!)/#REF!)</f>
        <v>#REF!</v>
      </c>
      <c r="T11" s="51" t="e">
        <f>IF(SUMIFS(#REF!,#REF!,$P11,#REF!,1)/#REF!=0,"",SUMIFS(#REF!,#REF!,$P11,#REF!,1)/#REF!)</f>
        <v>#REF!</v>
      </c>
      <c r="U11" s="51" t="e">
        <f t="shared" si="2"/>
        <v>#REF!</v>
      </c>
      <c r="V11" s="56" t="str">
        <f t="shared" si="3"/>
        <v/>
      </c>
      <c r="W11" s="57"/>
      <c r="X11" s="57"/>
    </row>
    <row r="12" spans="1:24" ht="15.75" customHeight="1" x14ac:dyDescent="0.25">
      <c r="A12" s="34">
        <f ca="1">IFERROR(__xludf.DUMMYFUNCTION("""COMPUTED_VALUE"""),44973)</f>
        <v>44973</v>
      </c>
      <c r="B12" s="7"/>
      <c r="C12" s="19" t="str">
        <f ca="1">IFERROR(__xludf.DUMMYFUNCTION("""COMPUTED_VALUE"""),"F/MID")</f>
        <v>F/MID</v>
      </c>
      <c r="D12" s="7"/>
      <c r="E12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12" s="7"/>
      <c r="G12" s="50">
        <v>1</v>
      </c>
      <c r="H12" s="6" t="e">
        <f>IF(
(IF($H11&lt;1,"",_xludf.MaxIFS(#REF!,#REF!,#REF!,#REF!,"&lt;"&amp;$H11)))&lt;1,"",
(IF($H11&lt;1,"",_xludf.MaxIFS(#REF!,#REF!,#REF!,#REF!,"&lt;"&amp;$H11))))</f>
        <v>#REF!</v>
      </c>
      <c r="I12" s="51"/>
      <c r="J12" s="51">
        <f ca="1">IFERROR(__xludf.DUMMYFUNCTION("IF($H12="""","""",iferror(average(filter('Training Responses'!$AM$2:$AM1029,'Training Responses'!$L$2:$L1029=$H12)),0))"),450)</f>
        <v>450</v>
      </c>
      <c r="K12" s="51">
        <f ca="1">IFERROR(__xludf.DUMMYFUNCTION("IF($H12="""","""",iferror(average(filter('Training Responses'!$AL$2:$AL1029,'Training Responses'!$L$2:$L1029=$H12,'Training Responses'!$DU$2:$DU1029=1)),0))"),280)</f>
        <v>280</v>
      </c>
      <c r="L12" s="51" t="e">
        <f t="shared" si="0"/>
        <v>#REF!</v>
      </c>
      <c r="M12" s="52">
        <f ca="1">IFERROR(__xludf.DUMMYFUNCTION("IF($H12="""","""",iferror(average(filter('Training Responses'!$DZ$2:$DZ1029,'Training Responses'!$L$2:$L1029=H12)),0))"),1)</f>
        <v>1</v>
      </c>
      <c r="N12" s="53">
        <f ca="1">IFERROR(__xludf.DUMMYFUNCTION("iferror(IF($H12="""","""", average(filter('Wellness Responses'!$AS$2:$AS1029,'Wellness Responses'!$O$2:$O1029=H12))),"""")"),0.583333333333333)</f>
        <v>0.58333333333333304</v>
      </c>
      <c r="O12" s="7"/>
      <c r="P12" s="54">
        <v>11</v>
      </c>
      <c r="Q12" s="19" t="e">
        <f t="shared" si="1"/>
        <v>#REF!</v>
      </c>
      <c r="R12" s="7"/>
      <c r="S12" s="51" t="e">
        <f>IF(SUMIF(#REF!,$P12,#REF!)/#REF!=0,"",SUMIF(#REF!,$P12,#REF!)/#REF!)</f>
        <v>#REF!</v>
      </c>
      <c r="T12" s="51" t="e">
        <f>IF(SUMIFS(#REF!,#REF!,$P12,#REF!,1)/#REF!=0,"",SUMIFS(#REF!,#REF!,$P12,#REF!,1)/#REF!)</f>
        <v>#REF!</v>
      </c>
      <c r="U12" s="51" t="e">
        <f t="shared" si="2"/>
        <v>#REF!</v>
      </c>
      <c r="V12" s="56" t="str">
        <f t="shared" si="3"/>
        <v/>
      </c>
      <c r="W12" s="57"/>
      <c r="X12" s="57"/>
    </row>
    <row r="13" spans="1:24" ht="15.75" customHeight="1" x14ac:dyDescent="0.25">
      <c r="A13" s="34"/>
      <c r="B13" s="7"/>
      <c r="C13" s="19" t="str">
        <f ca="1">IFERROR(__xludf.DUMMYFUNCTION("""COMPUTED_VALUE"""),"MID")</f>
        <v>MID</v>
      </c>
      <c r="D13" s="7"/>
      <c r="E13" s="7"/>
      <c r="F13" s="7"/>
      <c r="G13" s="50" t="s">
        <v>942</v>
      </c>
      <c r="H13" s="6" t="e">
        <f>IF(
(IF($H12&lt;1,"",_xludf.MaxIFS(#REF!,#REF!,#REF!,#REF!,"&lt;"&amp;$H12)))&lt;1,"",
(IF($H12&lt;1,"",_xludf.MaxIFS(#REF!,#REF!,#REF!,#REF!,"&lt;"&amp;$H12))))</f>
        <v>#REF!</v>
      </c>
      <c r="I13" s="51"/>
      <c r="J13" s="51" t="str">
        <f ca="1">IFERROR(__xludf.DUMMYFUNCTION("IF($H13="""","""",iferror(average(filter('Training Responses'!$AM$2:$AM1029,'Training Responses'!$L$2:$L1029=$H13)),0))"),"")</f>
        <v/>
      </c>
      <c r="K13" s="51" t="str">
        <f ca="1">IFERROR(__xludf.DUMMYFUNCTION("IF($H13="""","""",iferror(average(filter('Training Responses'!$AL$2:$AL1029,'Training Responses'!$L$2:$L1029=$H13,'Training Responses'!$DU$2:$DU1029=1)),0))"),"")</f>
        <v/>
      </c>
      <c r="L13" s="51" t="e">
        <f t="shared" si="0"/>
        <v>#REF!</v>
      </c>
      <c r="M13" s="52" t="str">
        <f ca="1">IFERROR(__xludf.DUMMYFUNCTION("IF($H13="""","""",iferror(average(filter('Training Responses'!$DZ$2:$DZ1029,'Training Responses'!$L$2:$L1029=H13)),0))"),"")</f>
        <v/>
      </c>
      <c r="N13" s="53" t="str">
        <f ca="1">IFERROR(__xludf.DUMMYFUNCTION("iferror(IF($H13="""","""", average(filter('Wellness Responses'!$AS$2:$AS1029,'Wellness Responses'!$O$2:$O1029=H13))),"""")"),"")</f>
        <v/>
      </c>
      <c r="O13" s="7"/>
      <c r="P13" s="54">
        <v>12</v>
      </c>
      <c r="Q13" s="19" t="e">
        <f t="shared" si="1"/>
        <v>#REF!</v>
      </c>
      <c r="R13" s="7"/>
      <c r="S13" s="51" t="e">
        <f>IF(SUMIF(#REF!,$P13,#REF!)/#REF!=0,"",SUMIF(#REF!,$P13,#REF!)/#REF!)</f>
        <v>#REF!</v>
      </c>
      <c r="T13" s="51" t="e">
        <f>IF(SUMIFS(#REF!,#REF!,$P13,#REF!,1)/#REF!=0,"",SUMIFS(#REF!,#REF!,$P13,#REF!,1)/#REF!)</f>
        <v>#REF!</v>
      </c>
      <c r="U13" s="51" t="e">
        <f t="shared" si="2"/>
        <v>#REF!</v>
      </c>
      <c r="V13" s="56" t="str">
        <f t="shared" si="3"/>
        <v/>
      </c>
      <c r="W13" s="57"/>
      <c r="X13" s="57"/>
    </row>
    <row r="14" spans="1:24" ht="15.75" customHeight="1" x14ac:dyDescent="0.25">
      <c r="A14" s="34"/>
      <c r="B14" s="7"/>
      <c r="C14" s="19" t="str">
        <f ca="1">IFERROR(__xludf.DUMMYFUNCTION("""COMPUTED_VALUE"""),"MID/D")</f>
        <v>MID/D</v>
      </c>
      <c r="D14" s="7"/>
      <c r="E14" s="7"/>
      <c r="F14" s="7"/>
      <c r="G14" s="50" t="s">
        <v>942</v>
      </c>
      <c r="H14" s="6" t="e">
        <f>IF(
(IF($H13&lt;1,"",_xludf.MaxIFS(#REF!,#REF!,#REF!,#REF!,"&lt;"&amp;$H13)))&lt;1,"",
(IF($H13&lt;1,"",_xludf.MaxIFS(#REF!,#REF!,#REF!,#REF!,"&lt;"&amp;$H13))))</f>
        <v>#REF!</v>
      </c>
      <c r="I14" s="51"/>
      <c r="J14" s="51" t="str">
        <f ca="1">IFERROR(__xludf.DUMMYFUNCTION("IF($H14="""","""",iferror(average(filter('Training Responses'!$AM$2:$AM1029,'Training Responses'!$L$2:$L1029=$H14)),0))"),"")</f>
        <v/>
      </c>
      <c r="K14" s="51" t="str">
        <f ca="1">IFERROR(__xludf.DUMMYFUNCTION("IF($H14="""","""",iferror(average(filter('Training Responses'!$AL$2:$AL1029,'Training Responses'!$L$2:$L1029=$H14,'Training Responses'!$DU$2:$DU1029=1)),0))"),"")</f>
        <v/>
      </c>
      <c r="L14" s="51" t="e">
        <f t="shared" si="0"/>
        <v>#REF!</v>
      </c>
      <c r="M14" s="52" t="str">
        <f ca="1">IFERROR(__xludf.DUMMYFUNCTION("IF($H14="""","""",iferror(average(filter('Training Responses'!$DZ$2:$DZ1029,'Training Responses'!$L$2:$L1029=H14)),0))"),"")</f>
        <v/>
      </c>
      <c r="N14" s="53" t="str">
        <f ca="1">IFERROR(__xludf.DUMMYFUNCTION("iferror(IF($H14="""","""", average(filter('Wellness Responses'!$AS$2:$AS1029,'Wellness Responses'!$O$2:$O1029=H14))),"""")"),"")</f>
        <v/>
      </c>
      <c r="O14" s="7"/>
      <c r="P14" s="54">
        <v>13</v>
      </c>
      <c r="Q14" s="19" t="e">
        <f t="shared" si="1"/>
        <v>#REF!</v>
      </c>
      <c r="R14" s="7"/>
      <c r="S14" s="51" t="e">
        <f>IF(SUMIF(#REF!,$P14,#REF!)/#REF!=0,"",SUMIF(#REF!,$P14,#REF!)/#REF!)</f>
        <v>#REF!</v>
      </c>
      <c r="T14" s="51" t="e">
        <f>IF(SUMIFS(#REF!,#REF!,$P14,#REF!,1)/#REF!=0,"",SUMIFS(#REF!,#REF!,$P14,#REF!,1)/#REF!)</f>
        <v>#REF!</v>
      </c>
      <c r="U14" s="51" t="e">
        <f t="shared" si="2"/>
        <v>#REF!</v>
      </c>
      <c r="V14" s="56" t="str">
        <f t="shared" si="3"/>
        <v/>
      </c>
      <c r="W14" s="57"/>
      <c r="X14" s="57"/>
    </row>
    <row r="15" spans="1:24" ht="15.75" customHeight="1" x14ac:dyDescent="0.25">
      <c r="A15" s="34"/>
      <c r="B15" s="7"/>
      <c r="C15" s="19" t="str">
        <f ca="1">IFERROR(__xludf.DUMMYFUNCTION("""COMPUTED_VALUE"""),"D")</f>
        <v>D</v>
      </c>
      <c r="D15" s="7"/>
      <c r="E15" s="7"/>
      <c r="F15" s="7"/>
      <c r="G15" s="50" t="s">
        <v>942</v>
      </c>
      <c r="H15" s="6" t="e">
        <f>IF(
(IF($H14&lt;1,"",_xludf.MaxIFS(#REF!,#REF!,#REF!,#REF!,"&lt;"&amp;$H14)))&lt;1,"",
(IF($H14&lt;1,"",_xludf.MaxIFS(#REF!,#REF!,#REF!,#REF!,"&lt;"&amp;$H14))))</f>
        <v>#REF!</v>
      </c>
      <c r="I15" s="51"/>
      <c r="J15" s="51" t="str">
        <f ca="1">IFERROR(__xludf.DUMMYFUNCTION("IF($H15="""","""",iferror(average(filter('Training Responses'!$AM$2:$AM1029,'Training Responses'!$L$2:$L1029=$H15)),0))"),"")</f>
        <v/>
      </c>
      <c r="K15" s="51" t="str">
        <f ca="1">IFERROR(__xludf.DUMMYFUNCTION("IF($H15="""","""",iferror(average(filter('Training Responses'!$AL$2:$AL1029,'Training Responses'!$L$2:$L1029=$H15,'Training Responses'!$DU$2:$DU1029=1)),0))"),"")</f>
        <v/>
      </c>
      <c r="L15" s="51" t="e">
        <f t="shared" si="0"/>
        <v>#REF!</v>
      </c>
      <c r="M15" s="52" t="str">
        <f ca="1">IFERROR(__xludf.DUMMYFUNCTION("IF($H15="""","""",iferror(average(filter('Training Responses'!$DZ$2:$DZ1029,'Training Responses'!$L$2:$L1029=H15)),0))"),"")</f>
        <v/>
      </c>
      <c r="N15" s="53" t="str">
        <f ca="1">IFERROR(__xludf.DUMMYFUNCTION("iferror(IF($H15="""","""", average(filter('Wellness Responses'!$AS$2:$AS1029,'Wellness Responses'!$O$2:$O1029=H15))),"""")"),"")</f>
        <v/>
      </c>
      <c r="O15" s="7"/>
      <c r="P15" s="54">
        <v>14</v>
      </c>
      <c r="Q15" s="19" t="e">
        <f t="shared" si="1"/>
        <v>#REF!</v>
      </c>
      <c r="R15" s="7"/>
      <c r="S15" s="51" t="e">
        <f>IF(SUMIF(#REF!,$P15,#REF!)/#REF!=0,"",SUMIF(#REF!,$P15,#REF!)/#REF!)</f>
        <v>#REF!</v>
      </c>
      <c r="T15" s="51" t="e">
        <f>IF(SUMIFS(#REF!,#REF!,$P15,#REF!,1)/#REF!=0,"",SUMIFS(#REF!,#REF!,$P15,#REF!,1)/#REF!)</f>
        <v>#REF!</v>
      </c>
      <c r="U15" s="51" t="e">
        <f t="shared" si="2"/>
        <v>#REF!</v>
      </c>
      <c r="V15" s="56" t="str">
        <f t="shared" si="3"/>
        <v/>
      </c>
      <c r="W15" s="57"/>
      <c r="X15" s="57"/>
    </row>
    <row r="16" spans="1:24" ht="15.75" customHeight="1" x14ac:dyDescent="0.25">
      <c r="A16" s="34"/>
      <c r="B16" s="7"/>
      <c r="C16" s="19" t="str">
        <f ca="1">IFERROR(__xludf.DUMMYFUNCTION("""COMPUTED_VALUE"""),"UTIL")</f>
        <v>UTIL</v>
      </c>
      <c r="D16" s="7"/>
      <c r="E16" s="7"/>
      <c r="F16" s="7"/>
      <c r="G16" s="50" t="s">
        <v>942</v>
      </c>
      <c r="H16" s="6" t="e">
        <f>IF(
(IF($H15&lt;1,"",_xludf.MaxIFS(#REF!,#REF!,#REF!,#REF!,"&lt;"&amp;$H15)))&lt;1,"",
(IF($H15&lt;1,"",_xludf.MaxIFS(#REF!,#REF!,#REF!,#REF!,"&lt;"&amp;$H15))))</f>
        <v>#REF!</v>
      </c>
      <c r="I16" s="51"/>
      <c r="J16" s="51" t="str">
        <f ca="1">IFERROR(__xludf.DUMMYFUNCTION("IF($H16="""","""",iferror(average(filter('Training Responses'!$AM$2:$AM1029,'Training Responses'!$L$2:$L1029=$H16)),0))"),"")</f>
        <v/>
      </c>
      <c r="K16" s="51" t="str">
        <f ca="1">IFERROR(__xludf.DUMMYFUNCTION("IF($H16="""","""",iferror(average(filter('Training Responses'!$AL$2:$AL1029,'Training Responses'!$L$2:$L1029=$H16,'Training Responses'!$DU$2:$DU1029=1)),0))"),"")</f>
        <v/>
      </c>
      <c r="L16" s="51" t="e">
        <f t="shared" si="0"/>
        <v>#REF!</v>
      </c>
      <c r="M16" s="52" t="str">
        <f ca="1">IFERROR(__xludf.DUMMYFUNCTION("IF($H16="""","""",iferror(average(filter('Training Responses'!$DZ$2:$DZ1029,'Training Responses'!$L$2:$L1029=H16)),0))"),"")</f>
        <v/>
      </c>
      <c r="N16" s="53" t="str">
        <f ca="1">IFERROR(__xludf.DUMMYFUNCTION("iferror(IF($H16="""","""", average(filter('Wellness Responses'!$AS$2:$AS1029,'Wellness Responses'!$O$2:$O1029=H16))),"""")"),"")</f>
        <v/>
      </c>
      <c r="O16" s="7"/>
      <c r="P16" s="54">
        <v>15</v>
      </c>
      <c r="Q16" s="19" t="e">
        <f t="shared" si="1"/>
        <v>#REF!</v>
      </c>
      <c r="R16" s="7"/>
      <c r="S16" s="51" t="e">
        <f>IF(SUMIF(#REF!,$P16,#REF!)/#REF!=0,"",SUMIF(#REF!,$P16,#REF!)/#REF!)</f>
        <v>#REF!</v>
      </c>
      <c r="T16" s="51" t="e">
        <f>IF(SUMIFS(#REF!,#REF!,$P16,#REF!,1)/#REF!=0,"",SUMIFS(#REF!,#REF!,$P16,#REF!,1)/#REF!)</f>
        <v>#REF!</v>
      </c>
      <c r="U16" s="51" t="e">
        <f t="shared" si="2"/>
        <v>#REF!</v>
      </c>
      <c r="V16" s="56" t="str">
        <f t="shared" si="3"/>
        <v/>
      </c>
      <c r="W16" s="57"/>
      <c r="X16" s="57"/>
    </row>
    <row r="17" spans="1:24" ht="15.75" customHeight="1" x14ac:dyDescent="0.25">
      <c r="A17" s="34"/>
      <c r="B17" s="7"/>
      <c r="C17" s="19" t="str">
        <f ca="1">IFERROR(__xludf.DUMMYFUNCTION("""COMPUTED_VALUE"""),"GK")</f>
        <v>GK</v>
      </c>
      <c r="D17" s="7"/>
      <c r="E17" s="7"/>
      <c r="F17" s="7"/>
      <c r="G17" s="50" t="s">
        <v>942</v>
      </c>
      <c r="H17" s="6" t="e">
        <f>IF(
(IF($H16&lt;1,"",_xludf.MaxIFS(#REF!,#REF!,#REF!,#REF!,"&lt;"&amp;$H16)))&lt;1,"",
(IF($H16&lt;1,"",_xludf.MaxIFS(#REF!,#REF!,#REF!,#REF!,"&lt;"&amp;$H16))))</f>
        <v>#REF!</v>
      </c>
      <c r="I17" s="51"/>
      <c r="J17" s="51" t="str">
        <f ca="1">IFERROR(__xludf.DUMMYFUNCTION("IF($H17="""","""",iferror(average(filter('Training Responses'!$AM$2:$AM1029,'Training Responses'!$L$2:$L1029=$H17)),0))"),"")</f>
        <v/>
      </c>
      <c r="K17" s="51" t="str">
        <f ca="1">IFERROR(__xludf.DUMMYFUNCTION("IF($H17="""","""",iferror(average(filter('Training Responses'!$AL$2:$AL1029,'Training Responses'!$L$2:$L1029=$H17,'Training Responses'!$DU$2:$DU1029=1)),0))"),"")</f>
        <v/>
      </c>
      <c r="L17" s="51" t="e">
        <f t="shared" si="0"/>
        <v>#REF!</v>
      </c>
      <c r="M17" s="52" t="str">
        <f ca="1">IFERROR(__xludf.DUMMYFUNCTION("IF($H17="""","""",iferror(average(filter('Training Responses'!$DZ$2:$DZ1029,'Training Responses'!$L$2:$L1029=H17)),0))"),"")</f>
        <v/>
      </c>
      <c r="N17" s="53" t="str">
        <f ca="1">IFERROR(__xludf.DUMMYFUNCTION("iferror(IF($H17="""","""", average(filter('Wellness Responses'!$AS$2:$AS1029,'Wellness Responses'!$O$2:$O1029=H17))),"""")"),"")</f>
        <v/>
      </c>
      <c r="O17" s="7"/>
      <c r="P17" s="54">
        <v>16</v>
      </c>
      <c r="Q17" s="19" t="e">
        <f t="shared" si="1"/>
        <v>#REF!</v>
      </c>
      <c r="R17" s="7"/>
      <c r="S17" s="51" t="e">
        <f>IF(SUMIF(#REF!,$P17,#REF!)/#REF!=0,"",SUMIF(#REF!,$P17,#REF!)/#REF!)</f>
        <v>#REF!</v>
      </c>
      <c r="T17" s="51" t="e">
        <f>IF(SUMIFS(#REF!,#REF!,$P17,#REF!,1)/#REF!=0,"",SUMIFS(#REF!,#REF!,$P17,#REF!,1)/#REF!)</f>
        <v>#REF!</v>
      </c>
      <c r="U17" s="51" t="e">
        <f t="shared" si="2"/>
        <v>#REF!</v>
      </c>
      <c r="V17" s="56" t="str">
        <f t="shared" si="3"/>
        <v/>
      </c>
      <c r="W17" s="57"/>
      <c r="X17" s="57"/>
    </row>
    <row r="18" spans="1:24" ht="15.75" customHeight="1" x14ac:dyDescent="0.25">
      <c r="A18" s="34"/>
      <c r="B18" s="7"/>
      <c r="C18" s="19"/>
      <c r="D18" s="7"/>
      <c r="E18" s="7"/>
      <c r="F18" s="7"/>
      <c r="G18" s="50" t="s">
        <v>942</v>
      </c>
      <c r="H18" s="6" t="e">
        <f>IF(
(IF($H17&lt;1,"",_xludf.MaxIFS(#REF!,#REF!,#REF!,#REF!,"&lt;"&amp;$H17)))&lt;1,"",
(IF($H17&lt;1,"",_xludf.MaxIFS(#REF!,#REF!,#REF!,#REF!,"&lt;"&amp;$H17))))</f>
        <v>#REF!</v>
      </c>
      <c r="I18" s="51"/>
      <c r="J18" s="51" t="str">
        <f ca="1">IFERROR(__xludf.DUMMYFUNCTION("IF($H18="""","""",iferror(average(filter('Training Responses'!$AM$2:$AM1029,'Training Responses'!$L$2:$L1029=$H18)),0))"),"")</f>
        <v/>
      </c>
      <c r="K18" s="51" t="str">
        <f ca="1">IFERROR(__xludf.DUMMYFUNCTION("IF($H18="""","""",iferror(average(filter('Training Responses'!$AL$2:$AL1029,'Training Responses'!$L$2:$L1029=$H18,'Training Responses'!$DU$2:$DU1029=1)),0))"),"")</f>
        <v/>
      </c>
      <c r="L18" s="51" t="e">
        <f t="shared" si="0"/>
        <v>#REF!</v>
      </c>
      <c r="M18" s="52" t="str">
        <f ca="1">IFERROR(__xludf.DUMMYFUNCTION("IF($H18="""","""",iferror(average(filter('Training Responses'!$DZ$2:$DZ1029,'Training Responses'!$L$2:$L1029=H18)),0))"),"")</f>
        <v/>
      </c>
      <c r="N18" s="53" t="str">
        <f ca="1">IFERROR(__xludf.DUMMYFUNCTION("iferror(IF($H18="""","""", average(filter('Wellness Responses'!$AS$2:$AS1029,'Wellness Responses'!$O$2:$O1029=H18))),"""")"),"")</f>
        <v/>
      </c>
      <c r="O18" s="7"/>
      <c r="P18" s="54">
        <v>17</v>
      </c>
      <c r="Q18" s="19" t="e">
        <f t="shared" si="1"/>
        <v>#REF!</v>
      </c>
      <c r="R18" s="7"/>
      <c r="S18" s="51" t="e">
        <f>IF(SUMIF(#REF!,$P18,#REF!)/#REF!=0,"",SUMIF(#REF!,$P18,#REF!)/#REF!)</f>
        <v>#REF!</v>
      </c>
      <c r="T18" s="51" t="e">
        <f>IF(SUMIFS(#REF!,#REF!,$P18,#REF!,1)/#REF!=0,"",SUMIFS(#REF!,#REF!,$P18,#REF!,1)/#REF!)</f>
        <v>#REF!</v>
      </c>
      <c r="U18" s="51" t="e">
        <f t="shared" si="2"/>
        <v>#REF!</v>
      </c>
      <c r="V18" s="56" t="str">
        <f t="shared" si="3"/>
        <v/>
      </c>
      <c r="W18" s="57"/>
      <c r="X18" s="57"/>
    </row>
    <row r="19" spans="1:24" ht="15.75" customHeight="1" x14ac:dyDescent="0.25">
      <c r="A19" s="34"/>
      <c r="B19" s="7"/>
      <c r="C19" s="19"/>
      <c r="D19" s="7"/>
      <c r="E19" s="7"/>
      <c r="F19" s="7"/>
      <c r="G19" s="50" t="s">
        <v>942</v>
      </c>
      <c r="H19" s="6" t="e">
        <f>IF(
(IF($H18&lt;1,"",_xludf.MaxIFS(#REF!,#REF!,#REF!,#REF!,"&lt;"&amp;$H18)))&lt;1,"",
(IF($H18&lt;1,"",_xludf.MaxIFS(#REF!,#REF!,#REF!,#REF!,"&lt;"&amp;$H18))))</f>
        <v>#REF!</v>
      </c>
      <c r="I19" s="51"/>
      <c r="J19" s="51" t="str">
        <f ca="1">IFERROR(__xludf.DUMMYFUNCTION("IF($H19="""","""",iferror(average(filter('Training Responses'!$AM$2:$AM1029,'Training Responses'!$L$2:$L1029=$H19)),0))"),"")</f>
        <v/>
      </c>
      <c r="K19" s="51" t="str">
        <f ca="1">IFERROR(__xludf.DUMMYFUNCTION("IF($H19="""","""",iferror(average(filter('Training Responses'!$AL$2:$AL1029,'Training Responses'!$L$2:$L1029=$H19,'Training Responses'!$DU$2:$DU1029=1)),0))"),"")</f>
        <v/>
      </c>
      <c r="L19" s="51" t="e">
        <f t="shared" si="0"/>
        <v>#REF!</v>
      </c>
      <c r="M19" s="52" t="str">
        <f ca="1">IFERROR(__xludf.DUMMYFUNCTION("IF($H19="""","""",iferror(average(filter('Training Responses'!$DZ$2:$DZ1029,'Training Responses'!$L$2:$L1029=H19)),0))"),"")</f>
        <v/>
      </c>
      <c r="N19" s="53" t="str">
        <f ca="1">IFERROR(__xludf.DUMMYFUNCTION("iferror(IF($H19="""","""", average(filter('Wellness Responses'!$AS$2:$AS1029,'Wellness Responses'!$O$2:$O1029=H19))),"""")"),"")</f>
        <v/>
      </c>
      <c r="O19" s="7"/>
      <c r="P19" s="54">
        <v>18</v>
      </c>
      <c r="Q19" s="19" t="e">
        <f t="shared" si="1"/>
        <v>#REF!</v>
      </c>
      <c r="R19" s="7"/>
      <c r="S19" s="51" t="e">
        <f>IF(SUMIF(#REF!,$P19,#REF!)/#REF!=0,"",SUMIF(#REF!,$P19,#REF!)/#REF!)</f>
        <v>#REF!</v>
      </c>
      <c r="T19" s="51" t="e">
        <f>IF(SUMIFS(#REF!,#REF!,$P19,#REF!,1)/#REF!=0,"",SUMIFS(#REF!,#REF!,$P19,#REF!,1)/#REF!)</f>
        <v>#REF!</v>
      </c>
      <c r="U19" s="51" t="e">
        <f t="shared" si="2"/>
        <v>#REF!</v>
      </c>
      <c r="V19" s="56" t="str">
        <f t="shared" si="3"/>
        <v/>
      </c>
      <c r="W19" s="57"/>
      <c r="X19" s="57"/>
    </row>
    <row r="20" spans="1:24" ht="15.75" customHeight="1" x14ac:dyDescent="0.25">
      <c r="A20" s="34"/>
      <c r="B20" s="7"/>
      <c r="C20" s="19"/>
      <c r="D20" s="7"/>
      <c r="E20" s="7"/>
      <c r="F20" s="7"/>
      <c r="G20" s="50" t="s">
        <v>942</v>
      </c>
      <c r="H20" s="6" t="e">
        <f>IF(
(IF($H19&lt;1,"",_xludf.MaxIFS(#REF!,#REF!,#REF!,#REF!,"&lt;"&amp;$H19)))&lt;1,"",
(IF($H19&lt;1,"",_xludf.MaxIFS(#REF!,#REF!,#REF!,#REF!,"&lt;"&amp;$H19))))</f>
        <v>#REF!</v>
      </c>
      <c r="I20" s="51"/>
      <c r="J20" s="51" t="str">
        <f ca="1">IFERROR(__xludf.DUMMYFUNCTION("IF($H20="""","""",iferror(average(filter('Training Responses'!$AM$2:$AM1029,'Training Responses'!$L$2:$L1029=$H20)),0))"),"")</f>
        <v/>
      </c>
      <c r="K20" s="51" t="str">
        <f ca="1">IFERROR(__xludf.DUMMYFUNCTION("IF($H20="""","""",iferror(average(filter('Training Responses'!$AL$2:$AL1029,'Training Responses'!$L$2:$L1029=$H20,'Training Responses'!$DU$2:$DU1029=1)),0))"),"")</f>
        <v/>
      </c>
      <c r="L20" s="51" t="e">
        <f t="shared" si="0"/>
        <v>#REF!</v>
      </c>
      <c r="M20" s="52" t="str">
        <f ca="1">IFERROR(__xludf.DUMMYFUNCTION("IF($H20="""","""",iferror(average(filter('Training Responses'!$DZ$2:$DZ1029,'Training Responses'!$L$2:$L1029=H20)),0))"),"")</f>
        <v/>
      </c>
      <c r="N20" s="53" t="str">
        <f ca="1">IFERROR(__xludf.DUMMYFUNCTION("iferror(IF($H20="""","""", average(filter('Wellness Responses'!$AS$2:$AS1029,'Wellness Responses'!$O$2:$O1029=H20))),"""")"),"")</f>
        <v/>
      </c>
      <c r="O20" s="7"/>
      <c r="P20" s="54">
        <v>19</v>
      </c>
      <c r="Q20" s="19" t="e">
        <f t="shared" si="1"/>
        <v>#REF!</v>
      </c>
      <c r="R20" s="7"/>
      <c r="S20" s="51" t="e">
        <f>IF(SUMIF(#REF!,$P20,#REF!)/#REF!=0,"",SUMIF(#REF!,$P20,#REF!)/#REF!)</f>
        <v>#REF!</v>
      </c>
      <c r="T20" s="51" t="e">
        <f>IF(SUMIFS(#REF!,#REF!,$P20,#REF!,1)/#REF!=0,"",SUMIFS(#REF!,#REF!,$P20,#REF!,1)/#REF!)</f>
        <v>#REF!</v>
      </c>
      <c r="U20" s="51" t="e">
        <f t="shared" si="2"/>
        <v>#REF!</v>
      </c>
      <c r="V20" s="56" t="str">
        <f t="shared" si="3"/>
        <v/>
      </c>
      <c r="W20" s="57"/>
      <c r="X20" s="57"/>
    </row>
    <row r="21" spans="1:24" ht="15.75" customHeight="1" x14ac:dyDescent="0.25">
      <c r="A21" s="34"/>
      <c r="B21" s="7"/>
      <c r="C21" s="19"/>
      <c r="D21" s="7"/>
      <c r="E21" s="7"/>
      <c r="F21" s="7"/>
      <c r="G21" s="50" t="s">
        <v>942</v>
      </c>
      <c r="H21" s="6" t="e">
        <f>IF(
(IF($H20&lt;1,"",_xludf.MaxIFS(#REF!,#REF!,#REF!,#REF!,"&lt;"&amp;$H20)))&lt;1,"",
(IF($H20&lt;1,"",_xludf.MaxIFS(#REF!,#REF!,#REF!,#REF!,"&lt;"&amp;$H20))))</f>
        <v>#REF!</v>
      </c>
      <c r="I21" s="51"/>
      <c r="J21" s="51" t="str">
        <f ca="1">IFERROR(__xludf.DUMMYFUNCTION("IF($H21="""","""",iferror(average(filter('Training Responses'!$AM$2:$AM1029,'Training Responses'!$L$2:$L1029=$H21)),0))"),"")</f>
        <v/>
      </c>
      <c r="K21" s="51" t="str">
        <f ca="1">IFERROR(__xludf.DUMMYFUNCTION("IF($H21="""","""",iferror(average(filter('Training Responses'!$AL$2:$AL1029,'Training Responses'!$L$2:$L1029=$H21,'Training Responses'!$DU$2:$DU1029=1)),0))"),"")</f>
        <v/>
      </c>
      <c r="L21" s="51" t="e">
        <f t="shared" si="0"/>
        <v>#REF!</v>
      </c>
      <c r="M21" s="52" t="str">
        <f ca="1">IFERROR(__xludf.DUMMYFUNCTION("IF($H21="""","""",iferror(average(filter('Training Responses'!$DZ$2:$DZ1029,'Training Responses'!$L$2:$L1029=H21)),0))"),"")</f>
        <v/>
      </c>
      <c r="N21" s="53" t="str">
        <f ca="1">IFERROR(__xludf.DUMMYFUNCTION("iferror(IF($H21="""","""", average(filter('Wellness Responses'!$AS$2:$AS1029,'Wellness Responses'!$O$2:$O1029=H21))),"""")"),"")</f>
        <v/>
      </c>
      <c r="O21" s="7"/>
      <c r="P21" s="54">
        <v>20</v>
      </c>
      <c r="Q21" s="19" t="e">
        <f t="shared" si="1"/>
        <v>#REF!</v>
      </c>
      <c r="R21" s="7"/>
      <c r="S21" s="51" t="e">
        <f>IF(SUMIF(#REF!,$P21,#REF!)/#REF!=0,"",SUMIF(#REF!,$P21,#REF!)/#REF!)</f>
        <v>#REF!</v>
      </c>
      <c r="T21" s="51" t="e">
        <f>IF(SUMIFS(#REF!,#REF!,$P21,#REF!,1)/#REF!=0,"",SUMIFS(#REF!,#REF!,$P21,#REF!,1)/#REF!)</f>
        <v>#REF!</v>
      </c>
      <c r="U21" s="51" t="e">
        <f t="shared" si="2"/>
        <v>#REF!</v>
      </c>
      <c r="V21" s="56" t="str">
        <f t="shared" si="3"/>
        <v/>
      </c>
      <c r="W21" s="57"/>
      <c r="X21" s="57"/>
    </row>
    <row r="22" spans="1:24" ht="12.5" x14ac:dyDescent="0.25">
      <c r="A22" s="34"/>
      <c r="B22" s="7"/>
      <c r="C22" s="19"/>
      <c r="D22" s="7"/>
      <c r="E22" s="7"/>
      <c r="F22" s="7"/>
      <c r="G22" s="50" t="s">
        <v>942</v>
      </c>
      <c r="H22" s="6" t="e">
        <f>IF(
(IF($H21&lt;1,"",_xludf.MaxIFS(#REF!,#REF!,#REF!,#REF!,"&lt;"&amp;$H21)))&lt;1,"",
(IF($H21&lt;1,"",_xludf.MaxIFS(#REF!,#REF!,#REF!,#REF!,"&lt;"&amp;$H21))))</f>
        <v>#REF!</v>
      </c>
      <c r="I22" s="51"/>
      <c r="J22" s="51" t="str">
        <f ca="1">IFERROR(__xludf.DUMMYFUNCTION("IF($H22="""","""",iferror(average(filter('Training Responses'!$AM$2:$AM1029,'Training Responses'!$L$2:$L1029=$H22)),0))"),"")</f>
        <v/>
      </c>
      <c r="K22" s="51" t="str">
        <f ca="1">IFERROR(__xludf.DUMMYFUNCTION("IF($H22="""","""",iferror(average(filter('Training Responses'!$AL$2:$AL1029,'Training Responses'!$L$2:$L1029=$H22,'Training Responses'!$DU$2:$DU1029=1)),0))"),"")</f>
        <v/>
      </c>
      <c r="L22" s="51" t="e">
        <f t="shared" si="0"/>
        <v>#REF!</v>
      </c>
      <c r="M22" s="52" t="str">
        <f ca="1">IFERROR(__xludf.DUMMYFUNCTION("IF($H22="""","""",iferror(average(filter('Training Responses'!$DZ$2:$DZ1029,'Training Responses'!$L$2:$L1029=H22)),0))"),"")</f>
        <v/>
      </c>
      <c r="N22" s="53" t="str">
        <f ca="1">IFERROR(__xludf.DUMMYFUNCTION("iferror(IF($H22="""","""", average(filter('Wellness Responses'!$AS$2:$AS1029,'Wellness Responses'!$O$2:$O1029=H22))),"""")"),"")</f>
        <v/>
      </c>
      <c r="O22" s="7"/>
      <c r="P22" s="54">
        <v>21</v>
      </c>
      <c r="Q22" s="19" t="e">
        <f t="shared" si="1"/>
        <v>#REF!</v>
      </c>
      <c r="R22" s="7"/>
      <c r="S22" s="51" t="e">
        <f>IF(SUMIF(#REF!,$P22,#REF!)/#REF!=0,"",SUMIF(#REF!,$P22,#REF!)/#REF!)</f>
        <v>#REF!</v>
      </c>
      <c r="T22" s="51" t="e">
        <f>IF(SUMIFS(#REF!,#REF!,$P22,#REF!,1)/#REF!=0,"",SUMIFS(#REF!,#REF!,$P22,#REF!,1)/#REF!)</f>
        <v>#REF!</v>
      </c>
      <c r="U22" s="51" t="e">
        <f t="shared" si="2"/>
        <v>#REF!</v>
      </c>
      <c r="V22" s="56" t="str">
        <f t="shared" si="3"/>
        <v/>
      </c>
      <c r="W22" s="57"/>
      <c r="X22" s="57"/>
    </row>
    <row r="23" spans="1:24" ht="12.5" x14ac:dyDescent="0.25">
      <c r="A23" s="34"/>
      <c r="B23" s="7"/>
      <c r="C23" s="19"/>
      <c r="D23" s="7"/>
      <c r="E23" s="7"/>
      <c r="F23" s="7"/>
      <c r="G23" s="50" t="s">
        <v>942</v>
      </c>
      <c r="H23" s="6" t="e">
        <f>IF(
(IF($H22&lt;1,"",_xludf.MaxIFS(#REF!,#REF!,#REF!,#REF!,"&lt;"&amp;$H22)))&lt;1,"",
(IF($H22&lt;1,"",_xludf.MaxIFS(#REF!,#REF!,#REF!,#REF!,"&lt;"&amp;$H22))))</f>
        <v>#REF!</v>
      </c>
      <c r="I23" s="51"/>
      <c r="J23" s="51" t="str">
        <f ca="1">IFERROR(__xludf.DUMMYFUNCTION("IF($H23="""","""",iferror(average(filter('Training Responses'!$AM$2:$AM1029,'Training Responses'!$L$2:$L1029=$H23)),0))"),"")</f>
        <v/>
      </c>
      <c r="K23" s="51" t="str">
        <f ca="1">IFERROR(__xludf.DUMMYFUNCTION("IF($H23="""","""",iferror(average(filter('Training Responses'!$AL$2:$AL1029,'Training Responses'!$L$2:$L1029=$H23,'Training Responses'!$DU$2:$DU1029=1)),0))"),"")</f>
        <v/>
      </c>
      <c r="L23" s="51" t="e">
        <f t="shared" si="0"/>
        <v>#REF!</v>
      </c>
      <c r="M23" s="52" t="str">
        <f ca="1">IFERROR(__xludf.DUMMYFUNCTION("IF($H23="""","""",iferror(average(filter('Training Responses'!$DZ$2:$DZ1029,'Training Responses'!$L$2:$L1029=H23)),0))"),"")</f>
        <v/>
      </c>
      <c r="N23" s="53" t="str">
        <f ca="1">IFERROR(__xludf.DUMMYFUNCTION("iferror(IF($H23="""","""", average(filter('Wellness Responses'!$AS$2:$AS1029,'Wellness Responses'!$O$2:$O1029=H23))),"""")"),"")</f>
        <v/>
      </c>
      <c r="O23" s="7"/>
      <c r="P23" s="54">
        <v>22</v>
      </c>
      <c r="Q23" s="19" t="e">
        <f t="shared" si="1"/>
        <v>#REF!</v>
      </c>
      <c r="R23" s="7"/>
      <c r="S23" s="51" t="e">
        <f>IF(SUMIF(#REF!,$P23,#REF!)/#REF!=0,"",SUMIF(#REF!,$P23,#REF!)/#REF!)</f>
        <v>#REF!</v>
      </c>
      <c r="T23" s="51" t="e">
        <f>IF(SUMIFS(#REF!,#REF!,$P23,#REF!,1)/#REF!=0,"",SUMIFS(#REF!,#REF!,$P23,#REF!,1)/#REF!)</f>
        <v>#REF!</v>
      </c>
      <c r="U23" s="51" t="e">
        <f t="shared" si="2"/>
        <v>#REF!</v>
      </c>
      <c r="V23" s="56" t="str">
        <f t="shared" si="3"/>
        <v/>
      </c>
      <c r="W23" s="57"/>
      <c r="X23" s="57"/>
    </row>
    <row r="24" spans="1:24" ht="12.5" x14ac:dyDescent="0.25">
      <c r="A24" s="34"/>
      <c r="B24" s="7"/>
      <c r="C24" s="19"/>
      <c r="D24" s="7"/>
      <c r="E24" s="7"/>
      <c r="F24" s="7"/>
      <c r="G24" s="50" t="s">
        <v>942</v>
      </c>
      <c r="H24" s="6" t="e">
        <f>IF(
(IF($H23&lt;1,"",_xludf.MaxIFS(#REF!,#REF!,#REF!,#REF!,"&lt;"&amp;$H23)))&lt;1,"",
(IF($H23&lt;1,"",_xludf.MaxIFS(#REF!,#REF!,#REF!,#REF!,"&lt;"&amp;$H23))))</f>
        <v>#REF!</v>
      </c>
      <c r="I24" s="51"/>
      <c r="J24" s="51" t="str">
        <f ca="1">IFERROR(__xludf.DUMMYFUNCTION("IF($H24="""","""",iferror(average(filter('Training Responses'!$AM$2:$AM1029,'Training Responses'!$L$2:$L1029=$H24)),0))"),"")</f>
        <v/>
      </c>
      <c r="K24" s="51" t="str">
        <f ca="1">IFERROR(__xludf.DUMMYFUNCTION("IF($H24="""","""",iferror(average(filter('Training Responses'!$AL$2:$AL1029,'Training Responses'!$L$2:$L1029=$H24,'Training Responses'!$DU$2:$DU1029=1)),0))"),"")</f>
        <v/>
      </c>
      <c r="L24" s="51" t="e">
        <f t="shared" si="0"/>
        <v>#REF!</v>
      </c>
      <c r="M24" s="52" t="str">
        <f ca="1">IFERROR(__xludf.DUMMYFUNCTION("IF($H24="""","""",iferror(average(filter('Training Responses'!$DZ$2:$DZ1029,'Training Responses'!$L$2:$L1029=H24)),0))"),"")</f>
        <v/>
      </c>
      <c r="N24" s="53" t="str">
        <f ca="1">IFERROR(__xludf.DUMMYFUNCTION("iferror(IF($H24="""","""", average(filter('Wellness Responses'!$AS$2:$AS1029,'Wellness Responses'!$O$2:$O1029=H24))),"""")"),"")</f>
        <v/>
      </c>
      <c r="O24" s="7"/>
      <c r="P24" s="54">
        <v>23</v>
      </c>
      <c r="Q24" s="19" t="e">
        <f t="shared" si="1"/>
        <v>#REF!</v>
      </c>
      <c r="R24" s="7"/>
      <c r="S24" s="51" t="e">
        <f>IF(SUMIF(#REF!,$P24,#REF!)/#REF!=0,"",SUMIF(#REF!,$P24,#REF!)/#REF!)</f>
        <v>#REF!</v>
      </c>
      <c r="T24" s="51" t="e">
        <f>IF(SUMIFS(#REF!,#REF!,$P24,#REF!,1)/#REF!=0,"",SUMIFS(#REF!,#REF!,$P24,#REF!,1)/#REF!)</f>
        <v>#REF!</v>
      </c>
      <c r="U24" s="51" t="e">
        <f t="shared" si="2"/>
        <v>#REF!</v>
      </c>
      <c r="V24" s="56" t="str">
        <f t="shared" si="3"/>
        <v/>
      </c>
      <c r="W24" s="57"/>
      <c r="X24" s="57"/>
    </row>
    <row r="25" spans="1:24" ht="12.5" x14ac:dyDescent="0.25">
      <c r="A25" s="34"/>
      <c r="B25" s="7"/>
      <c r="C25" s="19"/>
      <c r="D25" s="7"/>
      <c r="E25" s="7"/>
      <c r="F25" s="7"/>
      <c r="G25" s="50" t="s">
        <v>942</v>
      </c>
      <c r="H25" s="6" t="e">
        <f>IF(
(IF($H24&lt;1,"",_xludf.MaxIFS(#REF!,#REF!,#REF!,#REF!,"&lt;"&amp;$H24)))&lt;1,"",
(IF($H24&lt;1,"",_xludf.MaxIFS(#REF!,#REF!,#REF!,#REF!,"&lt;"&amp;$H24))))</f>
        <v>#REF!</v>
      </c>
      <c r="I25" s="51"/>
      <c r="J25" s="51" t="str">
        <f ca="1">IFERROR(__xludf.DUMMYFUNCTION("IF($H25="""","""",iferror(average(filter('Training Responses'!$AM$2:$AM1029,'Training Responses'!$L$2:$L1029=$H25)),0))"),"")</f>
        <v/>
      </c>
      <c r="K25" s="51" t="str">
        <f ca="1">IFERROR(__xludf.DUMMYFUNCTION("IF($H25="""","""",iferror(average(filter('Training Responses'!$AL$2:$AL1029,'Training Responses'!$L$2:$L1029=$H25,'Training Responses'!$DU$2:$DU1029=1)),0))"),"")</f>
        <v/>
      </c>
      <c r="L25" s="51" t="e">
        <f t="shared" si="0"/>
        <v>#REF!</v>
      </c>
      <c r="M25" s="52" t="str">
        <f ca="1">IFERROR(__xludf.DUMMYFUNCTION("IF($H25="""","""",iferror(average(filter('Training Responses'!$DZ$2:$DZ1029,'Training Responses'!$L$2:$L1029=H25)),0))"),"")</f>
        <v/>
      </c>
      <c r="N25" s="53" t="str">
        <f ca="1">IFERROR(__xludf.DUMMYFUNCTION("iferror(IF($H25="""","""", average(filter('Wellness Responses'!$AS$2:$AS1029,'Wellness Responses'!$O$2:$O1029=H25))),"""")"),"")</f>
        <v/>
      </c>
      <c r="O25" s="7"/>
      <c r="P25" s="54">
        <v>24</v>
      </c>
      <c r="Q25" s="19" t="e">
        <f t="shared" si="1"/>
        <v>#REF!</v>
      </c>
      <c r="R25" s="7"/>
      <c r="S25" s="51" t="e">
        <f>IF(SUMIF(#REF!,$P25,#REF!)/#REF!=0,"",SUMIF(#REF!,$P25,#REF!)/#REF!)</f>
        <v>#REF!</v>
      </c>
      <c r="T25" s="51" t="e">
        <f>IF(SUMIFS(#REF!,#REF!,$P25,#REF!,1)/#REF!=0,"",SUMIFS(#REF!,#REF!,$P25,#REF!,1)/#REF!)</f>
        <v>#REF!</v>
      </c>
      <c r="U25" s="51" t="e">
        <f t="shared" si="2"/>
        <v>#REF!</v>
      </c>
      <c r="V25" s="56" t="str">
        <f t="shared" si="3"/>
        <v/>
      </c>
      <c r="W25" s="57"/>
      <c r="X25" s="57"/>
    </row>
    <row r="26" spans="1:24" ht="12.5" x14ac:dyDescent="0.25">
      <c r="A26" s="34"/>
      <c r="B26" s="7"/>
      <c r="C26" s="19"/>
      <c r="D26" s="7"/>
      <c r="E26" s="7"/>
      <c r="F26" s="7"/>
      <c r="G26" s="50" t="s">
        <v>942</v>
      </c>
      <c r="H26" s="6" t="e">
        <f>IF(
(IF($H25&lt;1,"",_xludf.MaxIFS(#REF!,#REF!,#REF!,#REF!,"&lt;"&amp;$H25)))&lt;1,"",
(IF($H25&lt;1,"",_xludf.MaxIFS(#REF!,#REF!,#REF!,#REF!,"&lt;"&amp;$H25))))</f>
        <v>#REF!</v>
      </c>
      <c r="I26" s="51"/>
      <c r="J26" s="51" t="str">
        <f ca="1">IFERROR(__xludf.DUMMYFUNCTION("IF($H26="""","""",iferror(average(filter('Training Responses'!$AM$2:$AM1029,'Training Responses'!$L$2:$L1029=$H26)),0))"),"")</f>
        <v/>
      </c>
      <c r="K26" s="51" t="str">
        <f ca="1">IFERROR(__xludf.DUMMYFUNCTION("IF($H26="""","""",iferror(average(filter('Training Responses'!$AL$2:$AL1029,'Training Responses'!$L$2:$L1029=$H26,'Training Responses'!$DU$2:$DU1029=1)),0))"),"")</f>
        <v/>
      </c>
      <c r="L26" s="51" t="e">
        <f t="shared" si="0"/>
        <v>#REF!</v>
      </c>
      <c r="M26" s="52" t="str">
        <f ca="1">IFERROR(__xludf.DUMMYFUNCTION("IF($H26="""","""",iferror(average(filter('Training Responses'!$DZ$2:$DZ1029,'Training Responses'!$L$2:$L1029=H26)),0))"),"")</f>
        <v/>
      </c>
      <c r="N26" s="53" t="str">
        <f ca="1">IFERROR(__xludf.DUMMYFUNCTION("iferror(IF($H26="""","""", average(filter('Wellness Responses'!$AS$2:$AS1029,'Wellness Responses'!$O$2:$O1029=H26))),"""")"),"")</f>
        <v/>
      </c>
      <c r="O26" s="7"/>
      <c r="P26" s="54">
        <v>25</v>
      </c>
      <c r="Q26" s="19" t="e">
        <f t="shared" si="1"/>
        <v>#REF!</v>
      </c>
      <c r="R26" s="7"/>
      <c r="S26" s="51" t="e">
        <f>IF(SUMIF(#REF!,$P26,#REF!)/#REF!=0,"",SUMIF(#REF!,$P26,#REF!)/#REF!)</f>
        <v>#REF!</v>
      </c>
      <c r="T26" s="51" t="e">
        <f>IF(SUMIFS(#REF!,#REF!,$P26,#REF!,1)/#REF!=0,"",SUMIFS(#REF!,#REF!,$P26,#REF!,1)/#REF!)</f>
        <v>#REF!</v>
      </c>
      <c r="U26" s="51" t="e">
        <f t="shared" si="2"/>
        <v>#REF!</v>
      </c>
      <c r="V26" s="56" t="str">
        <f t="shared" si="3"/>
        <v/>
      </c>
      <c r="W26" s="57"/>
      <c r="X26" s="57"/>
    </row>
    <row r="27" spans="1:24" ht="12.5" x14ac:dyDescent="0.25">
      <c r="A27" s="34"/>
      <c r="B27" s="7"/>
      <c r="C27" s="19"/>
      <c r="D27" s="7"/>
      <c r="E27" s="7"/>
      <c r="F27" s="7"/>
      <c r="G27" s="50" t="s">
        <v>942</v>
      </c>
      <c r="H27" s="6" t="e">
        <f>IF(
(IF($H26&lt;1,"",_xludf.MaxIFS(#REF!,#REF!,#REF!,#REF!,"&lt;"&amp;$H26)))&lt;1,"",
(IF($H26&lt;1,"",_xludf.MaxIFS(#REF!,#REF!,#REF!,#REF!,"&lt;"&amp;$H26))))</f>
        <v>#REF!</v>
      </c>
      <c r="I27" s="51"/>
      <c r="J27" s="51" t="str">
        <f ca="1">IFERROR(__xludf.DUMMYFUNCTION("IF($H27="""","""",iferror(average(filter('Training Responses'!$AM$2:$AM1029,'Training Responses'!$L$2:$L1029=$H27)),0))"),"")</f>
        <v/>
      </c>
      <c r="K27" s="51" t="str">
        <f ca="1">IFERROR(__xludf.DUMMYFUNCTION("IF($H27="""","""",iferror(average(filter('Training Responses'!$AL$2:$AL1029,'Training Responses'!$L$2:$L1029=$H27,'Training Responses'!$DU$2:$DU1029=1)),0))"),"")</f>
        <v/>
      </c>
      <c r="L27" s="51" t="e">
        <f t="shared" si="0"/>
        <v>#REF!</v>
      </c>
      <c r="M27" s="52" t="str">
        <f ca="1">IFERROR(__xludf.DUMMYFUNCTION("IF($H27="""","""",iferror(average(filter('Training Responses'!$DZ$2:$DZ1029,'Training Responses'!$L$2:$L1029=H27)),0))"),"")</f>
        <v/>
      </c>
      <c r="N27" s="53" t="str">
        <f ca="1">IFERROR(__xludf.DUMMYFUNCTION("iferror(IF($H27="""","""", average(filter('Wellness Responses'!$AS$2:$AS1029,'Wellness Responses'!$O$2:$O1029=H27))),"""")"),"")</f>
        <v/>
      </c>
      <c r="O27" s="7"/>
      <c r="P27" s="54">
        <v>26</v>
      </c>
      <c r="Q27" s="19" t="e">
        <f t="shared" si="1"/>
        <v>#REF!</v>
      </c>
      <c r="R27" s="7"/>
      <c r="S27" s="51" t="e">
        <f>IF(SUMIF(#REF!,$P27,#REF!)/#REF!=0,"",SUMIF(#REF!,$P27,#REF!)/#REF!)</f>
        <v>#REF!</v>
      </c>
      <c r="T27" s="51" t="e">
        <f>IF(SUMIFS(#REF!,#REF!,$P27,#REF!,1)/#REF!=0,"",SUMIFS(#REF!,#REF!,$P27,#REF!,1)/#REF!)</f>
        <v>#REF!</v>
      </c>
      <c r="U27" s="51" t="e">
        <f t="shared" si="2"/>
        <v>#REF!</v>
      </c>
      <c r="V27" s="56" t="str">
        <f t="shared" si="3"/>
        <v/>
      </c>
      <c r="W27" s="57"/>
      <c r="X27" s="57"/>
    </row>
    <row r="28" spans="1:24" ht="12.5" x14ac:dyDescent="0.25">
      <c r="A28" s="34"/>
      <c r="B28" s="7"/>
      <c r="C28" s="19"/>
      <c r="D28" s="7"/>
      <c r="E28" s="7"/>
      <c r="F28" s="7"/>
      <c r="G28" s="50" t="s">
        <v>942</v>
      </c>
      <c r="H28" s="6" t="e">
        <f>IF(
(IF($H27&lt;1,"",_xludf.MaxIFS(#REF!,#REF!,#REF!,#REF!,"&lt;"&amp;$H27)))&lt;1,"",
(IF($H27&lt;1,"",_xludf.MaxIFS(#REF!,#REF!,#REF!,#REF!,"&lt;"&amp;$H27))))</f>
        <v>#REF!</v>
      </c>
      <c r="I28" s="51"/>
      <c r="J28" s="51" t="str">
        <f ca="1">IFERROR(__xludf.DUMMYFUNCTION("IF($H28="""","""",iferror(average(filter('Training Responses'!$AM$2:$AM1029,'Training Responses'!$L$2:$L1029=$H28)),0))"),"")</f>
        <v/>
      </c>
      <c r="K28" s="51" t="str">
        <f ca="1">IFERROR(__xludf.DUMMYFUNCTION("IF($H28="""","""",iferror(average(filter('Training Responses'!$AL$2:$AL1029,'Training Responses'!$L$2:$L1029=$H28,'Training Responses'!$DU$2:$DU1029=1)),0))"),"")</f>
        <v/>
      </c>
      <c r="L28" s="51" t="e">
        <f t="shared" si="0"/>
        <v>#REF!</v>
      </c>
      <c r="M28" s="52" t="str">
        <f ca="1">IFERROR(__xludf.DUMMYFUNCTION("IF($H28="""","""",iferror(average(filter('Training Responses'!$DZ$2:$DZ1029,'Training Responses'!$L$2:$L1029=H28)),0))"),"")</f>
        <v/>
      </c>
      <c r="N28" s="53" t="str">
        <f ca="1">IFERROR(__xludf.DUMMYFUNCTION("iferror(IF($H28="""","""", average(filter('Wellness Responses'!$AS$2:$AS1029,'Wellness Responses'!$O$2:$O1029=H28))),"""")"),"")</f>
        <v/>
      </c>
      <c r="O28" s="7"/>
      <c r="P28" s="54">
        <v>27</v>
      </c>
      <c r="Q28" s="19" t="e">
        <f t="shared" si="1"/>
        <v>#REF!</v>
      </c>
      <c r="R28" s="7"/>
      <c r="S28" s="51" t="e">
        <f>IF(SUMIF(#REF!,$P28,#REF!)/#REF!=0,"",SUMIF(#REF!,$P28,#REF!)/#REF!)</f>
        <v>#REF!</v>
      </c>
      <c r="T28" s="51" t="e">
        <f>IF(SUMIFS(#REF!,#REF!,$P28,#REF!,1)/#REF!=0,"",SUMIFS(#REF!,#REF!,$P28,#REF!,1)/#REF!)</f>
        <v>#REF!</v>
      </c>
      <c r="U28" s="51" t="e">
        <f t="shared" si="2"/>
        <v>#REF!</v>
      </c>
      <c r="V28" s="56" t="str">
        <f t="shared" si="3"/>
        <v/>
      </c>
      <c r="W28" s="57"/>
      <c r="X28" s="57"/>
    </row>
    <row r="29" spans="1:24" ht="12.5" x14ac:dyDescent="0.25">
      <c r="A29" s="34"/>
      <c r="B29" s="7"/>
      <c r="C29" s="19"/>
      <c r="D29" s="7"/>
      <c r="E29" s="7"/>
      <c r="F29" s="7"/>
      <c r="G29" s="58" t="s">
        <v>942</v>
      </c>
      <c r="H29" s="59" t="e">
        <f>IF(
(IF($H28&lt;1,"",_xludf.MaxIFS(#REF!,#REF!,#REF!,#REF!,"&lt;"&amp;$H28)))&lt;1,"",
(IF($H28&lt;1,"",_xludf.MaxIFS(#REF!,#REF!,#REF!,#REF!,"&lt;"&amp;$H28))))</f>
        <v>#REF!</v>
      </c>
      <c r="I29" s="60"/>
      <c r="J29" s="60" t="str">
        <f ca="1">IFERROR(__xludf.DUMMYFUNCTION("IF($H29="""","""",iferror(average(filter('Training Responses'!$AM$2:$AM1029,'Training Responses'!$L$2:$L1029=$H29)),0))"),"")</f>
        <v/>
      </c>
      <c r="K29" s="60" t="str">
        <f ca="1">IFERROR(__xludf.DUMMYFUNCTION("IF($H29="""","""",iferror(average(filter('Training Responses'!$AL$2:$AL1029,'Training Responses'!$L$2:$L1029=$H29,'Training Responses'!$DU$2:$DU1029=1)),0))"),"")</f>
        <v/>
      </c>
      <c r="L29" s="60" t="e">
        <f t="shared" si="0"/>
        <v>#REF!</v>
      </c>
      <c r="M29" s="61" t="str">
        <f ca="1">IFERROR(__xludf.DUMMYFUNCTION("IF($H29="""","""",iferror(average(filter('Training Responses'!$DZ$2:$DZ1029,'Training Responses'!$L$2:$L1029=H29)),0))"),"")</f>
        <v/>
      </c>
      <c r="N29" s="62" t="str">
        <f ca="1">IFERROR(__xludf.DUMMYFUNCTION("iferror(IF($H29="""","""", average(filter('Wellness Responses'!$AS$2:$AS1029,'Wellness Responses'!$O$2:$O1029=H29))),"""")"),"")</f>
        <v/>
      </c>
      <c r="O29" s="7"/>
      <c r="P29" s="63">
        <v>28</v>
      </c>
      <c r="Q29" s="64" t="e">
        <f>IF(U29="","",28)</f>
        <v>#REF!</v>
      </c>
      <c r="R29" s="65"/>
      <c r="S29" s="60" t="e">
        <f>IF(SUMIF(#REF!,$P29,#REF!)/#REF!=0,"",SUMIF(#REF!,$P29,#REF!)/#REF!)</f>
        <v>#REF!</v>
      </c>
      <c r="T29" s="60" t="e">
        <f>IF(SUMIFS(#REF!,#REF!,$P29,#REF!,1)/#REF!=0,"",SUMIFS(#REF!,#REF!,$P29,#REF!,1)/#REF!)</f>
        <v>#REF!</v>
      </c>
      <c r="U29" s="60" t="e">
        <f t="shared" si="2"/>
        <v>#REF!</v>
      </c>
      <c r="V29" s="66" t="str">
        <f t="shared" si="3"/>
        <v/>
      </c>
      <c r="W29" s="57"/>
      <c r="X29" s="57"/>
    </row>
    <row r="30" spans="1:24" ht="12.5" x14ac:dyDescent="0.25">
      <c r="A30" s="34"/>
      <c r="B30" s="7"/>
      <c r="C30" s="19"/>
      <c r="D30" s="7"/>
      <c r="E30" s="7"/>
      <c r="F30" s="7"/>
      <c r="G30" s="7"/>
      <c r="H30" s="6"/>
      <c r="I30" s="7"/>
      <c r="J30" s="7"/>
      <c r="K30" s="7"/>
      <c r="L30" s="7"/>
      <c r="M30" s="52"/>
      <c r="N30" s="7"/>
      <c r="O30" s="7"/>
      <c r="P30" s="47"/>
      <c r="Q30" s="47"/>
      <c r="R30" s="7"/>
      <c r="S30" s="51"/>
      <c r="T30" s="51"/>
      <c r="U30" s="7"/>
      <c r="V30" s="57"/>
      <c r="W30" s="57"/>
      <c r="X30" s="57"/>
    </row>
    <row r="31" spans="1:24" ht="12.5" x14ac:dyDescent="0.25">
      <c r="A31" s="34"/>
      <c r="B31" s="7"/>
      <c r="C31" s="19"/>
      <c r="D31" s="7"/>
      <c r="E31" s="7"/>
      <c r="F31" s="7"/>
      <c r="G31" s="7"/>
      <c r="H31" s="6"/>
      <c r="I31" s="7"/>
      <c r="J31" s="7"/>
      <c r="K31" s="7"/>
      <c r="L31" s="7"/>
      <c r="M31" s="52"/>
      <c r="N31" s="7"/>
      <c r="O31" s="7"/>
      <c r="P31" s="47"/>
      <c r="Q31" s="47"/>
      <c r="R31" s="7"/>
      <c r="S31" s="51"/>
      <c r="T31" s="51"/>
      <c r="U31" s="7"/>
      <c r="V31" s="57"/>
      <c r="W31" s="57"/>
      <c r="X31" s="57"/>
    </row>
    <row r="32" spans="1:24" ht="12.5" x14ac:dyDescent="0.25">
      <c r="A32" s="34"/>
      <c r="B32" s="7"/>
      <c r="C32" s="19"/>
      <c r="D32" s="7"/>
      <c r="E32" s="7"/>
      <c r="F32" s="7"/>
      <c r="G32" s="7"/>
      <c r="H32" s="6"/>
      <c r="I32" s="7"/>
      <c r="J32" s="7"/>
      <c r="K32" s="7"/>
      <c r="L32" s="7"/>
      <c r="M32" s="52"/>
      <c r="N32" s="7"/>
      <c r="O32" s="7"/>
      <c r="P32" s="47"/>
      <c r="Q32" s="47"/>
      <c r="R32" s="7"/>
      <c r="S32" s="51"/>
      <c r="T32" s="51"/>
      <c r="U32" s="7"/>
      <c r="V32" s="57"/>
      <c r="W32" s="57"/>
      <c r="X32" s="57"/>
    </row>
    <row r="33" spans="1:24" ht="12.5" x14ac:dyDescent="0.25">
      <c r="A33" s="34"/>
      <c r="B33" s="7"/>
      <c r="C33" s="19"/>
      <c r="D33" s="7"/>
      <c r="E33" s="7"/>
      <c r="F33" s="7"/>
      <c r="G33" s="7"/>
      <c r="H33" s="6"/>
      <c r="I33" s="7"/>
      <c r="J33" s="7"/>
      <c r="K33" s="7"/>
      <c r="L33" s="7"/>
      <c r="M33" s="52"/>
      <c r="N33" s="7"/>
      <c r="O33" s="7"/>
      <c r="P33" s="47"/>
      <c r="Q33" s="47"/>
      <c r="R33" s="7"/>
      <c r="S33" s="51"/>
      <c r="T33" s="51"/>
      <c r="U33" s="7"/>
      <c r="V33" s="57"/>
      <c r="W33" s="57"/>
      <c r="X33" s="57"/>
    </row>
    <row r="34" spans="1:24" ht="12.5" x14ac:dyDescent="0.25">
      <c r="A34" s="34"/>
      <c r="B34" s="7"/>
      <c r="C34" s="19"/>
      <c r="D34" s="7"/>
      <c r="E34" s="7"/>
      <c r="F34" s="7"/>
      <c r="G34" s="7"/>
      <c r="H34" s="6"/>
      <c r="I34" s="7"/>
      <c r="J34" s="7"/>
      <c r="K34" s="7"/>
      <c r="L34" s="7"/>
      <c r="M34" s="52"/>
      <c r="N34" s="7"/>
      <c r="O34" s="7"/>
      <c r="P34" s="47"/>
      <c r="Q34" s="47"/>
      <c r="R34" s="7"/>
      <c r="S34" s="51"/>
      <c r="T34" s="51"/>
      <c r="U34" s="7"/>
      <c r="V34" s="57"/>
      <c r="W34" s="57"/>
      <c r="X34" s="57"/>
    </row>
    <row r="35" spans="1:24" ht="12.5" x14ac:dyDescent="0.25">
      <c r="A35" s="34"/>
      <c r="B35" s="7"/>
      <c r="C35" s="19"/>
      <c r="D35" s="7"/>
      <c r="E35" s="7"/>
      <c r="F35" s="7"/>
      <c r="G35" s="7"/>
      <c r="H35" s="6"/>
      <c r="I35" s="7"/>
      <c r="J35" s="7"/>
      <c r="K35" s="7"/>
      <c r="L35" s="7"/>
      <c r="M35" s="52"/>
      <c r="N35" s="7"/>
      <c r="O35" s="7"/>
      <c r="P35" s="47"/>
      <c r="Q35" s="47"/>
      <c r="R35" s="7"/>
      <c r="S35" s="51"/>
      <c r="T35" s="51"/>
      <c r="U35" s="7"/>
      <c r="V35" s="57"/>
      <c r="W35" s="57"/>
      <c r="X35" s="57"/>
    </row>
    <row r="36" spans="1:24" ht="12.5" x14ac:dyDescent="0.25">
      <c r="A36" s="34"/>
      <c r="B36" s="7"/>
      <c r="C36" s="19"/>
      <c r="D36" s="7"/>
      <c r="E36" s="7"/>
      <c r="F36" s="7"/>
      <c r="G36" s="7"/>
      <c r="H36" s="6"/>
      <c r="I36" s="7"/>
      <c r="J36" s="7"/>
      <c r="K36" s="7"/>
      <c r="L36" s="7"/>
      <c r="M36" s="52"/>
      <c r="N36" s="7"/>
      <c r="O36" s="7"/>
      <c r="P36" s="47"/>
      <c r="Q36" s="47"/>
      <c r="R36" s="7"/>
      <c r="S36" s="51"/>
      <c r="T36" s="51"/>
      <c r="U36" s="7"/>
      <c r="V36" s="57"/>
      <c r="W36" s="57"/>
      <c r="X36" s="57"/>
    </row>
    <row r="37" spans="1:24" ht="12.5" x14ac:dyDescent="0.25">
      <c r="A37" s="34"/>
      <c r="B37" s="7"/>
      <c r="C37" s="19"/>
      <c r="D37" s="7"/>
      <c r="E37" s="7"/>
      <c r="F37" s="7"/>
      <c r="G37" s="7"/>
      <c r="H37" s="6"/>
      <c r="I37" s="7"/>
      <c r="J37" s="7"/>
      <c r="K37" s="7"/>
      <c r="L37" s="7"/>
      <c r="M37" s="52"/>
      <c r="N37" s="7"/>
      <c r="O37" s="7"/>
      <c r="P37" s="47"/>
      <c r="Q37" s="47"/>
      <c r="R37" s="7"/>
      <c r="S37" s="51"/>
      <c r="T37" s="51"/>
      <c r="U37" s="7"/>
      <c r="V37" s="57"/>
      <c r="W37" s="57"/>
      <c r="X37" s="57"/>
    </row>
    <row r="38" spans="1:24" ht="12.5" x14ac:dyDescent="0.25">
      <c r="A38" s="34"/>
      <c r="B38" s="7"/>
      <c r="C38" s="19"/>
      <c r="D38" s="7"/>
      <c r="E38" s="7"/>
      <c r="F38" s="7"/>
      <c r="G38" s="7"/>
      <c r="H38" s="6"/>
      <c r="I38" s="7"/>
      <c r="J38" s="7"/>
      <c r="K38" s="7"/>
      <c r="L38" s="7"/>
      <c r="M38" s="52"/>
      <c r="N38" s="7"/>
      <c r="O38" s="7"/>
      <c r="P38" s="47"/>
      <c r="Q38" s="47"/>
      <c r="R38" s="7"/>
      <c r="S38" s="51"/>
      <c r="T38" s="51"/>
      <c r="U38" s="7"/>
      <c r="V38" s="57"/>
      <c r="W38" s="57"/>
      <c r="X38" s="57"/>
    </row>
    <row r="39" spans="1:24" ht="12.5" x14ac:dyDescent="0.25">
      <c r="A39" s="34"/>
      <c r="B39" s="7"/>
      <c r="C39" s="19"/>
      <c r="D39" s="7"/>
      <c r="E39" s="7"/>
      <c r="F39" s="7"/>
      <c r="G39" s="7"/>
      <c r="H39" s="6"/>
      <c r="I39" s="7"/>
      <c r="J39" s="7"/>
      <c r="K39" s="7"/>
      <c r="L39" s="7"/>
      <c r="M39" s="52"/>
      <c r="N39" s="7"/>
      <c r="O39" s="7"/>
      <c r="P39" s="47"/>
      <c r="Q39" s="47"/>
      <c r="R39" s="7"/>
      <c r="S39" s="51"/>
      <c r="T39" s="51"/>
      <c r="U39" s="7"/>
      <c r="V39" s="57"/>
      <c r="W39" s="57"/>
      <c r="X39" s="57"/>
    </row>
    <row r="40" spans="1:24" ht="12.5" x14ac:dyDescent="0.25">
      <c r="A40" s="34"/>
      <c r="B40" s="7"/>
      <c r="C40" s="19"/>
      <c r="D40" s="7"/>
      <c r="E40" s="7"/>
      <c r="F40" s="7"/>
      <c r="G40" s="7"/>
      <c r="H40" s="6"/>
      <c r="I40" s="7"/>
      <c r="J40" s="7"/>
      <c r="K40" s="7"/>
      <c r="L40" s="7"/>
      <c r="M40" s="52"/>
      <c r="N40" s="7"/>
      <c r="O40" s="7"/>
      <c r="P40" s="47"/>
      <c r="Q40" s="47"/>
      <c r="R40" s="7"/>
      <c r="S40" s="51"/>
      <c r="T40" s="51"/>
      <c r="U40" s="7"/>
      <c r="V40" s="57"/>
      <c r="W40" s="57"/>
      <c r="X40" s="57"/>
    </row>
    <row r="41" spans="1:24" ht="12.5" x14ac:dyDescent="0.25">
      <c r="A41" s="34"/>
      <c r="B41" s="7"/>
      <c r="C41" s="19"/>
      <c r="D41" s="7"/>
      <c r="E41" s="7"/>
      <c r="F41" s="7"/>
      <c r="G41" s="7"/>
      <c r="H41" s="6"/>
      <c r="I41" s="7"/>
      <c r="J41" s="7"/>
      <c r="K41" s="7"/>
      <c r="L41" s="7"/>
      <c r="M41" s="52"/>
      <c r="N41" s="7"/>
      <c r="O41" s="7"/>
      <c r="P41" s="47"/>
      <c r="Q41" s="47"/>
      <c r="R41" s="7"/>
      <c r="S41" s="51"/>
      <c r="T41" s="51"/>
      <c r="U41" s="7"/>
      <c r="V41" s="57"/>
      <c r="W41" s="57"/>
      <c r="X41" s="57"/>
    </row>
    <row r="42" spans="1:24" ht="12.5" x14ac:dyDescent="0.25">
      <c r="A42" s="34"/>
      <c r="B42" s="7"/>
      <c r="C42" s="19"/>
      <c r="D42" s="7"/>
      <c r="E42" s="7"/>
      <c r="F42" s="7"/>
      <c r="G42" s="7"/>
      <c r="H42" s="6"/>
      <c r="I42" s="7"/>
      <c r="J42" s="7"/>
      <c r="K42" s="7"/>
      <c r="L42" s="7"/>
      <c r="M42" s="52"/>
      <c r="N42" s="7"/>
      <c r="O42" s="7"/>
      <c r="P42" s="47"/>
      <c r="Q42" s="47"/>
      <c r="R42" s="7"/>
      <c r="S42" s="51"/>
      <c r="T42" s="51"/>
      <c r="U42" s="7"/>
      <c r="V42" s="57"/>
      <c r="W42" s="57"/>
      <c r="X42" s="57"/>
    </row>
    <row r="43" spans="1:24" ht="12.5" x14ac:dyDescent="0.25">
      <c r="A43" s="34"/>
      <c r="B43" s="7"/>
      <c r="C43" s="19"/>
      <c r="D43" s="7"/>
      <c r="E43" s="7"/>
      <c r="F43" s="7"/>
      <c r="G43" s="7"/>
      <c r="H43" s="6"/>
      <c r="I43" s="7"/>
      <c r="J43" s="7"/>
      <c r="K43" s="7"/>
      <c r="L43" s="7"/>
      <c r="M43" s="52"/>
      <c r="N43" s="7"/>
      <c r="O43" s="7"/>
      <c r="P43" s="47"/>
      <c r="Q43" s="47"/>
      <c r="R43" s="7"/>
      <c r="S43" s="51"/>
      <c r="T43" s="51"/>
      <c r="U43" s="7"/>
      <c r="V43" s="57"/>
      <c r="W43" s="57"/>
      <c r="X43" s="57"/>
    </row>
    <row r="44" spans="1:24" ht="12.5" x14ac:dyDescent="0.25">
      <c r="A44" s="34"/>
      <c r="B44" s="7"/>
      <c r="C44" s="19"/>
      <c r="D44" s="7"/>
      <c r="E44" s="7"/>
      <c r="F44" s="7"/>
      <c r="G44" s="7"/>
      <c r="H44" s="6"/>
      <c r="I44" s="7"/>
      <c r="J44" s="7"/>
      <c r="K44" s="7"/>
      <c r="L44" s="7"/>
      <c r="M44" s="52"/>
      <c r="N44" s="7"/>
      <c r="O44" s="7"/>
      <c r="P44" s="47"/>
      <c r="Q44" s="47"/>
      <c r="R44" s="7"/>
      <c r="S44" s="51"/>
      <c r="T44" s="51"/>
      <c r="U44" s="7"/>
      <c r="V44" s="57"/>
      <c r="W44" s="57"/>
      <c r="X44" s="57"/>
    </row>
    <row r="45" spans="1:24" ht="12.5" x14ac:dyDescent="0.25">
      <c r="A45" s="34"/>
      <c r="B45" s="7"/>
      <c r="C45" s="19"/>
      <c r="D45" s="7"/>
      <c r="E45" s="7"/>
      <c r="F45" s="7"/>
      <c r="G45" s="7"/>
      <c r="H45" s="6"/>
      <c r="I45" s="7"/>
      <c r="J45" s="7"/>
      <c r="K45" s="7"/>
      <c r="L45" s="7"/>
      <c r="M45" s="52"/>
      <c r="N45" s="7"/>
      <c r="O45" s="7"/>
      <c r="P45" s="47"/>
      <c r="Q45" s="47"/>
      <c r="R45" s="7"/>
      <c r="S45" s="51"/>
      <c r="T45" s="51"/>
      <c r="U45" s="7"/>
      <c r="V45" s="57"/>
      <c r="W45" s="57"/>
      <c r="X45" s="57"/>
    </row>
    <row r="46" spans="1:24" ht="12.5" x14ac:dyDescent="0.25">
      <c r="A46" s="34"/>
      <c r="B46" s="7"/>
      <c r="C46" s="19"/>
      <c r="D46" s="7"/>
      <c r="E46" s="7"/>
      <c r="F46" s="7"/>
      <c r="G46" s="7"/>
      <c r="H46" s="6"/>
      <c r="I46" s="7"/>
      <c r="J46" s="7"/>
      <c r="K46" s="7"/>
      <c r="L46" s="7"/>
      <c r="M46" s="52"/>
      <c r="N46" s="7"/>
      <c r="O46" s="7"/>
      <c r="P46" s="47"/>
      <c r="Q46" s="47"/>
      <c r="R46" s="7"/>
      <c r="S46" s="51"/>
      <c r="T46" s="51"/>
      <c r="U46" s="7"/>
      <c r="V46" s="57"/>
      <c r="W46" s="57"/>
      <c r="X46" s="57"/>
    </row>
    <row r="47" spans="1:24" ht="12.5" x14ac:dyDescent="0.25">
      <c r="A47" s="34"/>
      <c r="B47" s="7"/>
      <c r="C47" s="19"/>
      <c r="D47" s="7"/>
      <c r="E47" s="7"/>
      <c r="F47" s="7"/>
      <c r="G47" s="7"/>
      <c r="H47" s="6"/>
      <c r="I47" s="7"/>
      <c r="J47" s="7"/>
      <c r="K47" s="7"/>
      <c r="L47" s="7"/>
      <c r="M47" s="52"/>
      <c r="N47" s="7"/>
      <c r="O47" s="7"/>
      <c r="P47" s="47"/>
      <c r="Q47" s="47"/>
      <c r="R47" s="7"/>
      <c r="S47" s="51"/>
      <c r="T47" s="51"/>
      <c r="U47" s="7"/>
      <c r="V47" s="57"/>
      <c r="W47" s="57"/>
      <c r="X47" s="57"/>
    </row>
    <row r="48" spans="1:24" ht="12.5" x14ac:dyDescent="0.25">
      <c r="A48" s="34"/>
      <c r="B48" s="7"/>
      <c r="C48" s="19"/>
      <c r="D48" s="7"/>
      <c r="E48" s="7"/>
      <c r="F48" s="7"/>
      <c r="G48" s="7"/>
      <c r="H48" s="6"/>
      <c r="I48" s="7"/>
      <c r="J48" s="7"/>
      <c r="K48" s="7"/>
      <c r="L48" s="7"/>
      <c r="M48" s="52"/>
      <c r="N48" s="7"/>
      <c r="O48" s="7"/>
      <c r="P48" s="47"/>
      <c r="Q48" s="47"/>
      <c r="R48" s="7"/>
      <c r="S48" s="51"/>
      <c r="T48" s="51"/>
      <c r="U48" s="7"/>
      <c r="V48" s="57"/>
      <c r="W48" s="57"/>
      <c r="X48" s="57"/>
    </row>
    <row r="49" spans="1:24" ht="12.5" x14ac:dyDescent="0.25">
      <c r="A49" s="34"/>
      <c r="B49" s="7"/>
      <c r="C49" s="19"/>
      <c r="D49" s="7"/>
      <c r="E49" s="7"/>
      <c r="F49" s="7"/>
      <c r="G49" s="7"/>
      <c r="H49" s="6"/>
      <c r="I49" s="7"/>
      <c r="J49" s="7"/>
      <c r="K49" s="7"/>
      <c r="L49" s="7"/>
      <c r="M49" s="52"/>
      <c r="N49" s="7"/>
      <c r="O49" s="7"/>
      <c r="P49" s="47"/>
      <c r="Q49" s="47"/>
      <c r="R49" s="7"/>
      <c r="S49" s="51"/>
      <c r="T49" s="51"/>
      <c r="U49" s="7"/>
      <c r="V49" s="57"/>
      <c r="W49" s="57"/>
      <c r="X49" s="57"/>
    </row>
    <row r="50" spans="1:24" ht="12.5" x14ac:dyDescent="0.25">
      <c r="A50" s="34"/>
      <c r="B50" s="7"/>
      <c r="C50" s="19"/>
      <c r="D50" s="7"/>
      <c r="E50" s="7"/>
      <c r="F50" s="7"/>
      <c r="G50" s="7"/>
      <c r="H50" s="6"/>
      <c r="I50" s="7"/>
      <c r="J50" s="7"/>
      <c r="K50" s="7"/>
      <c r="L50" s="7"/>
      <c r="M50" s="52"/>
      <c r="N50" s="7"/>
      <c r="O50" s="7"/>
      <c r="P50" s="47"/>
      <c r="Q50" s="47"/>
      <c r="R50" s="7"/>
      <c r="S50" s="51"/>
      <c r="T50" s="51"/>
      <c r="U50" s="7"/>
      <c r="V50" s="57"/>
      <c r="W50" s="57"/>
      <c r="X50" s="57"/>
    </row>
    <row r="51" spans="1:24" ht="12.5" x14ac:dyDescent="0.25">
      <c r="A51" s="34"/>
      <c r="B51" s="7"/>
      <c r="C51" s="19"/>
      <c r="D51" s="7"/>
      <c r="E51" s="7"/>
      <c r="F51" s="7"/>
      <c r="G51" s="7"/>
      <c r="H51" s="6"/>
      <c r="I51" s="7"/>
      <c r="J51" s="7"/>
      <c r="K51" s="7"/>
      <c r="L51" s="7"/>
      <c r="M51" s="52"/>
      <c r="N51" s="7"/>
      <c r="O51" s="7"/>
      <c r="P51" s="47"/>
      <c r="Q51" s="47"/>
      <c r="R51" s="7"/>
      <c r="S51" s="51"/>
      <c r="T51" s="51"/>
      <c r="U51" s="7"/>
      <c r="V51" s="57"/>
      <c r="W51" s="57"/>
      <c r="X51" s="57"/>
    </row>
    <row r="52" spans="1:24" ht="12.5" x14ac:dyDescent="0.25">
      <c r="A52" s="34"/>
      <c r="B52" s="7"/>
      <c r="C52" s="19"/>
      <c r="D52" s="7"/>
      <c r="E52" s="7"/>
      <c r="F52" s="7"/>
      <c r="G52" s="7"/>
      <c r="H52" s="6"/>
      <c r="I52" s="7"/>
      <c r="J52" s="7"/>
      <c r="K52" s="7"/>
      <c r="L52" s="7"/>
      <c r="M52" s="52"/>
      <c r="N52" s="7"/>
      <c r="O52" s="7"/>
      <c r="P52" s="47"/>
      <c r="Q52" s="47"/>
      <c r="R52" s="7"/>
      <c r="S52" s="51"/>
      <c r="T52" s="51"/>
      <c r="U52" s="7"/>
      <c r="V52" s="57"/>
      <c r="W52" s="57"/>
      <c r="X52" s="57"/>
    </row>
    <row r="53" spans="1:24" ht="12.5" x14ac:dyDescent="0.25">
      <c r="A53" s="34"/>
      <c r="B53" s="7"/>
      <c r="C53" s="19"/>
      <c r="D53" s="7"/>
      <c r="E53" s="7"/>
      <c r="F53" s="7"/>
      <c r="G53" s="7"/>
      <c r="H53" s="6"/>
      <c r="I53" s="7"/>
      <c r="J53" s="7"/>
      <c r="K53" s="7"/>
      <c r="L53" s="7"/>
      <c r="M53" s="52"/>
      <c r="N53" s="7"/>
      <c r="O53" s="7"/>
      <c r="P53" s="47"/>
      <c r="Q53" s="47"/>
      <c r="R53" s="7"/>
      <c r="S53" s="51"/>
      <c r="T53" s="51"/>
      <c r="U53" s="7"/>
      <c r="V53" s="57"/>
      <c r="W53" s="57"/>
      <c r="X53" s="57"/>
    </row>
    <row r="54" spans="1:24" ht="12.5" x14ac:dyDescent="0.25">
      <c r="A54" s="34"/>
      <c r="B54" s="7"/>
      <c r="C54" s="19"/>
      <c r="D54" s="7"/>
      <c r="E54" s="7"/>
      <c r="F54" s="7"/>
      <c r="G54" s="7"/>
      <c r="H54" s="6"/>
      <c r="I54" s="7"/>
      <c r="J54" s="7"/>
      <c r="K54" s="7"/>
      <c r="L54" s="7"/>
      <c r="M54" s="52"/>
      <c r="N54" s="7"/>
      <c r="O54" s="7"/>
      <c r="P54" s="47"/>
      <c r="Q54" s="47"/>
      <c r="R54" s="7"/>
      <c r="S54" s="51"/>
      <c r="T54" s="51"/>
      <c r="U54" s="7"/>
      <c r="V54" s="57"/>
      <c r="W54" s="57"/>
      <c r="X54" s="57"/>
    </row>
    <row r="55" spans="1:24" ht="12.5" x14ac:dyDescent="0.25">
      <c r="A55" s="34"/>
      <c r="B55" s="7"/>
      <c r="C55" s="19"/>
      <c r="D55" s="7"/>
      <c r="E55" s="7"/>
      <c r="F55" s="7"/>
      <c r="G55" s="7"/>
      <c r="H55" s="6"/>
      <c r="I55" s="7"/>
      <c r="J55" s="7"/>
      <c r="K55" s="7"/>
      <c r="L55" s="7"/>
      <c r="M55" s="52"/>
      <c r="N55" s="7"/>
      <c r="O55" s="7"/>
      <c r="P55" s="47"/>
      <c r="Q55" s="47"/>
      <c r="R55" s="7"/>
      <c r="S55" s="51"/>
      <c r="T55" s="51"/>
      <c r="U55" s="7"/>
      <c r="V55" s="57"/>
      <c r="W55" s="57"/>
      <c r="X55" s="57"/>
    </row>
    <row r="56" spans="1:24" ht="12.5" x14ac:dyDescent="0.25">
      <c r="A56" s="34"/>
      <c r="B56" s="7"/>
      <c r="C56" s="19"/>
      <c r="D56" s="7"/>
      <c r="E56" s="7"/>
      <c r="F56" s="7"/>
      <c r="G56" s="7"/>
      <c r="H56" s="6"/>
      <c r="I56" s="7"/>
      <c r="J56" s="7"/>
      <c r="K56" s="7"/>
      <c r="L56" s="7"/>
      <c r="M56" s="52"/>
      <c r="N56" s="7"/>
      <c r="O56" s="7"/>
      <c r="P56" s="47"/>
      <c r="Q56" s="47"/>
      <c r="R56" s="7"/>
      <c r="S56" s="51"/>
      <c r="T56" s="51"/>
      <c r="U56" s="7"/>
      <c r="V56" s="57"/>
      <c r="W56" s="57"/>
      <c r="X56" s="57"/>
    </row>
    <row r="57" spans="1:24" ht="12.5" x14ac:dyDescent="0.25">
      <c r="A57" s="34"/>
      <c r="B57" s="7"/>
      <c r="C57" s="19"/>
      <c r="D57" s="7"/>
      <c r="E57" s="7"/>
      <c r="F57" s="7"/>
      <c r="G57" s="7"/>
      <c r="H57" s="6"/>
      <c r="I57" s="7"/>
      <c r="J57" s="7"/>
      <c r="K57" s="7"/>
      <c r="L57" s="7"/>
      <c r="M57" s="52"/>
      <c r="N57" s="7"/>
      <c r="O57" s="7"/>
      <c r="P57" s="47"/>
      <c r="Q57" s="47"/>
      <c r="R57" s="7"/>
      <c r="S57" s="51"/>
      <c r="T57" s="51"/>
      <c r="U57" s="7"/>
      <c r="V57" s="57"/>
      <c r="W57" s="57"/>
      <c r="X57" s="57"/>
    </row>
    <row r="58" spans="1:24" ht="12.5" x14ac:dyDescent="0.25">
      <c r="A58" s="34"/>
      <c r="B58" s="7"/>
      <c r="C58" s="19"/>
      <c r="D58" s="7"/>
      <c r="E58" s="7"/>
      <c r="F58" s="7"/>
      <c r="G58" s="7"/>
      <c r="H58" s="6"/>
      <c r="I58" s="7"/>
      <c r="J58" s="7"/>
      <c r="K58" s="7"/>
      <c r="L58" s="7"/>
      <c r="M58" s="52"/>
      <c r="N58" s="7"/>
      <c r="O58" s="7"/>
      <c r="P58" s="47"/>
      <c r="Q58" s="47"/>
      <c r="R58" s="7"/>
      <c r="S58" s="51"/>
      <c r="T58" s="51"/>
      <c r="U58" s="7"/>
      <c r="V58" s="57"/>
      <c r="W58" s="57"/>
      <c r="X58" s="57"/>
    </row>
    <row r="59" spans="1:24" ht="12.5" x14ac:dyDescent="0.25">
      <c r="A59" s="34"/>
      <c r="B59" s="7"/>
      <c r="C59" s="19"/>
      <c r="D59" s="7"/>
      <c r="E59" s="7"/>
      <c r="F59" s="7"/>
      <c r="G59" s="7"/>
      <c r="H59" s="6"/>
      <c r="I59" s="7"/>
      <c r="J59" s="7"/>
      <c r="K59" s="7"/>
      <c r="L59" s="7"/>
      <c r="M59" s="52"/>
      <c r="N59" s="7"/>
      <c r="O59" s="7"/>
      <c r="P59" s="47"/>
      <c r="Q59" s="47"/>
      <c r="R59" s="7"/>
      <c r="S59" s="51"/>
      <c r="T59" s="51"/>
      <c r="U59" s="7"/>
      <c r="V59" s="57"/>
      <c r="W59" s="57"/>
      <c r="X59" s="57"/>
    </row>
    <row r="60" spans="1:24" ht="12.5" x14ac:dyDescent="0.25">
      <c r="A60" s="34"/>
      <c r="B60" s="7"/>
      <c r="C60" s="19"/>
      <c r="D60" s="7"/>
      <c r="E60" s="7"/>
      <c r="F60" s="7"/>
      <c r="G60" s="7"/>
      <c r="H60" s="6"/>
      <c r="I60" s="7"/>
      <c r="J60" s="7"/>
      <c r="K60" s="7"/>
      <c r="L60" s="7"/>
      <c r="M60" s="52"/>
      <c r="N60" s="7"/>
      <c r="O60" s="7"/>
      <c r="P60" s="47"/>
      <c r="Q60" s="47"/>
      <c r="R60" s="7"/>
      <c r="S60" s="51"/>
      <c r="T60" s="51"/>
      <c r="U60" s="7"/>
      <c r="V60" s="57"/>
      <c r="W60" s="57"/>
      <c r="X60" s="57"/>
    </row>
    <row r="61" spans="1:24" ht="12.5" x14ac:dyDescent="0.25">
      <c r="A61" s="34"/>
      <c r="B61" s="7"/>
      <c r="C61" s="19"/>
      <c r="D61" s="7"/>
      <c r="E61" s="7"/>
      <c r="F61" s="7"/>
      <c r="G61" s="7"/>
      <c r="H61" s="6"/>
      <c r="I61" s="7"/>
      <c r="J61" s="7"/>
      <c r="K61" s="7"/>
      <c r="L61" s="7"/>
      <c r="M61" s="52"/>
      <c r="N61" s="7"/>
      <c r="O61" s="7"/>
      <c r="P61" s="47"/>
      <c r="Q61" s="47"/>
      <c r="R61" s="7"/>
      <c r="S61" s="51"/>
      <c r="T61" s="51"/>
      <c r="U61" s="7"/>
      <c r="V61" s="57"/>
      <c r="W61" s="57"/>
      <c r="X61" s="57"/>
    </row>
    <row r="62" spans="1:24" ht="12.5" x14ac:dyDescent="0.25">
      <c r="A62" s="34"/>
      <c r="B62" s="7"/>
      <c r="C62" s="19"/>
      <c r="D62" s="7"/>
      <c r="E62" s="7"/>
      <c r="F62" s="7"/>
      <c r="G62" s="7"/>
      <c r="H62" s="6"/>
      <c r="I62" s="7"/>
      <c r="J62" s="7"/>
      <c r="K62" s="7"/>
      <c r="L62" s="7"/>
      <c r="M62" s="52"/>
      <c r="N62" s="7"/>
      <c r="O62" s="7"/>
      <c r="P62" s="47"/>
      <c r="Q62" s="47"/>
      <c r="R62" s="7"/>
      <c r="S62" s="51"/>
      <c r="T62" s="51"/>
      <c r="U62" s="7"/>
      <c r="V62" s="57"/>
      <c r="W62" s="57"/>
      <c r="X62" s="57"/>
    </row>
    <row r="63" spans="1:24" ht="12.5" x14ac:dyDescent="0.25">
      <c r="A63" s="34"/>
      <c r="B63" s="7"/>
      <c r="C63" s="19"/>
      <c r="D63" s="7"/>
      <c r="E63" s="7"/>
      <c r="F63" s="7"/>
      <c r="G63" s="7"/>
      <c r="H63" s="6"/>
      <c r="I63" s="7"/>
      <c r="J63" s="7"/>
      <c r="K63" s="7"/>
      <c r="L63" s="7"/>
      <c r="M63" s="52"/>
      <c r="N63" s="7"/>
      <c r="O63" s="7"/>
      <c r="P63" s="47"/>
      <c r="Q63" s="47"/>
      <c r="R63" s="7"/>
      <c r="S63" s="51"/>
      <c r="T63" s="51"/>
      <c r="U63" s="7"/>
      <c r="V63" s="57"/>
      <c r="W63" s="57"/>
      <c r="X63" s="57"/>
    </row>
    <row r="64" spans="1:24" ht="12.5" x14ac:dyDescent="0.25">
      <c r="A64" s="34"/>
      <c r="B64" s="7"/>
      <c r="C64" s="19"/>
      <c r="D64" s="7"/>
      <c r="E64" s="7"/>
      <c r="F64" s="7"/>
      <c r="G64" s="7"/>
      <c r="H64" s="6"/>
      <c r="I64" s="7"/>
      <c r="J64" s="7"/>
      <c r="K64" s="7"/>
      <c r="L64" s="7"/>
      <c r="M64" s="52"/>
      <c r="N64" s="7"/>
      <c r="O64" s="7"/>
      <c r="P64" s="47"/>
      <c r="Q64" s="47"/>
      <c r="R64" s="7"/>
      <c r="S64" s="51"/>
      <c r="T64" s="51"/>
      <c r="U64" s="7"/>
      <c r="V64" s="57"/>
      <c r="W64" s="57"/>
      <c r="X64" s="57"/>
    </row>
    <row r="65" spans="1:24" ht="12.5" x14ac:dyDescent="0.25">
      <c r="A65" s="34"/>
      <c r="B65" s="7"/>
      <c r="C65" s="19"/>
      <c r="D65" s="7"/>
      <c r="E65" s="7"/>
      <c r="F65" s="7"/>
      <c r="G65" s="7"/>
      <c r="H65" s="6"/>
      <c r="I65" s="7"/>
      <c r="J65" s="7"/>
      <c r="K65" s="7"/>
      <c r="L65" s="7"/>
      <c r="M65" s="52"/>
      <c r="N65" s="7"/>
      <c r="O65" s="7"/>
      <c r="P65" s="47"/>
      <c r="Q65" s="47"/>
      <c r="R65" s="7"/>
      <c r="S65" s="51"/>
      <c r="T65" s="51"/>
      <c r="U65" s="7"/>
      <c r="V65" s="57"/>
      <c r="W65" s="57"/>
      <c r="X65" s="57"/>
    </row>
    <row r="66" spans="1:24" ht="12.5" x14ac:dyDescent="0.25">
      <c r="A66" s="34"/>
      <c r="B66" s="7"/>
      <c r="C66" s="19"/>
      <c r="D66" s="7"/>
      <c r="E66" s="7"/>
      <c r="F66" s="7"/>
      <c r="G66" s="7"/>
      <c r="H66" s="6"/>
      <c r="I66" s="7"/>
      <c r="J66" s="7"/>
      <c r="K66" s="7"/>
      <c r="L66" s="7"/>
      <c r="M66" s="52"/>
      <c r="N66" s="7"/>
      <c r="O66" s="7"/>
      <c r="P66" s="47"/>
      <c r="Q66" s="47"/>
      <c r="R66" s="7"/>
      <c r="S66" s="51"/>
      <c r="T66" s="51"/>
      <c r="U66" s="7"/>
      <c r="V66" s="57"/>
      <c r="W66" s="57"/>
      <c r="X66" s="57"/>
    </row>
    <row r="67" spans="1:24" ht="12.5" x14ac:dyDescent="0.25">
      <c r="A67" s="34"/>
      <c r="B67" s="7"/>
      <c r="C67" s="19"/>
      <c r="D67" s="7"/>
      <c r="E67" s="7"/>
      <c r="F67" s="7"/>
      <c r="G67" s="7"/>
      <c r="H67" s="6"/>
      <c r="I67" s="7"/>
      <c r="J67" s="7"/>
      <c r="K67" s="7"/>
      <c r="L67" s="7"/>
      <c r="M67" s="52"/>
      <c r="N67" s="7"/>
      <c r="O67" s="7"/>
      <c r="P67" s="47"/>
      <c r="Q67" s="47"/>
      <c r="R67" s="7"/>
      <c r="S67" s="51"/>
      <c r="T67" s="51"/>
      <c r="U67" s="7"/>
      <c r="V67" s="57"/>
      <c r="W67" s="57"/>
      <c r="X67" s="57"/>
    </row>
    <row r="68" spans="1:24" ht="12.5" x14ac:dyDescent="0.25">
      <c r="A68" s="34"/>
      <c r="B68" s="7"/>
      <c r="C68" s="19"/>
      <c r="D68" s="7"/>
      <c r="E68" s="7"/>
      <c r="F68" s="7"/>
      <c r="G68" s="7"/>
      <c r="H68" s="6"/>
      <c r="I68" s="7"/>
      <c r="J68" s="7"/>
      <c r="K68" s="7"/>
      <c r="L68" s="7"/>
      <c r="M68" s="52"/>
      <c r="N68" s="7"/>
      <c r="O68" s="7"/>
      <c r="P68" s="47"/>
      <c r="Q68" s="47"/>
      <c r="R68" s="7"/>
      <c r="S68" s="51"/>
      <c r="T68" s="51"/>
      <c r="U68" s="7"/>
      <c r="V68" s="57"/>
      <c r="W68" s="57"/>
      <c r="X68" s="57"/>
    </row>
    <row r="69" spans="1:24" ht="12.5" x14ac:dyDescent="0.25">
      <c r="A69" s="34"/>
      <c r="B69" s="7"/>
      <c r="C69" s="19"/>
      <c r="D69" s="7"/>
      <c r="E69" s="7"/>
      <c r="F69" s="7"/>
      <c r="G69" s="7"/>
      <c r="H69" s="6"/>
      <c r="I69" s="7"/>
      <c r="J69" s="7"/>
      <c r="K69" s="7"/>
      <c r="L69" s="7"/>
      <c r="M69" s="52"/>
      <c r="N69" s="7"/>
      <c r="O69" s="7"/>
      <c r="P69" s="47"/>
      <c r="Q69" s="47"/>
      <c r="R69" s="7"/>
      <c r="S69" s="51"/>
      <c r="T69" s="51"/>
      <c r="U69" s="7"/>
      <c r="V69" s="57"/>
      <c r="W69" s="57"/>
      <c r="X69" s="57"/>
    </row>
    <row r="70" spans="1:24" ht="12.5" x14ac:dyDescent="0.25">
      <c r="A70" s="34"/>
      <c r="B70" s="7"/>
      <c r="C70" s="19"/>
      <c r="D70" s="7"/>
      <c r="E70" s="7"/>
      <c r="F70" s="7"/>
      <c r="G70" s="7"/>
      <c r="H70" s="6"/>
      <c r="I70" s="7"/>
      <c r="J70" s="7"/>
      <c r="K70" s="7"/>
      <c r="L70" s="7"/>
      <c r="M70" s="52"/>
      <c r="N70" s="7"/>
      <c r="O70" s="7"/>
      <c r="P70" s="47"/>
      <c r="Q70" s="47"/>
      <c r="R70" s="7"/>
      <c r="S70" s="51"/>
      <c r="T70" s="51"/>
      <c r="U70" s="7"/>
      <c r="V70" s="57"/>
      <c r="W70" s="57"/>
      <c r="X70" s="57"/>
    </row>
    <row r="71" spans="1:24" ht="12.5" x14ac:dyDescent="0.25">
      <c r="A71" s="34"/>
      <c r="B71" s="7"/>
      <c r="C71" s="19"/>
      <c r="D71" s="7"/>
      <c r="E71" s="7"/>
      <c r="F71" s="7"/>
      <c r="G71" s="7"/>
      <c r="H71" s="6"/>
      <c r="I71" s="7"/>
      <c r="J71" s="7"/>
      <c r="K71" s="7"/>
      <c r="L71" s="7"/>
      <c r="M71" s="52"/>
      <c r="N71" s="7"/>
      <c r="O71" s="7"/>
      <c r="P71" s="47"/>
      <c r="Q71" s="47"/>
      <c r="R71" s="7"/>
      <c r="S71" s="51"/>
      <c r="T71" s="51"/>
      <c r="U71" s="7"/>
      <c r="V71" s="57"/>
      <c r="W71" s="57"/>
      <c r="X71" s="57"/>
    </row>
    <row r="72" spans="1:24" ht="12.5" x14ac:dyDescent="0.25">
      <c r="A72" s="34"/>
      <c r="B72" s="7"/>
      <c r="C72" s="19"/>
      <c r="D72" s="7"/>
      <c r="E72" s="7"/>
      <c r="F72" s="7"/>
      <c r="G72" s="7"/>
      <c r="H72" s="6"/>
      <c r="I72" s="7"/>
      <c r="J72" s="7"/>
      <c r="K72" s="7"/>
      <c r="L72" s="7"/>
      <c r="M72" s="52"/>
      <c r="N72" s="7"/>
      <c r="O72" s="7"/>
      <c r="P72" s="47"/>
      <c r="Q72" s="47"/>
      <c r="R72" s="7"/>
      <c r="S72" s="51"/>
      <c r="T72" s="51"/>
      <c r="U72" s="7"/>
      <c r="V72" s="57"/>
      <c r="W72" s="57"/>
      <c r="X72" s="57"/>
    </row>
    <row r="73" spans="1:24" ht="12.5" x14ac:dyDescent="0.25">
      <c r="A73" s="34"/>
      <c r="B73" s="7"/>
      <c r="C73" s="19"/>
      <c r="D73" s="7"/>
      <c r="E73" s="7"/>
      <c r="F73" s="7"/>
      <c r="G73" s="7"/>
      <c r="H73" s="6"/>
      <c r="I73" s="7"/>
      <c r="J73" s="7"/>
      <c r="K73" s="7"/>
      <c r="L73" s="7"/>
      <c r="M73" s="52"/>
      <c r="N73" s="7"/>
      <c r="O73" s="7"/>
      <c r="P73" s="47"/>
      <c r="Q73" s="47"/>
      <c r="R73" s="7"/>
      <c r="S73" s="51"/>
      <c r="T73" s="51"/>
      <c r="U73" s="7"/>
      <c r="V73" s="57"/>
      <c r="W73" s="57"/>
      <c r="X73" s="57"/>
    </row>
    <row r="74" spans="1:24" ht="12.5" x14ac:dyDescent="0.25">
      <c r="A74" s="34"/>
      <c r="B74" s="7"/>
      <c r="C74" s="19"/>
      <c r="D74" s="7"/>
      <c r="E74" s="7"/>
      <c r="F74" s="7"/>
      <c r="G74" s="7"/>
      <c r="H74" s="6"/>
      <c r="I74" s="7"/>
      <c r="J74" s="7"/>
      <c r="K74" s="7"/>
      <c r="L74" s="7"/>
      <c r="M74" s="52"/>
      <c r="N74" s="7"/>
      <c r="O74" s="7"/>
      <c r="P74" s="47"/>
      <c r="Q74" s="47"/>
      <c r="R74" s="7"/>
      <c r="S74" s="51"/>
      <c r="T74" s="51"/>
      <c r="U74" s="7"/>
      <c r="V74" s="57"/>
      <c r="W74" s="57"/>
      <c r="X74" s="57"/>
    </row>
    <row r="75" spans="1:24" ht="12.5" x14ac:dyDescent="0.25">
      <c r="A75" s="34"/>
      <c r="B75" s="7"/>
      <c r="C75" s="19"/>
      <c r="D75" s="7"/>
      <c r="E75" s="7"/>
      <c r="F75" s="7"/>
      <c r="G75" s="7"/>
      <c r="H75" s="6"/>
      <c r="I75" s="7"/>
      <c r="J75" s="7"/>
      <c r="K75" s="7"/>
      <c r="L75" s="7"/>
      <c r="M75" s="52"/>
      <c r="N75" s="7"/>
      <c r="O75" s="7"/>
      <c r="P75" s="47"/>
      <c r="Q75" s="47"/>
      <c r="R75" s="7"/>
      <c r="S75" s="51"/>
      <c r="T75" s="51"/>
      <c r="U75" s="7"/>
      <c r="V75" s="57"/>
      <c r="W75" s="57"/>
      <c r="X75" s="57"/>
    </row>
    <row r="76" spans="1:24" ht="12.5" x14ac:dyDescent="0.25">
      <c r="A76" s="34"/>
      <c r="B76" s="7"/>
      <c r="C76" s="19"/>
      <c r="D76" s="7"/>
      <c r="E76" s="7"/>
      <c r="F76" s="7"/>
      <c r="G76" s="7"/>
      <c r="H76" s="6"/>
      <c r="I76" s="7"/>
      <c r="J76" s="7"/>
      <c r="K76" s="7"/>
      <c r="L76" s="7"/>
      <c r="M76" s="52"/>
      <c r="N76" s="7"/>
      <c r="O76" s="7"/>
      <c r="P76" s="47"/>
      <c r="Q76" s="47"/>
      <c r="R76" s="7"/>
      <c r="S76" s="51"/>
      <c r="T76" s="51"/>
      <c r="U76" s="7"/>
      <c r="V76" s="57"/>
      <c r="W76" s="57"/>
      <c r="X76" s="57"/>
    </row>
    <row r="77" spans="1:24" ht="12.5" x14ac:dyDescent="0.25">
      <c r="A77" s="34"/>
      <c r="B77" s="7"/>
      <c r="C77" s="19"/>
      <c r="D77" s="7"/>
      <c r="E77" s="7"/>
      <c r="F77" s="7"/>
      <c r="G77" s="7"/>
      <c r="H77" s="6"/>
      <c r="I77" s="7"/>
      <c r="J77" s="7"/>
      <c r="K77" s="7"/>
      <c r="L77" s="7"/>
      <c r="M77" s="52"/>
      <c r="N77" s="7"/>
      <c r="O77" s="7"/>
      <c r="P77" s="47"/>
      <c r="Q77" s="47"/>
      <c r="R77" s="7"/>
      <c r="S77" s="51"/>
      <c r="T77" s="51"/>
      <c r="U77" s="7"/>
      <c r="V77" s="57"/>
      <c r="W77" s="57"/>
      <c r="X77" s="57"/>
    </row>
    <row r="78" spans="1:24" ht="12.5" x14ac:dyDescent="0.25">
      <c r="A78" s="34"/>
      <c r="B78" s="7"/>
      <c r="C78" s="19"/>
      <c r="D78" s="7"/>
      <c r="E78" s="7"/>
      <c r="F78" s="7"/>
      <c r="G78" s="7"/>
      <c r="H78" s="6"/>
      <c r="I78" s="7"/>
      <c r="J78" s="7"/>
      <c r="K78" s="7"/>
      <c r="L78" s="7"/>
      <c r="M78" s="52"/>
      <c r="N78" s="7"/>
      <c r="O78" s="7"/>
      <c r="P78" s="47"/>
      <c r="Q78" s="47"/>
      <c r="R78" s="7"/>
      <c r="S78" s="51"/>
      <c r="T78" s="51"/>
      <c r="U78" s="7"/>
      <c r="V78" s="57"/>
      <c r="W78" s="57"/>
      <c r="X78" s="57"/>
    </row>
    <row r="79" spans="1:24" ht="12.5" x14ac:dyDescent="0.25">
      <c r="A79" s="34"/>
      <c r="B79" s="7"/>
      <c r="C79" s="19"/>
      <c r="D79" s="7"/>
      <c r="E79" s="7"/>
      <c r="F79" s="7"/>
      <c r="G79" s="7"/>
      <c r="H79" s="6"/>
      <c r="I79" s="7"/>
      <c r="J79" s="7"/>
      <c r="K79" s="7"/>
      <c r="L79" s="7"/>
      <c r="M79" s="52"/>
      <c r="N79" s="7"/>
      <c r="O79" s="7"/>
      <c r="P79" s="47"/>
      <c r="Q79" s="47"/>
      <c r="R79" s="7"/>
      <c r="S79" s="51"/>
      <c r="T79" s="51"/>
      <c r="U79" s="7"/>
      <c r="V79" s="57"/>
      <c r="W79" s="57"/>
      <c r="X79" s="57"/>
    </row>
    <row r="80" spans="1:24" ht="12.5" x14ac:dyDescent="0.25">
      <c r="A80" s="34"/>
      <c r="B80" s="7"/>
      <c r="C80" s="19"/>
      <c r="D80" s="7"/>
      <c r="E80" s="7"/>
      <c r="F80" s="7"/>
      <c r="G80" s="7"/>
      <c r="H80" s="6"/>
      <c r="I80" s="7"/>
      <c r="J80" s="7"/>
      <c r="K80" s="7"/>
      <c r="L80" s="7"/>
      <c r="M80" s="52"/>
      <c r="N80" s="7"/>
      <c r="O80" s="7"/>
      <c r="P80" s="47"/>
      <c r="Q80" s="47"/>
      <c r="R80" s="7"/>
      <c r="S80" s="51"/>
      <c r="T80" s="51"/>
      <c r="U80" s="7"/>
      <c r="V80" s="57"/>
      <c r="W80" s="57"/>
      <c r="X80" s="57"/>
    </row>
    <row r="81" spans="1:24" ht="12.5" x14ac:dyDescent="0.25">
      <c r="A81" s="34"/>
      <c r="B81" s="7"/>
      <c r="C81" s="19"/>
      <c r="D81" s="7"/>
      <c r="E81" s="7"/>
      <c r="F81" s="7"/>
      <c r="G81" s="7"/>
      <c r="H81" s="6"/>
      <c r="I81" s="7"/>
      <c r="J81" s="7"/>
      <c r="K81" s="7"/>
      <c r="L81" s="7"/>
      <c r="M81" s="52"/>
      <c r="N81" s="7"/>
      <c r="O81" s="7"/>
      <c r="P81" s="47"/>
      <c r="Q81" s="47"/>
      <c r="R81" s="7"/>
      <c r="S81" s="51"/>
      <c r="T81" s="51"/>
      <c r="U81" s="7"/>
      <c r="V81" s="57"/>
      <c r="W81" s="57"/>
      <c r="X81" s="57"/>
    </row>
    <row r="82" spans="1:24" ht="12.5" x14ac:dyDescent="0.25">
      <c r="A82" s="34"/>
      <c r="B82" s="7"/>
      <c r="C82" s="19"/>
      <c r="D82" s="7"/>
      <c r="E82" s="7"/>
      <c r="F82" s="7"/>
      <c r="G82" s="7"/>
      <c r="H82" s="6"/>
      <c r="I82" s="7"/>
      <c r="J82" s="7"/>
      <c r="K82" s="7"/>
      <c r="L82" s="7"/>
      <c r="M82" s="52"/>
      <c r="N82" s="7"/>
      <c r="O82" s="7"/>
      <c r="P82" s="47"/>
      <c r="Q82" s="47"/>
      <c r="R82" s="7"/>
      <c r="S82" s="51"/>
      <c r="T82" s="51"/>
      <c r="U82" s="7"/>
      <c r="V82" s="57"/>
      <c r="W82" s="57"/>
      <c r="X82" s="57"/>
    </row>
    <row r="83" spans="1:24" ht="12.5" x14ac:dyDescent="0.25">
      <c r="A83" s="34"/>
      <c r="B83" s="7"/>
      <c r="C83" s="19"/>
      <c r="D83" s="7"/>
      <c r="E83" s="7"/>
      <c r="F83" s="7"/>
      <c r="G83" s="7"/>
      <c r="H83" s="6"/>
      <c r="I83" s="7"/>
      <c r="J83" s="7"/>
      <c r="K83" s="7"/>
      <c r="L83" s="7"/>
      <c r="M83" s="52"/>
      <c r="N83" s="7"/>
      <c r="O83" s="7"/>
      <c r="P83" s="47"/>
      <c r="Q83" s="47"/>
      <c r="R83" s="7"/>
      <c r="S83" s="51"/>
      <c r="T83" s="51"/>
      <c r="U83" s="7"/>
      <c r="V83" s="57"/>
      <c r="W83" s="57"/>
      <c r="X83" s="57"/>
    </row>
    <row r="84" spans="1:24" ht="12.5" x14ac:dyDescent="0.25">
      <c r="A84" s="34"/>
      <c r="B84" s="7"/>
      <c r="C84" s="19"/>
      <c r="D84" s="7"/>
      <c r="E84" s="7"/>
      <c r="F84" s="7"/>
      <c r="G84" s="7"/>
      <c r="H84" s="6"/>
      <c r="I84" s="7"/>
      <c r="J84" s="7"/>
      <c r="K84" s="7"/>
      <c r="L84" s="7"/>
      <c r="M84" s="52"/>
      <c r="N84" s="7"/>
      <c r="O84" s="7"/>
      <c r="P84" s="47"/>
      <c r="Q84" s="47"/>
      <c r="R84" s="7"/>
      <c r="S84" s="51"/>
      <c r="T84" s="51"/>
      <c r="U84" s="7"/>
      <c r="V84" s="57"/>
      <c r="W84" s="57"/>
      <c r="X84" s="57"/>
    </row>
    <row r="85" spans="1:24" ht="12.5" x14ac:dyDescent="0.25">
      <c r="A85" s="34"/>
      <c r="B85" s="7"/>
      <c r="C85" s="19"/>
      <c r="D85" s="7"/>
      <c r="E85" s="7"/>
      <c r="F85" s="7"/>
      <c r="G85" s="7"/>
      <c r="H85" s="6"/>
      <c r="I85" s="7"/>
      <c r="J85" s="7"/>
      <c r="K85" s="7"/>
      <c r="L85" s="7"/>
      <c r="M85" s="52"/>
      <c r="N85" s="7"/>
      <c r="O85" s="7"/>
      <c r="P85" s="47"/>
      <c r="Q85" s="47"/>
      <c r="R85" s="7"/>
      <c r="S85" s="51"/>
      <c r="T85" s="51"/>
      <c r="U85" s="7"/>
      <c r="V85" s="57"/>
      <c r="W85" s="57"/>
      <c r="X85" s="57"/>
    </row>
    <row r="86" spans="1:24" ht="12.5" x14ac:dyDescent="0.25">
      <c r="A86" s="34"/>
      <c r="B86" s="7"/>
      <c r="C86" s="19"/>
      <c r="D86" s="7"/>
      <c r="E86" s="7"/>
      <c r="F86" s="7"/>
      <c r="G86" s="7"/>
      <c r="H86" s="6"/>
      <c r="I86" s="7"/>
      <c r="J86" s="7"/>
      <c r="K86" s="7"/>
      <c r="L86" s="7"/>
      <c r="M86" s="52"/>
      <c r="N86" s="7"/>
      <c r="O86" s="7"/>
      <c r="P86" s="47"/>
      <c r="Q86" s="47"/>
      <c r="R86" s="7"/>
      <c r="S86" s="51"/>
      <c r="T86" s="51"/>
      <c r="U86" s="7"/>
      <c r="V86" s="57"/>
      <c r="W86" s="57"/>
      <c r="X86" s="57"/>
    </row>
    <row r="87" spans="1:24" ht="12.5" x14ac:dyDescent="0.25">
      <c r="A87" s="34"/>
      <c r="B87" s="7"/>
      <c r="C87" s="19"/>
      <c r="D87" s="7"/>
      <c r="E87" s="7"/>
      <c r="F87" s="7"/>
      <c r="G87" s="7"/>
      <c r="H87" s="6"/>
      <c r="I87" s="7"/>
      <c r="J87" s="7"/>
      <c r="K87" s="7"/>
      <c r="L87" s="7"/>
      <c r="M87" s="52"/>
      <c r="N87" s="7"/>
      <c r="O87" s="7"/>
      <c r="P87" s="47"/>
      <c r="Q87" s="47"/>
      <c r="R87" s="7"/>
      <c r="S87" s="51"/>
      <c r="T87" s="51"/>
      <c r="U87" s="7"/>
      <c r="V87" s="57"/>
      <c r="W87" s="57"/>
      <c r="X87" s="57"/>
    </row>
    <row r="88" spans="1:24" ht="12.5" x14ac:dyDescent="0.25">
      <c r="A88" s="34"/>
      <c r="B88" s="7"/>
      <c r="C88" s="19"/>
      <c r="D88" s="7"/>
      <c r="E88" s="7"/>
      <c r="F88" s="7"/>
      <c r="G88" s="7"/>
      <c r="H88" s="6"/>
      <c r="I88" s="7"/>
      <c r="J88" s="7"/>
      <c r="K88" s="7"/>
      <c r="L88" s="7"/>
      <c r="M88" s="52"/>
      <c r="N88" s="7"/>
      <c r="O88" s="7"/>
      <c r="P88" s="47"/>
      <c r="Q88" s="47"/>
      <c r="R88" s="7"/>
      <c r="S88" s="51"/>
      <c r="T88" s="51"/>
      <c r="U88" s="7"/>
      <c r="V88" s="57"/>
      <c r="W88" s="57"/>
      <c r="X88" s="57"/>
    </row>
    <row r="89" spans="1:24" ht="12.5" x14ac:dyDescent="0.25">
      <c r="A89" s="34"/>
      <c r="B89" s="7"/>
      <c r="C89" s="19"/>
      <c r="D89" s="7"/>
      <c r="E89" s="7"/>
      <c r="F89" s="7"/>
      <c r="G89" s="7"/>
      <c r="H89" s="6"/>
      <c r="I89" s="7"/>
      <c r="J89" s="7"/>
      <c r="K89" s="7"/>
      <c r="L89" s="7"/>
      <c r="M89" s="52"/>
      <c r="N89" s="7"/>
      <c r="O89" s="7"/>
      <c r="P89" s="47"/>
      <c r="Q89" s="47"/>
      <c r="R89" s="7"/>
      <c r="S89" s="51"/>
      <c r="T89" s="51"/>
      <c r="U89" s="7"/>
      <c r="V89" s="57"/>
      <c r="W89" s="57"/>
      <c r="X89" s="57"/>
    </row>
    <row r="90" spans="1:24" ht="12.5" x14ac:dyDescent="0.25">
      <c r="A90" s="34"/>
      <c r="B90" s="7"/>
      <c r="C90" s="19"/>
      <c r="D90" s="7"/>
      <c r="E90" s="7"/>
      <c r="F90" s="7"/>
      <c r="G90" s="7"/>
      <c r="H90" s="6"/>
      <c r="I90" s="7"/>
      <c r="J90" s="7"/>
      <c r="K90" s="7"/>
      <c r="L90" s="7"/>
      <c r="M90" s="52"/>
      <c r="N90" s="7"/>
      <c r="O90" s="7"/>
      <c r="P90" s="47"/>
      <c r="Q90" s="47"/>
      <c r="R90" s="7"/>
      <c r="S90" s="51"/>
      <c r="T90" s="51"/>
      <c r="U90" s="7"/>
      <c r="V90" s="57"/>
      <c r="W90" s="57"/>
      <c r="X90" s="57"/>
    </row>
    <row r="91" spans="1:24" ht="12.5" x14ac:dyDescent="0.25">
      <c r="A91" s="34"/>
      <c r="B91" s="7"/>
      <c r="C91" s="19"/>
      <c r="D91" s="7"/>
      <c r="E91" s="7"/>
      <c r="F91" s="7"/>
      <c r="G91" s="7"/>
      <c r="H91" s="6"/>
      <c r="I91" s="7"/>
      <c r="J91" s="7"/>
      <c r="K91" s="7"/>
      <c r="L91" s="7"/>
      <c r="M91" s="52"/>
      <c r="N91" s="7"/>
      <c r="O91" s="7"/>
      <c r="P91" s="47"/>
      <c r="Q91" s="47"/>
      <c r="R91" s="7"/>
      <c r="S91" s="51"/>
      <c r="T91" s="51"/>
      <c r="U91" s="7"/>
      <c r="V91" s="57"/>
      <c r="W91" s="57"/>
      <c r="X91" s="57"/>
    </row>
    <row r="92" spans="1:24" ht="12.5" x14ac:dyDescent="0.25">
      <c r="A92" s="34"/>
      <c r="B92" s="7"/>
      <c r="C92" s="19"/>
      <c r="D92" s="7"/>
      <c r="E92" s="7"/>
      <c r="F92" s="7"/>
      <c r="G92" s="7"/>
      <c r="H92" s="6"/>
      <c r="I92" s="7"/>
      <c r="J92" s="7"/>
      <c r="K92" s="7"/>
      <c r="L92" s="7"/>
      <c r="M92" s="52"/>
      <c r="N92" s="7"/>
      <c r="O92" s="7"/>
      <c r="P92" s="47"/>
      <c r="Q92" s="47"/>
      <c r="R92" s="7"/>
      <c r="S92" s="51"/>
      <c r="T92" s="51"/>
      <c r="U92" s="7"/>
      <c r="V92" s="57"/>
      <c r="W92" s="57"/>
      <c r="X92" s="57"/>
    </row>
    <row r="93" spans="1:24" ht="12.5" x14ac:dyDescent="0.25">
      <c r="A93" s="34"/>
      <c r="B93" s="7"/>
      <c r="C93" s="19"/>
      <c r="D93" s="7"/>
      <c r="E93" s="7"/>
      <c r="F93" s="7"/>
      <c r="G93" s="7"/>
      <c r="H93" s="6"/>
      <c r="I93" s="7"/>
      <c r="J93" s="7"/>
      <c r="K93" s="7"/>
      <c r="L93" s="7"/>
      <c r="M93" s="52"/>
      <c r="N93" s="7"/>
      <c r="O93" s="7"/>
      <c r="P93" s="47"/>
      <c r="Q93" s="47"/>
      <c r="R93" s="7"/>
      <c r="S93" s="51"/>
      <c r="T93" s="51"/>
      <c r="U93" s="7"/>
      <c r="V93" s="57"/>
      <c r="W93" s="57"/>
      <c r="X93" s="57"/>
    </row>
    <row r="94" spans="1:24" ht="12.5" x14ac:dyDescent="0.25">
      <c r="A94" s="34"/>
      <c r="B94" s="7"/>
      <c r="C94" s="19"/>
      <c r="D94" s="7"/>
      <c r="E94" s="7"/>
      <c r="F94" s="7"/>
      <c r="G94" s="7"/>
      <c r="H94" s="6"/>
      <c r="I94" s="7"/>
      <c r="J94" s="7"/>
      <c r="K94" s="7"/>
      <c r="L94" s="7"/>
      <c r="M94" s="52"/>
      <c r="N94" s="7"/>
      <c r="O94" s="7"/>
      <c r="P94" s="47"/>
      <c r="Q94" s="47"/>
      <c r="R94" s="7"/>
      <c r="S94" s="51"/>
      <c r="T94" s="51"/>
      <c r="U94" s="7"/>
      <c r="V94" s="57"/>
      <c r="W94" s="57"/>
      <c r="X94" s="57"/>
    </row>
    <row r="95" spans="1:24" ht="12.5" x14ac:dyDescent="0.25">
      <c r="A95" s="34"/>
      <c r="B95" s="7"/>
      <c r="C95" s="19"/>
      <c r="D95" s="7"/>
      <c r="E95" s="7"/>
      <c r="F95" s="7"/>
      <c r="G95" s="7"/>
      <c r="H95" s="6"/>
      <c r="I95" s="7"/>
      <c r="J95" s="7"/>
      <c r="K95" s="7"/>
      <c r="L95" s="7"/>
      <c r="M95" s="52"/>
      <c r="N95" s="7"/>
      <c r="O95" s="7"/>
      <c r="P95" s="47"/>
      <c r="Q95" s="47"/>
      <c r="R95" s="7"/>
      <c r="S95" s="51"/>
      <c r="T95" s="51"/>
      <c r="U95" s="7"/>
      <c r="V95" s="57"/>
      <c r="W95" s="57"/>
      <c r="X95" s="57"/>
    </row>
    <row r="96" spans="1:24" ht="12.5" x14ac:dyDescent="0.25">
      <c r="A96" s="34"/>
      <c r="B96" s="7"/>
      <c r="C96" s="19"/>
      <c r="D96" s="7"/>
      <c r="E96" s="7"/>
      <c r="F96" s="7"/>
      <c r="G96" s="7"/>
      <c r="H96" s="6"/>
      <c r="I96" s="7"/>
      <c r="J96" s="7"/>
      <c r="K96" s="7"/>
      <c r="L96" s="7"/>
      <c r="M96" s="52"/>
      <c r="N96" s="7"/>
      <c r="O96" s="7"/>
      <c r="P96" s="47"/>
      <c r="Q96" s="47"/>
      <c r="R96" s="7"/>
      <c r="S96" s="51"/>
      <c r="T96" s="51"/>
      <c r="U96" s="7"/>
      <c r="V96" s="57"/>
      <c r="W96" s="57"/>
      <c r="X96" s="57"/>
    </row>
    <row r="97" spans="1:24" ht="12.5" x14ac:dyDescent="0.25">
      <c r="A97" s="34"/>
      <c r="B97" s="7"/>
      <c r="C97" s="19"/>
      <c r="D97" s="7"/>
      <c r="E97" s="7"/>
      <c r="F97" s="7"/>
      <c r="G97" s="7"/>
      <c r="H97" s="6"/>
      <c r="I97" s="7"/>
      <c r="J97" s="7"/>
      <c r="K97" s="7"/>
      <c r="L97" s="7"/>
      <c r="M97" s="52"/>
      <c r="N97" s="7"/>
      <c r="O97" s="7"/>
      <c r="P97" s="47"/>
      <c r="Q97" s="47"/>
      <c r="R97" s="7"/>
      <c r="S97" s="51"/>
      <c r="T97" s="51"/>
      <c r="U97" s="7"/>
      <c r="V97" s="57"/>
      <c r="W97" s="57"/>
      <c r="X97" s="57"/>
    </row>
    <row r="98" spans="1:24" ht="12.5" x14ac:dyDescent="0.25">
      <c r="A98" s="34"/>
      <c r="B98" s="7"/>
      <c r="C98" s="19"/>
      <c r="D98" s="7"/>
      <c r="E98" s="7"/>
      <c r="F98" s="7"/>
      <c r="G98" s="7"/>
      <c r="H98" s="6"/>
      <c r="I98" s="7"/>
      <c r="J98" s="7"/>
      <c r="K98" s="7"/>
      <c r="L98" s="7"/>
      <c r="M98" s="52"/>
      <c r="N98" s="7"/>
      <c r="O98" s="7"/>
      <c r="P98" s="47"/>
      <c r="Q98" s="47"/>
      <c r="R98" s="7"/>
      <c r="S98" s="51"/>
      <c r="T98" s="51"/>
      <c r="U98" s="7"/>
      <c r="V98" s="57"/>
      <c r="W98" s="57"/>
      <c r="X98" s="57"/>
    </row>
    <row r="99" spans="1:24" ht="12.5" x14ac:dyDescent="0.25">
      <c r="A99" s="34"/>
      <c r="B99" s="7"/>
      <c r="C99" s="19"/>
      <c r="D99" s="7"/>
      <c r="E99" s="7"/>
      <c r="F99" s="7"/>
      <c r="G99" s="7"/>
      <c r="H99" s="6"/>
      <c r="I99" s="7"/>
      <c r="J99" s="7"/>
      <c r="K99" s="7"/>
      <c r="L99" s="7"/>
      <c r="M99" s="52"/>
      <c r="N99" s="7"/>
      <c r="O99" s="7"/>
      <c r="P99" s="47"/>
      <c r="Q99" s="47"/>
      <c r="R99" s="7"/>
      <c r="S99" s="51"/>
      <c r="T99" s="51"/>
      <c r="U99" s="7"/>
      <c r="V99" s="57"/>
      <c r="W99" s="57"/>
      <c r="X99" s="57"/>
    </row>
    <row r="100" spans="1:24" ht="12.5" x14ac:dyDescent="0.25">
      <c r="A100" s="34"/>
      <c r="B100" s="7"/>
      <c r="C100" s="19"/>
      <c r="D100" s="7"/>
      <c r="E100" s="7"/>
      <c r="F100" s="7"/>
      <c r="G100" s="7"/>
      <c r="H100" s="6"/>
      <c r="I100" s="7"/>
      <c r="J100" s="7"/>
      <c r="K100" s="7"/>
      <c r="L100" s="7"/>
      <c r="M100" s="52"/>
      <c r="N100" s="7"/>
      <c r="O100" s="7"/>
      <c r="P100" s="47"/>
      <c r="Q100" s="47"/>
      <c r="R100" s="7"/>
      <c r="S100" s="51"/>
      <c r="T100" s="51"/>
      <c r="U100" s="7"/>
      <c r="V100" s="57"/>
      <c r="W100" s="57"/>
      <c r="X100" s="57"/>
    </row>
    <row r="101" spans="1:24" ht="12.5" x14ac:dyDescent="0.25">
      <c r="A101" s="34"/>
      <c r="B101" s="7"/>
      <c r="C101" s="19"/>
      <c r="D101" s="7"/>
      <c r="E101" s="7"/>
      <c r="F101" s="7"/>
      <c r="G101" s="7"/>
      <c r="H101" s="6"/>
      <c r="I101" s="7"/>
      <c r="J101" s="7"/>
      <c r="K101" s="7"/>
      <c r="L101" s="7"/>
      <c r="M101" s="52"/>
      <c r="N101" s="7"/>
      <c r="O101" s="7"/>
      <c r="P101" s="47"/>
      <c r="Q101" s="47"/>
      <c r="R101" s="7"/>
      <c r="S101" s="51"/>
      <c r="T101" s="51"/>
      <c r="U101" s="7"/>
      <c r="V101" s="57"/>
      <c r="W101" s="57"/>
      <c r="X101" s="57"/>
    </row>
    <row r="102" spans="1:24" ht="12.5" x14ac:dyDescent="0.25">
      <c r="A102" s="34"/>
      <c r="B102" s="7"/>
      <c r="C102" s="19"/>
      <c r="D102" s="7"/>
      <c r="E102" s="7"/>
      <c r="F102" s="7"/>
      <c r="G102" s="7"/>
      <c r="H102" s="6"/>
      <c r="I102" s="7"/>
      <c r="J102" s="7"/>
      <c r="K102" s="7"/>
      <c r="L102" s="7"/>
      <c r="M102" s="52"/>
      <c r="N102" s="7"/>
      <c r="O102" s="7"/>
      <c r="P102" s="47"/>
      <c r="Q102" s="47"/>
      <c r="R102" s="7"/>
      <c r="S102" s="51"/>
      <c r="T102" s="51"/>
      <c r="U102" s="7"/>
      <c r="V102" s="57"/>
      <c r="W102" s="57"/>
      <c r="X102" s="57"/>
    </row>
    <row r="103" spans="1:24" ht="12.5" x14ac:dyDescent="0.25">
      <c r="A103" s="34"/>
      <c r="B103" s="7"/>
      <c r="C103" s="19"/>
      <c r="D103" s="7"/>
      <c r="E103" s="7"/>
      <c r="F103" s="7"/>
      <c r="G103" s="7"/>
      <c r="H103" s="6"/>
      <c r="I103" s="7"/>
      <c r="J103" s="7"/>
      <c r="K103" s="7"/>
      <c r="L103" s="7"/>
      <c r="M103" s="52"/>
      <c r="N103" s="7"/>
      <c r="O103" s="7"/>
      <c r="P103" s="47"/>
      <c r="Q103" s="47"/>
      <c r="R103" s="7"/>
      <c r="S103" s="51"/>
      <c r="T103" s="51"/>
      <c r="U103" s="7"/>
      <c r="V103" s="57"/>
      <c r="W103" s="57"/>
      <c r="X103" s="57"/>
    </row>
    <row r="104" spans="1:24" ht="12.5" x14ac:dyDescent="0.25">
      <c r="A104" s="34"/>
      <c r="B104" s="7"/>
      <c r="C104" s="19"/>
      <c r="D104" s="7"/>
      <c r="E104" s="7"/>
      <c r="F104" s="7"/>
      <c r="G104" s="7"/>
      <c r="H104" s="6"/>
      <c r="I104" s="7"/>
      <c r="J104" s="7"/>
      <c r="K104" s="7"/>
      <c r="L104" s="7"/>
      <c r="M104" s="52"/>
      <c r="N104" s="7"/>
      <c r="O104" s="7"/>
      <c r="P104" s="47"/>
      <c r="Q104" s="47"/>
      <c r="R104" s="7"/>
      <c r="S104" s="51"/>
      <c r="T104" s="51"/>
      <c r="U104" s="7"/>
      <c r="V104" s="57"/>
      <c r="W104" s="57"/>
      <c r="X104" s="57"/>
    </row>
    <row r="105" spans="1:24" ht="12.5" x14ac:dyDescent="0.25">
      <c r="A105" s="34"/>
      <c r="B105" s="7"/>
      <c r="C105" s="19"/>
      <c r="D105" s="7"/>
      <c r="E105" s="7"/>
      <c r="F105" s="7"/>
      <c r="G105" s="7"/>
      <c r="H105" s="6"/>
      <c r="I105" s="7"/>
      <c r="J105" s="7"/>
      <c r="K105" s="7"/>
      <c r="L105" s="7"/>
      <c r="M105" s="52"/>
      <c r="N105" s="7"/>
      <c r="O105" s="7"/>
      <c r="P105" s="47"/>
      <c r="Q105" s="47"/>
      <c r="R105" s="7"/>
      <c r="S105" s="51"/>
      <c r="T105" s="51"/>
      <c r="U105" s="7"/>
      <c r="V105" s="57"/>
      <c r="W105" s="57"/>
      <c r="X105" s="57"/>
    </row>
    <row r="106" spans="1:24" ht="12.5" x14ac:dyDescent="0.25">
      <c r="A106" s="34"/>
      <c r="B106" s="7"/>
      <c r="C106" s="19"/>
      <c r="D106" s="7"/>
      <c r="E106" s="7"/>
      <c r="F106" s="7"/>
      <c r="G106" s="7"/>
      <c r="H106" s="6"/>
      <c r="I106" s="7"/>
      <c r="J106" s="7"/>
      <c r="K106" s="7"/>
      <c r="L106" s="7"/>
      <c r="M106" s="52"/>
      <c r="N106" s="7"/>
      <c r="O106" s="7"/>
      <c r="P106" s="47"/>
      <c r="Q106" s="47"/>
      <c r="R106" s="7"/>
      <c r="S106" s="51"/>
      <c r="T106" s="51"/>
      <c r="U106" s="7"/>
      <c r="V106" s="57"/>
      <c r="W106" s="57"/>
      <c r="X106" s="57"/>
    </row>
    <row r="107" spans="1:24" ht="12.5" x14ac:dyDescent="0.25">
      <c r="A107" s="34"/>
      <c r="B107" s="7"/>
      <c r="C107" s="19"/>
      <c r="D107" s="7"/>
      <c r="E107" s="7"/>
      <c r="F107" s="7"/>
      <c r="G107" s="7"/>
      <c r="H107" s="6"/>
      <c r="I107" s="7"/>
      <c r="J107" s="7"/>
      <c r="K107" s="7"/>
      <c r="L107" s="7"/>
      <c r="M107" s="52"/>
      <c r="N107" s="7"/>
      <c r="O107" s="7"/>
      <c r="P107" s="47"/>
      <c r="Q107" s="47"/>
      <c r="R107" s="7"/>
      <c r="S107" s="51"/>
      <c r="T107" s="51"/>
      <c r="U107" s="7"/>
      <c r="V107" s="57"/>
      <c r="W107" s="57"/>
      <c r="X107" s="57"/>
    </row>
    <row r="108" spans="1:24" ht="12.5" x14ac:dyDescent="0.25">
      <c r="A108" s="34"/>
      <c r="B108" s="7"/>
      <c r="C108" s="19"/>
      <c r="D108" s="7"/>
      <c r="E108" s="7"/>
      <c r="F108" s="7"/>
      <c r="G108" s="7"/>
      <c r="H108" s="6"/>
      <c r="I108" s="7"/>
      <c r="J108" s="7"/>
      <c r="K108" s="7"/>
      <c r="L108" s="7"/>
      <c r="M108" s="52"/>
      <c r="N108" s="7"/>
      <c r="O108" s="7"/>
      <c r="P108" s="47"/>
      <c r="Q108" s="47"/>
      <c r="R108" s="7"/>
      <c r="S108" s="51"/>
      <c r="T108" s="51"/>
      <c r="U108" s="7"/>
      <c r="V108" s="57"/>
      <c r="W108" s="57"/>
      <c r="X108" s="57"/>
    </row>
    <row r="109" spans="1:24" ht="12.5" x14ac:dyDescent="0.25">
      <c r="A109" s="34"/>
      <c r="B109" s="7"/>
      <c r="C109" s="19"/>
      <c r="D109" s="7"/>
      <c r="E109" s="7"/>
      <c r="F109" s="7"/>
      <c r="G109" s="7"/>
      <c r="H109" s="6"/>
      <c r="I109" s="7"/>
      <c r="J109" s="7"/>
      <c r="K109" s="7"/>
      <c r="L109" s="7"/>
      <c r="M109" s="52"/>
      <c r="N109" s="7"/>
      <c r="O109" s="7"/>
      <c r="P109" s="47"/>
      <c r="Q109" s="47"/>
      <c r="R109" s="7"/>
      <c r="S109" s="51"/>
      <c r="T109" s="51"/>
      <c r="U109" s="7"/>
      <c r="V109" s="57"/>
      <c r="W109" s="57"/>
      <c r="X109" s="57"/>
    </row>
    <row r="110" spans="1:24" ht="12.5" x14ac:dyDescent="0.25">
      <c r="A110" s="34"/>
      <c r="B110" s="7"/>
      <c r="C110" s="19"/>
      <c r="D110" s="7"/>
      <c r="E110" s="7"/>
      <c r="F110" s="7"/>
      <c r="G110" s="7"/>
      <c r="H110" s="6"/>
      <c r="I110" s="7"/>
      <c r="J110" s="7"/>
      <c r="K110" s="7"/>
      <c r="L110" s="7"/>
      <c r="M110" s="52"/>
      <c r="N110" s="7"/>
      <c r="O110" s="7"/>
      <c r="P110" s="47"/>
      <c r="Q110" s="47"/>
      <c r="R110" s="7"/>
      <c r="S110" s="51"/>
      <c r="T110" s="51"/>
      <c r="U110" s="7"/>
      <c r="V110" s="57"/>
      <c r="W110" s="57"/>
      <c r="X110" s="57"/>
    </row>
    <row r="111" spans="1:24" ht="12.5" x14ac:dyDescent="0.25">
      <c r="A111" s="34"/>
      <c r="B111" s="7"/>
      <c r="C111" s="19"/>
      <c r="D111" s="7"/>
      <c r="E111" s="7"/>
      <c r="F111" s="7"/>
      <c r="G111" s="7"/>
      <c r="H111" s="6"/>
      <c r="I111" s="7"/>
      <c r="J111" s="7"/>
      <c r="K111" s="7"/>
      <c r="L111" s="7"/>
      <c r="M111" s="52"/>
      <c r="N111" s="7"/>
      <c r="O111" s="7"/>
      <c r="P111" s="47"/>
      <c r="Q111" s="47"/>
      <c r="R111" s="7"/>
      <c r="S111" s="51"/>
      <c r="T111" s="51"/>
      <c r="U111" s="7"/>
      <c r="V111" s="57"/>
      <c r="W111" s="57"/>
      <c r="X111" s="57"/>
    </row>
    <row r="112" spans="1:24" ht="12.5" x14ac:dyDescent="0.25">
      <c r="A112" s="34"/>
      <c r="B112" s="7"/>
      <c r="C112" s="19"/>
      <c r="D112" s="7"/>
      <c r="E112" s="7"/>
      <c r="F112" s="7"/>
      <c r="G112" s="7"/>
      <c r="H112" s="6"/>
      <c r="I112" s="7"/>
      <c r="J112" s="7"/>
      <c r="K112" s="7"/>
      <c r="L112" s="7"/>
      <c r="M112" s="52"/>
      <c r="N112" s="7"/>
      <c r="O112" s="7"/>
      <c r="P112" s="47"/>
      <c r="Q112" s="47"/>
      <c r="R112" s="7"/>
      <c r="S112" s="51"/>
      <c r="T112" s="51"/>
      <c r="U112" s="7"/>
      <c r="V112" s="57"/>
      <c r="W112" s="57"/>
      <c r="X112" s="57"/>
    </row>
    <row r="113" spans="1:24" ht="12.5" x14ac:dyDescent="0.25">
      <c r="A113" s="34"/>
      <c r="B113" s="7"/>
      <c r="C113" s="19"/>
      <c r="D113" s="7"/>
      <c r="E113" s="7"/>
      <c r="F113" s="7"/>
      <c r="G113" s="7"/>
      <c r="H113" s="6"/>
      <c r="I113" s="7"/>
      <c r="J113" s="7"/>
      <c r="K113" s="7"/>
      <c r="L113" s="7"/>
      <c r="M113" s="52"/>
      <c r="N113" s="7"/>
      <c r="O113" s="7"/>
      <c r="P113" s="47"/>
      <c r="Q113" s="47"/>
      <c r="R113" s="7"/>
      <c r="S113" s="51"/>
      <c r="T113" s="51"/>
      <c r="U113" s="7"/>
      <c r="V113" s="57"/>
      <c r="W113" s="57"/>
      <c r="X113" s="57"/>
    </row>
    <row r="114" spans="1:24" ht="12.5" x14ac:dyDescent="0.25">
      <c r="A114" s="34"/>
      <c r="B114" s="7"/>
      <c r="C114" s="19"/>
      <c r="D114" s="7"/>
      <c r="E114" s="7"/>
      <c r="F114" s="7"/>
      <c r="G114" s="7"/>
      <c r="H114" s="6"/>
      <c r="I114" s="7"/>
      <c r="J114" s="7"/>
      <c r="K114" s="7"/>
      <c r="L114" s="7"/>
      <c r="M114" s="52"/>
      <c r="N114" s="7"/>
      <c r="O114" s="7"/>
      <c r="P114" s="47"/>
      <c r="Q114" s="47"/>
      <c r="R114" s="7"/>
      <c r="S114" s="51"/>
      <c r="T114" s="51"/>
      <c r="U114" s="7"/>
      <c r="V114" s="57"/>
      <c r="W114" s="57"/>
      <c r="X114" s="57"/>
    </row>
    <row r="115" spans="1:24" ht="12.5" x14ac:dyDescent="0.25">
      <c r="A115" s="34"/>
      <c r="B115" s="7"/>
      <c r="C115" s="19"/>
      <c r="D115" s="7"/>
      <c r="E115" s="7"/>
      <c r="F115" s="7"/>
      <c r="G115" s="7"/>
      <c r="H115" s="6"/>
      <c r="I115" s="7"/>
      <c r="J115" s="7"/>
      <c r="K115" s="7"/>
      <c r="L115" s="7"/>
      <c r="M115" s="52"/>
      <c r="N115" s="7"/>
      <c r="O115" s="7"/>
      <c r="P115" s="47"/>
      <c r="Q115" s="47"/>
      <c r="R115" s="7"/>
      <c r="S115" s="51"/>
      <c r="T115" s="51"/>
      <c r="U115" s="7"/>
      <c r="V115" s="57"/>
      <c r="W115" s="57"/>
      <c r="X115" s="57"/>
    </row>
    <row r="116" spans="1:24" ht="12.5" x14ac:dyDescent="0.25">
      <c r="A116" s="34"/>
      <c r="B116" s="7"/>
      <c r="C116" s="19"/>
      <c r="D116" s="7"/>
      <c r="E116" s="7"/>
      <c r="F116" s="7"/>
      <c r="G116" s="7"/>
      <c r="H116" s="6"/>
      <c r="I116" s="7"/>
      <c r="J116" s="7"/>
      <c r="K116" s="7"/>
      <c r="L116" s="7"/>
      <c r="M116" s="52"/>
      <c r="N116" s="7"/>
      <c r="O116" s="7"/>
      <c r="P116" s="47"/>
      <c r="Q116" s="47"/>
      <c r="R116" s="7"/>
      <c r="S116" s="51"/>
      <c r="T116" s="51"/>
      <c r="U116" s="7"/>
      <c r="V116" s="57"/>
      <c r="W116" s="57"/>
      <c r="X116" s="57"/>
    </row>
    <row r="117" spans="1:24" ht="12.5" x14ac:dyDescent="0.25">
      <c r="A117" s="34"/>
      <c r="B117" s="7"/>
      <c r="C117" s="19"/>
      <c r="D117" s="7"/>
      <c r="E117" s="7"/>
      <c r="F117" s="7"/>
      <c r="G117" s="7"/>
      <c r="H117" s="6"/>
      <c r="I117" s="7"/>
      <c r="J117" s="7"/>
      <c r="K117" s="7"/>
      <c r="L117" s="7"/>
      <c r="M117" s="52"/>
      <c r="N117" s="7"/>
      <c r="O117" s="7"/>
      <c r="P117" s="47"/>
      <c r="Q117" s="47"/>
      <c r="R117" s="7"/>
      <c r="S117" s="51"/>
      <c r="T117" s="51"/>
      <c r="U117" s="7"/>
      <c r="V117" s="57"/>
      <c r="W117" s="57"/>
      <c r="X117" s="57"/>
    </row>
    <row r="118" spans="1:24" ht="12.5" x14ac:dyDescent="0.25">
      <c r="A118" s="34"/>
      <c r="B118" s="7"/>
      <c r="C118" s="19"/>
      <c r="D118" s="7"/>
      <c r="E118" s="7"/>
      <c r="F118" s="7"/>
      <c r="G118" s="7"/>
      <c r="H118" s="6"/>
      <c r="I118" s="7"/>
      <c r="J118" s="7"/>
      <c r="K118" s="7"/>
      <c r="L118" s="7"/>
      <c r="M118" s="52"/>
      <c r="N118" s="7"/>
      <c r="O118" s="7"/>
      <c r="P118" s="47"/>
      <c r="Q118" s="47"/>
      <c r="R118" s="7"/>
      <c r="S118" s="51"/>
      <c r="T118" s="51"/>
      <c r="U118" s="7"/>
      <c r="V118" s="57"/>
      <c r="W118" s="57"/>
      <c r="X118" s="57"/>
    </row>
    <row r="119" spans="1:24" ht="12.5" x14ac:dyDescent="0.25">
      <c r="A119" s="34"/>
      <c r="B119" s="7"/>
      <c r="C119" s="19"/>
      <c r="D119" s="7"/>
      <c r="E119" s="7"/>
      <c r="F119" s="7"/>
      <c r="G119" s="7"/>
      <c r="H119" s="6"/>
      <c r="I119" s="7"/>
      <c r="J119" s="7"/>
      <c r="K119" s="7"/>
      <c r="L119" s="7"/>
      <c r="M119" s="52"/>
      <c r="N119" s="7"/>
      <c r="O119" s="7"/>
      <c r="P119" s="47"/>
      <c r="Q119" s="47"/>
      <c r="R119" s="7"/>
      <c r="S119" s="51"/>
      <c r="T119" s="51"/>
      <c r="U119" s="7"/>
      <c r="V119" s="57"/>
      <c r="W119" s="57"/>
      <c r="X119" s="57"/>
    </row>
    <row r="120" spans="1:24" ht="12.5" x14ac:dyDescent="0.25">
      <c r="A120" s="34"/>
      <c r="B120" s="7"/>
      <c r="C120" s="19"/>
      <c r="D120" s="7"/>
      <c r="E120" s="7"/>
      <c r="F120" s="7"/>
      <c r="G120" s="7"/>
      <c r="H120" s="6"/>
      <c r="I120" s="7"/>
      <c r="J120" s="7"/>
      <c r="K120" s="7"/>
      <c r="L120" s="7"/>
      <c r="M120" s="52"/>
      <c r="N120" s="7"/>
      <c r="O120" s="7"/>
      <c r="P120" s="47"/>
      <c r="Q120" s="47"/>
      <c r="R120" s="7"/>
      <c r="S120" s="51"/>
      <c r="T120" s="51"/>
      <c r="U120" s="7"/>
      <c r="V120" s="57"/>
      <c r="W120" s="57"/>
      <c r="X120" s="57"/>
    </row>
    <row r="121" spans="1:24" ht="12.5" x14ac:dyDescent="0.25">
      <c r="A121" s="34"/>
      <c r="B121" s="7"/>
      <c r="C121" s="19"/>
      <c r="D121" s="7"/>
      <c r="E121" s="7"/>
      <c r="F121" s="7"/>
      <c r="G121" s="7"/>
      <c r="H121" s="6"/>
      <c r="I121" s="7"/>
      <c r="J121" s="7"/>
      <c r="K121" s="7"/>
      <c r="L121" s="7"/>
      <c r="M121" s="52"/>
      <c r="N121" s="7"/>
      <c r="O121" s="7"/>
      <c r="P121" s="47"/>
      <c r="Q121" s="47"/>
      <c r="R121" s="7"/>
      <c r="S121" s="51"/>
      <c r="T121" s="51"/>
      <c r="U121" s="7"/>
      <c r="V121" s="57"/>
      <c r="W121" s="57"/>
      <c r="X121" s="57"/>
    </row>
    <row r="122" spans="1:24" ht="12.5" x14ac:dyDescent="0.25">
      <c r="A122" s="34"/>
      <c r="B122" s="7"/>
      <c r="C122" s="19"/>
      <c r="D122" s="7"/>
      <c r="E122" s="7"/>
      <c r="F122" s="7"/>
      <c r="G122" s="7"/>
      <c r="H122" s="6"/>
      <c r="I122" s="7"/>
      <c r="J122" s="7"/>
      <c r="K122" s="7"/>
      <c r="L122" s="7"/>
      <c r="M122" s="52"/>
      <c r="N122" s="7"/>
      <c r="O122" s="7"/>
      <c r="P122" s="47"/>
      <c r="Q122" s="47"/>
      <c r="R122" s="7"/>
      <c r="S122" s="51"/>
      <c r="T122" s="51"/>
      <c r="U122" s="7"/>
      <c r="V122" s="57"/>
      <c r="W122" s="57"/>
      <c r="X122" s="57"/>
    </row>
    <row r="123" spans="1:24" ht="12.5" x14ac:dyDescent="0.25">
      <c r="A123" s="34"/>
      <c r="B123" s="7"/>
      <c r="C123" s="19"/>
      <c r="D123" s="7"/>
      <c r="E123" s="7"/>
      <c r="F123" s="7"/>
      <c r="G123" s="7"/>
      <c r="H123" s="6"/>
      <c r="I123" s="7"/>
      <c r="J123" s="7"/>
      <c r="K123" s="7"/>
      <c r="L123" s="7"/>
      <c r="M123" s="52"/>
      <c r="N123" s="7"/>
      <c r="O123" s="7"/>
      <c r="P123" s="47"/>
      <c r="Q123" s="47"/>
      <c r="R123" s="7"/>
      <c r="S123" s="51"/>
      <c r="T123" s="51"/>
      <c r="U123" s="7"/>
      <c r="V123" s="57"/>
      <c r="W123" s="57"/>
      <c r="X123" s="57"/>
    </row>
    <row r="124" spans="1:24" ht="12.5" x14ac:dyDescent="0.25">
      <c r="A124" s="34"/>
      <c r="B124" s="7"/>
      <c r="C124" s="19"/>
      <c r="D124" s="7"/>
      <c r="E124" s="7"/>
      <c r="F124" s="7"/>
      <c r="G124" s="7"/>
      <c r="H124" s="6"/>
      <c r="I124" s="7"/>
      <c r="J124" s="7"/>
      <c r="K124" s="7"/>
      <c r="L124" s="7"/>
      <c r="M124" s="52"/>
      <c r="N124" s="7"/>
      <c r="O124" s="7"/>
      <c r="P124" s="47"/>
      <c r="Q124" s="47"/>
      <c r="R124" s="7"/>
      <c r="S124" s="51"/>
      <c r="T124" s="51"/>
      <c r="U124" s="7"/>
      <c r="V124" s="57"/>
      <c r="W124" s="57"/>
      <c r="X124" s="57"/>
    </row>
    <row r="125" spans="1:24" ht="12.5" x14ac:dyDescent="0.25">
      <c r="A125" s="34"/>
      <c r="B125" s="7"/>
      <c r="C125" s="19"/>
      <c r="D125" s="7"/>
      <c r="E125" s="7"/>
      <c r="F125" s="7"/>
      <c r="G125" s="7"/>
      <c r="H125" s="6"/>
      <c r="I125" s="7"/>
      <c r="J125" s="7"/>
      <c r="K125" s="7"/>
      <c r="L125" s="7"/>
      <c r="M125" s="52"/>
      <c r="N125" s="7"/>
      <c r="O125" s="7"/>
      <c r="P125" s="47"/>
      <c r="Q125" s="47"/>
      <c r="R125" s="7"/>
      <c r="S125" s="51"/>
      <c r="T125" s="51"/>
      <c r="U125" s="7"/>
      <c r="V125" s="57"/>
      <c r="W125" s="57"/>
      <c r="X125" s="57"/>
    </row>
    <row r="126" spans="1:24" ht="12.5" x14ac:dyDescent="0.25">
      <c r="A126" s="34"/>
      <c r="B126" s="7"/>
      <c r="C126" s="19"/>
      <c r="D126" s="7"/>
      <c r="E126" s="7"/>
      <c r="F126" s="7"/>
      <c r="G126" s="7"/>
      <c r="H126" s="6"/>
      <c r="I126" s="7"/>
      <c r="J126" s="7"/>
      <c r="K126" s="7"/>
      <c r="L126" s="7"/>
      <c r="M126" s="52"/>
      <c r="N126" s="7"/>
      <c r="O126" s="7"/>
      <c r="P126" s="47"/>
      <c r="Q126" s="47"/>
      <c r="R126" s="7"/>
      <c r="S126" s="51"/>
      <c r="T126" s="51"/>
      <c r="U126" s="7"/>
      <c r="V126" s="57"/>
      <c r="W126" s="57"/>
      <c r="X126" s="57"/>
    </row>
    <row r="127" spans="1:24" ht="12.5" x14ac:dyDescent="0.25">
      <c r="A127" s="34"/>
      <c r="B127" s="7"/>
      <c r="C127" s="19"/>
      <c r="D127" s="7"/>
      <c r="E127" s="7"/>
      <c r="F127" s="7"/>
      <c r="G127" s="7"/>
      <c r="H127" s="6"/>
      <c r="I127" s="7"/>
      <c r="J127" s="7"/>
      <c r="K127" s="7"/>
      <c r="L127" s="7"/>
      <c r="M127" s="52"/>
      <c r="N127" s="7"/>
      <c r="O127" s="7"/>
      <c r="P127" s="47"/>
      <c r="Q127" s="47"/>
      <c r="R127" s="7"/>
      <c r="S127" s="51"/>
      <c r="T127" s="51"/>
      <c r="U127" s="7"/>
      <c r="V127" s="57"/>
      <c r="W127" s="57"/>
      <c r="X127" s="57"/>
    </row>
    <row r="128" spans="1:24" ht="12.5" x14ac:dyDescent="0.25">
      <c r="A128" s="34"/>
      <c r="B128" s="7"/>
      <c r="C128" s="19"/>
      <c r="D128" s="7"/>
      <c r="E128" s="7"/>
      <c r="F128" s="7"/>
      <c r="G128" s="7"/>
      <c r="H128" s="6"/>
      <c r="I128" s="7"/>
      <c r="J128" s="7"/>
      <c r="K128" s="7"/>
      <c r="L128" s="7"/>
      <c r="M128" s="52"/>
      <c r="N128" s="7"/>
      <c r="O128" s="7"/>
      <c r="P128" s="47"/>
      <c r="Q128" s="47"/>
      <c r="R128" s="7"/>
      <c r="S128" s="51"/>
      <c r="T128" s="51"/>
      <c r="U128" s="7"/>
      <c r="V128" s="57"/>
      <c r="W128" s="57"/>
      <c r="X128" s="57"/>
    </row>
    <row r="129" spans="1:24" ht="12.5" x14ac:dyDescent="0.25">
      <c r="A129" s="34"/>
      <c r="B129" s="7"/>
      <c r="C129" s="19"/>
      <c r="D129" s="7"/>
      <c r="E129" s="7"/>
      <c r="F129" s="7"/>
      <c r="G129" s="7"/>
      <c r="H129" s="6"/>
      <c r="I129" s="7"/>
      <c r="J129" s="7"/>
      <c r="K129" s="7"/>
      <c r="L129" s="7"/>
      <c r="M129" s="52"/>
      <c r="N129" s="7"/>
      <c r="O129" s="7"/>
      <c r="P129" s="47"/>
      <c r="Q129" s="47"/>
      <c r="R129" s="7"/>
      <c r="S129" s="51"/>
      <c r="T129" s="51"/>
      <c r="U129" s="7"/>
      <c r="V129" s="57"/>
      <c r="W129" s="57"/>
      <c r="X129" s="57"/>
    </row>
    <row r="130" spans="1:24" ht="12.5" x14ac:dyDescent="0.25">
      <c r="A130" s="34"/>
      <c r="B130" s="7"/>
      <c r="C130" s="19"/>
      <c r="D130" s="7"/>
      <c r="E130" s="7"/>
      <c r="F130" s="7"/>
      <c r="G130" s="7"/>
      <c r="H130" s="6"/>
      <c r="I130" s="7"/>
      <c r="J130" s="7"/>
      <c r="K130" s="7"/>
      <c r="L130" s="7"/>
      <c r="M130" s="52"/>
      <c r="N130" s="7"/>
      <c r="O130" s="7"/>
      <c r="P130" s="47"/>
      <c r="Q130" s="47"/>
      <c r="R130" s="7"/>
      <c r="S130" s="51"/>
      <c r="T130" s="51"/>
      <c r="U130" s="7"/>
      <c r="V130" s="57"/>
      <c r="W130" s="57"/>
      <c r="X130" s="57"/>
    </row>
    <row r="131" spans="1:24" ht="12.5" x14ac:dyDescent="0.25">
      <c r="A131" s="34"/>
      <c r="B131" s="7"/>
      <c r="C131" s="19"/>
      <c r="D131" s="7"/>
      <c r="E131" s="7"/>
      <c r="F131" s="7"/>
      <c r="G131" s="7"/>
      <c r="H131" s="6"/>
      <c r="I131" s="7"/>
      <c r="J131" s="7"/>
      <c r="K131" s="7"/>
      <c r="L131" s="7"/>
      <c r="M131" s="52"/>
      <c r="N131" s="7"/>
      <c r="O131" s="7"/>
      <c r="P131" s="47"/>
      <c r="Q131" s="47"/>
      <c r="R131" s="7"/>
      <c r="S131" s="51"/>
      <c r="T131" s="51"/>
      <c r="U131" s="7"/>
      <c r="V131" s="57"/>
      <c r="W131" s="57"/>
      <c r="X131" s="57"/>
    </row>
    <row r="132" spans="1:24" ht="12.5" x14ac:dyDescent="0.25">
      <c r="A132" s="34"/>
      <c r="B132" s="7"/>
      <c r="C132" s="19"/>
      <c r="D132" s="7"/>
      <c r="E132" s="7"/>
      <c r="F132" s="7"/>
      <c r="G132" s="7"/>
      <c r="H132" s="6"/>
      <c r="I132" s="7"/>
      <c r="J132" s="7"/>
      <c r="K132" s="7"/>
      <c r="L132" s="7"/>
      <c r="M132" s="52"/>
      <c r="N132" s="7"/>
      <c r="O132" s="7"/>
      <c r="P132" s="47"/>
      <c r="Q132" s="47"/>
      <c r="R132" s="7"/>
      <c r="S132" s="51"/>
      <c r="T132" s="51"/>
      <c r="U132" s="7"/>
      <c r="V132" s="57"/>
      <c r="W132" s="57"/>
      <c r="X132" s="57"/>
    </row>
    <row r="133" spans="1:24" ht="12.5" x14ac:dyDescent="0.25">
      <c r="A133" s="34"/>
      <c r="B133" s="7"/>
      <c r="C133" s="19"/>
      <c r="D133" s="7"/>
      <c r="E133" s="7"/>
      <c r="F133" s="7"/>
      <c r="G133" s="7"/>
      <c r="H133" s="6"/>
      <c r="I133" s="7"/>
      <c r="J133" s="7"/>
      <c r="K133" s="7"/>
      <c r="L133" s="7"/>
      <c r="M133" s="52"/>
      <c r="N133" s="7"/>
      <c r="O133" s="7"/>
      <c r="P133" s="47"/>
      <c r="Q133" s="47"/>
      <c r="R133" s="7"/>
      <c r="S133" s="51"/>
      <c r="T133" s="51"/>
      <c r="U133" s="7"/>
      <c r="V133" s="57"/>
      <c r="W133" s="57"/>
      <c r="X133" s="57"/>
    </row>
    <row r="134" spans="1:24" ht="12.5" x14ac:dyDescent="0.25">
      <c r="A134" s="34"/>
      <c r="B134" s="7"/>
      <c r="C134" s="19"/>
      <c r="D134" s="7"/>
      <c r="E134" s="7"/>
      <c r="F134" s="7"/>
      <c r="G134" s="7"/>
      <c r="H134" s="6"/>
      <c r="I134" s="7"/>
      <c r="J134" s="7"/>
      <c r="K134" s="7"/>
      <c r="L134" s="7"/>
      <c r="M134" s="52"/>
      <c r="N134" s="7"/>
      <c r="O134" s="7"/>
      <c r="P134" s="47"/>
      <c r="Q134" s="47"/>
      <c r="R134" s="7"/>
      <c r="S134" s="51"/>
      <c r="T134" s="51"/>
      <c r="U134" s="7"/>
      <c r="V134" s="57"/>
      <c r="W134" s="57"/>
      <c r="X134" s="57"/>
    </row>
    <row r="135" spans="1:24" ht="12.5" x14ac:dyDescent="0.25">
      <c r="A135" s="34"/>
      <c r="B135" s="7"/>
      <c r="C135" s="19"/>
      <c r="D135" s="7"/>
      <c r="E135" s="7"/>
      <c r="F135" s="7"/>
      <c r="G135" s="7"/>
      <c r="H135" s="6"/>
      <c r="I135" s="7"/>
      <c r="J135" s="7"/>
      <c r="K135" s="7"/>
      <c r="L135" s="7"/>
      <c r="M135" s="52"/>
      <c r="N135" s="7"/>
      <c r="O135" s="7"/>
      <c r="P135" s="47"/>
      <c r="Q135" s="47"/>
      <c r="R135" s="7"/>
      <c r="S135" s="51"/>
      <c r="T135" s="51"/>
      <c r="U135" s="7"/>
      <c r="V135" s="57"/>
      <c r="W135" s="57"/>
      <c r="X135" s="57"/>
    </row>
    <row r="136" spans="1:24" ht="12.5" x14ac:dyDescent="0.25">
      <c r="A136" s="34"/>
      <c r="B136" s="7"/>
      <c r="C136" s="19"/>
      <c r="D136" s="7"/>
      <c r="E136" s="7"/>
      <c r="F136" s="7"/>
      <c r="G136" s="7"/>
      <c r="H136" s="6"/>
      <c r="I136" s="7"/>
      <c r="J136" s="7"/>
      <c r="K136" s="7"/>
      <c r="L136" s="7"/>
      <c r="M136" s="52"/>
      <c r="N136" s="7"/>
      <c r="O136" s="7"/>
      <c r="P136" s="47"/>
      <c r="Q136" s="47"/>
      <c r="R136" s="7"/>
      <c r="S136" s="51"/>
      <c r="T136" s="51"/>
      <c r="U136" s="7"/>
      <c r="V136" s="57"/>
      <c r="W136" s="57"/>
      <c r="X136" s="57"/>
    </row>
    <row r="137" spans="1:24" ht="12.5" x14ac:dyDescent="0.25">
      <c r="A137" s="34"/>
      <c r="B137" s="7"/>
      <c r="C137" s="19"/>
      <c r="D137" s="7"/>
      <c r="E137" s="7"/>
      <c r="F137" s="7"/>
      <c r="G137" s="7"/>
      <c r="H137" s="6"/>
      <c r="I137" s="7"/>
      <c r="J137" s="7"/>
      <c r="K137" s="7"/>
      <c r="L137" s="7"/>
      <c r="M137" s="52"/>
      <c r="N137" s="7"/>
      <c r="O137" s="7"/>
      <c r="P137" s="47"/>
      <c r="Q137" s="47"/>
      <c r="R137" s="7"/>
      <c r="S137" s="51"/>
      <c r="T137" s="51"/>
      <c r="U137" s="7"/>
      <c r="V137" s="57"/>
      <c r="W137" s="57"/>
      <c r="X137" s="57"/>
    </row>
    <row r="138" spans="1:24" ht="12.5" x14ac:dyDescent="0.25">
      <c r="A138" s="34"/>
      <c r="B138" s="7"/>
      <c r="C138" s="19"/>
      <c r="D138" s="7"/>
      <c r="E138" s="7"/>
      <c r="F138" s="7"/>
      <c r="G138" s="7"/>
      <c r="H138" s="6"/>
      <c r="I138" s="7"/>
      <c r="J138" s="7"/>
      <c r="K138" s="7"/>
      <c r="L138" s="7"/>
      <c r="M138" s="52"/>
      <c r="N138" s="7"/>
      <c r="O138" s="7"/>
      <c r="P138" s="47"/>
      <c r="Q138" s="47"/>
      <c r="R138" s="7"/>
      <c r="S138" s="51"/>
      <c r="T138" s="51"/>
      <c r="U138" s="7"/>
      <c r="V138" s="57"/>
      <c r="W138" s="57"/>
      <c r="X138" s="57"/>
    </row>
    <row r="139" spans="1:24" ht="12.5" x14ac:dyDescent="0.25">
      <c r="A139" s="34"/>
      <c r="B139" s="7"/>
      <c r="C139" s="19"/>
      <c r="D139" s="7"/>
      <c r="E139" s="7"/>
      <c r="F139" s="7"/>
      <c r="G139" s="7"/>
      <c r="H139" s="6"/>
      <c r="I139" s="7"/>
      <c r="J139" s="7"/>
      <c r="K139" s="7"/>
      <c r="L139" s="7"/>
      <c r="M139" s="52"/>
      <c r="N139" s="7"/>
      <c r="O139" s="7"/>
      <c r="P139" s="47"/>
      <c r="Q139" s="47"/>
      <c r="R139" s="7"/>
      <c r="S139" s="51"/>
      <c r="T139" s="51"/>
      <c r="U139" s="7"/>
      <c r="V139" s="57"/>
      <c r="W139" s="57"/>
      <c r="X139" s="57"/>
    </row>
    <row r="140" spans="1:24" ht="12.5" x14ac:dyDescent="0.25">
      <c r="A140" s="34"/>
      <c r="B140" s="7"/>
      <c r="C140" s="19"/>
      <c r="D140" s="7"/>
      <c r="E140" s="7"/>
      <c r="F140" s="7"/>
      <c r="G140" s="7"/>
      <c r="H140" s="6"/>
      <c r="I140" s="7"/>
      <c r="J140" s="7"/>
      <c r="K140" s="7"/>
      <c r="L140" s="7"/>
      <c r="M140" s="52"/>
      <c r="N140" s="7"/>
      <c r="O140" s="7"/>
      <c r="P140" s="47"/>
      <c r="Q140" s="47"/>
      <c r="R140" s="7"/>
      <c r="S140" s="51"/>
      <c r="T140" s="51"/>
      <c r="U140" s="7"/>
      <c r="V140" s="57"/>
      <c r="W140" s="57"/>
      <c r="X140" s="57"/>
    </row>
    <row r="141" spans="1:24" ht="12.5" x14ac:dyDescent="0.25">
      <c r="A141" s="34"/>
      <c r="B141" s="7"/>
      <c r="C141" s="19"/>
      <c r="D141" s="7"/>
      <c r="E141" s="7"/>
      <c r="F141" s="7"/>
      <c r="G141" s="7"/>
      <c r="H141" s="6"/>
      <c r="I141" s="7"/>
      <c r="J141" s="7"/>
      <c r="K141" s="7"/>
      <c r="L141" s="7"/>
      <c r="M141" s="52"/>
      <c r="N141" s="7"/>
      <c r="O141" s="7"/>
      <c r="P141" s="47"/>
      <c r="Q141" s="47"/>
      <c r="R141" s="7"/>
      <c r="S141" s="51"/>
      <c r="T141" s="51"/>
      <c r="U141" s="7"/>
      <c r="V141" s="57"/>
      <c r="W141" s="57"/>
      <c r="X141" s="57"/>
    </row>
    <row r="142" spans="1:24" ht="12.5" x14ac:dyDescent="0.25">
      <c r="A142" s="34"/>
      <c r="B142" s="7"/>
      <c r="C142" s="19"/>
      <c r="D142" s="7"/>
      <c r="E142" s="7"/>
      <c r="F142" s="7"/>
      <c r="G142" s="7"/>
      <c r="H142" s="6"/>
      <c r="I142" s="7"/>
      <c r="J142" s="7"/>
      <c r="K142" s="7"/>
      <c r="L142" s="7"/>
      <c r="M142" s="52"/>
      <c r="N142" s="7"/>
      <c r="O142" s="7"/>
      <c r="P142" s="47"/>
      <c r="Q142" s="47"/>
      <c r="R142" s="7"/>
      <c r="S142" s="51"/>
      <c r="T142" s="51"/>
      <c r="U142" s="7"/>
      <c r="V142" s="57"/>
      <c r="W142" s="57"/>
      <c r="X142" s="57"/>
    </row>
    <row r="143" spans="1:24" ht="12.5" x14ac:dyDescent="0.25">
      <c r="A143" s="34"/>
      <c r="B143" s="7"/>
      <c r="C143" s="19"/>
      <c r="D143" s="7"/>
      <c r="E143" s="7"/>
      <c r="F143" s="7"/>
      <c r="G143" s="7"/>
      <c r="H143" s="6"/>
      <c r="I143" s="7"/>
      <c r="J143" s="7"/>
      <c r="K143" s="7"/>
      <c r="L143" s="7"/>
      <c r="M143" s="52"/>
      <c r="N143" s="7"/>
      <c r="O143" s="7"/>
      <c r="P143" s="47"/>
      <c r="Q143" s="47"/>
      <c r="R143" s="7"/>
      <c r="S143" s="51"/>
      <c r="T143" s="51"/>
      <c r="U143" s="7"/>
      <c r="V143" s="57"/>
      <c r="W143" s="57"/>
      <c r="X143" s="57"/>
    </row>
    <row r="144" spans="1:24" ht="12.5" x14ac:dyDescent="0.25">
      <c r="A144" s="34"/>
      <c r="B144" s="7"/>
      <c r="C144" s="19"/>
      <c r="D144" s="7"/>
      <c r="E144" s="7"/>
      <c r="F144" s="7"/>
      <c r="G144" s="7"/>
      <c r="H144" s="6"/>
      <c r="I144" s="7"/>
      <c r="J144" s="7"/>
      <c r="K144" s="7"/>
      <c r="L144" s="7"/>
      <c r="M144" s="52"/>
      <c r="N144" s="7"/>
      <c r="O144" s="7"/>
      <c r="P144" s="47"/>
      <c r="Q144" s="47"/>
      <c r="R144" s="7"/>
      <c r="S144" s="51"/>
      <c r="T144" s="51"/>
      <c r="U144" s="7"/>
      <c r="V144" s="57"/>
      <c r="W144" s="57"/>
      <c r="X144" s="57"/>
    </row>
    <row r="145" spans="1:24" ht="12.5" x14ac:dyDescent="0.25">
      <c r="A145" s="34"/>
      <c r="B145" s="7"/>
      <c r="C145" s="19"/>
      <c r="D145" s="7"/>
      <c r="E145" s="7"/>
      <c r="F145" s="7"/>
      <c r="G145" s="7"/>
      <c r="H145" s="6"/>
      <c r="I145" s="7"/>
      <c r="J145" s="7"/>
      <c r="K145" s="7"/>
      <c r="L145" s="7"/>
      <c r="M145" s="52"/>
      <c r="N145" s="7"/>
      <c r="O145" s="7"/>
      <c r="P145" s="47"/>
      <c r="Q145" s="47"/>
      <c r="R145" s="7"/>
      <c r="S145" s="51"/>
      <c r="T145" s="51"/>
      <c r="U145" s="7"/>
      <c r="V145" s="57"/>
      <c r="W145" s="57"/>
      <c r="X145" s="57"/>
    </row>
    <row r="146" spans="1:24" ht="12.5" x14ac:dyDescent="0.25">
      <c r="A146" s="34"/>
      <c r="B146" s="7"/>
      <c r="C146" s="19"/>
      <c r="D146" s="7"/>
      <c r="E146" s="7"/>
      <c r="F146" s="7"/>
      <c r="G146" s="7"/>
      <c r="H146" s="6"/>
      <c r="I146" s="7"/>
      <c r="J146" s="7"/>
      <c r="K146" s="7"/>
      <c r="L146" s="7"/>
      <c r="M146" s="52"/>
      <c r="N146" s="7"/>
      <c r="O146" s="7"/>
      <c r="P146" s="47"/>
      <c r="Q146" s="47"/>
      <c r="R146" s="7"/>
      <c r="S146" s="51"/>
      <c r="T146" s="51"/>
      <c r="U146" s="7"/>
      <c r="V146" s="57"/>
      <c r="W146" s="57"/>
      <c r="X146" s="57"/>
    </row>
    <row r="147" spans="1:24" ht="12.5" x14ac:dyDescent="0.25">
      <c r="A147" s="34"/>
      <c r="B147" s="7"/>
      <c r="C147" s="19"/>
      <c r="D147" s="7"/>
      <c r="E147" s="7"/>
      <c r="F147" s="7"/>
      <c r="G147" s="7"/>
      <c r="H147" s="6"/>
      <c r="I147" s="7"/>
      <c r="J147" s="7"/>
      <c r="K147" s="7"/>
      <c r="L147" s="7"/>
      <c r="M147" s="52"/>
      <c r="N147" s="7"/>
      <c r="O147" s="7"/>
      <c r="P147" s="47"/>
      <c r="Q147" s="47"/>
      <c r="R147" s="7"/>
      <c r="S147" s="51"/>
      <c r="T147" s="51"/>
      <c r="U147" s="7"/>
      <c r="V147" s="57"/>
      <c r="W147" s="57"/>
      <c r="X147" s="57"/>
    </row>
    <row r="148" spans="1:24" ht="12.5" x14ac:dyDescent="0.25">
      <c r="A148" s="34"/>
      <c r="B148" s="7"/>
      <c r="C148" s="19"/>
      <c r="D148" s="7"/>
      <c r="E148" s="7"/>
      <c r="F148" s="7"/>
      <c r="G148" s="7"/>
      <c r="H148" s="6"/>
      <c r="I148" s="7"/>
      <c r="J148" s="7"/>
      <c r="K148" s="7"/>
      <c r="L148" s="7"/>
      <c r="M148" s="52"/>
      <c r="N148" s="7"/>
      <c r="O148" s="7"/>
      <c r="P148" s="47"/>
      <c r="Q148" s="47"/>
      <c r="R148" s="7"/>
      <c r="S148" s="51"/>
      <c r="T148" s="51"/>
      <c r="U148" s="7"/>
      <c r="V148" s="57"/>
      <c r="W148" s="57"/>
      <c r="X148" s="57"/>
    </row>
    <row r="149" spans="1:24" ht="12.5" x14ac:dyDescent="0.25">
      <c r="A149" s="34"/>
      <c r="B149" s="7"/>
      <c r="C149" s="19"/>
      <c r="D149" s="7"/>
      <c r="E149" s="7"/>
      <c r="F149" s="7"/>
      <c r="G149" s="7"/>
      <c r="H149" s="6"/>
      <c r="I149" s="7"/>
      <c r="J149" s="7"/>
      <c r="K149" s="7"/>
      <c r="L149" s="7"/>
      <c r="M149" s="52"/>
      <c r="N149" s="7"/>
      <c r="O149" s="7"/>
      <c r="P149" s="47"/>
      <c r="Q149" s="47"/>
      <c r="R149" s="7"/>
      <c r="S149" s="51"/>
      <c r="T149" s="51"/>
      <c r="U149" s="7"/>
      <c r="V149" s="57"/>
      <c r="W149" s="57"/>
      <c r="X149" s="57"/>
    </row>
    <row r="150" spans="1:24" ht="12.5" x14ac:dyDescent="0.25">
      <c r="A150" s="34"/>
      <c r="B150" s="7"/>
      <c r="C150" s="19"/>
      <c r="D150" s="7"/>
      <c r="E150" s="7"/>
      <c r="F150" s="7"/>
      <c r="G150" s="7"/>
      <c r="H150" s="6"/>
      <c r="I150" s="7"/>
      <c r="J150" s="7"/>
      <c r="K150" s="7"/>
      <c r="L150" s="7"/>
      <c r="M150" s="52"/>
      <c r="N150" s="7"/>
      <c r="O150" s="7"/>
      <c r="P150" s="47"/>
      <c r="Q150" s="47"/>
      <c r="R150" s="7"/>
      <c r="S150" s="51"/>
      <c r="T150" s="51"/>
      <c r="U150" s="7"/>
      <c r="V150" s="57"/>
      <c r="W150" s="57"/>
      <c r="X150" s="57"/>
    </row>
    <row r="151" spans="1:24" ht="12.5" x14ac:dyDescent="0.25">
      <c r="A151" s="34"/>
      <c r="B151" s="7"/>
      <c r="C151" s="19"/>
      <c r="D151" s="7"/>
      <c r="E151" s="7"/>
      <c r="F151" s="7"/>
      <c r="G151" s="7"/>
      <c r="H151" s="6"/>
      <c r="I151" s="7"/>
      <c r="J151" s="7"/>
      <c r="K151" s="7"/>
      <c r="L151" s="7"/>
      <c r="M151" s="52"/>
      <c r="N151" s="7"/>
      <c r="O151" s="7"/>
      <c r="P151" s="47"/>
      <c r="Q151" s="47"/>
      <c r="R151" s="7"/>
      <c r="S151" s="51"/>
      <c r="T151" s="51"/>
      <c r="U151" s="7"/>
      <c r="V151" s="57"/>
      <c r="W151" s="57"/>
      <c r="X151" s="57"/>
    </row>
    <row r="152" spans="1:24" ht="12.5" x14ac:dyDescent="0.25">
      <c r="A152" s="34"/>
      <c r="B152" s="7"/>
      <c r="C152" s="19"/>
      <c r="D152" s="7"/>
      <c r="E152" s="7"/>
      <c r="F152" s="7"/>
      <c r="G152" s="7"/>
      <c r="H152" s="6"/>
      <c r="I152" s="7"/>
      <c r="J152" s="7"/>
      <c r="K152" s="7"/>
      <c r="L152" s="7"/>
      <c r="M152" s="52"/>
      <c r="N152" s="7"/>
      <c r="O152" s="7"/>
      <c r="P152" s="47"/>
      <c r="Q152" s="47"/>
      <c r="R152" s="7"/>
      <c r="S152" s="51"/>
      <c r="T152" s="51"/>
      <c r="U152" s="7"/>
      <c r="V152" s="57"/>
      <c r="W152" s="57"/>
      <c r="X152" s="57"/>
    </row>
    <row r="153" spans="1:24" ht="12.5" x14ac:dyDescent="0.25">
      <c r="A153" s="34"/>
      <c r="B153" s="7"/>
      <c r="C153" s="19"/>
      <c r="D153" s="7"/>
      <c r="E153" s="7"/>
      <c r="F153" s="7"/>
      <c r="G153" s="7"/>
      <c r="H153" s="6"/>
      <c r="I153" s="7"/>
      <c r="J153" s="7"/>
      <c r="K153" s="7"/>
      <c r="L153" s="7"/>
      <c r="M153" s="52"/>
      <c r="N153" s="7"/>
      <c r="O153" s="7"/>
      <c r="P153" s="47"/>
      <c r="Q153" s="47"/>
      <c r="R153" s="7"/>
      <c r="S153" s="51"/>
      <c r="T153" s="51"/>
      <c r="U153" s="7"/>
      <c r="V153" s="57"/>
      <c r="W153" s="57"/>
      <c r="X153" s="57"/>
    </row>
    <row r="154" spans="1:24" ht="12.5" x14ac:dyDescent="0.25">
      <c r="A154" s="34"/>
      <c r="B154" s="7"/>
      <c r="C154" s="19"/>
      <c r="D154" s="7"/>
      <c r="E154" s="7"/>
      <c r="F154" s="7"/>
      <c r="G154" s="7"/>
      <c r="H154" s="6"/>
      <c r="I154" s="7"/>
      <c r="J154" s="7"/>
      <c r="K154" s="7"/>
      <c r="L154" s="7"/>
      <c r="M154" s="52"/>
      <c r="N154" s="7"/>
      <c r="O154" s="7"/>
      <c r="P154" s="47"/>
      <c r="Q154" s="47"/>
      <c r="R154" s="7"/>
      <c r="S154" s="51"/>
      <c r="T154" s="51"/>
      <c r="U154" s="7"/>
      <c r="V154" s="57"/>
      <c r="W154" s="57"/>
      <c r="X154" s="57"/>
    </row>
    <row r="155" spans="1:24" ht="12.5" x14ac:dyDescent="0.25">
      <c r="A155" s="34"/>
      <c r="B155" s="7"/>
      <c r="C155" s="19"/>
      <c r="D155" s="7"/>
      <c r="E155" s="7"/>
      <c r="F155" s="7"/>
      <c r="G155" s="7"/>
      <c r="H155" s="6"/>
      <c r="I155" s="7"/>
      <c r="J155" s="7"/>
      <c r="K155" s="7"/>
      <c r="L155" s="7"/>
      <c r="M155" s="52"/>
      <c r="N155" s="7"/>
      <c r="O155" s="7"/>
      <c r="P155" s="47"/>
      <c r="Q155" s="47"/>
      <c r="R155" s="7"/>
      <c r="S155" s="51"/>
      <c r="T155" s="51"/>
      <c r="U155" s="7"/>
      <c r="V155" s="57"/>
      <c r="W155" s="57"/>
      <c r="X155" s="57"/>
    </row>
    <row r="156" spans="1:24" ht="12.5" x14ac:dyDescent="0.25">
      <c r="A156" s="34"/>
      <c r="B156" s="7"/>
      <c r="C156" s="19"/>
      <c r="D156" s="7"/>
      <c r="E156" s="7"/>
      <c r="F156" s="7"/>
      <c r="G156" s="7"/>
      <c r="H156" s="6"/>
      <c r="I156" s="7"/>
      <c r="J156" s="7"/>
      <c r="K156" s="7"/>
      <c r="L156" s="7"/>
      <c r="M156" s="52"/>
      <c r="N156" s="7"/>
      <c r="O156" s="7"/>
      <c r="P156" s="47"/>
      <c r="Q156" s="47"/>
      <c r="R156" s="7"/>
      <c r="S156" s="51"/>
      <c r="T156" s="51"/>
      <c r="U156" s="7"/>
      <c r="V156" s="57"/>
      <c r="W156" s="57"/>
      <c r="X156" s="57"/>
    </row>
    <row r="157" spans="1:24" ht="12.5" x14ac:dyDescent="0.25">
      <c r="A157" s="34"/>
      <c r="B157" s="7"/>
      <c r="C157" s="19"/>
      <c r="D157" s="7"/>
      <c r="E157" s="7"/>
      <c r="F157" s="7"/>
      <c r="G157" s="7"/>
      <c r="H157" s="6"/>
      <c r="I157" s="7"/>
      <c r="J157" s="7"/>
      <c r="K157" s="7"/>
      <c r="L157" s="7"/>
      <c r="M157" s="52"/>
      <c r="N157" s="7"/>
      <c r="O157" s="7"/>
      <c r="P157" s="47"/>
      <c r="Q157" s="47"/>
      <c r="R157" s="7"/>
      <c r="S157" s="51"/>
      <c r="T157" s="51"/>
      <c r="U157" s="7"/>
      <c r="V157" s="57"/>
      <c r="W157" s="57"/>
      <c r="X157" s="57"/>
    </row>
    <row r="158" spans="1:24" ht="12.5" x14ac:dyDescent="0.25">
      <c r="A158" s="34"/>
      <c r="B158" s="7"/>
      <c r="C158" s="19"/>
      <c r="D158" s="7"/>
      <c r="E158" s="7"/>
      <c r="F158" s="7"/>
      <c r="G158" s="7"/>
      <c r="H158" s="6"/>
      <c r="I158" s="7"/>
      <c r="J158" s="7"/>
      <c r="K158" s="7"/>
      <c r="L158" s="7"/>
      <c r="M158" s="52"/>
      <c r="N158" s="7"/>
      <c r="O158" s="7"/>
      <c r="P158" s="47"/>
      <c r="Q158" s="47"/>
      <c r="R158" s="7"/>
      <c r="S158" s="51"/>
      <c r="T158" s="51"/>
      <c r="U158" s="7"/>
      <c r="V158" s="57"/>
      <c r="W158" s="57"/>
      <c r="X158" s="57"/>
    </row>
    <row r="159" spans="1:24" ht="12.5" x14ac:dyDescent="0.25">
      <c r="A159" s="34"/>
      <c r="B159" s="7"/>
      <c r="C159" s="19"/>
      <c r="D159" s="7"/>
      <c r="E159" s="7"/>
      <c r="F159" s="7"/>
      <c r="G159" s="7"/>
      <c r="H159" s="6"/>
      <c r="I159" s="7"/>
      <c r="J159" s="7"/>
      <c r="K159" s="7"/>
      <c r="L159" s="7"/>
      <c r="M159" s="52"/>
      <c r="N159" s="7"/>
      <c r="O159" s="7"/>
      <c r="P159" s="47"/>
      <c r="Q159" s="47"/>
      <c r="R159" s="7"/>
      <c r="S159" s="51"/>
      <c r="T159" s="51"/>
      <c r="U159" s="7"/>
      <c r="V159" s="57"/>
      <c r="W159" s="57"/>
      <c r="X159" s="57"/>
    </row>
    <row r="160" spans="1:24" ht="12.5" x14ac:dyDescent="0.25">
      <c r="A160" s="34"/>
      <c r="B160" s="7"/>
      <c r="C160" s="19"/>
      <c r="D160" s="7"/>
      <c r="E160" s="7"/>
      <c r="F160" s="7"/>
      <c r="G160" s="7"/>
      <c r="H160" s="6"/>
      <c r="I160" s="7"/>
      <c r="J160" s="7"/>
      <c r="K160" s="7"/>
      <c r="L160" s="7"/>
      <c r="M160" s="52"/>
      <c r="N160" s="7"/>
      <c r="O160" s="7"/>
      <c r="P160" s="47"/>
      <c r="Q160" s="47"/>
      <c r="R160" s="7"/>
      <c r="S160" s="51"/>
      <c r="T160" s="51"/>
      <c r="U160" s="7"/>
      <c r="V160" s="57"/>
      <c r="W160" s="57"/>
      <c r="X160" s="57"/>
    </row>
    <row r="161" spans="1:24" ht="12.5" x14ac:dyDescent="0.25">
      <c r="A161" s="34"/>
      <c r="B161" s="7"/>
      <c r="C161" s="19"/>
      <c r="D161" s="7"/>
      <c r="E161" s="7"/>
      <c r="F161" s="7"/>
      <c r="G161" s="7"/>
      <c r="H161" s="6"/>
      <c r="I161" s="7"/>
      <c r="J161" s="7"/>
      <c r="K161" s="7"/>
      <c r="L161" s="7"/>
      <c r="M161" s="52"/>
      <c r="N161" s="7"/>
      <c r="O161" s="7"/>
      <c r="P161" s="47"/>
      <c r="Q161" s="47"/>
      <c r="R161" s="7"/>
      <c r="S161" s="51"/>
      <c r="T161" s="51"/>
      <c r="U161" s="7"/>
      <c r="V161" s="57"/>
      <c r="W161" s="57"/>
      <c r="X161" s="57"/>
    </row>
    <row r="162" spans="1:24" ht="12.5" x14ac:dyDescent="0.25">
      <c r="A162" s="34"/>
      <c r="B162" s="7"/>
      <c r="C162" s="19"/>
      <c r="D162" s="7"/>
      <c r="E162" s="7"/>
      <c r="F162" s="7"/>
      <c r="G162" s="7"/>
      <c r="H162" s="6"/>
      <c r="I162" s="7"/>
      <c r="J162" s="7"/>
      <c r="K162" s="7"/>
      <c r="L162" s="7"/>
      <c r="M162" s="52"/>
      <c r="N162" s="7"/>
      <c r="O162" s="7"/>
      <c r="P162" s="47"/>
      <c r="Q162" s="47"/>
      <c r="R162" s="7"/>
      <c r="S162" s="51"/>
      <c r="T162" s="51"/>
      <c r="U162" s="7"/>
      <c r="V162" s="57"/>
      <c r="W162" s="57"/>
      <c r="X162" s="57"/>
    </row>
    <row r="163" spans="1:24" ht="12.5" x14ac:dyDescent="0.25">
      <c r="A163" s="34"/>
      <c r="B163" s="7"/>
      <c r="C163" s="19"/>
      <c r="D163" s="7"/>
      <c r="E163" s="7"/>
      <c r="F163" s="7"/>
      <c r="G163" s="7"/>
      <c r="H163" s="6"/>
      <c r="I163" s="7"/>
      <c r="J163" s="7"/>
      <c r="K163" s="7"/>
      <c r="L163" s="7"/>
      <c r="M163" s="52"/>
      <c r="N163" s="7"/>
      <c r="O163" s="7"/>
      <c r="P163" s="47"/>
      <c r="Q163" s="47"/>
      <c r="R163" s="7"/>
      <c r="S163" s="51"/>
      <c r="T163" s="51"/>
      <c r="U163" s="7"/>
      <c r="V163" s="57"/>
      <c r="W163" s="57"/>
      <c r="X163" s="57"/>
    </row>
    <row r="164" spans="1:24" ht="12.5" x14ac:dyDescent="0.25">
      <c r="A164" s="34"/>
      <c r="B164" s="7"/>
      <c r="C164" s="19"/>
      <c r="D164" s="7"/>
      <c r="E164" s="7"/>
      <c r="F164" s="7"/>
      <c r="G164" s="7"/>
      <c r="H164" s="6"/>
      <c r="I164" s="7"/>
      <c r="J164" s="7"/>
      <c r="K164" s="7"/>
      <c r="L164" s="7"/>
      <c r="M164" s="52"/>
      <c r="N164" s="7"/>
      <c r="O164" s="7"/>
      <c r="P164" s="47"/>
      <c r="Q164" s="47"/>
      <c r="R164" s="7"/>
      <c r="S164" s="51"/>
      <c r="T164" s="51"/>
      <c r="U164" s="7"/>
      <c r="V164" s="57"/>
      <c r="W164" s="57"/>
      <c r="X164" s="57"/>
    </row>
    <row r="165" spans="1:24" ht="12.5" x14ac:dyDescent="0.25">
      <c r="A165" s="34"/>
      <c r="B165" s="7"/>
      <c r="C165" s="19"/>
      <c r="D165" s="7"/>
      <c r="E165" s="7"/>
      <c r="F165" s="7"/>
      <c r="G165" s="7"/>
      <c r="H165" s="6"/>
      <c r="I165" s="7"/>
      <c r="J165" s="7"/>
      <c r="K165" s="7"/>
      <c r="L165" s="7"/>
      <c r="M165" s="52"/>
      <c r="N165" s="7"/>
      <c r="O165" s="7"/>
      <c r="P165" s="47"/>
      <c r="Q165" s="47"/>
      <c r="R165" s="7"/>
      <c r="S165" s="51"/>
      <c r="T165" s="51"/>
      <c r="U165" s="7"/>
      <c r="V165" s="57"/>
      <c r="W165" s="57"/>
      <c r="X165" s="57"/>
    </row>
    <row r="166" spans="1:24" ht="12.5" x14ac:dyDescent="0.25">
      <c r="A166" s="34"/>
      <c r="B166" s="7"/>
      <c r="C166" s="19"/>
      <c r="D166" s="7"/>
      <c r="E166" s="7"/>
      <c r="F166" s="7"/>
      <c r="G166" s="7"/>
      <c r="H166" s="6"/>
      <c r="I166" s="7"/>
      <c r="J166" s="7"/>
      <c r="K166" s="7"/>
      <c r="L166" s="7"/>
      <c r="M166" s="52"/>
      <c r="N166" s="7"/>
      <c r="O166" s="7"/>
      <c r="P166" s="47"/>
      <c r="Q166" s="47"/>
      <c r="R166" s="7"/>
      <c r="S166" s="51"/>
      <c r="T166" s="51"/>
      <c r="U166" s="7"/>
      <c r="V166" s="57"/>
      <c r="W166" s="57"/>
      <c r="X166" s="57"/>
    </row>
    <row r="167" spans="1:24" ht="12.5" x14ac:dyDescent="0.25">
      <c r="A167" s="34"/>
      <c r="B167" s="7"/>
      <c r="C167" s="19"/>
      <c r="D167" s="7"/>
      <c r="E167" s="7"/>
      <c r="F167" s="7"/>
      <c r="G167" s="7"/>
      <c r="H167" s="6"/>
      <c r="I167" s="7"/>
      <c r="J167" s="7"/>
      <c r="K167" s="7"/>
      <c r="L167" s="7"/>
      <c r="M167" s="52"/>
      <c r="N167" s="7"/>
      <c r="O167" s="7"/>
      <c r="P167" s="47"/>
      <c r="Q167" s="47"/>
      <c r="R167" s="7"/>
      <c r="S167" s="51"/>
      <c r="T167" s="51"/>
      <c r="U167" s="7"/>
      <c r="V167" s="57"/>
      <c r="W167" s="57"/>
      <c r="X167" s="57"/>
    </row>
    <row r="168" spans="1:24" ht="12.5" x14ac:dyDescent="0.25">
      <c r="A168" s="34"/>
      <c r="B168" s="7"/>
      <c r="C168" s="19"/>
      <c r="D168" s="7"/>
      <c r="E168" s="7"/>
      <c r="F168" s="7"/>
      <c r="G168" s="7"/>
      <c r="H168" s="6"/>
      <c r="I168" s="7"/>
      <c r="J168" s="7"/>
      <c r="K168" s="7"/>
      <c r="L168" s="7"/>
      <c r="M168" s="52"/>
      <c r="N168" s="7"/>
      <c r="O168" s="7"/>
      <c r="P168" s="47"/>
      <c r="Q168" s="47"/>
      <c r="R168" s="7"/>
      <c r="S168" s="51"/>
      <c r="T168" s="51"/>
      <c r="U168" s="7"/>
      <c r="V168" s="57"/>
      <c r="W168" s="57"/>
      <c r="X168" s="57"/>
    </row>
    <row r="169" spans="1:24" ht="12.5" x14ac:dyDescent="0.25">
      <c r="A169" s="34"/>
      <c r="B169" s="7"/>
      <c r="C169" s="19"/>
      <c r="D169" s="7"/>
      <c r="E169" s="7"/>
      <c r="F169" s="7"/>
      <c r="G169" s="7"/>
      <c r="H169" s="6"/>
      <c r="I169" s="7"/>
      <c r="J169" s="7"/>
      <c r="K169" s="7"/>
      <c r="L169" s="7"/>
      <c r="M169" s="52"/>
      <c r="N169" s="7"/>
      <c r="O169" s="7"/>
      <c r="P169" s="47"/>
      <c r="Q169" s="47"/>
      <c r="R169" s="7"/>
      <c r="S169" s="51"/>
      <c r="T169" s="51"/>
      <c r="U169" s="7"/>
      <c r="V169" s="57"/>
      <c r="W169" s="57"/>
      <c r="X169" s="57"/>
    </row>
    <row r="170" spans="1:24" ht="12.5" x14ac:dyDescent="0.25">
      <c r="A170" s="34"/>
      <c r="B170" s="7"/>
      <c r="C170" s="19"/>
      <c r="D170" s="7"/>
      <c r="E170" s="7"/>
      <c r="F170" s="7"/>
      <c r="G170" s="7"/>
      <c r="H170" s="6"/>
      <c r="I170" s="7"/>
      <c r="J170" s="7"/>
      <c r="K170" s="7"/>
      <c r="L170" s="7"/>
      <c r="M170" s="52"/>
      <c r="N170" s="7"/>
      <c r="O170" s="7"/>
      <c r="P170" s="47"/>
      <c r="Q170" s="47"/>
      <c r="R170" s="7"/>
      <c r="S170" s="51"/>
      <c r="T170" s="51"/>
      <c r="U170" s="7"/>
      <c r="V170" s="57"/>
      <c r="W170" s="57"/>
      <c r="X170" s="57"/>
    </row>
    <row r="171" spans="1:24" ht="12.5" x14ac:dyDescent="0.25">
      <c r="A171" s="34"/>
      <c r="B171" s="7"/>
      <c r="C171" s="19"/>
      <c r="D171" s="7"/>
      <c r="E171" s="7"/>
      <c r="F171" s="7"/>
      <c r="G171" s="7"/>
      <c r="H171" s="6"/>
      <c r="I171" s="7"/>
      <c r="J171" s="7"/>
      <c r="K171" s="7"/>
      <c r="L171" s="7"/>
      <c r="M171" s="52"/>
      <c r="N171" s="7"/>
      <c r="O171" s="7"/>
      <c r="P171" s="47"/>
      <c r="Q171" s="47"/>
      <c r="R171" s="7"/>
      <c r="S171" s="51"/>
      <c r="T171" s="51"/>
      <c r="U171" s="7"/>
      <c r="V171" s="57"/>
      <c r="W171" s="57"/>
      <c r="X171" s="57"/>
    </row>
    <row r="172" spans="1:24" ht="12.5" x14ac:dyDescent="0.25">
      <c r="A172" s="34"/>
      <c r="B172" s="7"/>
      <c r="C172" s="19"/>
      <c r="D172" s="7"/>
      <c r="E172" s="7"/>
      <c r="F172" s="7"/>
      <c r="G172" s="7"/>
      <c r="H172" s="6"/>
      <c r="I172" s="7"/>
      <c r="J172" s="7"/>
      <c r="K172" s="7"/>
      <c r="L172" s="7"/>
      <c r="M172" s="52"/>
      <c r="N172" s="7"/>
      <c r="O172" s="7"/>
      <c r="P172" s="47"/>
      <c r="Q172" s="47"/>
      <c r="R172" s="7"/>
      <c r="S172" s="51"/>
      <c r="T172" s="51"/>
      <c r="U172" s="7"/>
      <c r="V172" s="57"/>
      <c r="W172" s="57"/>
      <c r="X172" s="57"/>
    </row>
    <row r="173" spans="1:24" ht="12.5" x14ac:dyDescent="0.25">
      <c r="A173" s="34"/>
      <c r="B173" s="7"/>
      <c r="C173" s="19"/>
      <c r="D173" s="7"/>
      <c r="E173" s="7"/>
      <c r="F173" s="7"/>
      <c r="G173" s="7"/>
      <c r="H173" s="6"/>
      <c r="I173" s="7"/>
      <c r="J173" s="7"/>
      <c r="K173" s="7"/>
      <c r="L173" s="7"/>
      <c r="M173" s="52"/>
      <c r="N173" s="7"/>
      <c r="O173" s="7"/>
      <c r="P173" s="47"/>
      <c r="Q173" s="47"/>
      <c r="R173" s="7"/>
      <c r="S173" s="51"/>
      <c r="T173" s="51"/>
      <c r="U173" s="7"/>
      <c r="V173" s="57"/>
      <c r="W173" s="57"/>
      <c r="X173" s="57"/>
    </row>
    <row r="174" spans="1:24" ht="12.5" x14ac:dyDescent="0.25">
      <c r="A174" s="34"/>
      <c r="B174" s="7"/>
      <c r="C174" s="19"/>
      <c r="D174" s="7"/>
      <c r="E174" s="7"/>
      <c r="F174" s="7"/>
      <c r="G174" s="7"/>
      <c r="H174" s="6"/>
      <c r="I174" s="7"/>
      <c r="J174" s="7"/>
      <c r="K174" s="7"/>
      <c r="L174" s="7"/>
      <c r="M174" s="52"/>
      <c r="N174" s="7"/>
      <c r="O174" s="7"/>
      <c r="P174" s="47"/>
      <c r="Q174" s="47"/>
      <c r="R174" s="7"/>
      <c r="S174" s="51"/>
      <c r="T174" s="51"/>
      <c r="U174" s="7"/>
      <c r="V174" s="57"/>
      <c r="W174" s="57"/>
      <c r="X174" s="57"/>
    </row>
    <row r="175" spans="1:24" ht="12.5" x14ac:dyDescent="0.25">
      <c r="A175" s="34"/>
      <c r="B175" s="7"/>
      <c r="C175" s="19"/>
      <c r="D175" s="7"/>
      <c r="E175" s="7"/>
      <c r="F175" s="7"/>
      <c r="G175" s="7"/>
      <c r="H175" s="6"/>
      <c r="I175" s="7"/>
      <c r="J175" s="7"/>
      <c r="K175" s="7"/>
      <c r="L175" s="7"/>
      <c r="M175" s="52"/>
      <c r="N175" s="7"/>
      <c r="O175" s="7"/>
      <c r="P175" s="47"/>
      <c r="Q175" s="47"/>
      <c r="R175" s="7"/>
      <c r="S175" s="51"/>
      <c r="T175" s="51"/>
      <c r="U175" s="7"/>
      <c r="V175" s="57"/>
      <c r="W175" s="57"/>
      <c r="X175" s="57"/>
    </row>
    <row r="176" spans="1:24" ht="12.5" x14ac:dyDescent="0.25">
      <c r="A176" s="34"/>
      <c r="B176" s="7"/>
      <c r="C176" s="19"/>
      <c r="D176" s="7"/>
      <c r="E176" s="7"/>
      <c r="F176" s="7"/>
      <c r="G176" s="7"/>
      <c r="H176" s="6"/>
      <c r="I176" s="7"/>
      <c r="J176" s="7"/>
      <c r="K176" s="7"/>
      <c r="L176" s="7"/>
      <c r="M176" s="52"/>
      <c r="N176" s="7"/>
      <c r="O176" s="7"/>
      <c r="P176" s="47"/>
      <c r="Q176" s="47"/>
      <c r="R176" s="7"/>
      <c r="S176" s="51"/>
      <c r="T176" s="51"/>
      <c r="U176" s="7"/>
      <c r="V176" s="57"/>
      <c r="W176" s="57"/>
      <c r="X176" s="57"/>
    </row>
    <row r="177" spans="1:24" ht="12.5" x14ac:dyDescent="0.25">
      <c r="A177" s="34"/>
      <c r="B177" s="7"/>
      <c r="C177" s="19"/>
      <c r="D177" s="7"/>
      <c r="E177" s="7"/>
      <c r="F177" s="7"/>
      <c r="G177" s="7"/>
      <c r="H177" s="6"/>
      <c r="I177" s="7"/>
      <c r="J177" s="7"/>
      <c r="K177" s="7"/>
      <c r="L177" s="7"/>
      <c r="M177" s="52"/>
      <c r="N177" s="7"/>
      <c r="O177" s="7"/>
      <c r="P177" s="47"/>
      <c r="Q177" s="47"/>
      <c r="R177" s="7"/>
      <c r="S177" s="51"/>
      <c r="T177" s="51"/>
      <c r="U177" s="7"/>
      <c r="V177" s="57"/>
      <c r="W177" s="57"/>
      <c r="X177" s="57"/>
    </row>
    <row r="178" spans="1:24" ht="12.5" x14ac:dyDescent="0.25">
      <c r="A178" s="34"/>
      <c r="B178" s="7"/>
      <c r="C178" s="19"/>
      <c r="D178" s="7"/>
      <c r="E178" s="7"/>
      <c r="F178" s="7"/>
      <c r="G178" s="7"/>
      <c r="H178" s="6"/>
      <c r="I178" s="7"/>
      <c r="J178" s="7"/>
      <c r="K178" s="7"/>
      <c r="L178" s="7"/>
      <c r="M178" s="52"/>
      <c r="N178" s="7"/>
      <c r="O178" s="7"/>
      <c r="P178" s="47"/>
      <c r="Q178" s="47"/>
      <c r="R178" s="7"/>
      <c r="S178" s="51"/>
      <c r="T178" s="51"/>
      <c r="U178" s="7"/>
      <c r="V178" s="57"/>
      <c r="W178" s="57"/>
      <c r="X178" s="57"/>
    </row>
    <row r="179" spans="1:24" ht="12.5" x14ac:dyDescent="0.25">
      <c r="A179" s="34"/>
      <c r="B179" s="7"/>
      <c r="C179" s="19"/>
      <c r="D179" s="7"/>
      <c r="E179" s="7"/>
      <c r="F179" s="7"/>
      <c r="G179" s="7"/>
      <c r="H179" s="6"/>
      <c r="I179" s="7"/>
      <c r="J179" s="7"/>
      <c r="K179" s="7"/>
      <c r="L179" s="7"/>
      <c r="M179" s="52"/>
      <c r="N179" s="7"/>
      <c r="O179" s="7"/>
      <c r="P179" s="47"/>
      <c r="Q179" s="47"/>
      <c r="R179" s="7"/>
      <c r="S179" s="51"/>
      <c r="T179" s="51"/>
      <c r="U179" s="7"/>
      <c r="V179" s="57"/>
      <c r="W179" s="57"/>
      <c r="X179" s="57"/>
    </row>
    <row r="180" spans="1:24" ht="12.5" x14ac:dyDescent="0.25">
      <c r="A180" s="34"/>
      <c r="B180" s="7"/>
      <c r="C180" s="19"/>
      <c r="D180" s="7"/>
      <c r="E180" s="7"/>
      <c r="F180" s="7"/>
      <c r="G180" s="7"/>
      <c r="H180" s="6"/>
      <c r="I180" s="7"/>
      <c r="J180" s="7"/>
      <c r="K180" s="7"/>
      <c r="L180" s="7"/>
      <c r="M180" s="52"/>
      <c r="N180" s="7"/>
      <c r="O180" s="7"/>
      <c r="P180" s="47"/>
      <c r="Q180" s="47"/>
      <c r="R180" s="7"/>
      <c r="S180" s="51"/>
      <c r="T180" s="51"/>
      <c r="U180" s="7"/>
      <c r="V180" s="57"/>
      <c r="W180" s="57"/>
      <c r="X180" s="57"/>
    </row>
    <row r="181" spans="1:24" ht="12.5" x14ac:dyDescent="0.25">
      <c r="A181" s="34"/>
      <c r="B181" s="7"/>
      <c r="C181" s="19"/>
      <c r="D181" s="7"/>
      <c r="E181" s="7"/>
      <c r="F181" s="7"/>
      <c r="G181" s="7"/>
      <c r="H181" s="6"/>
      <c r="I181" s="7"/>
      <c r="J181" s="7"/>
      <c r="K181" s="7"/>
      <c r="L181" s="7"/>
      <c r="M181" s="52"/>
      <c r="N181" s="7"/>
      <c r="O181" s="7"/>
      <c r="P181" s="47"/>
      <c r="Q181" s="47"/>
      <c r="R181" s="7"/>
      <c r="S181" s="51"/>
      <c r="T181" s="51"/>
      <c r="U181" s="7"/>
      <c r="V181" s="57"/>
      <c r="W181" s="57"/>
      <c r="X181" s="57"/>
    </row>
    <row r="182" spans="1:24" ht="12.5" x14ac:dyDescent="0.25">
      <c r="A182" s="34"/>
      <c r="B182" s="7"/>
      <c r="C182" s="19"/>
      <c r="D182" s="7"/>
      <c r="E182" s="7"/>
      <c r="F182" s="7"/>
      <c r="G182" s="7"/>
      <c r="H182" s="6"/>
      <c r="I182" s="7"/>
      <c r="J182" s="7"/>
      <c r="K182" s="7"/>
      <c r="L182" s="7"/>
      <c r="M182" s="52"/>
      <c r="N182" s="7"/>
      <c r="O182" s="7"/>
      <c r="P182" s="47"/>
      <c r="Q182" s="47"/>
      <c r="R182" s="7"/>
      <c r="S182" s="51"/>
      <c r="T182" s="51"/>
      <c r="U182" s="7"/>
      <c r="V182" s="57"/>
      <c r="W182" s="57"/>
      <c r="X182" s="57"/>
    </row>
    <row r="183" spans="1:24" ht="12.5" x14ac:dyDescent="0.25">
      <c r="A183" s="34"/>
      <c r="B183" s="7"/>
      <c r="C183" s="19"/>
      <c r="D183" s="7"/>
      <c r="E183" s="7"/>
      <c r="F183" s="7"/>
      <c r="G183" s="7"/>
      <c r="H183" s="6"/>
      <c r="I183" s="7"/>
      <c r="J183" s="7"/>
      <c r="K183" s="7"/>
      <c r="L183" s="7"/>
      <c r="M183" s="52"/>
      <c r="N183" s="7"/>
      <c r="O183" s="7"/>
      <c r="P183" s="47"/>
      <c r="Q183" s="47"/>
      <c r="R183" s="7"/>
      <c r="S183" s="51"/>
      <c r="T183" s="51"/>
      <c r="U183" s="7"/>
      <c r="V183" s="57"/>
      <c r="W183" s="57"/>
      <c r="X183" s="57"/>
    </row>
    <row r="184" spans="1:24" ht="12.5" x14ac:dyDescent="0.25">
      <c r="A184" s="34"/>
      <c r="B184" s="7"/>
      <c r="C184" s="19"/>
      <c r="D184" s="7"/>
      <c r="E184" s="7"/>
      <c r="F184" s="7"/>
      <c r="G184" s="7"/>
      <c r="H184" s="6"/>
      <c r="I184" s="7"/>
      <c r="J184" s="7"/>
      <c r="K184" s="7"/>
      <c r="L184" s="7"/>
      <c r="M184" s="52"/>
      <c r="N184" s="7"/>
      <c r="O184" s="7"/>
      <c r="P184" s="47"/>
      <c r="Q184" s="47"/>
      <c r="R184" s="7"/>
      <c r="S184" s="51"/>
      <c r="T184" s="51"/>
      <c r="U184" s="7"/>
      <c r="V184" s="57"/>
      <c r="W184" s="57"/>
      <c r="X184" s="57"/>
    </row>
    <row r="185" spans="1:24" ht="12.5" x14ac:dyDescent="0.25">
      <c r="A185" s="34"/>
      <c r="B185" s="7"/>
      <c r="C185" s="19"/>
      <c r="D185" s="7"/>
      <c r="E185" s="7"/>
      <c r="F185" s="7"/>
      <c r="G185" s="7"/>
      <c r="H185" s="6"/>
      <c r="I185" s="7"/>
      <c r="J185" s="7"/>
      <c r="K185" s="7"/>
      <c r="L185" s="7"/>
      <c r="M185" s="52"/>
      <c r="N185" s="7"/>
      <c r="O185" s="7"/>
      <c r="P185" s="47"/>
      <c r="Q185" s="47"/>
      <c r="R185" s="7"/>
      <c r="S185" s="51"/>
      <c r="T185" s="51"/>
      <c r="U185" s="7"/>
      <c r="V185" s="57"/>
      <c r="W185" s="57"/>
      <c r="X185" s="57"/>
    </row>
    <row r="186" spans="1:24" ht="12.5" x14ac:dyDescent="0.25">
      <c r="A186" s="34"/>
      <c r="B186" s="7"/>
      <c r="C186" s="19"/>
      <c r="D186" s="7"/>
      <c r="E186" s="7"/>
      <c r="F186" s="7"/>
      <c r="G186" s="7"/>
      <c r="H186" s="6"/>
      <c r="I186" s="7"/>
      <c r="J186" s="7"/>
      <c r="K186" s="7"/>
      <c r="L186" s="7"/>
      <c r="M186" s="52"/>
      <c r="N186" s="7"/>
      <c r="O186" s="7"/>
      <c r="P186" s="47"/>
      <c r="Q186" s="47"/>
      <c r="R186" s="7"/>
      <c r="S186" s="51"/>
      <c r="T186" s="51"/>
      <c r="U186" s="7"/>
      <c r="V186" s="57"/>
      <c r="W186" s="57"/>
      <c r="X186" s="57"/>
    </row>
    <row r="187" spans="1:24" ht="12.5" x14ac:dyDescent="0.25">
      <c r="A187" s="34"/>
      <c r="B187" s="7"/>
      <c r="C187" s="19"/>
      <c r="D187" s="7"/>
      <c r="E187" s="7"/>
      <c r="F187" s="7"/>
      <c r="G187" s="7"/>
      <c r="H187" s="6"/>
      <c r="I187" s="7"/>
      <c r="J187" s="7"/>
      <c r="K187" s="7"/>
      <c r="L187" s="7"/>
      <c r="M187" s="52"/>
      <c r="N187" s="7"/>
      <c r="O187" s="7"/>
      <c r="P187" s="47"/>
      <c r="Q187" s="47"/>
      <c r="R187" s="7"/>
      <c r="S187" s="51"/>
      <c r="T187" s="51"/>
      <c r="U187" s="7"/>
      <c r="V187" s="57"/>
      <c r="W187" s="57"/>
      <c r="X187" s="57"/>
    </row>
    <row r="188" spans="1:24" ht="12.5" x14ac:dyDescent="0.25">
      <c r="A188" s="34"/>
      <c r="B188" s="7"/>
      <c r="C188" s="19"/>
      <c r="D188" s="7"/>
      <c r="E188" s="7"/>
      <c r="F188" s="7"/>
      <c r="G188" s="7"/>
      <c r="H188" s="6"/>
      <c r="I188" s="7"/>
      <c r="J188" s="7"/>
      <c r="K188" s="7"/>
      <c r="L188" s="7"/>
      <c r="M188" s="52"/>
      <c r="N188" s="7"/>
      <c r="O188" s="7"/>
      <c r="P188" s="47"/>
      <c r="Q188" s="47"/>
      <c r="R188" s="7"/>
      <c r="S188" s="51"/>
      <c r="T188" s="51"/>
      <c r="U188" s="7"/>
      <c r="V188" s="57"/>
      <c r="W188" s="57"/>
      <c r="X188" s="57"/>
    </row>
    <row r="189" spans="1:24" ht="12.5" x14ac:dyDescent="0.25">
      <c r="A189" s="34"/>
      <c r="B189" s="7"/>
      <c r="C189" s="19"/>
      <c r="D189" s="7"/>
      <c r="E189" s="7"/>
      <c r="F189" s="7"/>
      <c r="G189" s="7"/>
      <c r="H189" s="6"/>
      <c r="I189" s="7"/>
      <c r="J189" s="7"/>
      <c r="K189" s="7"/>
      <c r="L189" s="7"/>
      <c r="M189" s="52"/>
      <c r="N189" s="7"/>
      <c r="O189" s="7"/>
      <c r="P189" s="47"/>
      <c r="Q189" s="47"/>
      <c r="R189" s="7"/>
      <c r="S189" s="51"/>
      <c r="T189" s="51"/>
      <c r="U189" s="7"/>
      <c r="V189" s="57"/>
      <c r="W189" s="57"/>
      <c r="X189" s="57"/>
    </row>
    <row r="190" spans="1:24" ht="12.5" x14ac:dyDescent="0.25">
      <c r="A190" s="34"/>
      <c r="B190" s="7"/>
      <c r="C190" s="19"/>
      <c r="D190" s="7"/>
      <c r="E190" s="7"/>
      <c r="F190" s="7"/>
      <c r="G190" s="7"/>
      <c r="H190" s="6"/>
      <c r="I190" s="7"/>
      <c r="J190" s="7"/>
      <c r="K190" s="7"/>
      <c r="L190" s="7"/>
      <c r="M190" s="52"/>
      <c r="N190" s="7"/>
      <c r="O190" s="7"/>
      <c r="P190" s="47"/>
      <c r="Q190" s="47"/>
      <c r="R190" s="7"/>
      <c r="S190" s="51"/>
      <c r="T190" s="51"/>
      <c r="U190" s="7"/>
      <c r="V190" s="57"/>
      <c r="W190" s="57"/>
      <c r="X190" s="57"/>
    </row>
    <row r="191" spans="1:24" ht="12.5" x14ac:dyDescent="0.25">
      <c r="A191" s="34"/>
      <c r="B191" s="7"/>
      <c r="C191" s="19"/>
      <c r="D191" s="7"/>
      <c r="E191" s="7"/>
      <c r="F191" s="7"/>
      <c r="G191" s="7"/>
      <c r="H191" s="6"/>
      <c r="I191" s="7"/>
      <c r="J191" s="7"/>
      <c r="K191" s="7"/>
      <c r="L191" s="7"/>
      <c r="M191" s="52"/>
      <c r="N191" s="7"/>
      <c r="O191" s="7"/>
      <c r="P191" s="47"/>
      <c r="Q191" s="47"/>
      <c r="R191" s="7"/>
      <c r="S191" s="51"/>
      <c r="T191" s="51"/>
      <c r="U191" s="7"/>
      <c r="V191" s="57"/>
      <c r="W191" s="57"/>
      <c r="X191" s="57"/>
    </row>
    <row r="192" spans="1:24" ht="12.5" x14ac:dyDescent="0.25">
      <c r="A192" s="34"/>
      <c r="B192" s="7"/>
      <c r="C192" s="19"/>
      <c r="D192" s="7"/>
      <c r="E192" s="7"/>
      <c r="F192" s="7"/>
      <c r="G192" s="7"/>
      <c r="H192" s="6"/>
      <c r="I192" s="7"/>
      <c r="J192" s="7"/>
      <c r="K192" s="7"/>
      <c r="L192" s="7"/>
      <c r="M192" s="52"/>
      <c r="N192" s="7"/>
      <c r="O192" s="7"/>
      <c r="P192" s="47"/>
      <c r="Q192" s="47"/>
      <c r="R192" s="7"/>
      <c r="S192" s="51"/>
      <c r="T192" s="51"/>
      <c r="U192" s="7"/>
      <c r="V192" s="57"/>
      <c r="W192" s="57"/>
      <c r="X192" s="57"/>
    </row>
    <row r="193" spans="1:24" ht="12.5" x14ac:dyDescent="0.25">
      <c r="A193" s="34"/>
      <c r="B193" s="7"/>
      <c r="C193" s="19"/>
      <c r="D193" s="7"/>
      <c r="E193" s="7"/>
      <c r="F193" s="7"/>
      <c r="G193" s="7"/>
      <c r="H193" s="6"/>
      <c r="I193" s="7"/>
      <c r="J193" s="7"/>
      <c r="K193" s="7"/>
      <c r="L193" s="7"/>
      <c r="M193" s="52"/>
      <c r="N193" s="7"/>
      <c r="O193" s="7"/>
      <c r="P193" s="47"/>
      <c r="Q193" s="47"/>
      <c r="R193" s="7"/>
      <c r="S193" s="51"/>
      <c r="T193" s="51"/>
      <c r="U193" s="7"/>
      <c r="V193" s="57"/>
      <c r="W193" s="57"/>
      <c r="X193" s="57"/>
    </row>
    <row r="194" spans="1:24" ht="12.5" x14ac:dyDescent="0.25">
      <c r="A194" s="34"/>
      <c r="B194" s="7"/>
      <c r="C194" s="19"/>
      <c r="D194" s="7"/>
      <c r="E194" s="7"/>
      <c r="F194" s="7"/>
      <c r="G194" s="7"/>
      <c r="H194" s="6"/>
      <c r="I194" s="7"/>
      <c r="J194" s="7"/>
      <c r="K194" s="7"/>
      <c r="L194" s="7"/>
      <c r="M194" s="52"/>
      <c r="N194" s="7"/>
      <c r="O194" s="7"/>
      <c r="P194" s="47"/>
      <c r="Q194" s="47"/>
      <c r="R194" s="7"/>
      <c r="S194" s="51"/>
      <c r="T194" s="51"/>
      <c r="U194" s="7"/>
      <c r="V194" s="57"/>
      <c r="W194" s="57"/>
      <c r="X194" s="57"/>
    </row>
    <row r="195" spans="1:24" ht="12.5" x14ac:dyDescent="0.25">
      <c r="A195" s="34"/>
      <c r="B195" s="7"/>
      <c r="C195" s="19"/>
      <c r="D195" s="7"/>
      <c r="E195" s="7"/>
      <c r="F195" s="7"/>
      <c r="G195" s="7"/>
      <c r="H195" s="6"/>
      <c r="I195" s="7"/>
      <c r="J195" s="7"/>
      <c r="K195" s="7"/>
      <c r="L195" s="7"/>
      <c r="M195" s="52"/>
      <c r="N195" s="7"/>
      <c r="O195" s="7"/>
      <c r="P195" s="47"/>
      <c r="Q195" s="47"/>
      <c r="R195" s="7"/>
      <c r="S195" s="51"/>
      <c r="T195" s="51"/>
      <c r="U195" s="7"/>
      <c r="V195" s="57"/>
      <c r="W195" s="57"/>
      <c r="X195" s="57"/>
    </row>
    <row r="196" spans="1:24" ht="12.5" x14ac:dyDescent="0.25">
      <c r="A196" s="34"/>
      <c r="B196" s="7"/>
      <c r="C196" s="19"/>
      <c r="D196" s="7"/>
      <c r="E196" s="7"/>
      <c r="F196" s="7"/>
      <c r="G196" s="7"/>
      <c r="H196" s="6"/>
      <c r="I196" s="7"/>
      <c r="J196" s="7"/>
      <c r="K196" s="7"/>
      <c r="L196" s="7"/>
      <c r="M196" s="52"/>
      <c r="N196" s="7"/>
      <c r="O196" s="7"/>
      <c r="P196" s="47"/>
      <c r="Q196" s="47"/>
      <c r="R196" s="7"/>
      <c r="S196" s="51"/>
      <c r="T196" s="51"/>
      <c r="U196" s="7"/>
      <c r="V196" s="57"/>
      <c r="W196" s="57"/>
      <c r="X196" s="57"/>
    </row>
    <row r="197" spans="1:24" ht="12.5" x14ac:dyDescent="0.25">
      <c r="A197" s="34"/>
      <c r="B197" s="7"/>
      <c r="C197" s="19"/>
      <c r="D197" s="7"/>
      <c r="E197" s="7"/>
      <c r="F197" s="7"/>
      <c r="G197" s="7"/>
      <c r="H197" s="6"/>
      <c r="I197" s="7"/>
      <c r="J197" s="7"/>
      <c r="K197" s="7"/>
      <c r="L197" s="7"/>
      <c r="M197" s="52"/>
      <c r="N197" s="7"/>
      <c r="O197" s="7"/>
      <c r="P197" s="47"/>
      <c r="Q197" s="47"/>
      <c r="R197" s="7"/>
      <c r="S197" s="51"/>
      <c r="T197" s="51"/>
      <c r="U197" s="7"/>
      <c r="V197" s="57"/>
      <c r="W197" s="57"/>
      <c r="X197" s="57"/>
    </row>
    <row r="198" spans="1:24" ht="12.5" x14ac:dyDescent="0.25">
      <c r="A198" s="34"/>
      <c r="B198" s="7"/>
      <c r="C198" s="19"/>
      <c r="D198" s="7"/>
      <c r="E198" s="7"/>
      <c r="F198" s="7"/>
      <c r="G198" s="7"/>
      <c r="H198" s="6"/>
      <c r="I198" s="7"/>
      <c r="J198" s="7"/>
      <c r="K198" s="7"/>
      <c r="L198" s="7"/>
      <c r="M198" s="52"/>
      <c r="N198" s="7"/>
      <c r="O198" s="7"/>
      <c r="P198" s="47"/>
      <c r="Q198" s="47"/>
      <c r="R198" s="7"/>
      <c r="S198" s="51"/>
      <c r="T198" s="51"/>
      <c r="U198" s="7"/>
      <c r="V198" s="57"/>
      <c r="W198" s="57"/>
      <c r="X198" s="57"/>
    </row>
    <row r="199" spans="1:24" ht="12.5" x14ac:dyDescent="0.25">
      <c r="A199" s="34"/>
      <c r="B199" s="7"/>
      <c r="C199" s="19"/>
      <c r="D199" s="7"/>
      <c r="E199" s="7"/>
      <c r="F199" s="7"/>
      <c r="G199" s="7"/>
      <c r="H199" s="6"/>
      <c r="I199" s="7"/>
      <c r="J199" s="7"/>
      <c r="K199" s="7"/>
      <c r="L199" s="7"/>
      <c r="M199" s="52"/>
      <c r="N199" s="7"/>
      <c r="O199" s="7"/>
      <c r="P199" s="47"/>
      <c r="Q199" s="47"/>
      <c r="R199" s="7"/>
      <c r="S199" s="51"/>
      <c r="T199" s="51"/>
      <c r="U199" s="7"/>
      <c r="V199" s="57"/>
      <c r="W199" s="57"/>
      <c r="X199" s="57"/>
    </row>
    <row r="200" spans="1:24" ht="12.5" x14ac:dyDescent="0.25">
      <c r="A200" s="34"/>
      <c r="B200" s="7"/>
      <c r="C200" s="19"/>
      <c r="D200" s="7"/>
      <c r="E200" s="7"/>
      <c r="F200" s="7"/>
      <c r="G200" s="7"/>
      <c r="H200" s="6"/>
      <c r="I200" s="7"/>
      <c r="J200" s="7"/>
      <c r="K200" s="7"/>
      <c r="L200" s="7"/>
      <c r="M200" s="52"/>
      <c r="N200" s="7"/>
      <c r="O200" s="7"/>
      <c r="P200" s="47"/>
      <c r="Q200" s="47"/>
      <c r="R200" s="7"/>
      <c r="S200" s="51"/>
      <c r="T200" s="51"/>
      <c r="U200" s="7"/>
      <c r="V200" s="57"/>
      <c r="W200" s="57"/>
      <c r="X200" s="57"/>
    </row>
    <row r="201" spans="1:24" ht="12.5" x14ac:dyDescent="0.25">
      <c r="A201" s="34"/>
      <c r="B201" s="7"/>
      <c r="C201" s="19"/>
      <c r="D201" s="7"/>
      <c r="E201" s="7"/>
      <c r="F201" s="7"/>
      <c r="G201" s="7"/>
      <c r="H201" s="6"/>
      <c r="I201" s="7"/>
      <c r="J201" s="7"/>
      <c r="K201" s="7"/>
      <c r="L201" s="7"/>
      <c r="M201" s="52"/>
      <c r="N201" s="7"/>
      <c r="O201" s="7"/>
      <c r="P201" s="47"/>
      <c r="Q201" s="47"/>
      <c r="R201" s="7"/>
      <c r="S201" s="51"/>
      <c r="T201" s="51"/>
      <c r="U201" s="7"/>
      <c r="V201" s="57"/>
      <c r="W201" s="57"/>
      <c r="X201" s="57"/>
    </row>
    <row r="202" spans="1:24" ht="12.5" x14ac:dyDescent="0.25">
      <c r="A202" s="34"/>
      <c r="B202" s="7"/>
      <c r="C202" s="19"/>
      <c r="D202" s="7"/>
      <c r="E202" s="7"/>
      <c r="F202" s="7"/>
      <c r="G202" s="7"/>
      <c r="H202" s="6"/>
      <c r="I202" s="7"/>
      <c r="J202" s="7"/>
      <c r="K202" s="7"/>
      <c r="L202" s="7"/>
      <c r="M202" s="52"/>
      <c r="N202" s="7"/>
      <c r="O202" s="7"/>
      <c r="P202" s="47"/>
      <c r="Q202" s="47"/>
      <c r="R202" s="7"/>
      <c r="S202" s="51"/>
      <c r="T202" s="51"/>
      <c r="U202" s="7"/>
      <c r="V202" s="57"/>
      <c r="W202" s="57"/>
      <c r="X202" s="57"/>
    </row>
    <row r="203" spans="1:24" ht="12.5" x14ac:dyDescent="0.25">
      <c r="A203" s="34"/>
      <c r="B203" s="7"/>
      <c r="C203" s="19"/>
      <c r="D203" s="7"/>
      <c r="E203" s="7"/>
      <c r="F203" s="7"/>
      <c r="G203" s="7"/>
      <c r="H203" s="6"/>
      <c r="I203" s="7"/>
      <c r="J203" s="7"/>
      <c r="K203" s="7"/>
      <c r="L203" s="7"/>
      <c r="M203" s="52"/>
      <c r="N203" s="7"/>
      <c r="O203" s="7"/>
      <c r="P203" s="47"/>
      <c r="Q203" s="47"/>
      <c r="R203" s="7"/>
      <c r="S203" s="51"/>
      <c r="T203" s="51"/>
      <c r="U203" s="7"/>
      <c r="V203" s="57"/>
      <c r="W203" s="57"/>
      <c r="X203" s="57"/>
    </row>
    <row r="204" spans="1:24" ht="12.5" x14ac:dyDescent="0.25">
      <c r="A204" s="34"/>
      <c r="B204" s="7"/>
      <c r="C204" s="19"/>
      <c r="D204" s="7"/>
      <c r="E204" s="7"/>
      <c r="F204" s="7"/>
      <c r="G204" s="7"/>
      <c r="H204" s="6"/>
      <c r="I204" s="7"/>
      <c r="J204" s="7"/>
      <c r="K204" s="7"/>
      <c r="L204" s="7"/>
      <c r="M204" s="52"/>
      <c r="N204" s="7"/>
      <c r="O204" s="7"/>
      <c r="P204" s="47"/>
      <c r="Q204" s="47"/>
      <c r="R204" s="7"/>
      <c r="S204" s="51"/>
      <c r="T204" s="51"/>
      <c r="U204" s="7"/>
      <c r="V204" s="57"/>
      <c r="W204" s="57"/>
      <c r="X204" s="57"/>
    </row>
    <row r="205" spans="1:24" ht="12.5" x14ac:dyDescent="0.25">
      <c r="A205" s="34"/>
      <c r="B205" s="7"/>
      <c r="C205" s="19"/>
      <c r="D205" s="7"/>
      <c r="E205" s="7"/>
      <c r="F205" s="7"/>
      <c r="G205" s="7"/>
      <c r="H205" s="6"/>
      <c r="I205" s="7"/>
      <c r="J205" s="7"/>
      <c r="K205" s="7"/>
      <c r="L205" s="7"/>
      <c r="M205" s="52"/>
      <c r="N205" s="7"/>
      <c r="O205" s="7"/>
      <c r="P205" s="47"/>
      <c r="Q205" s="47"/>
      <c r="R205" s="7"/>
      <c r="S205" s="51"/>
      <c r="T205" s="51"/>
      <c r="U205" s="7"/>
      <c r="V205" s="57"/>
      <c r="W205" s="57"/>
      <c r="X205" s="57"/>
    </row>
    <row r="206" spans="1:24" ht="12.5" x14ac:dyDescent="0.25">
      <c r="A206" s="34"/>
      <c r="B206" s="7"/>
      <c r="C206" s="19"/>
      <c r="D206" s="7"/>
      <c r="E206" s="7"/>
      <c r="F206" s="7"/>
      <c r="G206" s="7"/>
      <c r="H206" s="6"/>
      <c r="I206" s="7"/>
      <c r="J206" s="7"/>
      <c r="K206" s="7"/>
      <c r="L206" s="7"/>
      <c r="M206" s="52"/>
      <c r="N206" s="7"/>
      <c r="O206" s="7"/>
      <c r="P206" s="47"/>
      <c r="Q206" s="47"/>
      <c r="R206" s="7"/>
      <c r="S206" s="51"/>
      <c r="T206" s="51"/>
      <c r="U206" s="7"/>
      <c r="V206" s="57"/>
      <c r="W206" s="57"/>
      <c r="X206" s="57"/>
    </row>
    <row r="207" spans="1:24" ht="12.5" x14ac:dyDescent="0.25">
      <c r="A207" s="34"/>
      <c r="B207" s="7"/>
      <c r="C207" s="19"/>
      <c r="D207" s="7"/>
      <c r="E207" s="7"/>
      <c r="F207" s="7"/>
      <c r="G207" s="7"/>
      <c r="H207" s="6"/>
      <c r="I207" s="7"/>
      <c r="J207" s="7"/>
      <c r="K207" s="7"/>
      <c r="L207" s="7"/>
      <c r="M207" s="52"/>
      <c r="N207" s="7"/>
      <c r="O207" s="7"/>
      <c r="P207" s="47"/>
      <c r="Q207" s="47"/>
      <c r="R207" s="7"/>
      <c r="S207" s="51"/>
      <c r="T207" s="51"/>
      <c r="U207" s="7"/>
      <c r="V207" s="57"/>
      <c r="W207" s="57"/>
      <c r="X207" s="57"/>
    </row>
    <row r="208" spans="1:24" ht="12.5" x14ac:dyDescent="0.25">
      <c r="A208" s="34"/>
      <c r="B208" s="7"/>
      <c r="C208" s="19"/>
      <c r="D208" s="7"/>
      <c r="E208" s="7"/>
      <c r="F208" s="7"/>
      <c r="G208" s="7"/>
      <c r="H208" s="6"/>
      <c r="I208" s="7"/>
      <c r="J208" s="7"/>
      <c r="K208" s="7"/>
      <c r="L208" s="7"/>
      <c r="M208" s="52"/>
      <c r="N208" s="7"/>
      <c r="O208" s="7"/>
      <c r="P208" s="47"/>
      <c r="Q208" s="47"/>
      <c r="R208" s="7"/>
      <c r="S208" s="51"/>
      <c r="T208" s="51"/>
      <c r="U208" s="7"/>
      <c r="V208" s="57"/>
      <c r="W208" s="57"/>
      <c r="X208" s="57"/>
    </row>
    <row r="209" spans="1:24" ht="12.5" x14ac:dyDescent="0.25">
      <c r="A209" s="34"/>
      <c r="B209" s="7"/>
      <c r="C209" s="19"/>
      <c r="D209" s="7"/>
      <c r="E209" s="7"/>
      <c r="F209" s="7"/>
      <c r="G209" s="7"/>
      <c r="H209" s="6"/>
      <c r="I209" s="7"/>
      <c r="J209" s="7"/>
      <c r="K209" s="7"/>
      <c r="L209" s="7"/>
      <c r="M209" s="52"/>
      <c r="N209" s="7"/>
      <c r="O209" s="7"/>
      <c r="P209" s="47"/>
      <c r="Q209" s="47"/>
      <c r="R209" s="7"/>
      <c r="S209" s="51"/>
      <c r="T209" s="51"/>
      <c r="U209" s="7"/>
      <c r="V209" s="57"/>
      <c r="W209" s="57"/>
      <c r="X209" s="57"/>
    </row>
    <row r="210" spans="1:24" ht="12.5" x14ac:dyDescent="0.25">
      <c r="A210" s="34"/>
      <c r="B210" s="7"/>
      <c r="C210" s="19"/>
      <c r="D210" s="7"/>
      <c r="E210" s="7"/>
      <c r="F210" s="7"/>
      <c r="G210" s="7"/>
      <c r="H210" s="6"/>
      <c r="I210" s="7"/>
      <c r="J210" s="7"/>
      <c r="K210" s="7"/>
      <c r="L210" s="7"/>
      <c r="M210" s="52"/>
      <c r="N210" s="7"/>
      <c r="O210" s="7"/>
      <c r="P210" s="47"/>
      <c r="Q210" s="47"/>
      <c r="R210" s="7"/>
      <c r="S210" s="51"/>
      <c r="T210" s="51"/>
      <c r="U210" s="7"/>
      <c r="V210" s="57"/>
      <c r="W210" s="57"/>
      <c r="X210" s="57"/>
    </row>
    <row r="211" spans="1:24" ht="12.5" x14ac:dyDescent="0.25">
      <c r="A211" s="34"/>
      <c r="B211" s="7"/>
      <c r="C211" s="19"/>
      <c r="D211" s="7"/>
      <c r="E211" s="7"/>
      <c r="F211" s="7"/>
      <c r="G211" s="7"/>
      <c r="H211" s="6"/>
      <c r="I211" s="7"/>
      <c r="J211" s="7"/>
      <c r="K211" s="7"/>
      <c r="L211" s="7"/>
      <c r="M211" s="52"/>
      <c r="N211" s="7"/>
      <c r="O211" s="7"/>
      <c r="P211" s="47"/>
      <c r="Q211" s="47"/>
      <c r="R211" s="7"/>
      <c r="S211" s="51"/>
      <c r="T211" s="51"/>
      <c r="U211" s="7"/>
      <c r="V211" s="57"/>
      <c r="W211" s="57"/>
      <c r="X211" s="57"/>
    </row>
    <row r="212" spans="1:24" ht="12.5" x14ac:dyDescent="0.25">
      <c r="A212" s="34"/>
      <c r="B212" s="7"/>
      <c r="C212" s="19"/>
      <c r="D212" s="7"/>
      <c r="E212" s="7"/>
      <c r="F212" s="7"/>
      <c r="G212" s="7"/>
      <c r="H212" s="6"/>
      <c r="I212" s="7"/>
      <c r="J212" s="7"/>
      <c r="K212" s="7"/>
      <c r="L212" s="7"/>
      <c r="M212" s="52"/>
      <c r="N212" s="7"/>
      <c r="O212" s="7"/>
      <c r="P212" s="47"/>
      <c r="Q212" s="47"/>
      <c r="R212" s="7"/>
      <c r="S212" s="51"/>
      <c r="T212" s="51"/>
      <c r="U212" s="7"/>
      <c r="V212" s="57"/>
      <c r="W212" s="57"/>
      <c r="X212" s="57"/>
    </row>
    <row r="213" spans="1:24" ht="12.5" x14ac:dyDescent="0.25">
      <c r="A213" s="34"/>
      <c r="B213" s="7"/>
      <c r="C213" s="19"/>
      <c r="D213" s="7"/>
      <c r="E213" s="7"/>
      <c r="F213" s="7"/>
      <c r="G213" s="7"/>
      <c r="H213" s="6"/>
      <c r="I213" s="7"/>
      <c r="J213" s="7"/>
      <c r="K213" s="7"/>
      <c r="L213" s="7"/>
      <c r="M213" s="52"/>
      <c r="N213" s="7"/>
      <c r="O213" s="7"/>
      <c r="P213" s="47"/>
      <c r="Q213" s="47"/>
      <c r="R213" s="7"/>
      <c r="S213" s="51"/>
      <c r="T213" s="51"/>
      <c r="U213" s="7"/>
      <c r="V213" s="57"/>
      <c r="W213" s="57"/>
      <c r="X213" s="57"/>
    </row>
    <row r="214" spans="1:24" ht="12.5" x14ac:dyDescent="0.25">
      <c r="A214" s="34"/>
      <c r="B214" s="7"/>
      <c r="C214" s="19"/>
      <c r="D214" s="7"/>
      <c r="E214" s="7"/>
      <c r="F214" s="7"/>
      <c r="G214" s="7"/>
      <c r="H214" s="6"/>
      <c r="I214" s="7"/>
      <c r="J214" s="7"/>
      <c r="K214" s="7"/>
      <c r="L214" s="7"/>
      <c r="M214" s="52"/>
      <c r="N214" s="7"/>
      <c r="O214" s="7"/>
      <c r="P214" s="47"/>
      <c r="Q214" s="47"/>
      <c r="R214" s="7"/>
      <c r="S214" s="51"/>
      <c r="T214" s="51"/>
      <c r="U214" s="7"/>
      <c r="V214" s="57"/>
      <c r="W214" s="57"/>
      <c r="X214" s="57"/>
    </row>
    <row r="215" spans="1:24" ht="12.5" x14ac:dyDescent="0.25">
      <c r="A215" s="34"/>
      <c r="B215" s="7"/>
      <c r="C215" s="19"/>
      <c r="D215" s="7"/>
      <c r="E215" s="7"/>
      <c r="F215" s="7"/>
      <c r="G215" s="7"/>
      <c r="H215" s="6"/>
      <c r="I215" s="7"/>
      <c r="J215" s="7"/>
      <c r="K215" s="7"/>
      <c r="L215" s="7"/>
      <c r="M215" s="52"/>
      <c r="N215" s="7"/>
      <c r="O215" s="7"/>
      <c r="P215" s="47"/>
      <c r="Q215" s="47"/>
      <c r="R215" s="7"/>
      <c r="S215" s="51"/>
      <c r="T215" s="51"/>
      <c r="U215" s="7"/>
      <c r="V215" s="57"/>
      <c r="W215" s="57"/>
      <c r="X215" s="57"/>
    </row>
    <row r="216" spans="1:24" ht="12.5" x14ac:dyDescent="0.25">
      <c r="A216" s="34"/>
      <c r="B216" s="7"/>
      <c r="C216" s="19"/>
      <c r="D216" s="7"/>
      <c r="E216" s="7"/>
      <c r="F216" s="7"/>
      <c r="G216" s="7"/>
      <c r="H216" s="6"/>
      <c r="I216" s="7"/>
      <c r="J216" s="7"/>
      <c r="K216" s="7"/>
      <c r="L216" s="7"/>
      <c r="M216" s="52"/>
      <c r="N216" s="7"/>
      <c r="O216" s="7"/>
      <c r="P216" s="47"/>
      <c r="Q216" s="47"/>
      <c r="R216" s="7"/>
      <c r="S216" s="51"/>
      <c r="T216" s="51"/>
      <c r="U216" s="7"/>
      <c r="V216" s="57"/>
      <c r="W216" s="57"/>
      <c r="X216" s="57"/>
    </row>
    <row r="217" spans="1:24" ht="12.5" x14ac:dyDescent="0.25">
      <c r="A217" s="34"/>
      <c r="B217" s="7"/>
      <c r="C217" s="19"/>
      <c r="D217" s="7"/>
      <c r="E217" s="7"/>
      <c r="F217" s="7"/>
      <c r="G217" s="7"/>
      <c r="H217" s="6"/>
      <c r="I217" s="7"/>
      <c r="J217" s="7"/>
      <c r="K217" s="7"/>
      <c r="L217" s="7"/>
      <c r="M217" s="52"/>
      <c r="N217" s="7"/>
      <c r="O217" s="7"/>
      <c r="P217" s="47"/>
      <c r="Q217" s="47"/>
      <c r="R217" s="7"/>
      <c r="S217" s="51"/>
      <c r="T217" s="51"/>
      <c r="U217" s="7"/>
      <c r="V217" s="57"/>
      <c r="W217" s="57"/>
      <c r="X217" s="57"/>
    </row>
    <row r="218" spans="1:24" ht="12.5" x14ac:dyDescent="0.25">
      <c r="A218" s="34"/>
      <c r="B218" s="7"/>
      <c r="C218" s="19"/>
      <c r="D218" s="7"/>
      <c r="E218" s="7"/>
      <c r="F218" s="7"/>
      <c r="G218" s="7"/>
      <c r="H218" s="6"/>
      <c r="I218" s="7"/>
      <c r="J218" s="7"/>
      <c r="K218" s="7"/>
      <c r="L218" s="7"/>
      <c r="M218" s="52"/>
      <c r="N218" s="7"/>
      <c r="O218" s="7"/>
      <c r="P218" s="47"/>
      <c r="Q218" s="47"/>
      <c r="R218" s="7"/>
      <c r="S218" s="51"/>
      <c r="T218" s="51"/>
      <c r="U218" s="7"/>
      <c r="V218" s="57"/>
      <c r="W218" s="57"/>
      <c r="X218" s="57"/>
    </row>
    <row r="219" spans="1:24" ht="12.5" x14ac:dyDescent="0.25">
      <c r="A219" s="34"/>
      <c r="B219" s="7"/>
      <c r="C219" s="19"/>
      <c r="D219" s="7"/>
      <c r="E219" s="7"/>
      <c r="F219" s="7"/>
      <c r="G219" s="7"/>
      <c r="H219" s="6"/>
      <c r="I219" s="7"/>
      <c r="J219" s="7"/>
      <c r="K219" s="7"/>
      <c r="L219" s="7"/>
      <c r="M219" s="52"/>
      <c r="N219" s="7"/>
      <c r="O219" s="7"/>
      <c r="P219" s="47"/>
      <c r="Q219" s="47"/>
      <c r="R219" s="7"/>
      <c r="S219" s="51"/>
      <c r="T219" s="51"/>
      <c r="U219" s="7"/>
      <c r="V219" s="57"/>
      <c r="W219" s="57"/>
      <c r="X219" s="57"/>
    </row>
    <row r="220" spans="1:24" ht="12.5" x14ac:dyDescent="0.25">
      <c r="A220" s="34"/>
      <c r="B220" s="7"/>
      <c r="C220" s="19"/>
      <c r="D220" s="7"/>
      <c r="E220" s="7"/>
      <c r="F220" s="7"/>
      <c r="G220" s="7"/>
      <c r="H220" s="6"/>
      <c r="I220" s="7"/>
      <c r="J220" s="7"/>
      <c r="K220" s="7"/>
      <c r="L220" s="7"/>
      <c r="M220" s="52"/>
      <c r="N220" s="7"/>
      <c r="O220" s="7"/>
      <c r="P220" s="47"/>
      <c r="Q220" s="47"/>
      <c r="R220" s="7"/>
      <c r="S220" s="51"/>
      <c r="T220" s="51"/>
      <c r="U220" s="7"/>
      <c r="V220" s="57"/>
      <c r="W220" s="57"/>
      <c r="X220" s="57"/>
    </row>
    <row r="221" spans="1:24" ht="12.5" x14ac:dyDescent="0.25">
      <c r="A221" s="34"/>
      <c r="B221" s="7"/>
      <c r="C221" s="19"/>
      <c r="D221" s="7"/>
      <c r="E221" s="7"/>
      <c r="F221" s="7"/>
      <c r="G221" s="7"/>
      <c r="H221" s="6"/>
      <c r="I221" s="7"/>
      <c r="J221" s="7"/>
      <c r="K221" s="7"/>
      <c r="L221" s="7"/>
      <c r="M221" s="52"/>
      <c r="N221" s="7"/>
      <c r="O221" s="7"/>
      <c r="P221" s="47"/>
      <c r="Q221" s="47"/>
      <c r="R221" s="7"/>
      <c r="S221" s="51"/>
      <c r="T221" s="51"/>
      <c r="U221" s="7"/>
      <c r="V221" s="57"/>
      <c r="W221" s="57"/>
      <c r="X221" s="57"/>
    </row>
    <row r="222" spans="1:24" ht="12.5" x14ac:dyDescent="0.25">
      <c r="A222" s="34"/>
      <c r="B222" s="7"/>
      <c r="C222" s="19"/>
      <c r="D222" s="7"/>
      <c r="E222" s="7"/>
      <c r="F222" s="7"/>
      <c r="G222" s="7"/>
      <c r="H222" s="6"/>
      <c r="I222" s="7"/>
      <c r="J222" s="7"/>
      <c r="K222" s="7"/>
      <c r="L222" s="7"/>
      <c r="M222" s="52"/>
      <c r="N222" s="7"/>
      <c r="O222" s="7"/>
      <c r="P222" s="47"/>
      <c r="Q222" s="47"/>
      <c r="R222" s="7"/>
      <c r="S222" s="51"/>
      <c r="T222" s="51"/>
      <c r="U222" s="7"/>
      <c r="V222" s="57"/>
      <c r="W222" s="57"/>
      <c r="X222" s="57"/>
    </row>
    <row r="223" spans="1:24" ht="12.5" x14ac:dyDescent="0.25">
      <c r="A223" s="34"/>
      <c r="B223" s="7"/>
      <c r="C223" s="19"/>
      <c r="D223" s="7"/>
      <c r="E223" s="7"/>
      <c r="F223" s="7"/>
      <c r="G223" s="7"/>
      <c r="H223" s="6"/>
      <c r="I223" s="7"/>
      <c r="J223" s="7"/>
      <c r="K223" s="7"/>
      <c r="L223" s="7"/>
      <c r="M223" s="52"/>
      <c r="N223" s="7"/>
      <c r="O223" s="7"/>
      <c r="P223" s="47"/>
      <c r="Q223" s="47"/>
      <c r="R223" s="7"/>
      <c r="S223" s="51"/>
      <c r="T223" s="51"/>
      <c r="U223" s="7"/>
      <c r="V223" s="57"/>
      <c r="W223" s="57"/>
      <c r="X223" s="57"/>
    </row>
    <row r="224" spans="1:24" ht="12.5" x14ac:dyDescent="0.25">
      <c r="A224" s="34"/>
      <c r="B224" s="7"/>
      <c r="C224" s="19"/>
      <c r="D224" s="7"/>
      <c r="E224" s="7"/>
      <c r="F224" s="7"/>
      <c r="G224" s="7"/>
      <c r="H224" s="6"/>
      <c r="I224" s="7"/>
      <c r="J224" s="7"/>
      <c r="K224" s="7"/>
      <c r="L224" s="7"/>
      <c r="M224" s="52"/>
      <c r="N224" s="7"/>
      <c r="O224" s="7"/>
      <c r="P224" s="47"/>
      <c r="Q224" s="47"/>
      <c r="R224" s="7"/>
      <c r="S224" s="51"/>
      <c r="T224" s="51"/>
      <c r="U224" s="7"/>
      <c r="V224" s="57"/>
      <c r="W224" s="57"/>
      <c r="X224" s="57"/>
    </row>
    <row r="225" spans="1:24" ht="12.5" x14ac:dyDescent="0.25">
      <c r="A225" s="34"/>
      <c r="B225" s="7"/>
      <c r="C225" s="19"/>
      <c r="D225" s="7"/>
      <c r="E225" s="7"/>
      <c r="F225" s="7"/>
      <c r="G225" s="7"/>
      <c r="H225" s="6"/>
      <c r="I225" s="7"/>
      <c r="J225" s="7"/>
      <c r="K225" s="7"/>
      <c r="L225" s="7"/>
      <c r="M225" s="52"/>
      <c r="N225" s="7"/>
      <c r="O225" s="7"/>
      <c r="P225" s="47"/>
      <c r="Q225" s="47"/>
      <c r="R225" s="7"/>
      <c r="S225" s="51"/>
      <c r="T225" s="51"/>
      <c r="U225" s="7"/>
      <c r="V225" s="57"/>
      <c r="W225" s="57"/>
      <c r="X225" s="57"/>
    </row>
    <row r="226" spans="1:24" ht="12.5" x14ac:dyDescent="0.25">
      <c r="A226" s="34"/>
      <c r="B226" s="7"/>
      <c r="C226" s="19"/>
      <c r="D226" s="7"/>
      <c r="E226" s="7"/>
      <c r="F226" s="7"/>
      <c r="G226" s="7"/>
      <c r="H226" s="6"/>
      <c r="I226" s="7"/>
      <c r="J226" s="7"/>
      <c r="K226" s="7"/>
      <c r="L226" s="7"/>
      <c r="M226" s="52"/>
      <c r="N226" s="7"/>
      <c r="O226" s="7"/>
      <c r="P226" s="47"/>
      <c r="Q226" s="47"/>
      <c r="R226" s="7"/>
      <c r="S226" s="51"/>
      <c r="T226" s="51"/>
      <c r="U226" s="7"/>
      <c r="V226" s="57"/>
      <c r="W226" s="57"/>
      <c r="X226" s="57"/>
    </row>
    <row r="227" spans="1:24" ht="12.5" x14ac:dyDescent="0.25">
      <c r="A227" s="34"/>
      <c r="B227" s="7"/>
      <c r="C227" s="19"/>
      <c r="D227" s="7"/>
      <c r="E227" s="7"/>
      <c r="F227" s="7"/>
      <c r="G227" s="7"/>
      <c r="H227" s="6"/>
      <c r="I227" s="7"/>
      <c r="J227" s="7"/>
      <c r="K227" s="7"/>
      <c r="L227" s="7"/>
      <c r="M227" s="52"/>
      <c r="N227" s="7"/>
      <c r="O227" s="7"/>
      <c r="P227" s="47"/>
      <c r="Q227" s="47"/>
      <c r="R227" s="7"/>
      <c r="S227" s="51"/>
      <c r="T227" s="51"/>
      <c r="U227" s="7"/>
      <c r="V227" s="57"/>
      <c r="W227" s="57"/>
      <c r="X227" s="57"/>
    </row>
    <row r="228" spans="1:24" ht="12.5" x14ac:dyDescent="0.25">
      <c r="A228" s="34"/>
      <c r="B228" s="7"/>
      <c r="C228" s="19"/>
      <c r="D228" s="7"/>
      <c r="E228" s="7"/>
      <c r="F228" s="7"/>
      <c r="G228" s="7"/>
      <c r="H228" s="6"/>
      <c r="I228" s="7"/>
      <c r="J228" s="7"/>
      <c r="K228" s="7"/>
      <c r="L228" s="7"/>
      <c r="M228" s="52"/>
      <c r="N228" s="7"/>
      <c r="O228" s="7"/>
      <c r="P228" s="47"/>
      <c r="Q228" s="47"/>
      <c r="R228" s="7"/>
      <c r="S228" s="51"/>
      <c r="T228" s="51"/>
      <c r="U228" s="7"/>
      <c r="V228" s="57"/>
      <c r="W228" s="57"/>
      <c r="X228" s="57"/>
    </row>
    <row r="229" spans="1:24" ht="12.5" x14ac:dyDescent="0.25">
      <c r="A229" s="34"/>
      <c r="B229" s="7"/>
      <c r="C229" s="19"/>
      <c r="D229" s="7"/>
      <c r="E229" s="7"/>
      <c r="F229" s="7"/>
      <c r="G229" s="7"/>
      <c r="H229" s="6"/>
      <c r="I229" s="7"/>
      <c r="J229" s="7"/>
      <c r="K229" s="7"/>
      <c r="L229" s="7"/>
      <c r="M229" s="52"/>
      <c r="N229" s="7"/>
      <c r="O229" s="7"/>
      <c r="P229" s="47"/>
      <c r="Q229" s="47"/>
      <c r="R229" s="7"/>
      <c r="S229" s="51"/>
      <c r="T229" s="51"/>
      <c r="U229" s="7"/>
      <c r="V229" s="57"/>
      <c r="W229" s="57"/>
      <c r="X229" s="57"/>
    </row>
    <row r="230" spans="1:24" ht="12.5" x14ac:dyDescent="0.25">
      <c r="A230" s="34"/>
      <c r="B230" s="7"/>
      <c r="C230" s="19"/>
      <c r="D230" s="7"/>
      <c r="E230" s="7"/>
      <c r="F230" s="7"/>
      <c r="G230" s="7"/>
      <c r="H230" s="6"/>
      <c r="I230" s="7"/>
      <c r="J230" s="7"/>
      <c r="K230" s="7"/>
      <c r="L230" s="7"/>
      <c r="M230" s="52"/>
      <c r="N230" s="7"/>
      <c r="O230" s="7"/>
      <c r="P230" s="47"/>
      <c r="Q230" s="47"/>
      <c r="R230" s="7"/>
      <c r="S230" s="51"/>
      <c r="T230" s="51"/>
      <c r="U230" s="7"/>
      <c r="V230" s="57"/>
      <c r="W230" s="57"/>
      <c r="X230" s="57"/>
    </row>
    <row r="231" spans="1:24" ht="12.5" x14ac:dyDescent="0.25">
      <c r="A231" s="34"/>
      <c r="B231" s="7"/>
      <c r="C231" s="19"/>
      <c r="D231" s="7"/>
      <c r="E231" s="7"/>
      <c r="F231" s="7"/>
      <c r="G231" s="7"/>
      <c r="H231" s="6"/>
      <c r="I231" s="7"/>
      <c r="J231" s="7"/>
      <c r="K231" s="7"/>
      <c r="L231" s="7"/>
      <c r="M231" s="52"/>
      <c r="N231" s="7"/>
      <c r="O231" s="7"/>
      <c r="P231" s="47"/>
      <c r="Q231" s="47"/>
      <c r="R231" s="7"/>
      <c r="S231" s="51"/>
      <c r="T231" s="51"/>
      <c r="U231" s="7"/>
      <c r="V231" s="57"/>
      <c r="W231" s="57"/>
      <c r="X231" s="57"/>
    </row>
    <row r="232" spans="1:24" ht="12.5" x14ac:dyDescent="0.25">
      <c r="A232" s="34"/>
      <c r="B232" s="7"/>
      <c r="C232" s="19"/>
      <c r="D232" s="7"/>
      <c r="E232" s="7"/>
      <c r="F232" s="7"/>
      <c r="G232" s="7"/>
      <c r="H232" s="6"/>
      <c r="I232" s="7"/>
      <c r="J232" s="7"/>
      <c r="K232" s="7"/>
      <c r="L232" s="7"/>
      <c r="M232" s="52"/>
      <c r="N232" s="7"/>
      <c r="O232" s="7"/>
      <c r="P232" s="47"/>
      <c r="Q232" s="47"/>
      <c r="R232" s="7"/>
      <c r="S232" s="51"/>
      <c r="T232" s="51"/>
      <c r="U232" s="7"/>
      <c r="V232" s="57"/>
      <c r="W232" s="57"/>
      <c r="X232" s="57"/>
    </row>
    <row r="233" spans="1:24" ht="12.5" x14ac:dyDescent="0.25">
      <c r="A233" s="34"/>
      <c r="B233" s="7"/>
      <c r="C233" s="19"/>
      <c r="D233" s="7"/>
      <c r="E233" s="7"/>
      <c r="F233" s="7"/>
      <c r="G233" s="7"/>
      <c r="H233" s="6"/>
      <c r="I233" s="7"/>
      <c r="J233" s="7"/>
      <c r="K233" s="7"/>
      <c r="L233" s="7"/>
      <c r="M233" s="52"/>
      <c r="N233" s="7"/>
      <c r="O233" s="7"/>
      <c r="P233" s="47"/>
      <c r="Q233" s="47"/>
      <c r="R233" s="7"/>
      <c r="S233" s="51"/>
      <c r="T233" s="51"/>
      <c r="U233" s="7"/>
      <c r="V233" s="57"/>
      <c r="W233" s="57"/>
      <c r="X233" s="57"/>
    </row>
    <row r="234" spans="1:24" ht="12.5" x14ac:dyDescent="0.25">
      <c r="A234" s="34"/>
      <c r="B234" s="7"/>
      <c r="C234" s="19"/>
      <c r="D234" s="7"/>
      <c r="E234" s="7"/>
      <c r="F234" s="7"/>
      <c r="G234" s="7"/>
      <c r="H234" s="6"/>
      <c r="I234" s="7"/>
      <c r="J234" s="7"/>
      <c r="K234" s="7"/>
      <c r="L234" s="7"/>
      <c r="M234" s="52"/>
      <c r="N234" s="7"/>
      <c r="O234" s="7"/>
      <c r="P234" s="47"/>
      <c r="Q234" s="47"/>
      <c r="R234" s="7"/>
      <c r="S234" s="51"/>
      <c r="T234" s="51"/>
      <c r="U234" s="7"/>
      <c r="V234" s="57"/>
      <c r="W234" s="57"/>
      <c r="X234" s="57"/>
    </row>
    <row r="235" spans="1:24" ht="12.5" x14ac:dyDescent="0.25">
      <c r="A235" s="34"/>
      <c r="B235" s="7"/>
      <c r="C235" s="19"/>
      <c r="D235" s="7"/>
      <c r="E235" s="7"/>
      <c r="F235" s="7"/>
      <c r="G235" s="7"/>
      <c r="H235" s="6"/>
      <c r="I235" s="7"/>
      <c r="J235" s="7"/>
      <c r="K235" s="7"/>
      <c r="L235" s="7"/>
      <c r="M235" s="52"/>
      <c r="N235" s="7"/>
      <c r="O235" s="7"/>
      <c r="P235" s="47"/>
      <c r="Q235" s="47"/>
      <c r="R235" s="7"/>
      <c r="S235" s="51"/>
      <c r="T235" s="51"/>
      <c r="U235" s="7"/>
      <c r="V235" s="57"/>
      <c r="W235" s="57"/>
      <c r="X235" s="57"/>
    </row>
    <row r="236" spans="1:24" ht="12.5" x14ac:dyDescent="0.25">
      <c r="A236" s="34"/>
      <c r="B236" s="7"/>
      <c r="C236" s="19"/>
      <c r="D236" s="7"/>
      <c r="E236" s="7"/>
      <c r="F236" s="7"/>
      <c r="G236" s="7"/>
      <c r="H236" s="6"/>
      <c r="I236" s="7"/>
      <c r="J236" s="7"/>
      <c r="K236" s="7"/>
      <c r="L236" s="7"/>
      <c r="M236" s="52"/>
      <c r="N236" s="7"/>
      <c r="O236" s="7"/>
      <c r="P236" s="47"/>
      <c r="Q236" s="47"/>
      <c r="R236" s="7"/>
      <c r="S236" s="51"/>
      <c r="T236" s="51"/>
      <c r="U236" s="7"/>
      <c r="V236" s="57"/>
      <c r="W236" s="57"/>
      <c r="X236" s="57"/>
    </row>
    <row r="237" spans="1:24" ht="12.5" x14ac:dyDescent="0.25">
      <c r="A237" s="34"/>
      <c r="B237" s="7"/>
      <c r="C237" s="19"/>
      <c r="D237" s="7"/>
      <c r="E237" s="7"/>
      <c r="F237" s="7"/>
      <c r="G237" s="7"/>
      <c r="H237" s="6"/>
      <c r="I237" s="7"/>
      <c r="J237" s="7"/>
      <c r="K237" s="7"/>
      <c r="L237" s="7"/>
      <c r="M237" s="52"/>
      <c r="N237" s="7"/>
      <c r="O237" s="7"/>
      <c r="P237" s="47"/>
      <c r="Q237" s="47"/>
      <c r="R237" s="7"/>
      <c r="S237" s="51"/>
      <c r="T237" s="51"/>
      <c r="U237" s="7"/>
      <c r="V237" s="57"/>
      <c r="W237" s="57"/>
      <c r="X237" s="57"/>
    </row>
    <row r="238" spans="1:24" ht="12.5" x14ac:dyDescent="0.25">
      <c r="A238" s="34"/>
      <c r="B238" s="7"/>
      <c r="C238" s="19"/>
      <c r="D238" s="7"/>
      <c r="E238" s="7"/>
      <c r="F238" s="7"/>
      <c r="G238" s="7"/>
      <c r="H238" s="6"/>
      <c r="I238" s="7"/>
      <c r="J238" s="7"/>
      <c r="K238" s="7"/>
      <c r="L238" s="7"/>
      <c r="M238" s="52"/>
      <c r="N238" s="7"/>
      <c r="O238" s="7"/>
      <c r="P238" s="47"/>
      <c r="Q238" s="47"/>
      <c r="R238" s="7"/>
      <c r="S238" s="51"/>
      <c r="T238" s="51"/>
      <c r="U238" s="7"/>
      <c r="V238" s="57"/>
      <c r="W238" s="57"/>
      <c r="X238" s="57"/>
    </row>
    <row r="239" spans="1:24" ht="12.5" x14ac:dyDescent="0.25">
      <c r="A239" s="34"/>
      <c r="B239" s="7"/>
      <c r="C239" s="19"/>
      <c r="D239" s="7"/>
      <c r="E239" s="7"/>
      <c r="F239" s="7"/>
      <c r="G239" s="7"/>
      <c r="H239" s="6"/>
      <c r="I239" s="7"/>
      <c r="J239" s="7"/>
      <c r="K239" s="7"/>
      <c r="L239" s="7"/>
      <c r="M239" s="52"/>
      <c r="N239" s="7"/>
      <c r="O239" s="7"/>
      <c r="P239" s="47"/>
      <c r="Q239" s="47"/>
      <c r="R239" s="7"/>
      <c r="S239" s="51"/>
      <c r="T239" s="51"/>
      <c r="U239" s="7"/>
      <c r="V239" s="57"/>
      <c r="W239" s="57"/>
      <c r="X239" s="57"/>
    </row>
    <row r="240" spans="1:24" ht="12.5" x14ac:dyDescent="0.25">
      <c r="A240" s="34"/>
      <c r="B240" s="7"/>
      <c r="C240" s="19"/>
      <c r="D240" s="7"/>
      <c r="E240" s="7"/>
      <c r="F240" s="7"/>
      <c r="G240" s="7"/>
      <c r="H240" s="6"/>
      <c r="I240" s="7"/>
      <c r="J240" s="7"/>
      <c r="K240" s="7"/>
      <c r="L240" s="7"/>
      <c r="M240" s="52"/>
      <c r="N240" s="7"/>
      <c r="O240" s="7"/>
      <c r="P240" s="47"/>
      <c r="Q240" s="47"/>
      <c r="R240" s="7"/>
      <c r="S240" s="51"/>
      <c r="T240" s="51"/>
      <c r="U240" s="7"/>
      <c r="V240" s="57"/>
      <c r="W240" s="57"/>
      <c r="X240" s="57"/>
    </row>
    <row r="241" spans="1:24" ht="12.5" x14ac:dyDescent="0.25">
      <c r="A241" s="34"/>
      <c r="B241" s="7"/>
      <c r="C241" s="19"/>
      <c r="D241" s="7"/>
      <c r="E241" s="7"/>
      <c r="F241" s="7"/>
      <c r="G241" s="7"/>
      <c r="H241" s="6"/>
      <c r="I241" s="7"/>
      <c r="J241" s="7"/>
      <c r="K241" s="7"/>
      <c r="L241" s="7"/>
      <c r="M241" s="52"/>
      <c r="N241" s="7"/>
      <c r="O241" s="7"/>
      <c r="P241" s="47"/>
      <c r="Q241" s="47"/>
      <c r="R241" s="7"/>
      <c r="S241" s="51"/>
      <c r="T241" s="51"/>
      <c r="U241" s="7"/>
      <c r="V241" s="57"/>
      <c r="W241" s="57"/>
      <c r="X241" s="57"/>
    </row>
    <row r="242" spans="1:24" ht="12.5" x14ac:dyDescent="0.25">
      <c r="A242" s="34"/>
      <c r="B242" s="7"/>
      <c r="C242" s="19"/>
      <c r="D242" s="7"/>
      <c r="E242" s="7"/>
      <c r="F242" s="7"/>
      <c r="G242" s="7"/>
      <c r="H242" s="6"/>
      <c r="I242" s="7"/>
      <c r="J242" s="7"/>
      <c r="K242" s="7"/>
      <c r="L242" s="7"/>
      <c r="M242" s="52"/>
      <c r="N242" s="7"/>
      <c r="O242" s="7"/>
      <c r="P242" s="47"/>
      <c r="Q242" s="47"/>
      <c r="R242" s="7"/>
      <c r="S242" s="51"/>
      <c r="T242" s="51"/>
      <c r="U242" s="7"/>
      <c r="V242" s="57"/>
      <c r="W242" s="57"/>
      <c r="X242" s="57"/>
    </row>
    <row r="243" spans="1:24" ht="12.5" x14ac:dyDescent="0.25">
      <c r="A243" s="34"/>
      <c r="B243" s="7"/>
      <c r="C243" s="19"/>
      <c r="D243" s="7"/>
      <c r="E243" s="7"/>
      <c r="F243" s="7"/>
      <c r="G243" s="7"/>
      <c r="H243" s="6"/>
      <c r="I243" s="7"/>
      <c r="J243" s="7"/>
      <c r="K243" s="7"/>
      <c r="L243" s="7"/>
      <c r="M243" s="52"/>
      <c r="N243" s="7"/>
      <c r="O243" s="7"/>
      <c r="P243" s="47"/>
      <c r="Q243" s="47"/>
      <c r="R243" s="7"/>
      <c r="S243" s="51"/>
      <c r="T243" s="51"/>
      <c r="U243" s="7"/>
      <c r="V243" s="57"/>
      <c r="W243" s="57"/>
      <c r="X243" s="57"/>
    </row>
    <row r="244" spans="1:24" ht="12.5" x14ac:dyDescent="0.25">
      <c r="A244" s="34"/>
      <c r="B244" s="7"/>
      <c r="C244" s="19"/>
      <c r="D244" s="7"/>
      <c r="E244" s="7"/>
      <c r="F244" s="7"/>
      <c r="G244" s="7"/>
      <c r="H244" s="6"/>
      <c r="I244" s="7"/>
      <c r="J244" s="7"/>
      <c r="K244" s="7"/>
      <c r="L244" s="7"/>
      <c r="M244" s="52"/>
      <c r="N244" s="7"/>
      <c r="O244" s="7"/>
      <c r="P244" s="47"/>
      <c r="Q244" s="47"/>
      <c r="R244" s="7"/>
      <c r="S244" s="51"/>
      <c r="T244" s="51"/>
      <c r="U244" s="7"/>
      <c r="V244" s="57"/>
      <c r="W244" s="57"/>
      <c r="X244" s="57"/>
    </row>
    <row r="245" spans="1:24" ht="12.5" x14ac:dyDescent="0.25">
      <c r="A245" s="34"/>
      <c r="B245" s="7"/>
      <c r="C245" s="19"/>
      <c r="D245" s="7"/>
      <c r="E245" s="7"/>
      <c r="F245" s="7"/>
      <c r="G245" s="7"/>
      <c r="H245" s="6"/>
      <c r="I245" s="7"/>
      <c r="J245" s="7"/>
      <c r="K245" s="7"/>
      <c r="L245" s="7"/>
      <c r="M245" s="52"/>
      <c r="N245" s="7"/>
      <c r="O245" s="7"/>
      <c r="P245" s="47"/>
      <c r="Q245" s="47"/>
      <c r="R245" s="7"/>
      <c r="S245" s="51"/>
      <c r="T245" s="51"/>
      <c r="U245" s="7"/>
      <c r="V245" s="57"/>
      <c r="W245" s="57"/>
      <c r="X245" s="57"/>
    </row>
    <row r="246" spans="1:24" ht="12.5" x14ac:dyDescent="0.25">
      <c r="A246" s="34"/>
      <c r="B246" s="7"/>
      <c r="C246" s="19"/>
      <c r="D246" s="7"/>
      <c r="E246" s="7"/>
      <c r="F246" s="7"/>
      <c r="G246" s="7"/>
      <c r="H246" s="6"/>
      <c r="I246" s="7"/>
      <c r="J246" s="7"/>
      <c r="K246" s="7"/>
      <c r="L246" s="7"/>
      <c r="M246" s="52"/>
      <c r="N246" s="7"/>
      <c r="O246" s="7"/>
      <c r="P246" s="47"/>
      <c r="Q246" s="47"/>
      <c r="R246" s="7"/>
      <c r="S246" s="51"/>
      <c r="T246" s="51"/>
      <c r="U246" s="7"/>
      <c r="V246" s="57"/>
      <c r="W246" s="57"/>
      <c r="X246" s="57"/>
    </row>
    <row r="247" spans="1:24" ht="12.5" x14ac:dyDescent="0.25">
      <c r="A247" s="34"/>
      <c r="B247" s="7"/>
      <c r="C247" s="19"/>
      <c r="D247" s="7"/>
      <c r="E247" s="7"/>
      <c r="F247" s="7"/>
      <c r="G247" s="7"/>
      <c r="H247" s="6"/>
      <c r="I247" s="7"/>
      <c r="J247" s="7"/>
      <c r="K247" s="7"/>
      <c r="L247" s="7"/>
      <c r="M247" s="52"/>
      <c r="N247" s="7"/>
      <c r="O247" s="7"/>
      <c r="P247" s="47"/>
      <c r="Q247" s="47"/>
      <c r="R247" s="7"/>
      <c r="S247" s="51"/>
      <c r="T247" s="51"/>
      <c r="U247" s="7"/>
      <c r="V247" s="57"/>
      <c r="W247" s="57"/>
      <c r="X247" s="57"/>
    </row>
    <row r="248" spans="1:24" ht="12.5" x14ac:dyDescent="0.25">
      <c r="A248" s="34"/>
      <c r="B248" s="7"/>
      <c r="C248" s="19"/>
      <c r="D248" s="7"/>
      <c r="E248" s="7"/>
      <c r="F248" s="7"/>
      <c r="G248" s="7"/>
      <c r="H248" s="6"/>
      <c r="I248" s="7"/>
      <c r="J248" s="7"/>
      <c r="K248" s="7"/>
      <c r="L248" s="7"/>
      <c r="M248" s="52"/>
      <c r="N248" s="7"/>
      <c r="O248" s="7"/>
      <c r="P248" s="47"/>
      <c r="Q248" s="47"/>
      <c r="R248" s="7"/>
      <c r="S248" s="51"/>
      <c r="T248" s="51"/>
      <c r="U248" s="7"/>
      <c r="V248" s="57"/>
      <c r="W248" s="57"/>
      <c r="X248" s="57"/>
    </row>
    <row r="249" spans="1:24" ht="12.5" x14ac:dyDescent="0.25">
      <c r="A249" s="34"/>
      <c r="B249" s="7"/>
      <c r="C249" s="19"/>
      <c r="D249" s="7"/>
      <c r="E249" s="7"/>
      <c r="F249" s="7"/>
      <c r="G249" s="7"/>
      <c r="H249" s="6"/>
      <c r="I249" s="7"/>
      <c r="J249" s="7"/>
      <c r="K249" s="7"/>
      <c r="L249" s="7"/>
      <c r="M249" s="52"/>
      <c r="N249" s="7"/>
      <c r="O249" s="7"/>
      <c r="P249" s="47"/>
      <c r="Q249" s="47"/>
      <c r="R249" s="7"/>
      <c r="S249" s="51"/>
      <c r="T249" s="51"/>
      <c r="U249" s="7"/>
      <c r="V249" s="57"/>
      <c r="W249" s="57"/>
      <c r="X249" s="57"/>
    </row>
    <row r="250" spans="1:24" ht="12.5" x14ac:dyDescent="0.25">
      <c r="A250" s="34"/>
      <c r="B250" s="7"/>
      <c r="C250" s="19"/>
      <c r="D250" s="7"/>
      <c r="E250" s="7"/>
      <c r="F250" s="7"/>
      <c r="G250" s="7"/>
      <c r="H250" s="6"/>
      <c r="I250" s="7"/>
      <c r="J250" s="7"/>
      <c r="K250" s="7"/>
      <c r="L250" s="7"/>
      <c r="M250" s="52"/>
      <c r="N250" s="7"/>
      <c r="O250" s="7"/>
      <c r="P250" s="47"/>
      <c r="Q250" s="47"/>
      <c r="R250" s="7"/>
      <c r="S250" s="51"/>
      <c r="T250" s="51"/>
      <c r="U250" s="7"/>
      <c r="V250" s="57"/>
      <c r="W250" s="57"/>
      <c r="X250" s="57"/>
    </row>
    <row r="251" spans="1:24" ht="12.5" x14ac:dyDescent="0.25">
      <c r="A251" s="34"/>
      <c r="B251" s="7"/>
      <c r="C251" s="19"/>
      <c r="D251" s="7"/>
      <c r="E251" s="7"/>
      <c r="F251" s="7"/>
      <c r="G251" s="7"/>
      <c r="H251" s="6"/>
      <c r="I251" s="7"/>
      <c r="J251" s="7"/>
      <c r="K251" s="7"/>
      <c r="L251" s="7"/>
      <c r="M251" s="52"/>
      <c r="N251" s="7"/>
      <c r="O251" s="7"/>
      <c r="P251" s="47"/>
      <c r="Q251" s="47"/>
      <c r="R251" s="7"/>
      <c r="S251" s="51"/>
      <c r="T251" s="51"/>
      <c r="U251" s="7"/>
      <c r="V251" s="57"/>
      <c r="W251" s="57"/>
      <c r="X251" s="57"/>
    </row>
    <row r="252" spans="1:24" ht="12.5" x14ac:dyDescent="0.25">
      <c r="A252" s="34"/>
      <c r="B252" s="7"/>
      <c r="C252" s="19"/>
      <c r="D252" s="7"/>
      <c r="E252" s="7"/>
      <c r="F252" s="7"/>
      <c r="G252" s="7"/>
      <c r="H252" s="6"/>
      <c r="I252" s="7"/>
      <c r="J252" s="7"/>
      <c r="K252" s="7"/>
      <c r="L252" s="7"/>
      <c r="M252" s="52"/>
      <c r="N252" s="7"/>
      <c r="O252" s="7"/>
      <c r="P252" s="47"/>
      <c r="Q252" s="47"/>
      <c r="R252" s="7"/>
      <c r="S252" s="51"/>
      <c r="T252" s="51"/>
      <c r="U252" s="7"/>
      <c r="V252" s="57"/>
      <c r="W252" s="57"/>
      <c r="X252" s="57"/>
    </row>
    <row r="253" spans="1:24" ht="12.5" x14ac:dyDescent="0.25">
      <c r="A253" s="34"/>
      <c r="B253" s="7"/>
      <c r="C253" s="19"/>
      <c r="D253" s="7"/>
      <c r="E253" s="7"/>
      <c r="F253" s="7"/>
      <c r="G253" s="7"/>
      <c r="H253" s="6"/>
      <c r="I253" s="7"/>
      <c r="J253" s="7"/>
      <c r="K253" s="7"/>
      <c r="L253" s="7"/>
      <c r="M253" s="52"/>
      <c r="N253" s="7"/>
      <c r="O253" s="7"/>
      <c r="P253" s="47"/>
      <c r="Q253" s="47"/>
      <c r="R253" s="7"/>
      <c r="S253" s="51"/>
      <c r="T253" s="51"/>
      <c r="U253" s="7"/>
      <c r="V253" s="57"/>
      <c r="W253" s="57"/>
      <c r="X253" s="57"/>
    </row>
    <row r="254" spans="1:24" ht="12.5" x14ac:dyDescent="0.25">
      <c r="A254" s="34"/>
      <c r="B254" s="7"/>
      <c r="C254" s="19"/>
      <c r="D254" s="7"/>
      <c r="E254" s="7"/>
      <c r="F254" s="7"/>
      <c r="G254" s="7"/>
      <c r="H254" s="6"/>
      <c r="I254" s="7"/>
      <c r="J254" s="7"/>
      <c r="K254" s="7"/>
      <c r="L254" s="7"/>
      <c r="M254" s="52"/>
      <c r="N254" s="7"/>
      <c r="O254" s="7"/>
      <c r="P254" s="47"/>
      <c r="Q254" s="47"/>
      <c r="R254" s="7"/>
      <c r="S254" s="51"/>
      <c r="T254" s="51"/>
      <c r="U254" s="7"/>
      <c r="V254" s="57"/>
      <c r="W254" s="57"/>
      <c r="X254" s="57"/>
    </row>
    <row r="255" spans="1:24" ht="12.5" x14ac:dyDescent="0.25">
      <c r="A255" s="34"/>
      <c r="B255" s="7"/>
      <c r="C255" s="19"/>
      <c r="D255" s="7"/>
      <c r="E255" s="7"/>
      <c r="F255" s="7"/>
      <c r="G255" s="7"/>
      <c r="H255" s="6"/>
      <c r="I255" s="7"/>
      <c r="J255" s="7"/>
      <c r="K255" s="7"/>
      <c r="L255" s="7"/>
      <c r="M255" s="52"/>
      <c r="N255" s="7"/>
      <c r="O255" s="7"/>
      <c r="P255" s="47"/>
      <c r="Q255" s="47"/>
      <c r="R255" s="7"/>
      <c r="S255" s="51"/>
      <c r="T255" s="51"/>
      <c r="U255" s="7"/>
      <c r="V255" s="57"/>
      <c r="W255" s="57"/>
      <c r="X255" s="57"/>
    </row>
    <row r="256" spans="1:24" ht="12.5" x14ac:dyDescent="0.25">
      <c r="A256" s="34"/>
      <c r="B256" s="7"/>
      <c r="C256" s="19"/>
      <c r="D256" s="7"/>
      <c r="E256" s="7"/>
      <c r="F256" s="7"/>
      <c r="G256" s="7"/>
      <c r="H256" s="6"/>
      <c r="I256" s="7"/>
      <c r="J256" s="7"/>
      <c r="K256" s="7"/>
      <c r="L256" s="7"/>
      <c r="M256" s="52"/>
      <c r="N256" s="7"/>
      <c r="O256" s="7"/>
      <c r="P256" s="47"/>
      <c r="Q256" s="47"/>
      <c r="R256" s="7"/>
      <c r="S256" s="51"/>
      <c r="T256" s="51"/>
      <c r="U256" s="7"/>
      <c r="V256" s="57"/>
      <c r="W256" s="57"/>
      <c r="X256" s="57"/>
    </row>
    <row r="257" spans="1:24" ht="12.5" x14ac:dyDescent="0.25">
      <c r="A257" s="34"/>
      <c r="B257" s="7"/>
      <c r="C257" s="19"/>
      <c r="D257" s="7"/>
      <c r="E257" s="7"/>
      <c r="F257" s="7"/>
      <c r="G257" s="7"/>
      <c r="H257" s="6"/>
      <c r="I257" s="7"/>
      <c r="J257" s="7"/>
      <c r="K257" s="7"/>
      <c r="L257" s="7"/>
      <c r="M257" s="52"/>
      <c r="N257" s="7"/>
      <c r="O257" s="7"/>
      <c r="P257" s="47"/>
      <c r="Q257" s="47"/>
      <c r="R257" s="7"/>
      <c r="S257" s="51"/>
      <c r="T257" s="51"/>
      <c r="U257" s="7"/>
      <c r="V257" s="57"/>
      <c r="W257" s="57"/>
      <c r="X257" s="57"/>
    </row>
    <row r="258" spans="1:24" ht="12.5" x14ac:dyDescent="0.25">
      <c r="A258" s="34"/>
      <c r="B258" s="7"/>
      <c r="C258" s="19"/>
      <c r="D258" s="7"/>
      <c r="E258" s="7"/>
      <c r="F258" s="7"/>
      <c r="G258" s="7"/>
      <c r="H258" s="6"/>
      <c r="I258" s="7"/>
      <c r="J258" s="7"/>
      <c r="K258" s="7"/>
      <c r="L258" s="7"/>
      <c r="M258" s="52"/>
      <c r="N258" s="7"/>
      <c r="O258" s="7"/>
      <c r="P258" s="47"/>
      <c r="Q258" s="47"/>
      <c r="R258" s="7"/>
      <c r="S258" s="51"/>
      <c r="T258" s="51"/>
      <c r="U258" s="7"/>
      <c r="V258" s="57"/>
      <c r="W258" s="57"/>
      <c r="X258" s="57"/>
    </row>
    <row r="259" spans="1:24" ht="12.5" x14ac:dyDescent="0.25">
      <c r="A259" s="34"/>
      <c r="B259" s="7"/>
      <c r="C259" s="19"/>
      <c r="D259" s="7"/>
      <c r="E259" s="7"/>
      <c r="F259" s="7"/>
      <c r="G259" s="7"/>
      <c r="H259" s="6"/>
      <c r="I259" s="7"/>
      <c r="J259" s="7"/>
      <c r="K259" s="7"/>
      <c r="L259" s="7"/>
      <c r="M259" s="52"/>
      <c r="N259" s="7"/>
      <c r="O259" s="7"/>
      <c r="P259" s="47"/>
      <c r="Q259" s="47"/>
      <c r="R259" s="7"/>
      <c r="S259" s="51"/>
      <c r="T259" s="51"/>
      <c r="U259" s="7"/>
      <c r="V259" s="57"/>
      <c r="W259" s="57"/>
      <c r="X259" s="57"/>
    </row>
    <row r="260" spans="1:24" ht="12.5" x14ac:dyDescent="0.25">
      <c r="A260" s="34"/>
      <c r="B260" s="7"/>
      <c r="C260" s="19"/>
      <c r="D260" s="7"/>
      <c r="E260" s="7"/>
      <c r="F260" s="7"/>
      <c r="G260" s="7"/>
      <c r="H260" s="6"/>
      <c r="I260" s="7"/>
      <c r="J260" s="7"/>
      <c r="K260" s="7"/>
      <c r="L260" s="7"/>
      <c r="M260" s="52"/>
      <c r="N260" s="7"/>
      <c r="O260" s="7"/>
      <c r="P260" s="47"/>
      <c r="Q260" s="47"/>
      <c r="R260" s="7"/>
      <c r="S260" s="51"/>
      <c r="T260" s="51"/>
      <c r="U260" s="7"/>
      <c r="V260" s="57"/>
      <c r="W260" s="57"/>
      <c r="X260" s="57"/>
    </row>
    <row r="261" spans="1:24" ht="12.5" x14ac:dyDescent="0.25">
      <c r="A261" s="34"/>
      <c r="B261" s="7"/>
      <c r="C261" s="19"/>
      <c r="D261" s="7"/>
      <c r="E261" s="7"/>
      <c r="F261" s="7"/>
      <c r="G261" s="7"/>
      <c r="H261" s="6"/>
      <c r="I261" s="7"/>
      <c r="J261" s="7"/>
      <c r="K261" s="7"/>
      <c r="L261" s="7"/>
      <c r="M261" s="52"/>
      <c r="N261" s="7"/>
      <c r="O261" s="7"/>
      <c r="P261" s="47"/>
      <c r="Q261" s="47"/>
      <c r="R261" s="7"/>
      <c r="S261" s="51"/>
      <c r="T261" s="51"/>
      <c r="U261" s="7"/>
      <c r="V261" s="57"/>
      <c r="W261" s="57"/>
      <c r="X261" s="57"/>
    </row>
    <row r="262" spans="1:24" ht="12.5" x14ac:dyDescent="0.25">
      <c r="A262" s="34"/>
      <c r="B262" s="7"/>
      <c r="C262" s="19"/>
      <c r="D262" s="7"/>
      <c r="E262" s="7"/>
      <c r="F262" s="7"/>
      <c r="G262" s="7"/>
      <c r="H262" s="6"/>
      <c r="I262" s="7"/>
      <c r="J262" s="7"/>
      <c r="K262" s="7"/>
      <c r="L262" s="7"/>
      <c r="M262" s="52"/>
      <c r="N262" s="7"/>
      <c r="O262" s="7"/>
      <c r="P262" s="47"/>
      <c r="Q262" s="47"/>
      <c r="R262" s="7"/>
      <c r="S262" s="51"/>
      <c r="T262" s="51"/>
      <c r="U262" s="7"/>
      <c r="V262" s="57"/>
      <c r="W262" s="57"/>
      <c r="X262" s="57"/>
    </row>
    <row r="263" spans="1:24" ht="12.5" x14ac:dyDescent="0.25">
      <c r="A263" s="34"/>
      <c r="B263" s="7"/>
      <c r="C263" s="19"/>
      <c r="D263" s="7"/>
      <c r="E263" s="7"/>
      <c r="F263" s="7"/>
      <c r="G263" s="7"/>
      <c r="H263" s="6"/>
      <c r="I263" s="7"/>
      <c r="J263" s="7"/>
      <c r="K263" s="7"/>
      <c r="L263" s="7"/>
      <c r="M263" s="52"/>
      <c r="N263" s="7"/>
      <c r="O263" s="7"/>
      <c r="P263" s="47"/>
      <c r="Q263" s="47"/>
      <c r="R263" s="7"/>
      <c r="S263" s="51"/>
      <c r="T263" s="51"/>
      <c r="U263" s="7"/>
      <c r="V263" s="57"/>
      <c r="W263" s="57"/>
      <c r="X263" s="57"/>
    </row>
    <row r="264" spans="1:24" ht="12.5" x14ac:dyDescent="0.25">
      <c r="A264" s="34"/>
      <c r="B264" s="7"/>
      <c r="C264" s="19"/>
      <c r="D264" s="7"/>
      <c r="E264" s="7"/>
      <c r="F264" s="7"/>
      <c r="G264" s="7"/>
      <c r="H264" s="6"/>
      <c r="I264" s="7"/>
      <c r="J264" s="7"/>
      <c r="K264" s="7"/>
      <c r="L264" s="7"/>
      <c r="M264" s="52"/>
      <c r="N264" s="7"/>
      <c r="O264" s="7"/>
      <c r="P264" s="47"/>
      <c r="Q264" s="47"/>
      <c r="R264" s="7"/>
      <c r="S264" s="51"/>
      <c r="T264" s="51"/>
      <c r="U264" s="7"/>
      <c r="V264" s="57"/>
      <c r="W264" s="57"/>
      <c r="X264" s="57"/>
    </row>
    <row r="265" spans="1:24" ht="12.5" x14ac:dyDescent="0.25">
      <c r="A265" s="34"/>
      <c r="B265" s="7"/>
      <c r="C265" s="19"/>
      <c r="D265" s="7"/>
      <c r="E265" s="7"/>
      <c r="F265" s="7"/>
      <c r="G265" s="7"/>
      <c r="H265" s="6"/>
      <c r="I265" s="7"/>
      <c r="J265" s="7"/>
      <c r="K265" s="7"/>
      <c r="L265" s="7"/>
      <c r="M265" s="52"/>
      <c r="N265" s="7"/>
      <c r="O265" s="7"/>
      <c r="P265" s="47"/>
      <c r="Q265" s="47"/>
      <c r="R265" s="7"/>
      <c r="S265" s="51"/>
      <c r="T265" s="51"/>
      <c r="U265" s="7"/>
      <c r="V265" s="57"/>
      <c r="W265" s="57"/>
      <c r="X265" s="57"/>
    </row>
    <row r="266" spans="1:24" ht="12.5" x14ac:dyDescent="0.25">
      <c r="A266" s="34"/>
      <c r="B266" s="7"/>
      <c r="C266" s="19"/>
      <c r="D266" s="7"/>
      <c r="E266" s="7"/>
      <c r="F266" s="7"/>
      <c r="G266" s="7"/>
      <c r="H266" s="6"/>
      <c r="I266" s="7"/>
      <c r="J266" s="7"/>
      <c r="K266" s="7"/>
      <c r="L266" s="7"/>
      <c r="M266" s="52"/>
      <c r="N266" s="7"/>
      <c r="O266" s="7"/>
      <c r="P266" s="47"/>
      <c r="Q266" s="47"/>
      <c r="R266" s="7"/>
      <c r="S266" s="51"/>
      <c r="T266" s="51"/>
      <c r="U266" s="7"/>
      <c r="V266" s="57"/>
      <c r="W266" s="57"/>
      <c r="X266" s="57"/>
    </row>
    <row r="267" spans="1:24" ht="12.5" x14ac:dyDescent="0.25">
      <c r="A267" s="34"/>
      <c r="B267" s="7"/>
      <c r="C267" s="19"/>
      <c r="D267" s="7"/>
      <c r="E267" s="7"/>
      <c r="F267" s="7"/>
      <c r="G267" s="7"/>
      <c r="H267" s="6"/>
      <c r="I267" s="7"/>
      <c r="J267" s="7"/>
      <c r="K267" s="7"/>
      <c r="L267" s="7"/>
      <c r="M267" s="52"/>
      <c r="N267" s="7"/>
      <c r="O267" s="7"/>
      <c r="P267" s="47"/>
      <c r="Q267" s="47"/>
      <c r="R267" s="7"/>
      <c r="S267" s="51"/>
      <c r="T267" s="51"/>
      <c r="U267" s="7"/>
      <c r="V267" s="57"/>
      <c r="W267" s="57"/>
      <c r="X267" s="57"/>
    </row>
    <row r="268" spans="1:24" ht="12.5" x14ac:dyDescent="0.25">
      <c r="A268" s="34"/>
      <c r="B268" s="7"/>
      <c r="C268" s="19"/>
      <c r="D268" s="7"/>
      <c r="E268" s="7"/>
      <c r="F268" s="7"/>
      <c r="G268" s="7"/>
      <c r="H268" s="6"/>
      <c r="I268" s="7"/>
      <c r="J268" s="7"/>
      <c r="K268" s="7"/>
      <c r="L268" s="7"/>
      <c r="M268" s="52"/>
      <c r="N268" s="7"/>
      <c r="O268" s="7"/>
      <c r="P268" s="47"/>
      <c r="Q268" s="47"/>
      <c r="R268" s="7"/>
      <c r="S268" s="51"/>
      <c r="T268" s="51"/>
      <c r="U268" s="7"/>
      <c r="V268" s="57"/>
      <c r="W268" s="57"/>
      <c r="X268" s="57"/>
    </row>
    <row r="269" spans="1:24" ht="12.5" x14ac:dyDescent="0.25">
      <c r="A269" s="34"/>
      <c r="B269" s="7"/>
      <c r="C269" s="19"/>
      <c r="D269" s="7"/>
      <c r="E269" s="7"/>
      <c r="F269" s="7"/>
      <c r="G269" s="7"/>
      <c r="H269" s="6"/>
      <c r="I269" s="7"/>
      <c r="J269" s="7"/>
      <c r="K269" s="7"/>
      <c r="L269" s="7"/>
      <c r="M269" s="52"/>
      <c r="N269" s="7"/>
      <c r="O269" s="7"/>
      <c r="P269" s="47"/>
      <c r="Q269" s="47"/>
      <c r="R269" s="7"/>
      <c r="S269" s="51"/>
      <c r="T269" s="51"/>
      <c r="U269" s="7"/>
      <c r="V269" s="57"/>
      <c r="W269" s="57"/>
      <c r="X269" s="57"/>
    </row>
    <row r="270" spans="1:24" ht="12.5" x14ac:dyDescent="0.25">
      <c r="A270" s="34"/>
      <c r="B270" s="7"/>
      <c r="C270" s="19"/>
      <c r="D270" s="7"/>
      <c r="E270" s="7"/>
      <c r="F270" s="7"/>
      <c r="G270" s="7"/>
      <c r="H270" s="6"/>
      <c r="I270" s="7"/>
      <c r="J270" s="7"/>
      <c r="K270" s="7"/>
      <c r="L270" s="7"/>
      <c r="M270" s="52"/>
      <c r="N270" s="7"/>
      <c r="O270" s="7"/>
      <c r="P270" s="47"/>
      <c r="Q270" s="47"/>
      <c r="R270" s="7"/>
      <c r="S270" s="51"/>
      <c r="T270" s="51"/>
      <c r="U270" s="7"/>
      <c r="V270" s="57"/>
      <c r="W270" s="57"/>
      <c r="X270" s="57"/>
    </row>
    <row r="271" spans="1:24" ht="12.5" x14ac:dyDescent="0.25">
      <c r="A271" s="34"/>
      <c r="B271" s="7"/>
      <c r="C271" s="19"/>
      <c r="D271" s="7"/>
      <c r="E271" s="7"/>
      <c r="F271" s="7"/>
      <c r="G271" s="7"/>
      <c r="H271" s="6"/>
      <c r="I271" s="7"/>
      <c r="J271" s="7"/>
      <c r="K271" s="7"/>
      <c r="L271" s="7"/>
      <c r="M271" s="52"/>
      <c r="N271" s="7"/>
      <c r="O271" s="7"/>
      <c r="P271" s="47"/>
      <c r="Q271" s="47"/>
      <c r="R271" s="7"/>
      <c r="S271" s="51"/>
      <c r="T271" s="51"/>
      <c r="U271" s="7"/>
      <c r="V271" s="57"/>
      <c r="W271" s="57"/>
      <c r="X271" s="57"/>
    </row>
    <row r="272" spans="1:24" ht="12.5" x14ac:dyDescent="0.25">
      <c r="A272" s="34"/>
      <c r="B272" s="7"/>
      <c r="C272" s="19"/>
      <c r="D272" s="7"/>
      <c r="E272" s="7"/>
      <c r="F272" s="7"/>
      <c r="G272" s="7"/>
      <c r="H272" s="6"/>
      <c r="I272" s="7"/>
      <c r="J272" s="7"/>
      <c r="K272" s="7"/>
      <c r="L272" s="7"/>
      <c r="M272" s="52"/>
      <c r="N272" s="7"/>
      <c r="O272" s="7"/>
      <c r="P272" s="47"/>
      <c r="Q272" s="47"/>
      <c r="R272" s="7"/>
      <c r="S272" s="51"/>
      <c r="T272" s="51"/>
      <c r="U272" s="7"/>
      <c r="V272" s="57"/>
      <c r="W272" s="57"/>
      <c r="X272" s="57"/>
    </row>
    <row r="273" spans="1:24" ht="12.5" x14ac:dyDescent="0.25">
      <c r="A273" s="34"/>
      <c r="B273" s="7"/>
      <c r="C273" s="19"/>
      <c r="D273" s="7"/>
      <c r="E273" s="7"/>
      <c r="F273" s="7"/>
      <c r="G273" s="7"/>
      <c r="H273" s="6"/>
      <c r="I273" s="7"/>
      <c r="J273" s="7"/>
      <c r="K273" s="7"/>
      <c r="L273" s="7"/>
      <c r="M273" s="52"/>
      <c r="N273" s="7"/>
      <c r="O273" s="7"/>
      <c r="P273" s="47"/>
      <c r="Q273" s="47"/>
      <c r="R273" s="7"/>
      <c r="S273" s="51"/>
      <c r="T273" s="51"/>
      <c r="U273" s="7"/>
      <c r="V273" s="57"/>
      <c r="W273" s="57"/>
      <c r="X273" s="57"/>
    </row>
    <row r="274" spans="1:24" ht="12.5" x14ac:dyDescent="0.25">
      <c r="A274" s="34"/>
      <c r="B274" s="7"/>
      <c r="C274" s="19"/>
      <c r="D274" s="7"/>
      <c r="E274" s="7"/>
      <c r="F274" s="7"/>
      <c r="G274" s="7"/>
      <c r="H274" s="6"/>
      <c r="I274" s="7"/>
      <c r="J274" s="7"/>
      <c r="K274" s="7"/>
      <c r="L274" s="7"/>
      <c r="M274" s="52"/>
      <c r="N274" s="7"/>
      <c r="O274" s="7"/>
      <c r="P274" s="47"/>
      <c r="Q274" s="47"/>
      <c r="R274" s="7"/>
      <c r="S274" s="51"/>
      <c r="T274" s="51"/>
      <c r="U274" s="7"/>
      <c r="V274" s="57"/>
      <c r="W274" s="57"/>
      <c r="X274" s="57"/>
    </row>
    <row r="275" spans="1:24" ht="12.5" x14ac:dyDescent="0.25">
      <c r="A275" s="34"/>
      <c r="B275" s="7"/>
      <c r="C275" s="19"/>
      <c r="D275" s="7"/>
      <c r="E275" s="7"/>
      <c r="F275" s="7"/>
      <c r="G275" s="7"/>
      <c r="H275" s="6"/>
      <c r="I275" s="7"/>
      <c r="J275" s="7"/>
      <c r="K275" s="7"/>
      <c r="L275" s="7"/>
      <c r="M275" s="52"/>
      <c r="N275" s="7"/>
      <c r="O275" s="7"/>
      <c r="P275" s="47"/>
      <c r="Q275" s="47"/>
      <c r="R275" s="7"/>
      <c r="S275" s="51"/>
      <c r="T275" s="51"/>
      <c r="U275" s="7"/>
      <c r="V275" s="57"/>
      <c r="W275" s="57"/>
      <c r="X275" s="57"/>
    </row>
    <row r="276" spans="1:24" ht="12.5" x14ac:dyDescent="0.25">
      <c r="A276" s="34"/>
      <c r="B276" s="7"/>
      <c r="C276" s="19"/>
      <c r="D276" s="7"/>
      <c r="E276" s="7"/>
      <c r="F276" s="7"/>
      <c r="G276" s="7"/>
      <c r="H276" s="6"/>
      <c r="I276" s="7"/>
      <c r="J276" s="7"/>
      <c r="K276" s="7"/>
      <c r="L276" s="7"/>
      <c r="M276" s="52"/>
      <c r="N276" s="7"/>
      <c r="O276" s="7"/>
      <c r="P276" s="47"/>
      <c r="Q276" s="47"/>
      <c r="R276" s="7"/>
      <c r="S276" s="51"/>
      <c r="T276" s="51"/>
      <c r="U276" s="7"/>
      <c r="V276" s="57"/>
      <c r="W276" s="57"/>
      <c r="X276" s="57"/>
    </row>
    <row r="277" spans="1:24" ht="12.5" x14ac:dyDescent="0.25">
      <c r="A277" s="34"/>
      <c r="B277" s="7"/>
      <c r="C277" s="19"/>
      <c r="D277" s="7"/>
      <c r="E277" s="7"/>
      <c r="F277" s="7"/>
      <c r="G277" s="7"/>
      <c r="H277" s="6"/>
      <c r="I277" s="7"/>
      <c r="J277" s="7"/>
      <c r="K277" s="7"/>
      <c r="L277" s="7"/>
      <c r="M277" s="52"/>
      <c r="N277" s="7"/>
      <c r="O277" s="7"/>
      <c r="P277" s="47"/>
      <c r="Q277" s="47"/>
      <c r="R277" s="7"/>
      <c r="S277" s="51"/>
      <c r="T277" s="51"/>
      <c r="U277" s="7"/>
      <c r="V277" s="57"/>
      <c r="W277" s="57"/>
      <c r="X277" s="57"/>
    </row>
    <row r="278" spans="1:24" ht="12.5" x14ac:dyDescent="0.25">
      <c r="A278" s="34"/>
      <c r="B278" s="7"/>
      <c r="C278" s="19"/>
      <c r="D278" s="7"/>
      <c r="E278" s="7"/>
      <c r="F278" s="7"/>
      <c r="G278" s="7"/>
      <c r="H278" s="6"/>
      <c r="I278" s="7"/>
      <c r="J278" s="7"/>
      <c r="K278" s="7"/>
      <c r="L278" s="7"/>
      <c r="M278" s="52"/>
      <c r="N278" s="7"/>
      <c r="O278" s="7"/>
      <c r="P278" s="47"/>
      <c r="Q278" s="47"/>
      <c r="R278" s="7"/>
      <c r="S278" s="51"/>
      <c r="T278" s="51"/>
      <c r="U278" s="7"/>
      <c r="V278" s="57"/>
      <c r="W278" s="57"/>
      <c r="X278" s="57"/>
    </row>
    <row r="279" spans="1:24" ht="12.5" x14ac:dyDescent="0.25">
      <c r="A279" s="34"/>
      <c r="B279" s="7"/>
      <c r="C279" s="19"/>
      <c r="D279" s="7"/>
      <c r="E279" s="7"/>
      <c r="F279" s="7"/>
      <c r="G279" s="7"/>
      <c r="H279" s="6"/>
      <c r="I279" s="7"/>
      <c r="J279" s="7"/>
      <c r="K279" s="7"/>
      <c r="L279" s="7"/>
      <c r="M279" s="52"/>
      <c r="N279" s="7"/>
      <c r="O279" s="7"/>
      <c r="P279" s="47"/>
      <c r="Q279" s="47"/>
      <c r="R279" s="7"/>
      <c r="S279" s="51"/>
      <c r="T279" s="51"/>
      <c r="U279" s="7"/>
      <c r="V279" s="57"/>
      <c r="W279" s="57"/>
      <c r="X279" s="57"/>
    </row>
    <row r="280" spans="1:24" ht="12.5" x14ac:dyDescent="0.25">
      <c r="A280" s="34"/>
      <c r="B280" s="7"/>
      <c r="C280" s="19"/>
      <c r="D280" s="7"/>
      <c r="E280" s="7"/>
      <c r="F280" s="7"/>
      <c r="G280" s="7"/>
      <c r="H280" s="6"/>
      <c r="I280" s="7"/>
      <c r="J280" s="7"/>
      <c r="K280" s="7"/>
      <c r="L280" s="7"/>
      <c r="M280" s="52"/>
      <c r="N280" s="7"/>
      <c r="O280" s="7"/>
      <c r="P280" s="47"/>
      <c r="Q280" s="47"/>
      <c r="R280" s="7"/>
      <c r="S280" s="51"/>
      <c r="T280" s="51"/>
      <c r="U280" s="7"/>
      <c r="V280" s="57"/>
      <c r="W280" s="57"/>
      <c r="X280" s="57"/>
    </row>
    <row r="281" spans="1:24" ht="12.5" x14ac:dyDescent="0.25">
      <c r="A281" s="34"/>
      <c r="B281" s="7"/>
      <c r="C281" s="19"/>
      <c r="D281" s="7"/>
      <c r="E281" s="7"/>
      <c r="F281" s="7"/>
      <c r="G281" s="7"/>
      <c r="H281" s="6"/>
      <c r="I281" s="7"/>
      <c r="J281" s="7"/>
      <c r="K281" s="7"/>
      <c r="L281" s="7"/>
      <c r="M281" s="52"/>
      <c r="N281" s="7"/>
      <c r="O281" s="7"/>
      <c r="P281" s="47"/>
      <c r="Q281" s="47"/>
      <c r="R281" s="7"/>
      <c r="S281" s="51"/>
      <c r="T281" s="51"/>
      <c r="U281" s="7"/>
      <c r="V281" s="57"/>
      <c r="W281" s="57"/>
      <c r="X281" s="57"/>
    </row>
    <row r="282" spans="1:24" ht="12.5" x14ac:dyDescent="0.25">
      <c r="A282" s="34"/>
      <c r="B282" s="7"/>
      <c r="C282" s="19"/>
      <c r="D282" s="7"/>
      <c r="E282" s="7"/>
      <c r="F282" s="7"/>
      <c r="G282" s="7"/>
      <c r="H282" s="6"/>
      <c r="I282" s="7"/>
      <c r="J282" s="7"/>
      <c r="K282" s="7"/>
      <c r="L282" s="7"/>
      <c r="M282" s="52"/>
      <c r="N282" s="7"/>
      <c r="O282" s="7"/>
      <c r="P282" s="47"/>
      <c r="Q282" s="47"/>
      <c r="R282" s="7"/>
      <c r="S282" s="51"/>
      <c r="T282" s="51"/>
      <c r="U282" s="7"/>
      <c r="V282" s="57"/>
      <c r="W282" s="57"/>
      <c r="X282" s="57"/>
    </row>
    <row r="283" spans="1:24" ht="12.5" x14ac:dyDescent="0.25">
      <c r="A283" s="34"/>
      <c r="B283" s="7"/>
      <c r="C283" s="19"/>
      <c r="D283" s="7"/>
      <c r="E283" s="7"/>
      <c r="F283" s="7"/>
      <c r="G283" s="7"/>
      <c r="H283" s="6"/>
      <c r="I283" s="7"/>
      <c r="J283" s="7"/>
      <c r="K283" s="7"/>
      <c r="L283" s="7"/>
      <c r="M283" s="52"/>
      <c r="N283" s="7"/>
      <c r="O283" s="7"/>
      <c r="P283" s="47"/>
      <c r="Q283" s="47"/>
      <c r="R283" s="7"/>
      <c r="S283" s="51"/>
      <c r="T283" s="51"/>
      <c r="U283" s="7"/>
      <c r="V283" s="57"/>
      <c r="W283" s="57"/>
      <c r="X283" s="57"/>
    </row>
    <row r="284" spans="1:24" ht="12.5" x14ac:dyDescent="0.25">
      <c r="A284" s="34"/>
      <c r="B284" s="7"/>
      <c r="C284" s="19"/>
      <c r="D284" s="7"/>
      <c r="E284" s="7"/>
      <c r="F284" s="7"/>
      <c r="G284" s="7"/>
      <c r="H284" s="6"/>
      <c r="I284" s="7"/>
      <c r="J284" s="7"/>
      <c r="K284" s="7"/>
      <c r="L284" s="7"/>
      <c r="M284" s="52"/>
      <c r="N284" s="7"/>
      <c r="O284" s="7"/>
      <c r="P284" s="47"/>
      <c r="Q284" s="47"/>
      <c r="R284" s="7"/>
      <c r="S284" s="51"/>
      <c r="T284" s="51"/>
      <c r="U284" s="7"/>
      <c r="V284" s="57"/>
      <c r="W284" s="57"/>
      <c r="X284" s="57"/>
    </row>
    <row r="285" spans="1:24" ht="12.5" x14ac:dyDescent="0.25">
      <c r="A285" s="34"/>
      <c r="B285" s="7"/>
      <c r="C285" s="19"/>
      <c r="D285" s="7"/>
      <c r="E285" s="7"/>
      <c r="F285" s="7"/>
      <c r="G285" s="7"/>
      <c r="H285" s="6"/>
      <c r="I285" s="7"/>
      <c r="J285" s="7"/>
      <c r="K285" s="7"/>
      <c r="L285" s="7"/>
      <c r="M285" s="52"/>
      <c r="N285" s="7"/>
      <c r="O285" s="7"/>
      <c r="P285" s="47"/>
      <c r="Q285" s="47"/>
      <c r="R285" s="7"/>
      <c r="S285" s="51"/>
      <c r="T285" s="51"/>
      <c r="U285" s="7"/>
      <c r="V285" s="57"/>
      <c r="W285" s="57"/>
      <c r="X285" s="57"/>
    </row>
    <row r="286" spans="1:24" ht="12.5" x14ac:dyDescent="0.25">
      <c r="A286" s="34"/>
      <c r="B286" s="7"/>
      <c r="C286" s="19"/>
      <c r="D286" s="7"/>
      <c r="E286" s="7"/>
      <c r="F286" s="7"/>
      <c r="G286" s="7"/>
      <c r="H286" s="6"/>
      <c r="I286" s="7"/>
      <c r="J286" s="7"/>
      <c r="K286" s="7"/>
      <c r="L286" s="7"/>
      <c r="M286" s="52"/>
      <c r="N286" s="7"/>
      <c r="O286" s="7"/>
      <c r="P286" s="47"/>
      <c r="Q286" s="47"/>
      <c r="R286" s="7"/>
      <c r="S286" s="51"/>
      <c r="T286" s="51"/>
      <c r="U286" s="7"/>
      <c r="V286" s="57"/>
      <c r="W286" s="57"/>
      <c r="X286" s="57"/>
    </row>
    <row r="287" spans="1:24" ht="12.5" x14ac:dyDescent="0.25">
      <c r="A287" s="34"/>
      <c r="B287" s="7"/>
      <c r="C287" s="19"/>
      <c r="D287" s="7"/>
      <c r="E287" s="7"/>
      <c r="F287" s="7"/>
      <c r="G287" s="7"/>
      <c r="H287" s="6"/>
      <c r="I287" s="7"/>
      <c r="J287" s="7"/>
      <c r="K287" s="7"/>
      <c r="L287" s="7"/>
      <c r="M287" s="52"/>
      <c r="N287" s="7"/>
      <c r="O287" s="7"/>
      <c r="P287" s="47"/>
      <c r="Q287" s="47"/>
      <c r="R287" s="7"/>
      <c r="S287" s="51"/>
      <c r="T287" s="51"/>
      <c r="U287" s="7"/>
      <c r="V287" s="57"/>
      <c r="W287" s="57"/>
      <c r="X287" s="57"/>
    </row>
    <row r="288" spans="1:24" ht="12.5" x14ac:dyDescent="0.25">
      <c r="A288" s="34"/>
      <c r="B288" s="7"/>
      <c r="C288" s="19"/>
      <c r="D288" s="7"/>
      <c r="E288" s="7"/>
      <c r="F288" s="7"/>
      <c r="G288" s="7"/>
      <c r="H288" s="6"/>
      <c r="I288" s="7"/>
      <c r="J288" s="7"/>
      <c r="K288" s="7"/>
      <c r="L288" s="7"/>
      <c r="M288" s="52"/>
      <c r="N288" s="7"/>
      <c r="O288" s="7"/>
      <c r="P288" s="47"/>
      <c r="Q288" s="47"/>
      <c r="R288" s="7"/>
      <c r="S288" s="51"/>
      <c r="T288" s="51"/>
      <c r="U288" s="7"/>
      <c r="V288" s="57"/>
      <c r="W288" s="57"/>
      <c r="X288" s="57"/>
    </row>
    <row r="289" spans="1:24" ht="12.5" x14ac:dyDescent="0.25">
      <c r="A289" s="34"/>
      <c r="B289" s="7"/>
      <c r="C289" s="19"/>
      <c r="D289" s="7"/>
      <c r="E289" s="7"/>
      <c r="F289" s="7"/>
      <c r="G289" s="7"/>
      <c r="H289" s="6"/>
      <c r="I289" s="7"/>
      <c r="J289" s="7"/>
      <c r="K289" s="7"/>
      <c r="L289" s="7"/>
      <c r="M289" s="52"/>
      <c r="N289" s="7"/>
      <c r="O289" s="7"/>
      <c r="P289" s="47"/>
      <c r="Q289" s="47"/>
      <c r="R289" s="7"/>
      <c r="S289" s="51"/>
      <c r="T289" s="51"/>
      <c r="U289" s="7"/>
      <c r="V289" s="57"/>
      <c r="W289" s="57"/>
      <c r="X289" s="57"/>
    </row>
    <row r="290" spans="1:24" ht="12.5" x14ac:dyDescent="0.25">
      <c r="A290" s="34"/>
      <c r="B290" s="7"/>
      <c r="C290" s="19"/>
      <c r="D290" s="7"/>
      <c r="E290" s="7"/>
      <c r="F290" s="7"/>
      <c r="G290" s="7"/>
      <c r="H290" s="6"/>
      <c r="I290" s="7"/>
      <c r="J290" s="7"/>
      <c r="K290" s="7"/>
      <c r="L290" s="7"/>
      <c r="M290" s="52"/>
      <c r="N290" s="7"/>
      <c r="O290" s="7"/>
      <c r="P290" s="47"/>
      <c r="Q290" s="47"/>
      <c r="R290" s="7"/>
      <c r="S290" s="51"/>
      <c r="T290" s="51"/>
      <c r="U290" s="7"/>
      <c r="V290" s="57"/>
      <c r="W290" s="57"/>
      <c r="X290" s="57"/>
    </row>
    <row r="291" spans="1:24" ht="12.5" x14ac:dyDescent="0.25">
      <c r="A291" s="34"/>
      <c r="B291" s="7"/>
      <c r="C291" s="19"/>
      <c r="D291" s="7"/>
      <c r="E291" s="7"/>
      <c r="F291" s="7"/>
      <c r="G291" s="7"/>
      <c r="H291" s="6"/>
      <c r="I291" s="7"/>
      <c r="J291" s="7"/>
      <c r="K291" s="7"/>
      <c r="L291" s="7"/>
      <c r="M291" s="52"/>
      <c r="N291" s="7"/>
      <c r="O291" s="7"/>
      <c r="P291" s="47"/>
      <c r="Q291" s="47"/>
      <c r="R291" s="7"/>
      <c r="S291" s="51"/>
      <c r="T291" s="51"/>
      <c r="U291" s="7"/>
      <c r="V291" s="57"/>
      <c r="W291" s="57"/>
      <c r="X291" s="57"/>
    </row>
    <row r="292" spans="1:24" ht="12.5" x14ac:dyDescent="0.25">
      <c r="A292" s="34"/>
      <c r="B292" s="7"/>
      <c r="C292" s="19"/>
      <c r="D292" s="7"/>
      <c r="E292" s="7"/>
      <c r="F292" s="7"/>
      <c r="G292" s="7"/>
      <c r="H292" s="6"/>
      <c r="I292" s="7"/>
      <c r="J292" s="7"/>
      <c r="K292" s="7"/>
      <c r="L292" s="7"/>
      <c r="M292" s="52"/>
      <c r="N292" s="7"/>
      <c r="O292" s="7"/>
      <c r="P292" s="47"/>
      <c r="Q292" s="47"/>
      <c r="R292" s="7"/>
      <c r="S292" s="51"/>
      <c r="T292" s="51"/>
      <c r="U292" s="7"/>
      <c r="V292" s="57"/>
      <c r="W292" s="57"/>
      <c r="X292" s="57"/>
    </row>
    <row r="293" spans="1:24" ht="12.5" x14ac:dyDescent="0.25">
      <c r="A293" s="34"/>
      <c r="B293" s="7"/>
      <c r="C293" s="19"/>
      <c r="D293" s="7"/>
      <c r="E293" s="7"/>
      <c r="F293" s="7"/>
      <c r="G293" s="7"/>
      <c r="H293" s="6"/>
      <c r="I293" s="7"/>
      <c r="J293" s="7"/>
      <c r="K293" s="7"/>
      <c r="L293" s="7"/>
      <c r="M293" s="52"/>
      <c r="N293" s="7"/>
      <c r="O293" s="7"/>
      <c r="P293" s="47"/>
      <c r="Q293" s="47"/>
      <c r="R293" s="7"/>
      <c r="S293" s="51"/>
      <c r="T293" s="51"/>
      <c r="U293" s="7"/>
      <c r="V293" s="57"/>
      <c r="W293" s="57"/>
      <c r="X293" s="57"/>
    </row>
    <row r="294" spans="1:24" ht="12.5" x14ac:dyDescent="0.25">
      <c r="A294" s="34"/>
      <c r="B294" s="7"/>
      <c r="C294" s="19"/>
      <c r="D294" s="7"/>
      <c r="E294" s="7"/>
      <c r="F294" s="7"/>
      <c r="G294" s="7"/>
      <c r="H294" s="6"/>
      <c r="I294" s="7"/>
      <c r="J294" s="7"/>
      <c r="K294" s="7"/>
      <c r="L294" s="7"/>
      <c r="M294" s="52"/>
      <c r="N294" s="7"/>
      <c r="O294" s="7"/>
      <c r="P294" s="47"/>
      <c r="Q294" s="47"/>
      <c r="R294" s="7"/>
      <c r="S294" s="51"/>
      <c r="T294" s="51"/>
      <c r="U294" s="7"/>
      <c r="V294" s="57"/>
      <c r="W294" s="57"/>
      <c r="X294" s="57"/>
    </row>
    <row r="295" spans="1:24" ht="12.5" x14ac:dyDescent="0.25">
      <c r="A295" s="34"/>
      <c r="B295" s="7"/>
      <c r="C295" s="19"/>
      <c r="D295" s="7"/>
      <c r="E295" s="7"/>
      <c r="F295" s="7"/>
      <c r="G295" s="7"/>
      <c r="H295" s="6"/>
      <c r="I295" s="7"/>
      <c r="J295" s="7"/>
      <c r="K295" s="7"/>
      <c r="L295" s="7"/>
      <c r="M295" s="52"/>
      <c r="N295" s="7"/>
      <c r="O295" s="7"/>
      <c r="P295" s="47"/>
      <c r="Q295" s="47"/>
      <c r="R295" s="7"/>
      <c r="S295" s="51"/>
      <c r="T295" s="51"/>
      <c r="U295" s="7"/>
      <c r="V295" s="57"/>
      <c r="W295" s="57"/>
      <c r="X295" s="57"/>
    </row>
    <row r="296" spans="1:24" ht="12.5" x14ac:dyDescent="0.25">
      <c r="A296" s="34"/>
      <c r="B296" s="7"/>
      <c r="C296" s="19"/>
      <c r="D296" s="7"/>
      <c r="E296" s="7"/>
      <c r="F296" s="7"/>
      <c r="G296" s="7"/>
      <c r="H296" s="6"/>
      <c r="I296" s="7"/>
      <c r="J296" s="7"/>
      <c r="K296" s="7"/>
      <c r="L296" s="7"/>
      <c r="M296" s="52"/>
      <c r="N296" s="7"/>
      <c r="O296" s="7"/>
      <c r="P296" s="47"/>
      <c r="Q296" s="47"/>
      <c r="R296" s="7"/>
      <c r="S296" s="51"/>
      <c r="T296" s="51"/>
      <c r="U296" s="7"/>
      <c r="V296" s="57"/>
      <c r="W296" s="57"/>
      <c r="X296" s="57"/>
    </row>
    <row r="297" spans="1:24" ht="12.5" x14ac:dyDescent="0.25">
      <c r="A297" s="34"/>
      <c r="B297" s="7"/>
      <c r="C297" s="19"/>
      <c r="D297" s="7"/>
      <c r="E297" s="7"/>
      <c r="F297" s="7"/>
      <c r="G297" s="7"/>
      <c r="H297" s="6"/>
      <c r="I297" s="7"/>
      <c r="J297" s="7"/>
      <c r="K297" s="7"/>
      <c r="L297" s="7"/>
      <c r="M297" s="52"/>
      <c r="N297" s="7"/>
      <c r="O297" s="7"/>
      <c r="P297" s="47"/>
      <c r="Q297" s="47"/>
      <c r="R297" s="7"/>
      <c r="S297" s="51"/>
      <c r="T297" s="51"/>
      <c r="U297" s="7"/>
      <c r="V297" s="57"/>
      <c r="W297" s="57"/>
      <c r="X297" s="57"/>
    </row>
    <row r="298" spans="1:24" ht="12.5" x14ac:dyDescent="0.25">
      <c r="A298" s="34"/>
      <c r="B298" s="7"/>
      <c r="C298" s="19"/>
      <c r="D298" s="7"/>
      <c r="E298" s="7"/>
      <c r="F298" s="7"/>
      <c r="G298" s="7"/>
      <c r="H298" s="6"/>
      <c r="I298" s="7"/>
      <c r="J298" s="7"/>
      <c r="K298" s="7"/>
      <c r="L298" s="7"/>
      <c r="M298" s="52"/>
      <c r="N298" s="7"/>
      <c r="O298" s="7"/>
      <c r="P298" s="47"/>
      <c r="Q298" s="47"/>
      <c r="R298" s="7"/>
      <c r="S298" s="51"/>
      <c r="T298" s="51"/>
      <c r="U298" s="7"/>
      <c r="V298" s="57"/>
      <c r="W298" s="57"/>
      <c r="X298" s="57"/>
    </row>
    <row r="299" spans="1:24" ht="12.5" x14ac:dyDescent="0.25">
      <c r="A299" s="34"/>
      <c r="B299" s="7"/>
      <c r="C299" s="19"/>
      <c r="D299" s="7"/>
      <c r="E299" s="7"/>
      <c r="F299" s="7"/>
      <c r="G299" s="7"/>
      <c r="H299" s="6"/>
      <c r="I299" s="7"/>
      <c r="J299" s="7"/>
      <c r="K299" s="7"/>
      <c r="L299" s="7"/>
      <c r="M299" s="52"/>
      <c r="N299" s="7"/>
      <c r="O299" s="7"/>
      <c r="P299" s="47"/>
      <c r="Q299" s="47"/>
      <c r="R299" s="7"/>
      <c r="S299" s="51"/>
      <c r="T299" s="51"/>
      <c r="U299" s="7"/>
      <c r="V299" s="57"/>
      <c r="W299" s="57"/>
      <c r="X299" s="57"/>
    </row>
    <row r="300" spans="1:24" ht="12.5" x14ac:dyDescent="0.25">
      <c r="A300" s="34"/>
      <c r="B300" s="7"/>
      <c r="C300" s="19"/>
      <c r="D300" s="7"/>
      <c r="E300" s="7"/>
      <c r="F300" s="7"/>
      <c r="G300" s="7"/>
      <c r="H300" s="6"/>
      <c r="I300" s="7"/>
      <c r="J300" s="7"/>
      <c r="K300" s="7"/>
      <c r="L300" s="7"/>
      <c r="M300" s="52"/>
      <c r="N300" s="7"/>
      <c r="O300" s="7"/>
      <c r="P300" s="47"/>
      <c r="Q300" s="47"/>
      <c r="R300" s="7"/>
      <c r="S300" s="51"/>
      <c r="T300" s="51"/>
      <c r="U300" s="7"/>
      <c r="V300" s="57"/>
      <c r="W300" s="57"/>
      <c r="X300" s="57"/>
    </row>
    <row r="301" spans="1:24" ht="12.5" x14ac:dyDescent="0.25">
      <c r="A301" s="34"/>
      <c r="B301" s="7"/>
      <c r="C301" s="19"/>
      <c r="D301" s="7"/>
      <c r="E301" s="7"/>
      <c r="F301" s="7"/>
      <c r="G301" s="7"/>
      <c r="H301" s="6"/>
      <c r="I301" s="7"/>
      <c r="J301" s="7"/>
      <c r="K301" s="7"/>
      <c r="L301" s="7"/>
      <c r="M301" s="52"/>
      <c r="N301" s="7"/>
      <c r="O301" s="7"/>
      <c r="P301" s="47"/>
      <c r="Q301" s="47"/>
      <c r="R301" s="7"/>
      <c r="S301" s="51"/>
      <c r="T301" s="51"/>
      <c r="U301" s="7"/>
      <c r="V301" s="57"/>
      <c r="W301" s="57"/>
      <c r="X301" s="57"/>
    </row>
    <row r="302" spans="1:24" ht="12.5" x14ac:dyDescent="0.25">
      <c r="A302" s="34"/>
      <c r="B302" s="7"/>
      <c r="C302" s="19"/>
      <c r="D302" s="7"/>
      <c r="E302" s="7"/>
      <c r="F302" s="7"/>
      <c r="G302" s="7"/>
      <c r="H302" s="6"/>
      <c r="I302" s="7"/>
      <c r="J302" s="7"/>
      <c r="K302" s="7"/>
      <c r="L302" s="7"/>
      <c r="M302" s="52"/>
      <c r="N302" s="7"/>
      <c r="O302" s="7"/>
      <c r="P302" s="47"/>
      <c r="Q302" s="47"/>
      <c r="R302" s="7"/>
      <c r="S302" s="51"/>
      <c r="T302" s="51"/>
      <c r="U302" s="7"/>
      <c r="V302" s="57"/>
      <c r="W302" s="57"/>
      <c r="X302" s="57"/>
    </row>
    <row r="303" spans="1:24" ht="12.5" x14ac:dyDescent="0.25">
      <c r="A303" s="34"/>
      <c r="B303" s="7"/>
      <c r="C303" s="19"/>
      <c r="D303" s="7"/>
      <c r="E303" s="7"/>
      <c r="F303" s="7"/>
      <c r="G303" s="7"/>
      <c r="H303" s="6"/>
      <c r="I303" s="7"/>
      <c r="J303" s="7"/>
      <c r="K303" s="7"/>
      <c r="L303" s="7"/>
      <c r="M303" s="52"/>
      <c r="N303" s="7"/>
      <c r="O303" s="7"/>
      <c r="P303" s="47"/>
      <c r="Q303" s="47"/>
      <c r="R303" s="7"/>
      <c r="S303" s="51"/>
      <c r="T303" s="51"/>
      <c r="U303" s="7"/>
      <c r="V303" s="57"/>
      <c r="W303" s="57"/>
      <c r="X303" s="57"/>
    </row>
    <row r="304" spans="1:24" ht="12.5" x14ac:dyDescent="0.25">
      <c r="A304" s="34"/>
      <c r="B304" s="7"/>
      <c r="C304" s="19"/>
      <c r="D304" s="7"/>
      <c r="E304" s="7"/>
      <c r="F304" s="7"/>
      <c r="G304" s="7"/>
      <c r="H304" s="6"/>
      <c r="I304" s="7"/>
      <c r="J304" s="7"/>
      <c r="K304" s="7"/>
      <c r="L304" s="7"/>
      <c r="M304" s="52"/>
      <c r="N304" s="7"/>
      <c r="O304" s="7"/>
      <c r="P304" s="47"/>
      <c r="Q304" s="47"/>
      <c r="R304" s="7"/>
      <c r="S304" s="51"/>
      <c r="T304" s="51"/>
      <c r="U304" s="7"/>
      <c r="V304" s="57"/>
      <c r="W304" s="57"/>
      <c r="X304" s="57"/>
    </row>
    <row r="305" spans="1:24" ht="12.5" x14ac:dyDescent="0.25">
      <c r="A305" s="34"/>
      <c r="B305" s="7"/>
      <c r="C305" s="19"/>
      <c r="D305" s="7"/>
      <c r="E305" s="7"/>
      <c r="F305" s="7"/>
      <c r="G305" s="7"/>
      <c r="H305" s="6"/>
      <c r="I305" s="7"/>
      <c r="J305" s="7"/>
      <c r="K305" s="7"/>
      <c r="L305" s="7"/>
      <c r="M305" s="52"/>
      <c r="N305" s="7"/>
      <c r="O305" s="7"/>
      <c r="P305" s="47"/>
      <c r="Q305" s="47"/>
      <c r="R305" s="7"/>
      <c r="S305" s="51"/>
      <c r="T305" s="51"/>
      <c r="U305" s="7"/>
      <c r="V305" s="57"/>
      <c r="W305" s="57"/>
      <c r="X305" s="57"/>
    </row>
    <row r="306" spans="1:24" ht="12.5" x14ac:dyDescent="0.25">
      <c r="A306" s="34"/>
      <c r="B306" s="7"/>
      <c r="C306" s="19"/>
      <c r="D306" s="7"/>
      <c r="E306" s="7"/>
      <c r="F306" s="7"/>
      <c r="G306" s="7"/>
      <c r="H306" s="6"/>
      <c r="I306" s="7"/>
      <c r="J306" s="7"/>
      <c r="K306" s="7"/>
      <c r="L306" s="7"/>
      <c r="M306" s="52"/>
      <c r="N306" s="7"/>
      <c r="O306" s="7"/>
      <c r="P306" s="47"/>
      <c r="Q306" s="47"/>
      <c r="R306" s="7"/>
      <c r="S306" s="51"/>
      <c r="T306" s="51"/>
      <c r="U306" s="7"/>
      <c r="V306" s="57"/>
      <c r="W306" s="57"/>
      <c r="X306" s="57"/>
    </row>
    <row r="307" spans="1:24" ht="12.5" x14ac:dyDescent="0.25">
      <c r="A307" s="34"/>
      <c r="B307" s="7"/>
      <c r="C307" s="19"/>
      <c r="D307" s="7"/>
      <c r="E307" s="7"/>
      <c r="F307" s="7"/>
      <c r="G307" s="7"/>
      <c r="H307" s="6"/>
      <c r="I307" s="7"/>
      <c r="J307" s="7"/>
      <c r="K307" s="7"/>
      <c r="L307" s="7"/>
      <c r="M307" s="52"/>
      <c r="N307" s="7"/>
      <c r="O307" s="7"/>
      <c r="P307" s="47"/>
      <c r="Q307" s="47"/>
      <c r="R307" s="7"/>
      <c r="S307" s="51"/>
      <c r="T307" s="51"/>
      <c r="U307" s="7"/>
      <c r="V307" s="57"/>
      <c r="W307" s="57"/>
      <c r="X307" s="57"/>
    </row>
    <row r="308" spans="1:24" ht="12.5" x14ac:dyDescent="0.25">
      <c r="A308" s="34"/>
      <c r="B308" s="7"/>
      <c r="C308" s="19"/>
      <c r="D308" s="7"/>
      <c r="E308" s="7"/>
      <c r="F308" s="7"/>
      <c r="G308" s="7"/>
      <c r="H308" s="6"/>
      <c r="I308" s="7"/>
      <c r="J308" s="7"/>
      <c r="K308" s="7"/>
      <c r="L308" s="7"/>
      <c r="M308" s="52"/>
      <c r="N308" s="7"/>
      <c r="O308" s="7"/>
      <c r="P308" s="47"/>
      <c r="Q308" s="47"/>
      <c r="R308" s="7"/>
      <c r="S308" s="51"/>
      <c r="T308" s="51"/>
      <c r="U308" s="7"/>
      <c r="V308" s="57"/>
      <c r="W308" s="57"/>
      <c r="X308" s="57"/>
    </row>
    <row r="309" spans="1:24" ht="12.5" x14ac:dyDescent="0.25">
      <c r="A309" s="34"/>
      <c r="B309" s="7"/>
      <c r="C309" s="19"/>
      <c r="D309" s="7"/>
      <c r="E309" s="7"/>
      <c r="F309" s="7"/>
      <c r="G309" s="7"/>
      <c r="H309" s="6"/>
      <c r="I309" s="7"/>
      <c r="J309" s="7"/>
      <c r="K309" s="7"/>
      <c r="L309" s="7"/>
      <c r="M309" s="52"/>
      <c r="N309" s="7"/>
      <c r="O309" s="7"/>
      <c r="P309" s="47"/>
      <c r="Q309" s="47"/>
      <c r="R309" s="7"/>
      <c r="S309" s="51"/>
      <c r="T309" s="51"/>
      <c r="U309" s="7"/>
      <c r="V309" s="57"/>
      <c r="W309" s="57"/>
      <c r="X309" s="57"/>
    </row>
    <row r="310" spans="1:24" ht="12.5" x14ac:dyDescent="0.25">
      <c r="A310" s="34"/>
      <c r="B310" s="7"/>
      <c r="C310" s="19"/>
      <c r="D310" s="7"/>
      <c r="E310" s="7"/>
      <c r="F310" s="7"/>
      <c r="G310" s="7"/>
      <c r="H310" s="6"/>
      <c r="I310" s="7"/>
      <c r="J310" s="7"/>
      <c r="K310" s="7"/>
      <c r="L310" s="7"/>
      <c r="M310" s="52"/>
      <c r="N310" s="7"/>
      <c r="O310" s="7"/>
      <c r="P310" s="47"/>
      <c r="Q310" s="47"/>
      <c r="R310" s="7"/>
      <c r="S310" s="51"/>
      <c r="T310" s="51"/>
      <c r="U310" s="7"/>
      <c r="V310" s="57"/>
      <c r="W310" s="57"/>
      <c r="X310" s="57"/>
    </row>
    <row r="311" spans="1:24" ht="12.5" x14ac:dyDescent="0.25">
      <c r="A311" s="34"/>
      <c r="B311" s="7"/>
      <c r="C311" s="19"/>
      <c r="D311" s="7"/>
      <c r="E311" s="7"/>
      <c r="F311" s="7"/>
      <c r="G311" s="7"/>
      <c r="H311" s="6"/>
      <c r="I311" s="7"/>
      <c r="J311" s="7"/>
      <c r="K311" s="7"/>
      <c r="L311" s="7"/>
      <c r="M311" s="52"/>
      <c r="N311" s="7"/>
      <c r="O311" s="7"/>
      <c r="P311" s="47"/>
      <c r="Q311" s="47"/>
      <c r="R311" s="7"/>
      <c r="S311" s="51"/>
      <c r="T311" s="51"/>
      <c r="U311" s="7"/>
      <c r="V311" s="57"/>
      <c r="W311" s="57"/>
      <c r="X311" s="57"/>
    </row>
    <row r="312" spans="1:24" ht="12.5" x14ac:dyDescent="0.25">
      <c r="A312" s="34"/>
      <c r="B312" s="7"/>
      <c r="C312" s="19"/>
      <c r="D312" s="7"/>
      <c r="E312" s="7"/>
      <c r="F312" s="7"/>
      <c r="G312" s="7"/>
      <c r="H312" s="6"/>
      <c r="I312" s="7"/>
      <c r="J312" s="7"/>
      <c r="K312" s="7"/>
      <c r="L312" s="7"/>
      <c r="M312" s="52"/>
      <c r="N312" s="7"/>
      <c r="O312" s="7"/>
      <c r="P312" s="47"/>
      <c r="Q312" s="47"/>
      <c r="R312" s="7"/>
      <c r="S312" s="51"/>
      <c r="T312" s="51"/>
      <c r="U312" s="7"/>
      <c r="V312" s="57"/>
      <c r="W312" s="57"/>
      <c r="X312" s="57"/>
    </row>
    <row r="313" spans="1:24" ht="12.5" x14ac:dyDescent="0.25">
      <c r="A313" s="34"/>
      <c r="B313" s="7"/>
      <c r="C313" s="19"/>
      <c r="D313" s="7"/>
      <c r="E313" s="7"/>
      <c r="F313" s="7"/>
      <c r="G313" s="7"/>
      <c r="H313" s="6"/>
      <c r="I313" s="7"/>
      <c r="J313" s="7"/>
      <c r="K313" s="7"/>
      <c r="L313" s="7"/>
      <c r="M313" s="52"/>
      <c r="N313" s="7"/>
      <c r="O313" s="7"/>
      <c r="P313" s="47"/>
      <c r="Q313" s="47"/>
      <c r="R313" s="7"/>
      <c r="S313" s="51"/>
      <c r="T313" s="51"/>
      <c r="U313" s="7"/>
      <c r="V313" s="57"/>
      <c r="W313" s="57"/>
      <c r="X313" s="57"/>
    </row>
    <row r="314" spans="1:24" ht="12.5" x14ac:dyDescent="0.25">
      <c r="A314" s="34"/>
      <c r="B314" s="7"/>
      <c r="C314" s="19"/>
      <c r="D314" s="7"/>
      <c r="E314" s="7"/>
      <c r="F314" s="7"/>
      <c r="G314" s="7"/>
      <c r="H314" s="6"/>
      <c r="I314" s="7"/>
      <c r="J314" s="7"/>
      <c r="K314" s="7"/>
      <c r="L314" s="7"/>
      <c r="M314" s="52"/>
      <c r="N314" s="7"/>
      <c r="O314" s="7"/>
      <c r="P314" s="47"/>
      <c r="Q314" s="47"/>
      <c r="R314" s="7"/>
      <c r="S314" s="51"/>
      <c r="T314" s="51"/>
      <c r="U314" s="7"/>
      <c r="V314" s="57"/>
      <c r="W314" s="57"/>
      <c r="X314" s="57"/>
    </row>
    <row r="315" spans="1:24" ht="12.5" x14ac:dyDescent="0.25">
      <c r="A315" s="34"/>
      <c r="B315" s="7"/>
      <c r="C315" s="19"/>
      <c r="D315" s="7"/>
      <c r="E315" s="7"/>
      <c r="F315" s="7"/>
      <c r="G315" s="7"/>
      <c r="H315" s="6"/>
      <c r="I315" s="7"/>
      <c r="J315" s="7"/>
      <c r="K315" s="7"/>
      <c r="L315" s="7"/>
      <c r="M315" s="52"/>
      <c r="N315" s="7"/>
      <c r="O315" s="7"/>
      <c r="P315" s="47"/>
      <c r="Q315" s="47"/>
      <c r="R315" s="7"/>
      <c r="S315" s="51"/>
      <c r="T315" s="51"/>
      <c r="U315" s="7"/>
      <c r="V315" s="57"/>
      <c r="W315" s="57"/>
      <c r="X315" s="57"/>
    </row>
    <row r="316" spans="1:24" ht="12.5" x14ac:dyDescent="0.25">
      <c r="A316" s="34"/>
      <c r="B316" s="7"/>
      <c r="C316" s="19"/>
      <c r="D316" s="7"/>
      <c r="E316" s="7"/>
      <c r="F316" s="7"/>
      <c r="G316" s="7"/>
      <c r="H316" s="6"/>
      <c r="I316" s="7"/>
      <c r="J316" s="7"/>
      <c r="K316" s="7"/>
      <c r="L316" s="7"/>
      <c r="M316" s="52"/>
      <c r="N316" s="7"/>
      <c r="O316" s="7"/>
      <c r="P316" s="47"/>
      <c r="Q316" s="47"/>
      <c r="R316" s="7"/>
      <c r="S316" s="51"/>
      <c r="T316" s="51"/>
      <c r="U316" s="7"/>
      <c r="V316" s="57"/>
      <c r="W316" s="57"/>
      <c r="X316" s="57"/>
    </row>
    <row r="317" spans="1:24" ht="12.5" x14ac:dyDescent="0.25">
      <c r="A317" s="34"/>
      <c r="B317" s="7"/>
      <c r="C317" s="19"/>
      <c r="D317" s="7"/>
      <c r="E317" s="7"/>
      <c r="F317" s="7"/>
      <c r="G317" s="7"/>
      <c r="H317" s="6"/>
      <c r="I317" s="7"/>
      <c r="J317" s="7"/>
      <c r="K317" s="7"/>
      <c r="L317" s="7"/>
      <c r="M317" s="52"/>
      <c r="N317" s="7"/>
      <c r="O317" s="7"/>
      <c r="P317" s="47"/>
      <c r="Q317" s="47"/>
      <c r="R317" s="7"/>
      <c r="S317" s="51"/>
      <c r="T317" s="51"/>
      <c r="U317" s="7"/>
      <c r="V317" s="57"/>
      <c r="W317" s="57"/>
      <c r="X317" s="57"/>
    </row>
    <row r="318" spans="1:24" ht="12.5" x14ac:dyDescent="0.25">
      <c r="A318" s="34"/>
      <c r="B318" s="7"/>
      <c r="C318" s="19"/>
      <c r="D318" s="7"/>
      <c r="E318" s="7"/>
      <c r="F318" s="7"/>
      <c r="G318" s="7"/>
      <c r="H318" s="6"/>
      <c r="I318" s="7"/>
      <c r="J318" s="7"/>
      <c r="K318" s="7"/>
      <c r="L318" s="7"/>
      <c r="M318" s="52"/>
      <c r="N318" s="7"/>
      <c r="O318" s="7"/>
      <c r="P318" s="47"/>
      <c r="Q318" s="47"/>
      <c r="R318" s="7"/>
      <c r="S318" s="51"/>
      <c r="T318" s="51"/>
      <c r="U318" s="7"/>
      <c r="V318" s="57"/>
      <c r="W318" s="57"/>
      <c r="X318" s="57"/>
    </row>
    <row r="319" spans="1:24" ht="12.5" x14ac:dyDescent="0.25">
      <c r="A319" s="34"/>
      <c r="B319" s="7"/>
      <c r="C319" s="19"/>
      <c r="D319" s="7"/>
      <c r="E319" s="7"/>
      <c r="F319" s="7"/>
      <c r="G319" s="7"/>
      <c r="H319" s="6"/>
      <c r="I319" s="7"/>
      <c r="J319" s="7"/>
      <c r="K319" s="7"/>
      <c r="L319" s="7"/>
      <c r="M319" s="52"/>
      <c r="N319" s="7"/>
      <c r="O319" s="7"/>
      <c r="P319" s="47"/>
      <c r="Q319" s="47"/>
      <c r="R319" s="7"/>
      <c r="S319" s="51"/>
      <c r="T319" s="51"/>
      <c r="U319" s="7"/>
      <c r="V319" s="57"/>
      <c r="W319" s="57"/>
      <c r="X319" s="57"/>
    </row>
    <row r="320" spans="1:24" ht="12.5" x14ac:dyDescent="0.25">
      <c r="A320" s="34"/>
      <c r="B320" s="7"/>
      <c r="C320" s="19"/>
      <c r="D320" s="7"/>
      <c r="E320" s="7"/>
      <c r="F320" s="7"/>
      <c r="G320" s="7"/>
      <c r="H320" s="6"/>
      <c r="I320" s="7"/>
      <c r="J320" s="7"/>
      <c r="K320" s="7"/>
      <c r="L320" s="7"/>
      <c r="M320" s="52"/>
      <c r="N320" s="7"/>
      <c r="O320" s="7"/>
      <c r="P320" s="47"/>
      <c r="Q320" s="47"/>
      <c r="R320" s="7"/>
      <c r="S320" s="51"/>
      <c r="T320" s="51"/>
      <c r="U320" s="7"/>
      <c r="V320" s="57"/>
      <c r="W320" s="57"/>
      <c r="X320" s="57"/>
    </row>
    <row r="321" spans="1:24" ht="12.5" x14ac:dyDescent="0.25">
      <c r="A321" s="34"/>
      <c r="B321" s="7"/>
      <c r="C321" s="19"/>
      <c r="D321" s="7"/>
      <c r="E321" s="7"/>
      <c r="F321" s="7"/>
      <c r="G321" s="7"/>
      <c r="H321" s="6"/>
      <c r="I321" s="7"/>
      <c r="J321" s="7"/>
      <c r="K321" s="7"/>
      <c r="L321" s="7"/>
      <c r="M321" s="52"/>
      <c r="N321" s="7"/>
      <c r="O321" s="7"/>
      <c r="P321" s="47"/>
      <c r="Q321" s="47"/>
      <c r="R321" s="7"/>
      <c r="S321" s="51"/>
      <c r="T321" s="51"/>
      <c r="U321" s="7"/>
      <c r="V321" s="57"/>
      <c r="W321" s="57"/>
      <c r="X321" s="57"/>
    </row>
    <row r="322" spans="1:24" ht="12.5" x14ac:dyDescent="0.25">
      <c r="A322" s="34"/>
      <c r="B322" s="7"/>
      <c r="C322" s="19"/>
      <c r="D322" s="7"/>
      <c r="E322" s="7"/>
      <c r="F322" s="7"/>
      <c r="G322" s="7"/>
      <c r="H322" s="6"/>
      <c r="I322" s="7"/>
      <c r="J322" s="7"/>
      <c r="K322" s="7"/>
      <c r="L322" s="7"/>
      <c r="M322" s="52"/>
      <c r="N322" s="7"/>
      <c r="O322" s="7"/>
      <c r="P322" s="47"/>
      <c r="Q322" s="47"/>
      <c r="R322" s="7"/>
      <c r="S322" s="51"/>
      <c r="T322" s="51"/>
      <c r="U322" s="7"/>
      <c r="V322" s="57"/>
      <c r="W322" s="57"/>
      <c r="X322" s="57"/>
    </row>
    <row r="323" spans="1:24" ht="12.5" x14ac:dyDescent="0.25">
      <c r="A323" s="34"/>
      <c r="B323" s="7"/>
      <c r="C323" s="19"/>
      <c r="D323" s="7"/>
      <c r="E323" s="7"/>
      <c r="F323" s="7"/>
      <c r="G323" s="7"/>
      <c r="H323" s="6"/>
      <c r="I323" s="7"/>
      <c r="J323" s="7"/>
      <c r="K323" s="7"/>
      <c r="L323" s="7"/>
      <c r="M323" s="52"/>
      <c r="N323" s="7"/>
      <c r="O323" s="7"/>
      <c r="P323" s="47"/>
      <c r="Q323" s="47"/>
      <c r="R323" s="7"/>
      <c r="S323" s="51"/>
      <c r="T323" s="51"/>
      <c r="U323" s="7"/>
      <c r="V323" s="57"/>
      <c r="W323" s="57"/>
      <c r="X323" s="57"/>
    </row>
    <row r="324" spans="1:24" ht="12.5" x14ac:dyDescent="0.25">
      <c r="A324" s="34"/>
      <c r="B324" s="7"/>
      <c r="C324" s="19"/>
      <c r="D324" s="7"/>
      <c r="E324" s="7"/>
      <c r="F324" s="7"/>
      <c r="G324" s="7"/>
      <c r="H324" s="6"/>
      <c r="I324" s="7"/>
      <c r="J324" s="7"/>
      <c r="K324" s="7"/>
      <c r="L324" s="7"/>
      <c r="M324" s="52"/>
      <c r="N324" s="7"/>
      <c r="O324" s="7"/>
      <c r="P324" s="47"/>
      <c r="Q324" s="47"/>
      <c r="R324" s="7"/>
      <c r="S324" s="51"/>
      <c r="T324" s="51"/>
      <c r="U324" s="7"/>
      <c r="V324" s="57"/>
      <c r="W324" s="57"/>
      <c r="X324" s="57"/>
    </row>
    <row r="325" spans="1:24" ht="12.5" x14ac:dyDescent="0.25">
      <c r="A325" s="34"/>
      <c r="B325" s="7"/>
      <c r="C325" s="19"/>
      <c r="D325" s="7"/>
      <c r="E325" s="7"/>
      <c r="F325" s="7"/>
      <c r="G325" s="7"/>
      <c r="H325" s="6"/>
      <c r="I325" s="7"/>
      <c r="J325" s="7"/>
      <c r="K325" s="7"/>
      <c r="L325" s="7"/>
      <c r="M325" s="52"/>
      <c r="N325" s="7"/>
      <c r="O325" s="7"/>
      <c r="P325" s="47"/>
      <c r="Q325" s="47"/>
      <c r="R325" s="7"/>
      <c r="S325" s="51"/>
      <c r="T325" s="51"/>
      <c r="U325" s="7"/>
      <c r="V325" s="57"/>
      <c r="W325" s="57"/>
      <c r="X325" s="57"/>
    </row>
    <row r="326" spans="1:24" ht="12.5" x14ac:dyDescent="0.25">
      <c r="A326" s="34"/>
      <c r="B326" s="7"/>
      <c r="C326" s="19"/>
      <c r="D326" s="7"/>
      <c r="E326" s="7"/>
      <c r="F326" s="7"/>
      <c r="G326" s="7"/>
      <c r="H326" s="6"/>
      <c r="I326" s="7"/>
      <c r="J326" s="7"/>
      <c r="K326" s="7"/>
      <c r="L326" s="7"/>
      <c r="M326" s="52"/>
      <c r="N326" s="7"/>
      <c r="O326" s="7"/>
      <c r="P326" s="47"/>
      <c r="Q326" s="47"/>
      <c r="R326" s="7"/>
      <c r="S326" s="51"/>
      <c r="T326" s="51"/>
      <c r="U326" s="7"/>
      <c r="V326" s="57"/>
      <c r="W326" s="57"/>
      <c r="X326" s="57"/>
    </row>
    <row r="327" spans="1:24" ht="12.5" x14ac:dyDescent="0.25">
      <c r="A327" s="34"/>
      <c r="B327" s="7"/>
      <c r="C327" s="19"/>
      <c r="D327" s="7"/>
      <c r="E327" s="7"/>
      <c r="F327" s="7"/>
      <c r="G327" s="7"/>
      <c r="H327" s="6"/>
      <c r="I327" s="7"/>
      <c r="J327" s="7"/>
      <c r="K327" s="7"/>
      <c r="L327" s="7"/>
      <c r="M327" s="52"/>
      <c r="N327" s="7"/>
      <c r="O327" s="7"/>
      <c r="P327" s="47"/>
      <c r="Q327" s="47"/>
      <c r="R327" s="7"/>
      <c r="S327" s="51"/>
      <c r="T327" s="51"/>
      <c r="U327" s="7"/>
      <c r="V327" s="57"/>
      <c r="W327" s="57"/>
      <c r="X327" s="57"/>
    </row>
    <row r="328" spans="1:24" ht="12.5" x14ac:dyDescent="0.25">
      <c r="A328" s="34"/>
      <c r="B328" s="7"/>
      <c r="C328" s="19"/>
      <c r="D328" s="7"/>
      <c r="E328" s="7"/>
      <c r="F328" s="7"/>
      <c r="G328" s="7"/>
      <c r="H328" s="6"/>
      <c r="I328" s="7"/>
      <c r="J328" s="7"/>
      <c r="K328" s="7"/>
      <c r="L328" s="7"/>
      <c r="M328" s="52"/>
      <c r="N328" s="7"/>
      <c r="O328" s="7"/>
      <c r="P328" s="47"/>
      <c r="Q328" s="47"/>
      <c r="R328" s="7"/>
      <c r="S328" s="51"/>
      <c r="T328" s="51"/>
      <c r="U328" s="7"/>
      <c r="V328" s="57"/>
      <c r="W328" s="57"/>
      <c r="X328" s="57"/>
    </row>
    <row r="329" spans="1:24" ht="12.5" x14ac:dyDescent="0.25">
      <c r="A329" s="34"/>
      <c r="B329" s="7"/>
      <c r="C329" s="19"/>
      <c r="D329" s="7"/>
      <c r="E329" s="7"/>
      <c r="F329" s="7"/>
      <c r="G329" s="7"/>
      <c r="H329" s="6"/>
      <c r="I329" s="7"/>
      <c r="J329" s="7"/>
      <c r="K329" s="7"/>
      <c r="L329" s="7"/>
      <c r="M329" s="52"/>
      <c r="N329" s="7"/>
      <c r="O329" s="7"/>
      <c r="P329" s="47"/>
      <c r="Q329" s="47"/>
      <c r="R329" s="7"/>
      <c r="S329" s="51"/>
      <c r="T329" s="51"/>
      <c r="U329" s="7"/>
      <c r="V329" s="57"/>
      <c r="W329" s="57"/>
      <c r="X329" s="57"/>
    </row>
    <row r="330" spans="1:24" ht="12.5" x14ac:dyDescent="0.25">
      <c r="A330" s="34"/>
      <c r="B330" s="7"/>
      <c r="C330" s="19"/>
      <c r="D330" s="7"/>
      <c r="E330" s="7"/>
      <c r="F330" s="7"/>
      <c r="G330" s="7"/>
      <c r="H330" s="6"/>
      <c r="I330" s="7"/>
      <c r="J330" s="7"/>
      <c r="K330" s="7"/>
      <c r="L330" s="7"/>
      <c r="M330" s="52"/>
      <c r="N330" s="7"/>
      <c r="O330" s="7"/>
      <c r="P330" s="47"/>
      <c r="Q330" s="47"/>
      <c r="R330" s="7"/>
      <c r="S330" s="51"/>
      <c r="T330" s="51"/>
      <c r="U330" s="7"/>
      <c r="V330" s="57"/>
      <c r="W330" s="57"/>
      <c r="X330" s="57"/>
    </row>
    <row r="331" spans="1:24" ht="12.5" x14ac:dyDescent="0.25">
      <c r="A331" s="34"/>
      <c r="B331" s="7"/>
      <c r="C331" s="19"/>
      <c r="D331" s="7"/>
      <c r="E331" s="7"/>
      <c r="F331" s="7"/>
      <c r="G331" s="7"/>
      <c r="H331" s="6"/>
      <c r="I331" s="7"/>
      <c r="J331" s="7"/>
      <c r="K331" s="7"/>
      <c r="L331" s="7"/>
      <c r="M331" s="52"/>
      <c r="N331" s="7"/>
      <c r="O331" s="7"/>
      <c r="P331" s="47"/>
      <c r="Q331" s="47"/>
      <c r="R331" s="7"/>
      <c r="S331" s="51"/>
      <c r="T331" s="51"/>
      <c r="U331" s="7"/>
      <c r="V331" s="57"/>
      <c r="W331" s="57"/>
      <c r="X331" s="57"/>
    </row>
    <row r="332" spans="1:24" ht="12.5" x14ac:dyDescent="0.25">
      <c r="A332" s="34"/>
      <c r="B332" s="7"/>
      <c r="C332" s="19"/>
      <c r="D332" s="7"/>
      <c r="E332" s="7"/>
      <c r="F332" s="7"/>
      <c r="G332" s="7"/>
      <c r="H332" s="6"/>
      <c r="I332" s="7"/>
      <c r="J332" s="7"/>
      <c r="K332" s="7"/>
      <c r="L332" s="7"/>
      <c r="M332" s="52"/>
      <c r="N332" s="7"/>
      <c r="O332" s="7"/>
      <c r="P332" s="47"/>
      <c r="Q332" s="47"/>
      <c r="R332" s="7"/>
      <c r="S332" s="51"/>
      <c r="T332" s="51"/>
      <c r="U332" s="7"/>
      <c r="V332" s="57"/>
      <c r="W332" s="57"/>
      <c r="X332" s="57"/>
    </row>
    <row r="333" spans="1:24" ht="12.5" x14ac:dyDescent="0.25">
      <c r="A333" s="34"/>
      <c r="B333" s="7"/>
      <c r="C333" s="19"/>
      <c r="D333" s="7"/>
      <c r="E333" s="7"/>
      <c r="F333" s="7"/>
      <c r="G333" s="7"/>
      <c r="H333" s="6"/>
      <c r="I333" s="7"/>
      <c r="J333" s="7"/>
      <c r="K333" s="7"/>
      <c r="L333" s="7"/>
      <c r="M333" s="52"/>
      <c r="N333" s="7"/>
      <c r="O333" s="7"/>
      <c r="P333" s="47"/>
      <c r="Q333" s="47"/>
      <c r="R333" s="7"/>
      <c r="S333" s="51"/>
      <c r="T333" s="51"/>
      <c r="U333" s="7"/>
      <c r="V333" s="57"/>
      <c r="W333" s="57"/>
      <c r="X333" s="57"/>
    </row>
    <row r="334" spans="1:24" ht="12.5" x14ac:dyDescent="0.25">
      <c r="A334" s="34"/>
      <c r="B334" s="7"/>
      <c r="C334" s="19"/>
      <c r="D334" s="7"/>
      <c r="E334" s="7"/>
      <c r="F334" s="7"/>
      <c r="G334" s="7"/>
      <c r="H334" s="6"/>
      <c r="I334" s="7"/>
      <c r="J334" s="7"/>
      <c r="K334" s="7"/>
      <c r="L334" s="7"/>
      <c r="M334" s="52"/>
      <c r="N334" s="7"/>
      <c r="O334" s="7"/>
      <c r="P334" s="47"/>
      <c r="Q334" s="47"/>
      <c r="R334" s="7"/>
      <c r="S334" s="51"/>
      <c r="T334" s="51"/>
      <c r="U334" s="7"/>
      <c r="V334" s="57"/>
      <c r="W334" s="57"/>
      <c r="X334" s="57"/>
    </row>
    <row r="335" spans="1:24" ht="12.5" x14ac:dyDescent="0.25">
      <c r="A335" s="34"/>
      <c r="B335" s="7"/>
      <c r="C335" s="19"/>
      <c r="D335" s="7"/>
      <c r="E335" s="7"/>
      <c r="F335" s="7"/>
      <c r="G335" s="7"/>
      <c r="H335" s="6"/>
      <c r="I335" s="7"/>
      <c r="J335" s="7"/>
      <c r="K335" s="7"/>
      <c r="L335" s="7"/>
      <c r="M335" s="52"/>
      <c r="N335" s="7"/>
      <c r="O335" s="7"/>
      <c r="P335" s="47"/>
      <c r="Q335" s="47"/>
      <c r="R335" s="7"/>
      <c r="S335" s="51"/>
      <c r="T335" s="51"/>
      <c r="U335" s="7"/>
      <c r="V335" s="57"/>
      <c r="W335" s="57"/>
      <c r="X335" s="57"/>
    </row>
    <row r="336" spans="1:24" ht="12.5" x14ac:dyDescent="0.25">
      <c r="A336" s="34"/>
      <c r="B336" s="7"/>
      <c r="C336" s="19"/>
      <c r="D336" s="7"/>
      <c r="E336" s="7"/>
      <c r="F336" s="7"/>
      <c r="G336" s="7"/>
      <c r="H336" s="6"/>
      <c r="I336" s="7"/>
      <c r="J336" s="7"/>
      <c r="K336" s="7"/>
      <c r="L336" s="7"/>
      <c r="M336" s="52"/>
      <c r="N336" s="7"/>
      <c r="O336" s="7"/>
      <c r="P336" s="47"/>
      <c r="Q336" s="47"/>
      <c r="R336" s="7"/>
      <c r="S336" s="51"/>
      <c r="T336" s="51"/>
      <c r="U336" s="7"/>
      <c r="V336" s="57"/>
      <c r="W336" s="57"/>
      <c r="X336" s="57"/>
    </row>
    <row r="337" spans="1:24" ht="12.5" x14ac:dyDescent="0.25">
      <c r="A337" s="34"/>
      <c r="B337" s="7"/>
      <c r="C337" s="19"/>
      <c r="D337" s="7"/>
      <c r="E337" s="7"/>
      <c r="F337" s="7"/>
      <c r="G337" s="7"/>
      <c r="H337" s="6"/>
      <c r="I337" s="7"/>
      <c r="J337" s="7"/>
      <c r="K337" s="7"/>
      <c r="L337" s="7"/>
      <c r="M337" s="52"/>
      <c r="N337" s="7"/>
      <c r="O337" s="7"/>
      <c r="P337" s="47"/>
      <c r="Q337" s="47"/>
      <c r="R337" s="7"/>
      <c r="S337" s="51"/>
      <c r="T337" s="51"/>
      <c r="U337" s="7"/>
      <c r="V337" s="57"/>
      <c r="W337" s="57"/>
      <c r="X337" s="57"/>
    </row>
    <row r="338" spans="1:24" ht="12.5" x14ac:dyDescent="0.25">
      <c r="A338" s="34"/>
      <c r="B338" s="7"/>
      <c r="C338" s="19"/>
      <c r="D338" s="7"/>
      <c r="E338" s="7"/>
      <c r="F338" s="7"/>
      <c r="G338" s="7"/>
      <c r="H338" s="6"/>
      <c r="I338" s="7"/>
      <c r="J338" s="7"/>
      <c r="K338" s="7"/>
      <c r="L338" s="7"/>
      <c r="M338" s="52"/>
      <c r="N338" s="7"/>
      <c r="O338" s="7"/>
      <c r="P338" s="47"/>
      <c r="Q338" s="47"/>
      <c r="R338" s="7"/>
      <c r="S338" s="51"/>
      <c r="T338" s="51"/>
      <c r="U338" s="7"/>
      <c r="V338" s="57"/>
      <c r="W338" s="57"/>
      <c r="X338" s="57"/>
    </row>
    <row r="339" spans="1:24" ht="12.5" x14ac:dyDescent="0.25">
      <c r="A339" s="34"/>
      <c r="B339" s="7"/>
      <c r="C339" s="19"/>
      <c r="D339" s="7"/>
      <c r="E339" s="7"/>
      <c r="F339" s="7"/>
      <c r="G339" s="7"/>
      <c r="H339" s="6"/>
      <c r="I339" s="7"/>
      <c r="J339" s="7"/>
      <c r="K339" s="7"/>
      <c r="L339" s="7"/>
      <c r="M339" s="52"/>
      <c r="N339" s="7"/>
      <c r="O339" s="7"/>
      <c r="P339" s="47"/>
      <c r="Q339" s="47"/>
      <c r="R339" s="7"/>
      <c r="S339" s="51"/>
      <c r="T339" s="51"/>
      <c r="U339" s="7"/>
      <c r="V339" s="57"/>
      <c r="W339" s="57"/>
      <c r="X339" s="57"/>
    </row>
    <row r="340" spans="1:24" ht="12.5" x14ac:dyDescent="0.25">
      <c r="A340" s="34"/>
      <c r="B340" s="7"/>
      <c r="C340" s="19"/>
      <c r="D340" s="7"/>
      <c r="E340" s="7"/>
      <c r="F340" s="7"/>
      <c r="G340" s="7"/>
      <c r="H340" s="6"/>
      <c r="I340" s="7"/>
      <c r="J340" s="7"/>
      <c r="K340" s="7"/>
      <c r="L340" s="7"/>
      <c r="M340" s="52"/>
      <c r="N340" s="7"/>
      <c r="O340" s="7"/>
      <c r="P340" s="47"/>
      <c r="Q340" s="47"/>
      <c r="R340" s="7"/>
      <c r="S340" s="51"/>
      <c r="T340" s="51"/>
      <c r="U340" s="7"/>
      <c r="V340" s="57"/>
      <c r="W340" s="57"/>
      <c r="X340" s="57"/>
    </row>
    <row r="341" spans="1:24" ht="12.5" x14ac:dyDescent="0.25">
      <c r="A341" s="34"/>
      <c r="B341" s="7"/>
      <c r="C341" s="19"/>
      <c r="D341" s="7"/>
      <c r="E341" s="7"/>
      <c r="F341" s="7"/>
      <c r="G341" s="7"/>
      <c r="H341" s="6"/>
      <c r="I341" s="7"/>
      <c r="J341" s="7"/>
      <c r="K341" s="7"/>
      <c r="L341" s="7"/>
      <c r="M341" s="52"/>
      <c r="N341" s="7"/>
      <c r="O341" s="7"/>
      <c r="P341" s="47"/>
      <c r="Q341" s="47"/>
      <c r="R341" s="7"/>
      <c r="S341" s="51"/>
      <c r="T341" s="51"/>
      <c r="U341" s="7"/>
      <c r="V341" s="57"/>
      <c r="W341" s="57"/>
      <c r="X341" s="57"/>
    </row>
    <row r="342" spans="1:24" ht="12.5" x14ac:dyDescent="0.25">
      <c r="A342" s="34"/>
      <c r="B342" s="7"/>
      <c r="C342" s="19"/>
      <c r="D342" s="7"/>
      <c r="E342" s="7"/>
      <c r="F342" s="7"/>
      <c r="G342" s="7"/>
      <c r="H342" s="6"/>
      <c r="I342" s="7"/>
      <c r="J342" s="7"/>
      <c r="K342" s="7"/>
      <c r="L342" s="7"/>
      <c r="M342" s="52"/>
      <c r="N342" s="7"/>
      <c r="O342" s="7"/>
      <c r="P342" s="47"/>
      <c r="Q342" s="47"/>
      <c r="R342" s="7"/>
      <c r="S342" s="51"/>
      <c r="T342" s="51"/>
      <c r="U342" s="7"/>
      <c r="V342" s="57"/>
      <c r="W342" s="57"/>
      <c r="X342" s="57"/>
    </row>
    <row r="343" spans="1:24" ht="12.5" x14ac:dyDescent="0.25">
      <c r="A343" s="34"/>
      <c r="B343" s="7"/>
      <c r="C343" s="19"/>
      <c r="D343" s="7"/>
      <c r="E343" s="7"/>
      <c r="F343" s="7"/>
      <c r="G343" s="7"/>
      <c r="H343" s="6"/>
      <c r="I343" s="7"/>
      <c r="J343" s="7"/>
      <c r="K343" s="7"/>
      <c r="L343" s="7"/>
      <c r="M343" s="52"/>
      <c r="N343" s="7"/>
      <c r="O343" s="7"/>
      <c r="P343" s="47"/>
      <c r="Q343" s="47"/>
      <c r="R343" s="7"/>
      <c r="S343" s="51"/>
      <c r="T343" s="51"/>
      <c r="U343" s="7"/>
      <c r="V343" s="57"/>
      <c r="W343" s="57"/>
      <c r="X343" s="57"/>
    </row>
    <row r="344" spans="1:24" ht="12.5" x14ac:dyDescent="0.25">
      <c r="A344" s="34"/>
      <c r="B344" s="7"/>
      <c r="C344" s="19"/>
      <c r="D344" s="7"/>
      <c r="E344" s="7"/>
      <c r="F344" s="7"/>
      <c r="G344" s="7"/>
      <c r="H344" s="6"/>
      <c r="I344" s="7"/>
      <c r="J344" s="7"/>
      <c r="K344" s="7"/>
      <c r="L344" s="7"/>
      <c r="M344" s="52"/>
      <c r="N344" s="7"/>
      <c r="O344" s="7"/>
      <c r="P344" s="47"/>
      <c r="Q344" s="47"/>
      <c r="R344" s="7"/>
      <c r="S344" s="51"/>
      <c r="T344" s="51"/>
      <c r="U344" s="7"/>
      <c r="V344" s="57"/>
      <c r="W344" s="57"/>
      <c r="X344" s="57"/>
    </row>
    <row r="345" spans="1:24" ht="12.5" x14ac:dyDescent="0.25">
      <c r="A345" s="34"/>
      <c r="B345" s="7"/>
      <c r="C345" s="19"/>
      <c r="D345" s="7"/>
      <c r="E345" s="7"/>
      <c r="F345" s="7"/>
      <c r="G345" s="7"/>
      <c r="H345" s="6"/>
      <c r="I345" s="7"/>
      <c r="J345" s="7"/>
      <c r="K345" s="7"/>
      <c r="L345" s="7"/>
      <c r="M345" s="52"/>
      <c r="N345" s="7"/>
      <c r="O345" s="7"/>
      <c r="P345" s="47"/>
      <c r="Q345" s="47"/>
      <c r="R345" s="7"/>
      <c r="S345" s="51"/>
      <c r="T345" s="51"/>
      <c r="U345" s="7"/>
      <c r="V345" s="57"/>
      <c r="W345" s="57"/>
      <c r="X345" s="57"/>
    </row>
    <row r="346" spans="1:24" ht="12.5" x14ac:dyDescent="0.25">
      <c r="A346" s="34"/>
      <c r="B346" s="7"/>
      <c r="C346" s="19"/>
      <c r="D346" s="7"/>
      <c r="E346" s="7"/>
      <c r="F346" s="7"/>
      <c r="G346" s="7"/>
      <c r="H346" s="6"/>
      <c r="I346" s="7"/>
      <c r="J346" s="7"/>
      <c r="K346" s="7"/>
      <c r="L346" s="7"/>
      <c r="M346" s="52"/>
      <c r="N346" s="7"/>
      <c r="O346" s="7"/>
      <c r="P346" s="47"/>
      <c r="Q346" s="47"/>
      <c r="R346" s="7"/>
      <c r="S346" s="51"/>
      <c r="T346" s="51"/>
      <c r="U346" s="7"/>
      <c r="V346" s="57"/>
      <c r="W346" s="57"/>
      <c r="X346" s="57"/>
    </row>
    <row r="347" spans="1:24" ht="12.5" x14ac:dyDescent="0.25">
      <c r="A347" s="34"/>
      <c r="B347" s="7"/>
      <c r="C347" s="19"/>
      <c r="D347" s="7"/>
      <c r="E347" s="7"/>
      <c r="F347" s="7"/>
      <c r="G347" s="7"/>
      <c r="H347" s="6"/>
      <c r="I347" s="7"/>
      <c r="J347" s="7"/>
      <c r="K347" s="7"/>
      <c r="L347" s="7"/>
      <c r="M347" s="52"/>
      <c r="N347" s="7"/>
      <c r="O347" s="7"/>
      <c r="P347" s="47"/>
      <c r="Q347" s="47"/>
      <c r="R347" s="7"/>
      <c r="S347" s="51"/>
      <c r="T347" s="51"/>
      <c r="U347" s="7"/>
      <c r="V347" s="57"/>
      <c r="W347" s="57"/>
      <c r="X347" s="57"/>
    </row>
    <row r="348" spans="1:24" ht="12.5" x14ac:dyDescent="0.25">
      <c r="A348" s="34"/>
      <c r="B348" s="7"/>
      <c r="C348" s="19"/>
      <c r="D348" s="7"/>
      <c r="E348" s="7"/>
      <c r="F348" s="7"/>
      <c r="G348" s="7"/>
      <c r="H348" s="6"/>
      <c r="I348" s="7"/>
      <c r="J348" s="7"/>
      <c r="K348" s="7"/>
      <c r="L348" s="7"/>
      <c r="M348" s="52"/>
      <c r="N348" s="7"/>
      <c r="O348" s="7"/>
      <c r="P348" s="47"/>
      <c r="Q348" s="47"/>
      <c r="R348" s="7"/>
      <c r="S348" s="51"/>
      <c r="T348" s="51"/>
      <c r="U348" s="7"/>
      <c r="V348" s="57"/>
      <c r="W348" s="57"/>
      <c r="X348" s="57"/>
    </row>
    <row r="349" spans="1:24" ht="12.5" x14ac:dyDescent="0.25">
      <c r="A349" s="34"/>
      <c r="B349" s="7"/>
      <c r="C349" s="19"/>
      <c r="D349" s="7"/>
      <c r="E349" s="7"/>
      <c r="F349" s="7"/>
      <c r="G349" s="7"/>
      <c r="H349" s="6"/>
      <c r="I349" s="7"/>
      <c r="J349" s="7"/>
      <c r="K349" s="7"/>
      <c r="L349" s="7"/>
      <c r="M349" s="52"/>
      <c r="N349" s="7"/>
      <c r="O349" s="7"/>
      <c r="P349" s="47"/>
      <c r="Q349" s="47"/>
      <c r="R349" s="7"/>
      <c r="S349" s="51"/>
      <c r="T349" s="51"/>
      <c r="U349" s="7"/>
      <c r="V349" s="57"/>
      <c r="W349" s="57"/>
      <c r="X349" s="57"/>
    </row>
    <row r="350" spans="1:24" ht="12.5" x14ac:dyDescent="0.25">
      <c r="A350" s="34"/>
      <c r="B350" s="7"/>
      <c r="C350" s="19"/>
      <c r="D350" s="7"/>
      <c r="E350" s="7"/>
      <c r="F350" s="7"/>
      <c r="G350" s="7"/>
      <c r="H350" s="6"/>
      <c r="I350" s="7"/>
      <c r="J350" s="7"/>
      <c r="K350" s="7"/>
      <c r="L350" s="7"/>
      <c r="M350" s="52"/>
      <c r="N350" s="7"/>
      <c r="O350" s="7"/>
      <c r="P350" s="47"/>
      <c r="Q350" s="47"/>
      <c r="R350" s="7"/>
      <c r="S350" s="51"/>
      <c r="T350" s="51"/>
      <c r="U350" s="7"/>
      <c r="V350" s="57"/>
      <c r="W350" s="57"/>
      <c r="X350" s="57"/>
    </row>
    <row r="351" spans="1:24" ht="12.5" x14ac:dyDescent="0.25">
      <c r="A351" s="34"/>
      <c r="B351" s="7"/>
      <c r="C351" s="19"/>
      <c r="D351" s="7"/>
      <c r="E351" s="7"/>
      <c r="F351" s="7"/>
      <c r="G351" s="7"/>
      <c r="H351" s="6"/>
      <c r="I351" s="7"/>
      <c r="J351" s="7"/>
      <c r="K351" s="7"/>
      <c r="L351" s="7"/>
      <c r="M351" s="52"/>
      <c r="N351" s="7"/>
      <c r="O351" s="7"/>
      <c r="P351" s="47"/>
      <c r="Q351" s="47"/>
      <c r="R351" s="7"/>
      <c r="S351" s="51"/>
      <c r="T351" s="51"/>
      <c r="U351" s="7"/>
      <c r="V351" s="57"/>
      <c r="W351" s="57"/>
      <c r="X351" s="57"/>
    </row>
    <row r="352" spans="1:24" ht="12.5" x14ac:dyDescent="0.25">
      <c r="A352" s="34"/>
      <c r="B352" s="7"/>
      <c r="C352" s="19"/>
      <c r="D352" s="7"/>
      <c r="E352" s="7"/>
      <c r="F352" s="7"/>
      <c r="G352" s="7"/>
      <c r="H352" s="6"/>
      <c r="I352" s="7"/>
      <c r="J352" s="7"/>
      <c r="K352" s="7"/>
      <c r="L352" s="7"/>
      <c r="M352" s="52"/>
      <c r="N352" s="7"/>
      <c r="O352" s="7"/>
      <c r="P352" s="47"/>
      <c r="Q352" s="47"/>
      <c r="R352" s="7"/>
      <c r="S352" s="51"/>
      <c r="T352" s="51"/>
      <c r="U352" s="7"/>
      <c r="V352" s="57"/>
      <c r="W352" s="57"/>
      <c r="X352" s="57"/>
    </row>
    <row r="353" spans="1:24" ht="12.5" x14ac:dyDescent="0.25">
      <c r="A353" s="34"/>
      <c r="B353" s="7"/>
      <c r="C353" s="19"/>
      <c r="D353" s="7"/>
      <c r="E353" s="7"/>
      <c r="F353" s="7"/>
      <c r="G353" s="7"/>
      <c r="H353" s="6"/>
      <c r="I353" s="7"/>
      <c r="J353" s="7"/>
      <c r="K353" s="7"/>
      <c r="L353" s="7"/>
      <c r="M353" s="52"/>
      <c r="N353" s="7"/>
      <c r="O353" s="7"/>
      <c r="P353" s="47"/>
      <c r="Q353" s="47"/>
      <c r="R353" s="7"/>
      <c r="S353" s="51"/>
      <c r="T353" s="51"/>
      <c r="U353" s="7"/>
      <c r="V353" s="57"/>
      <c r="W353" s="57"/>
      <c r="X353" s="57"/>
    </row>
    <row r="354" spans="1:24" ht="12.5" x14ac:dyDescent="0.25">
      <c r="A354" s="34"/>
      <c r="B354" s="7"/>
      <c r="C354" s="19"/>
      <c r="D354" s="7"/>
      <c r="E354" s="7"/>
      <c r="F354" s="7"/>
      <c r="G354" s="7"/>
      <c r="H354" s="6"/>
      <c r="I354" s="7"/>
      <c r="J354" s="7"/>
      <c r="K354" s="7"/>
      <c r="L354" s="7"/>
      <c r="M354" s="52"/>
      <c r="N354" s="7"/>
      <c r="O354" s="7"/>
      <c r="P354" s="47"/>
      <c r="Q354" s="47"/>
      <c r="R354" s="7"/>
      <c r="S354" s="51"/>
      <c r="T354" s="51"/>
      <c r="U354" s="7"/>
      <c r="V354" s="57"/>
      <c r="W354" s="57"/>
      <c r="X354" s="57"/>
    </row>
    <row r="355" spans="1:24" ht="12.5" x14ac:dyDescent="0.25">
      <c r="A355" s="34"/>
      <c r="B355" s="7"/>
      <c r="C355" s="19"/>
      <c r="D355" s="7"/>
      <c r="E355" s="7"/>
      <c r="F355" s="7"/>
      <c r="G355" s="7"/>
      <c r="H355" s="6"/>
      <c r="I355" s="7"/>
      <c r="J355" s="7"/>
      <c r="K355" s="7"/>
      <c r="L355" s="7"/>
      <c r="M355" s="52"/>
      <c r="N355" s="7"/>
      <c r="O355" s="7"/>
      <c r="P355" s="47"/>
      <c r="Q355" s="47"/>
      <c r="R355" s="7"/>
      <c r="S355" s="51"/>
      <c r="T355" s="51"/>
      <c r="U355" s="7"/>
      <c r="V355" s="57"/>
      <c r="W355" s="57"/>
      <c r="X355" s="57"/>
    </row>
    <row r="356" spans="1:24" ht="12.5" x14ac:dyDescent="0.25">
      <c r="A356" s="34"/>
      <c r="B356" s="7"/>
      <c r="C356" s="19"/>
      <c r="D356" s="7"/>
      <c r="E356" s="7"/>
      <c r="F356" s="7"/>
      <c r="G356" s="7"/>
      <c r="H356" s="6"/>
      <c r="I356" s="7"/>
      <c r="J356" s="7"/>
      <c r="K356" s="7"/>
      <c r="L356" s="7"/>
      <c r="M356" s="52"/>
      <c r="N356" s="7"/>
      <c r="O356" s="7"/>
      <c r="P356" s="47"/>
      <c r="Q356" s="47"/>
      <c r="R356" s="7"/>
      <c r="S356" s="51"/>
      <c r="T356" s="51"/>
      <c r="U356" s="7"/>
      <c r="V356" s="57"/>
      <c r="W356" s="57"/>
      <c r="X356" s="57"/>
    </row>
    <row r="357" spans="1:24" ht="12.5" x14ac:dyDescent="0.25">
      <c r="A357" s="34"/>
      <c r="B357" s="7"/>
      <c r="C357" s="19"/>
      <c r="D357" s="7"/>
      <c r="E357" s="7"/>
      <c r="F357" s="7"/>
      <c r="G357" s="7"/>
      <c r="H357" s="6"/>
      <c r="I357" s="7"/>
      <c r="J357" s="7"/>
      <c r="K357" s="7"/>
      <c r="L357" s="7"/>
      <c r="M357" s="52"/>
      <c r="N357" s="7"/>
      <c r="O357" s="7"/>
      <c r="P357" s="47"/>
      <c r="Q357" s="47"/>
      <c r="R357" s="7"/>
      <c r="S357" s="51"/>
      <c r="T357" s="51"/>
      <c r="U357" s="7"/>
      <c r="V357" s="57"/>
      <c r="W357" s="57"/>
      <c r="X357" s="57"/>
    </row>
    <row r="358" spans="1:24" ht="12.5" x14ac:dyDescent="0.25">
      <c r="A358" s="34"/>
      <c r="B358" s="7"/>
      <c r="C358" s="19"/>
      <c r="D358" s="7"/>
      <c r="E358" s="7"/>
      <c r="F358" s="7"/>
      <c r="G358" s="7"/>
      <c r="H358" s="6"/>
      <c r="I358" s="7"/>
      <c r="J358" s="7"/>
      <c r="K358" s="7"/>
      <c r="L358" s="7"/>
      <c r="M358" s="52"/>
      <c r="N358" s="7"/>
      <c r="O358" s="7"/>
      <c r="P358" s="47"/>
      <c r="Q358" s="47"/>
      <c r="R358" s="7"/>
      <c r="S358" s="51"/>
      <c r="T358" s="51"/>
      <c r="U358" s="7"/>
      <c r="V358" s="57"/>
      <c r="W358" s="57"/>
      <c r="X358" s="57"/>
    </row>
    <row r="359" spans="1:24" ht="12.5" x14ac:dyDescent="0.25">
      <c r="A359" s="34"/>
      <c r="B359" s="7"/>
      <c r="C359" s="19"/>
      <c r="D359" s="7"/>
      <c r="E359" s="7"/>
      <c r="F359" s="7"/>
      <c r="G359" s="7"/>
      <c r="H359" s="6"/>
      <c r="I359" s="7"/>
      <c r="J359" s="7"/>
      <c r="K359" s="7"/>
      <c r="L359" s="7"/>
      <c r="M359" s="52"/>
      <c r="N359" s="7"/>
      <c r="O359" s="7"/>
      <c r="P359" s="47"/>
      <c r="Q359" s="47"/>
      <c r="R359" s="7"/>
      <c r="S359" s="51"/>
      <c r="T359" s="51"/>
      <c r="U359" s="7"/>
      <c r="V359" s="57"/>
      <c r="W359" s="57"/>
      <c r="X359" s="57"/>
    </row>
    <row r="360" spans="1:24" ht="12.5" x14ac:dyDescent="0.25">
      <c r="A360" s="34"/>
      <c r="B360" s="7"/>
      <c r="C360" s="19"/>
      <c r="D360" s="7"/>
      <c r="E360" s="7"/>
      <c r="F360" s="7"/>
      <c r="G360" s="7"/>
      <c r="H360" s="6"/>
      <c r="I360" s="7"/>
      <c r="J360" s="7"/>
      <c r="K360" s="7"/>
      <c r="L360" s="7"/>
      <c r="M360" s="52"/>
      <c r="N360" s="7"/>
      <c r="O360" s="7"/>
      <c r="P360" s="47"/>
      <c r="Q360" s="47"/>
      <c r="R360" s="7"/>
      <c r="S360" s="51"/>
      <c r="T360" s="51"/>
      <c r="U360" s="7"/>
      <c r="V360" s="57"/>
      <c r="W360" s="57"/>
      <c r="X360" s="57"/>
    </row>
    <row r="361" spans="1:24" ht="12.5" x14ac:dyDescent="0.25">
      <c r="A361" s="34"/>
      <c r="B361" s="7"/>
      <c r="C361" s="19"/>
      <c r="D361" s="7"/>
      <c r="E361" s="7"/>
      <c r="F361" s="7"/>
      <c r="G361" s="7"/>
      <c r="H361" s="6"/>
      <c r="I361" s="7"/>
      <c r="J361" s="7"/>
      <c r="K361" s="7"/>
      <c r="L361" s="7"/>
      <c r="M361" s="52"/>
      <c r="N361" s="7"/>
      <c r="O361" s="7"/>
      <c r="P361" s="47"/>
      <c r="Q361" s="47"/>
      <c r="R361" s="7"/>
      <c r="S361" s="51"/>
      <c r="T361" s="51"/>
      <c r="U361" s="7"/>
      <c r="V361" s="57"/>
      <c r="W361" s="57"/>
      <c r="X361" s="57"/>
    </row>
    <row r="362" spans="1:24" ht="12.5" x14ac:dyDescent="0.25">
      <c r="A362" s="34"/>
      <c r="B362" s="7"/>
      <c r="C362" s="19"/>
      <c r="D362" s="7"/>
      <c r="E362" s="7"/>
      <c r="F362" s="7"/>
      <c r="G362" s="7"/>
      <c r="H362" s="6"/>
      <c r="I362" s="7"/>
      <c r="J362" s="7"/>
      <c r="K362" s="7"/>
      <c r="L362" s="7"/>
      <c r="M362" s="52"/>
      <c r="N362" s="7"/>
      <c r="O362" s="7"/>
      <c r="P362" s="47"/>
      <c r="Q362" s="47"/>
      <c r="R362" s="7"/>
      <c r="S362" s="51"/>
      <c r="T362" s="51"/>
      <c r="U362" s="7"/>
      <c r="V362" s="57"/>
      <c r="W362" s="57"/>
      <c r="X362" s="57"/>
    </row>
    <row r="363" spans="1:24" ht="12.5" x14ac:dyDescent="0.25">
      <c r="A363" s="34"/>
      <c r="B363" s="7"/>
      <c r="C363" s="19"/>
      <c r="D363" s="7"/>
      <c r="E363" s="7"/>
      <c r="F363" s="7"/>
      <c r="G363" s="7"/>
      <c r="H363" s="6"/>
      <c r="I363" s="7"/>
      <c r="J363" s="7"/>
      <c r="K363" s="7"/>
      <c r="L363" s="7"/>
      <c r="M363" s="52"/>
      <c r="N363" s="7"/>
      <c r="O363" s="7"/>
      <c r="P363" s="47"/>
      <c r="Q363" s="47"/>
      <c r="R363" s="7"/>
      <c r="S363" s="51"/>
      <c r="T363" s="51"/>
      <c r="U363" s="7"/>
      <c r="V363" s="57"/>
      <c r="W363" s="57"/>
      <c r="X363" s="57"/>
    </row>
    <row r="364" spans="1:24" ht="12.5" x14ac:dyDescent="0.25">
      <c r="A364" s="34"/>
      <c r="B364" s="7"/>
      <c r="C364" s="19"/>
      <c r="D364" s="7"/>
      <c r="E364" s="7"/>
      <c r="F364" s="7"/>
      <c r="G364" s="7"/>
      <c r="H364" s="6"/>
      <c r="I364" s="7"/>
      <c r="J364" s="7"/>
      <c r="K364" s="7"/>
      <c r="L364" s="7"/>
      <c r="M364" s="52"/>
      <c r="N364" s="7"/>
      <c r="O364" s="7"/>
      <c r="P364" s="47"/>
      <c r="Q364" s="47"/>
      <c r="R364" s="7"/>
      <c r="S364" s="51"/>
      <c r="T364" s="51"/>
      <c r="U364" s="7"/>
      <c r="V364" s="57"/>
      <c r="W364" s="57"/>
      <c r="X364" s="57"/>
    </row>
    <row r="365" spans="1:24" ht="12.5" x14ac:dyDescent="0.25">
      <c r="A365" s="34"/>
      <c r="B365" s="7"/>
      <c r="C365" s="19"/>
      <c r="D365" s="7"/>
      <c r="E365" s="7"/>
      <c r="F365" s="7"/>
      <c r="G365" s="7"/>
      <c r="H365" s="6"/>
      <c r="I365" s="7"/>
      <c r="J365" s="7"/>
      <c r="K365" s="7"/>
      <c r="L365" s="7"/>
      <c r="M365" s="52"/>
      <c r="N365" s="7"/>
      <c r="O365" s="7"/>
      <c r="P365" s="47"/>
      <c r="Q365" s="47"/>
      <c r="R365" s="7"/>
      <c r="S365" s="51"/>
      <c r="T365" s="51"/>
      <c r="U365" s="7"/>
      <c r="V365" s="57"/>
      <c r="W365" s="57"/>
      <c r="X365" s="57"/>
    </row>
    <row r="366" spans="1:24" ht="12.5" x14ac:dyDescent="0.25">
      <c r="A366" s="34"/>
      <c r="B366" s="7"/>
      <c r="C366" s="19"/>
      <c r="D366" s="7"/>
      <c r="E366" s="7"/>
      <c r="F366" s="7"/>
      <c r="G366" s="7"/>
      <c r="H366" s="6"/>
      <c r="I366" s="7"/>
      <c r="J366" s="7"/>
      <c r="K366" s="7"/>
      <c r="L366" s="7"/>
      <c r="M366" s="52"/>
      <c r="N366" s="7"/>
      <c r="O366" s="7"/>
      <c r="P366" s="47"/>
      <c r="Q366" s="47"/>
      <c r="R366" s="7"/>
      <c r="S366" s="51"/>
      <c r="T366" s="51"/>
      <c r="U366" s="7"/>
      <c r="V366" s="57"/>
      <c r="W366" s="57"/>
      <c r="X366" s="57"/>
    </row>
    <row r="367" spans="1:24" ht="12.5" x14ac:dyDescent="0.25">
      <c r="A367" s="34"/>
      <c r="B367" s="7"/>
      <c r="C367" s="19"/>
      <c r="D367" s="7"/>
      <c r="E367" s="7"/>
      <c r="F367" s="7"/>
      <c r="G367" s="7"/>
      <c r="H367" s="6"/>
      <c r="I367" s="7"/>
      <c r="J367" s="7"/>
      <c r="K367" s="7"/>
      <c r="L367" s="7"/>
      <c r="M367" s="52"/>
      <c r="N367" s="7"/>
      <c r="O367" s="7"/>
      <c r="P367" s="47"/>
      <c r="Q367" s="47"/>
      <c r="R367" s="7"/>
      <c r="S367" s="51"/>
      <c r="T367" s="51"/>
      <c r="U367" s="7"/>
      <c r="V367" s="57"/>
      <c r="W367" s="57"/>
      <c r="X367" s="57"/>
    </row>
    <row r="368" spans="1:24" ht="12.5" x14ac:dyDescent="0.25">
      <c r="A368" s="34"/>
      <c r="B368" s="7"/>
      <c r="C368" s="19"/>
      <c r="D368" s="7"/>
      <c r="E368" s="7"/>
      <c r="F368" s="7"/>
      <c r="G368" s="7"/>
      <c r="H368" s="6"/>
      <c r="I368" s="7"/>
      <c r="J368" s="7"/>
      <c r="K368" s="7"/>
      <c r="L368" s="7"/>
      <c r="M368" s="52"/>
      <c r="N368" s="7"/>
      <c r="O368" s="7"/>
      <c r="P368" s="47"/>
      <c r="Q368" s="47"/>
      <c r="R368" s="7"/>
      <c r="S368" s="51"/>
      <c r="T368" s="51"/>
      <c r="U368" s="7"/>
      <c r="V368" s="57"/>
      <c r="W368" s="57"/>
      <c r="X368" s="57"/>
    </row>
    <row r="369" spans="1:24" ht="12.5" x14ac:dyDescent="0.25">
      <c r="A369" s="34"/>
      <c r="B369" s="7"/>
      <c r="C369" s="19"/>
      <c r="D369" s="7"/>
      <c r="E369" s="7"/>
      <c r="F369" s="7"/>
      <c r="G369" s="7"/>
      <c r="H369" s="6"/>
      <c r="I369" s="7"/>
      <c r="J369" s="7"/>
      <c r="K369" s="7"/>
      <c r="L369" s="7"/>
      <c r="M369" s="52"/>
      <c r="N369" s="7"/>
      <c r="O369" s="7"/>
      <c r="P369" s="47"/>
      <c r="Q369" s="47"/>
      <c r="R369" s="7"/>
      <c r="S369" s="51"/>
      <c r="T369" s="51"/>
      <c r="U369" s="7"/>
      <c r="V369" s="57"/>
      <c r="W369" s="57"/>
      <c r="X369" s="57"/>
    </row>
    <row r="370" spans="1:24" ht="12.5" x14ac:dyDescent="0.25">
      <c r="A370" s="34"/>
      <c r="B370" s="7"/>
      <c r="C370" s="19"/>
      <c r="D370" s="7"/>
      <c r="E370" s="7"/>
      <c r="F370" s="7"/>
      <c r="G370" s="7"/>
      <c r="H370" s="6"/>
      <c r="I370" s="7"/>
      <c r="J370" s="7"/>
      <c r="K370" s="7"/>
      <c r="L370" s="7"/>
      <c r="M370" s="52"/>
      <c r="N370" s="7"/>
      <c r="O370" s="7"/>
      <c r="P370" s="47"/>
      <c r="Q370" s="47"/>
      <c r="R370" s="7"/>
      <c r="S370" s="51"/>
      <c r="T370" s="51"/>
      <c r="U370" s="7"/>
      <c r="V370" s="57"/>
      <c r="W370" s="57"/>
      <c r="X370" s="57"/>
    </row>
    <row r="371" spans="1:24" ht="12.5" x14ac:dyDescent="0.25">
      <c r="A371" s="34"/>
      <c r="B371" s="7"/>
      <c r="C371" s="19"/>
      <c r="D371" s="7"/>
      <c r="E371" s="7"/>
      <c r="F371" s="7"/>
      <c r="G371" s="7"/>
      <c r="H371" s="6"/>
      <c r="I371" s="7"/>
      <c r="J371" s="7"/>
      <c r="K371" s="7"/>
      <c r="L371" s="7"/>
      <c r="M371" s="52"/>
      <c r="N371" s="7"/>
      <c r="O371" s="7"/>
      <c r="P371" s="47"/>
      <c r="Q371" s="47"/>
      <c r="R371" s="7"/>
      <c r="S371" s="51"/>
      <c r="T371" s="51"/>
      <c r="U371" s="7"/>
      <c r="V371" s="57"/>
      <c r="W371" s="57"/>
      <c r="X371" s="57"/>
    </row>
    <row r="372" spans="1:24" ht="12.5" x14ac:dyDescent="0.25">
      <c r="A372" s="34"/>
      <c r="B372" s="7"/>
      <c r="C372" s="19"/>
      <c r="D372" s="7"/>
      <c r="E372" s="7"/>
      <c r="F372" s="7"/>
      <c r="G372" s="7"/>
      <c r="H372" s="6"/>
      <c r="I372" s="7"/>
      <c r="J372" s="7"/>
      <c r="K372" s="7"/>
      <c r="L372" s="7"/>
      <c r="M372" s="52"/>
      <c r="N372" s="7"/>
      <c r="O372" s="7"/>
      <c r="P372" s="47"/>
      <c r="Q372" s="47"/>
      <c r="R372" s="7"/>
      <c r="S372" s="51"/>
      <c r="T372" s="51"/>
      <c r="U372" s="7"/>
      <c r="V372" s="57"/>
      <c r="W372" s="57"/>
      <c r="X372" s="57"/>
    </row>
    <row r="373" spans="1:24" ht="12.5" x14ac:dyDescent="0.25">
      <c r="A373" s="34"/>
      <c r="B373" s="7"/>
      <c r="C373" s="19"/>
      <c r="D373" s="7"/>
      <c r="E373" s="7"/>
      <c r="F373" s="7"/>
      <c r="G373" s="7"/>
      <c r="H373" s="6"/>
      <c r="I373" s="7"/>
      <c r="J373" s="7"/>
      <c r="K373" s="7"/>
      <c r="L373" s="7"/>
      <c r="M373" s="52"/>
      <c r="N373" s="7"/>
      <c r="O373" s="7"/>
      <c r="P373" s="47"/>
      <c r="Q373" s="47"/>
      <c r="R373" s="7"/>
      <c r="S373" s="51"/>
      <c r="T373" s="51"/>
      <c r="U373" s="7"/>
      <c r="V373" s="57"/>
      <c r="W373" s="57"/>
      <c r="X373" s="57"/>
    </row>
    <row r="374" spans="1:24" ht="12.5" x14ac:dyDescent="0.25">
      <c r="A374" s="34"/>
      <c r="B374" s="7"/>
      <c r="C374" s="19"/>
      <c r="D374" s="7"/>
      <c r="E374" s="7"/>
      <c r="F374" s="7"/>
      <c r="G374" s="7"/>
      <c r="H374" s="6"/>
      <c r="I374" s="7"/>
      <c r="J374" s="7"/>
      <c r="K374" s="7"/>
      <c r="L374" s="7"/>
      <c r="M374" s="52"/>
      <c r="N374" s="7"/>
      <c r="O374" s="7"/>
      <c r="P374" s="47"/>
      <c r="Q374" s="47"/>
      <c r="R374" s="7"/>
      <c r="S374" s="51"/>
      <c r="T374" s="51"/>
      <c r="U374" s="7"/>
      <c r="V374" s="57"/>
      <c r="W374" s="57"/>
      <c r="X374" s="57"/>
    </row>
    <row r="375" spans="1:24" ht="12.5" x14ac:dyDescent="0.25">
      <c r="A375" s="34"/>
      <c r="B375" s="7"/>
      <c r="C375" s="19"/>
      <c r="D375" s="7"/>
      <c r="E375" s="7"/>
      <c r="F375" s="7"/>
      <c r="G375" s="7"/>
      <c r="H375" s="6"/>
      <c r="I375" s="7"/>
      <c r="J375" s="7"/>
      <c r="K375" s="7"/>
      <c r="L375" s="7"/>
      <c r="M375" s="52"/>
      <c r="N375" s="7"/>
      <c r="O375" s="7"/>
      <c r="P375" s="47"/>
      <c r="Q375" s="47"/>
      <c r="R375" s="7"/>
      <c r="S375" s="51"/>
      <c r="T375" s="51"/>
      <c r="U375" s="7"/>
      <c r="V375" s="57"/>
      <c r="W375" s="57"/>
      <c r="X375" s="57"/>
    </row>
    <row r="376" spans="1:24" ht="12.5" x14ac:dyDescent="0.25">
      <c r="A376" s="34"/>
      <c r="B376" s="7"/>
      <c r="C376" s="19"/>
      <c r="D376" s="7"/>
      <c r="E376" s="7"/>
      <c r="F376" s="7"/>
      <c r="G376" s="7"/>
      <c r="H376" s="6"/>
      <c r="I376" s="7"/>
      <c r="J376" s="7"/>
      <c r="K376" s="7"/>
      <c r="L376" s="7"/>
      <c r="M376" s="52"/>
      <c r="N376" s="7"/>
      <c r="O376" s="7"/>
      <c r="P376" s="47"/>
      <c r="Q376" s="47"/>
      <c r="R376" s="7"/>
      <c r="S376" s="51"/>
      <c r="T376" s="51"/>
      <c r="U376" s="7"/>
      <c r="V376" s="57"/>
      <c r="W376" s="57"/>
      <c r="X376" s="57"/>
    </row>
    <row r="377" spans="1:24" ht="12.5" x14ac:dyDescent="0.25">
      <c r="A377" s="34"/>
      <c r="B377" s="7"/>
      <c r="C377" s="19"/>
      <c r="D377" s="7"/>
      <c r="E377" s="7"/>
      <c r="F377" s="7"/>
      <c r="G377" s="7"/>
      <c r="H377" s="6"/>
      <c r="I377" s="7"/>
      <c r="J377" s="7"/>
      <c r="K377" s="7"/>
      <c r="L377" s="7"/>
      <c r="M377" s="52"/>
      <c r="N377" s="7"/>
      <c r="O377" s="7"/>
      <c r="P377" s="47"/>
      <c r="Q377" s="47"/>
      <c r="R377" s="7"/>
      <c r="S377" s="51"/>
      <c r="T377" s="51"/>
      <c r="U377" s="7"/>
      <c r="V377" s="57"/>
      <c r="W377" s="57"/>
      <c r="X377" s="57"/>
    </row>
    <row r="378" spans="1:24" ht="12.5" x14ac:dyDescent="0.25">
      <c r="A378" s="34"/>
      <c r="B378" s="7"/>
      <c r="C378" s="19"/>
      <c r="D378" s="7"/>
      <c r="E378" s="7"/>
      <c r="F378" s="7"/>
      <c r="G378" s="7"/>
      <c r="H378" s="6"/>
      <c r="I378" s="7"/>
      <c r="J378" s="7"/>
      <c r="K378" s="7"/>
      <c r="L378" s="7"/>
      <c r="M378" s="52"/>
      <c r="N378" s="7"/>
      <c r="O378" s="7"/>
      <c r="P378" s="47"/>
      <c r="Q378" s="47"/>
      <c r="R378" s="7"/>
      <c r="S378" s="51"/>
      <c r="T378" s="51"/>
      <c r="U378" s="7"/>
      <c r="V378" s="57"/>
      <c r="W378" s="57"/>
      <c r="X378" s="57"/>
    </row>
    <row r="379" spans="1:24" ht="12.5" x14ac:dyDescent="0.25">
      <c r="A379" s="34"/>
      <c r="B379" s="7"/>
      <c r="C379" s="19"/>
      <c r="D379" s="7"/>
      <c r="E379" s="7"/>
      <c r="F379" s="7"/>
      <c r="G379" s="7"/>
      <c r="H379" s="6"/>
      <c r="I379" s="7"/>
      <c r="J379" s="7"/>
      <c r="K379" s="7"/>
      <c r="L379" s="7"/>
      <c r="M379" s="52"/>
      <c r="N379" s="7"/>
      <c r="O379" s="7"/>
      <c r="P379" s="47"/>
      <c r="Q379" s="47"/>
      <c r="R379" s="7"/>
      <c r="S379" s="51"/>
      <c r="T379" s="51"/>
      <c r="U379" s="7"/>
      <c r="V379" s="57"/>
      <c r="W379" s="57"/>
      <c r="X379" s="57"/>
    </row>
    <row r="380" spans="1:24" ht="12.5" x14ac:dyDescent="0.25">
      <c r="A380" s="34"/>
      <c r="B380" s="7"/>
      <c r="C380" s="19"/>
      <c r="D380" s="7"/>
      <c r="E380" s="7"/>
      <c r="F380" s="7"/>
      <c r="G380" s="7"/>
      <c r="H380" s="6"/>
      <c r="I380" s="7"/>
      <c r="J380" s="7"/>
      <c r="K380" s="7"/>
      <c r="L380" s="7"/>
      <c r="M380" s="52"/>
      <c r="N380" s="7"/>
      <c r="O380" s="7"/>
      <c r="P380" s="47"/>
      <c r="Q380" s="47"/>
      <c r="R380" s="7"/>
      <c r="S380" s="51"/>
      <c r="T380" s="51"/>
      <c r="U380" s="7"/>
      <c r="V380" s="57"/>
      <c r="W380" s="57"/>
      <c r="X380" s="57"/>
    </row>
    <row r="381" spans="1:24" ht="12.5" x14ac:dyDescent="0.25">
      <c r="A381" s="34"/>
      <c r="B381" s="7"/>
      <c r="C381" s="19"/>
      <c r="D381" s="7"/>
      <c r="E381" s="7"/>
      <c r="F381" s="7"/>
      <c r="G381" s="7"/>
      <c r="H381" s="6"/>
      <c r="I381" s="7"/>
      <c r="J381" s="7"/>
      <c r="K381" s="7"/>
      <c r="L381" s="7"/>
      <c r="M381" s="52"/>
      <c r="N381" s="7"/>
      <c r="O381" s="7"/>
      <c r="P381" s="47"/>
      <c r="Q381" s="47"/>
      <c r="R381" s="7"/>
      <c r="S381" s="51"/>
      <c r="T381" s="51"/>
      <c r="U381" s="7"/>
      <c r="V381" s="57"/>
      <c r="W381" s="57"/>
      <c r="X381" s="57"/>
    </row>
    <row r="382" spans="1:24" ht="12.5" x14ac:dyDescent="0.25">
      <c r="A382" s="34"/>
      <c r="B382" s="7"/>
      <c r="C382" s="19"/>
      <c r="D382" s="7"/>
      <c r="E382" s="7"/>
      <c r="F382" s="7"/>
      <c r="G382" s="7"/>
      <c r="H382" s="6"/>
      <c r="I382" s="7"/>
      <c r="J382" s="7"/>
      <c r="K382" s="7"/>
      <c r="L382" s="7"/>
      <c r="M382" s="52"/>
      <c r="N382" s="7"/>
      <c r="O382" s="7"/>
      <c r="P382" s="47"/>
      <c r="Q382" s="47"/>
      <c r="R382" s="7"/>
      <c r="S382" s="51"/>
      <c r="T382" s="51"/>
      <c r="U382" s="7"/>
      <c r="V382" s="57"/>
      <c r="W382" s="57"/>
      <c r="X382" s="57"/>
    </row>
    <row r="383" spans="1:24" ht="12.5" x14ac:dyDescent="0.25">
      <c r="A383" s="34"/>
      <c r="B383" s="7"/>
      <c r="C383" s="19"/>
      <c r="D383" s="7"/>
      <c r="E383" s="7"/>
      <c r="F383" s="7"/>
      <c r="G383" s="7"/>
      <c r="H383" s="6"/>
      <c r="I383" s="7"/>
      <c r="J383" s="7"/>
      <c r="K383" s="7"/>
      <c r="L383" s="7"/>
      <c r="M383" s="52"/>
      <c r="N383" s="7"/>
      <c r="O383" s="7"/>
      <c r="P383" s="47"/>
      <c r="Q383" s="47"/>
      <c r="R383" s="7"/>
      <c r="S383" s="51"/>
      <c r="T383" s="51"/>
      <c r="U383" s="7"/>
      <c r="V383" s="57"/>
      <c r="W383" s="57"/>
      <c r="X383" s="57"/>
    </row>
    <row r="384" spans="1:24" ht="12.5" x14ac:dyDescent="0.25">
      <c r="A384" s="34"/>
      <c r="B384" s="7"/>
      <c r="C384" s="19"/>
      <c r="D384" s="7"/>
      <c r="E384" s="7"/>
      <c r="F384" s="7"/>
      <c r="G384" s="7"/>
      <c r="H384" s="6"/>
      <c r="I384" s="7"/>
      <c r="J384" s="7"/>
      <c r="K384" s="7"/>
      <c r="L384" s="7"/>
      <c r="M384" s="52"/>
      <c r="N384" s="7"/>
      <c r="O384" s="7"/>
      <c r="P384" s="47"/>
      <c r="Q384" s="47"/>
      <c r="R384" s="7"/>
      <c r="S384" s="51"/>
      <c r="T384" s="51"/>
      <c r="U384" s="7"/>
      <c r="V384" s="57"/>
      <c r="W384" s="57"/>
      <c r="X384" s="57"/>
    </row>
    <row r="385" spans="1:24" ht="12.5" x14ac:dyDescent="0.25">
      <c r="A385" s="34"/>
      <c r="B385" s="7"/>
      <c r="C385" s="19"/>
      <c r="D385" s="7"/>
      <c r="E385" s="7"/>
      <c r="F385" s="7"/>
      <c r="G385" s="7"/>
      <c r="H385" s="6"/>
      <c r="I385" s="7"/>
      <c r="J385" s="7"/>
      <c r="K385" s="7"/>
      <c r="L385" s="7"/>
      <c r="M385" s="52"/>
      <c r="N385" s="7"/>
      <c r="O385" s="7"/>
      <c r="P385" s="47"/>
      <c r="Q385" s="47"/>
      <c r="R385" s="7"/>
      <c r="S385" s="51"/>
      <c r="T385" s="51"/>
      <c r="U385" s="7"/>
      <c r="V385" s="57"/>
      <c r="W385" s="57"/>
      <c r="X385" s="57"/>
    </row>
    <row r="386" spans="1:24" ht="12.5" x14ac:dyDescent="0.25">
      <c r="A386" s="34"/>
      <c r="B386" s="7"/>
      <c r="C386" s="19"/>
      <c r="D386" s="7"/>
      <c r="E386" s="7"/>
      <c r="F386" s="7"/>
      <c r="G386" s="7"/>
      <c r="H386" s="6"/>
      <c r="I386" s="7"/>
      <c r="J386" s="7"/>
      <c r="K386" s="7"/>
      <c r="L386" s="7"/>
      <c r="M386" s="52"/>
      <c r="N386" s="7"/>
      <c r="O386" s="7"/>
      <c r="P386" s="47"/>
      <c r="Q386" s="47"/>
      <c r="R386" s="7"/>
      <c r="S386" s="51"/>
      <c r="T386" s="51"/>
      <c r="U386" s="7"/>
      <c r="V386" s="57"/>
      <c r="W386" s="57"/>
      <c r="X386" s="57"/>
    </row>
    <row r="387" spans="1:24" ht="12.5" x14ac:dyDescent="0.25">
      <c r="A387" s="34"/>
      <c r="B387" s="7"/>
      <c r="C387" s="19"/>
      <c r="D387" s="7"/>
      <c r="E387" s="7"/>
      <c r="F387" s="7"/>
      <c r="G387" s="7"/>
      <c r="H387" s="6"/>
      <c r="I387" s="7"/>
      <c r="J387" s="7"/>
      <c r="K387" s="7"/>
      <c r="L387" s="7"/>
      <c r="M387" s="52"/>
      <c r="N387" s="7"/>
      <c r="O387" s="7"/>
      <c r="P387" s="47"/>
      <c r="Q387" s="47"/>
      <c r="R387" s="7"/>
      <c r="S387" s="51"/>
      <c r="T387" s="51"/>
      <c r="U387" s="7"/>
      <c r="V387" s="57"/>
      <c r="W387" s="57"/>
      <c r="X387" s="57"/>
    </row>
    <row r="388" spans="1:24" ht="12.5" x14ac:dyDescent="0.25">
      <c r="A388" s="34"/>
      <c r="B388" s="7"/>
      <c r="C388" s="19"/>
      <c r="D388" s="7"/>
      <c r="E388" s="7"/>
      <c r="F388" s="7"/>
      <c r="G388" s="7"/>
      <c r="H388" s="6"/>
      <c r="I388" s="7"/>
      <c r="J388" s="7"/>
      <c r="K388" s="7"/>
      <c r="L388" s="7"/>
      <c r="M388" s="52"/>
      <c r="N388" s="7"/>
      <c r="O388" s="7"/>
      <c r="P388" s="47"/>
      <c r="Q388" s="47"/>
      <c r="R388" s="7"/>
      <c r="S388" s="51"/>
      <c r="T388" s="51"/>
      <c r="U388" s="7"/>
      <c r="V388" s="57"/>
      <c r="W388" s="57"/>
      <c r="X388" s="57"/>
    </row>
    <row r="389" spans="1:24" ht="12.5" x14ac:dyDescent="0.25">
      <c r="A389" s="34"/>
      <c r="B389" s="7"/>
      <c r="C389" s="19"/>
      <c r="D389" s="7"/>
      <c r="E389" s="7"/>
      <c r="F389" s="7"/>
      <c r="G389" s="7"/>
      <c r="H389" s="6"/>
      <c r="I389" s="7"/>
      <c r="J389" s="7"/>
      <c r="K389" s="7"/>
      <c r="L389" s="7"/>
      <c r="M389" s="52"/>
      <c r="N389" s="7"/>
      <c r="O389" s="7"/>
      <c r="P389" s="47"/>
      <c r="Q389" s="47"/>
      <c r="R389" s="7"/>
      <c r="S389" s="51"/>
      <c r="T389" s="51"/>
      <c r="U389" s="7"/>
      <c r="V389" s="57"/>
      <c r="W389" s="57"/>
      <c r="X389" s="57"/>
    </row>
    <row r="390" spans="1:24" ht="12.5" x14ac:dyDescent="0.25">
      <c r="A390" s="34"/>
      <c r="B390" s="7"/>
      <c r="C390" s="19"/>
      <c r="D390" s="7"/>
      <c r="E390" s="7"/>
      <c r="F390" s="7"/>
      <c r="G390" s="7"/>
      <c r="H390" s="6"/>
      <c r="I390" s="7"/>
      <c r="J390" s="7"/>
      <c r="K390" s="7"/>
      <c r="L390" s="7"/>
      <c r="M390" s="52"/>
      <c r="N390" s="7"/>
      <c r="O390" s="7"/>
      <c r="P390" s="47"/>
      <c r="Q390" s="47"/>
      <c r="R390" s="7"/>
      <c r="S390" s="51"/>
      <c r="T390" s="51"/>
      <c r="U390" s="7"/>
      <c r="V390" s="57"/>
      <c r="W390" s="57"/>
      <c r="X390" s="57"/>
    </row>
    <row r="391" spans="1:24" ht="12.5" x14ac:dyDescent="0.25">
      <c r="A391" s="34"/>
      <c r="B391" s="7"/>
      <c r="C391" s="19"/>
      <c r="D391" s="7"/>
      <c r="E391" s="7"/>
      <c r="F391" s="7"/>
      <c r="G391" s="7"/>
      <c r="H391" s="6"/>
      <c r="I391" s="7"/>
      <c r="J391" s="7"/>
      <c r="K391" s="7"/>
      <c r="L391" s="7"/>
      <c r="M391" s="52"/>
      <c r="N391" s="7"/>
      <c r="O391" s="7"/>
      <c r="P391" s="47"/>
      <c r="Q391" s="47"/>
      <c r="R391" s="7"/>
      <c r="S391" s="51"/>
      <c r="T391" s="51"/>
      <c r="U391" s="7"/>
      <c r="V391" s="57"/>
      <c r="W391" s="57"/>
      <c r="X391" s="57"/>
    </row>
    <row r="392" spans="1:24" ht="12.5" x14ac:dyDescent="0.25">
      <c r="A392" s="34"/>
      <c r="B392" s="7"/>
      <c r="C392" s="19"/>
      <c r="D392" s="7"/>
      <c r="E392" s="7"/>
      <c r="F392" s="7"/>
      <c r="G392" s="7"/>
      <c r="H392" s="6"/>
      <c r="I392" s="7"/>
      <c r="J392" s="7"/>
      <c r="K392" s="7"/>
      <c r="L392" s="7"/>
      <c r="M392" s="52"/>
      <c r="N392" s="7"/>
      <c r="O392" s="7"/>
      <c r="P392" s="47"/>
      <c r="Q392" s="47"/>
      <c r="R392" s="7"/>
      <c r="S392" s="51"/>
      <c r="T392" s="51"/>
      <c r="U392" s="7"/>
      <c r="V392" s="57"/>
      <c r="W392" s="57"/>
      <c r="X392" s="57"/>
    </row>
    <row r="393" spans="1:24" ht="12.5" x14ac:dyDescent="0.25">
      <c r="A393" s="34"/>
      <c r="B393" s="7"/>
      <c r="C393" s="19"/>
      <c r="D393" s="7"/>
      <c r="E393" s="7"/>
      <c r="F393" s="7"/>
      <c r="G393" s="7"/>
      <c r="H393" s="6"/>
      <c r="I393" s="7"/>
      <c r="J393" s="7"/>
      <c r="K393" s="7"/>
      <c r="L393" s="7"/>
      <c r="M393" s="52"/>
      <c r="N393" s="7"/>
      <c r="O393" s="7"/>
      <c r="P393" s="47"/>
      <c r="Q393" s="47"/>
      <c r="R393" s="7"/>
      <c r="S393" s="51"/>
      <c r="T393" s="51"/>
      <c r="U393" s="7"/>
      <c r="V393" s="57"/>
      <c r="W393" s="57"/>
      <c r="X393" s="57"/>
    </row>
    <row r="394" spans="1:24" ht="12.5" x14ac:dyDescent="0.25">
      <c r="A394" s="34"/>
      <c r="B394" s="7"/>
      <c r="C394" s="19"/>
      <c r="D394" s="7"/>
      <c r="E394" s="7"/>
      <c r="F394" s="7"/>
      <c r="G394" s="7"/>
      <c r="H394" s="6"/>
      <c r="I394" s="7"/>
      <c r="J394" s="7"/>
      <c r="K394" s="7"/>
      <c r="L394" s="7"/>
      <c r="M394" s="52"/>
      <c r="N394" s="7"/>
      <c r="O394" s="7"/>
      <c r="P394" s="47"/>
      <c r="Q394" s="47"/>
      <c r="R394" s="7"/>
      <c r="S394" s="51"/>
      <c r="T394" s="51"/>
      <c r="U394" s="7"/>
      <c r="V394" s="57"/>
      <c r="W394" s="57"/>
      <c r="X394" s="57"/>
    </row>
    <row r="395" spans="1:24" ht="12.5" x14ac:dyDescent="0.25">
      <c r="A395" s="34"/>
      <c r="B395" s="7"/>
      <c r="C395" s="19"/>
      <c r="D395" s="7"/>
      <c r="E395" s="7"/>
      <c r="F395" s="7"/>
      <c r="G395" s="7"/>
      <c r="H395" s="6"/>
      <c r="I395" s="7"/>
      <c r="J395" s="7"/>
      <c r="K395" s="7"/>
      <c r="L395" s="7"/>
      <c r="M395" s="52"/>
      <c r="N395" s="7"/>
      <c r="O395" s="7"/>
      <c r="P395" s="47"/>
      <c r="Q395" s="47"/>
      <c r="R395" s="7"/>
      <c r="S395" s="51"/>
      <c r="T395" s="51"/>
      <c r="U395" s="7"/>
      <c r="V395" s="57"/>
      <c r="W395" s="57"/>
      <c r="X395" s="57"/>
    </row>
    <row r="396" spans="1:24" ht="12.5" x14ac:dyDescent="0.25">
      <c r="A396" s="34"/>
      <c r="B396" s="7"/>
      <c r="C396" s="19"/>
      <c r="D396" s="7"/>
      <c r="E396" s="7"/>
      <c r="F396" s="7"/>
      <c r="G396" s="7"/>
      <c r="H396" s="6"/>
      <c r="I396" s="7"/>
      <c r="J396" s="7"/>
      <c r="K396" s="7"/>
      <c r="L396" s="7"/>
      <c r="M396" s="52"/>
      <c r="N396" s="7"/>
      <c r="O396" s="7"/>
      <c r="P396" s="47"/>
      <c r="Q396" s="47"/>
      <c r="R396" s="7"/>
      <c r="S396" s="51"/>
      <c r="T396" s="51"/>
      <c r="U396" s="7"/>
      <c r="V396" s="57"/>
      <c r="W396" s="57"/>
      <c r="X396" s="57"/>
    </row>
    <row r="397" spans="1:24" ht="12.5" x14ac:dyDescent="0.25">
      <c r="A397" s="34"/>
      <c r="B397" s="7"/>
      <c r="C397" s="19"/>
      <c r="D397" s="7"/>
      <c r="E397" s="7"/>
      <c r="F397" s="7"/>
      <c r="G397" s="7"/>
      <c r="H397" s="6"/>
      <c r="I397" s="7"/>
      <c r="J397" s="7"/>
      <c r="K397" s="7"/>
      <c r="L397" s="7"/>
      <c r="M397" s="52"/>
      <c r="N397" s="7"/>
      <c r="O397" s="7"/>
      <c r="P397" s="47"/>
      <c r="Q397" s="47"/>
      <c r="R397" s="7"/>
      <c r="S397" s="51"/>
      <c r="T397" s="51"/>
      <c r="U397" s="7"/>
      <c r="V397" s="57"/>
      <c r="W397" s="57"/>
      <c r="X397" s="57"/>
    </row>
    <row r="398" spans="1:24" ht="12.5" x14ac:dyDescent="0.25">
      <c r="A398" s="34"/>
      <c r="B398" s="7"/>
      <c r="C398" s="19"/>
      <c r="D398" s="7"/>
      <c r="E398" s="7"/>
      <c r="F398" s="7"/>
      <c r="G398" s="7"/>
      <c r="H398" s="6"/>
      <c r="I398" s="7"/>
      <c r="J398" s="7"/>
      <c r="K398" s="7"/>
      <c r="L398" s="7"/>
      <c r="M398" s="52"/>
      <c r="N398" s="7"/>
      <c r="O398" s="7"/>
      <c r="P398" s="47"/>
      <c r="Q398" s="47"/>
      <c r="R398" s="7"/>
      <c r="S398" s="51"/>
      <c r="T398" s="51"/>
      <c r="U398" s="7"/>
      <c r="V398" s="57"/>
      <c r="W398" s="57"/>
      <c r="X398" s="57"/>
    </row>
    <row r="399" spans="1:24" ht="12.5" x14ac:dyDescent="0.25">
      <c r="A399" s="34"/>
      <c r="B399" s="7"/>
      <c r="C399" s="19"/>
      <c r="D399" s="7"/>
      <c r="E399" s="7"/>
      <c r="F399" s="7"/>
      <c r="G399" s="7"/>
      <c r="H399" s="6"/>
      <c r="I399" s="7"/>
      <c r="J399" s="7"/>
      <c r="K399" s="7"/>
      <c r="L399" s="7"/>
      <c r="M399" s="52"/>
      <c r="N399" s="7"/>
      <c r="O399" s="7"/>
      <c r="P399" s="47"/>
      <c r="Q399" s="47"/>
      <c r="R399" s="7"/>
      <c r="S399" s="51"/>
      <c r="T399" s="51"/>
      <c r="U399" s="7"/>
      <c r="V399" s="57"/>
      <c r="W399" s="57"/>
      <c r="X399" s="57"/>
    </row>
    <row r="400" spans="1:24" ht="12.5" x14ac:dyDescent="0.25">
      <c r="A400" s="34"/>
      <c r="B400" s="7"/>
      <c r="C400" s="19"/>
      <c r="D400" s="7"/>
      <c r="E400" s="7"/>
      <c r="F400" s="7"/>
      <c r="G400" s="7"/>
      <c r="H400" s="6"/>
      <c r="I400" s="7"/>
      <c r="J400" s="7"/>
      <c r="K400" s="7"/>
      <c r="L400" s="7"/>
      <c r="M400" s="52"/>
      <c r="N400" s="7"/>
      <c r="O400" s="7"/>
      <c r="P400" s="47"/>
      <c r="Q400" s="47"/>
      <c r="R400" s="7"/>
      <c r="S400" s="51"/>
      <c r="T400" s="51"/>
      <c r="U400" s="7"/>
      <c r="V400" s="57"/>
      <c r="W400" s="57"/>
      <c r="X400" s="57"/>
    </row>
    <row r="401" spans="1:24" ht="12.5" x14ac:dyDescent="0.25">
      <c r="A401" s="34"/>
      <c r="B401" s="7"/>
      <c r="C401" s="19"/>
      <c r="D401" s="7"/>
      <c r="E401" s="7"/>
      <c r="F401" s="7"/>
      <c r="G401" s="7"/>
      <c r="H401" s="6"/>
      <c r="I401" s="7"/>
      <c r="J401" s="7"/>
      <c r="K401" s="7"/>
      <c r="L401" s="7"/>
      <c r="M401" s="52"/>
      <c r="N401" s="7"/>
      <c r="O401" s="7"/>
      <c r="P401" s="47"/>
      <c r="Q401" s="47"/>
      <c r="R401" s="7"/>
      <c r="S401" s="51"/>
      <c r="T401" s="51"/>
      <c r="U401" s="7"/>
      <c r="V401" s="57"/>
      <c r="W401" s="57"/>
      <c r="X401" s="57"/>
    </row>
    <row r="402" spans="1:24" ht="12.5" x14ac:dyDescent="0.25">
      <c r="A402" s="34"/>
      <c r="B402" s="7"/>
      <c r="C402" s="19"/>
      <c r="D402" s="7"/>
      <c r="E402" s="7"/>
      <c r="F402" s="7"/>
      <c r="G402" s="7"/>
      <c r="H402" s="6"/>
      <c r="I402" s="7"/>
      <c r="J402" s="7"/>
      <c r="K402" s="7"/>
      <c r="L402" s="7"/>
      <c r="M402" s="52"/>
      <c r="N402" s="7"/>
      <c r="O402" s="7"/>
      <c r="P402" s="47"/>
      <c r="Q402" s="47"/>
      <c r="R402" s="7"/>
      <c r="S402" s="51"/>
      <c r="T402" s="51"/>
      <c r="U402" s="7"/>
      <c r="V402" s="57"/>
      <c r="W402" s="57"/>
      <c r="X402" s="57"/>
    </row>
    <row r="403" spans="1:24" ht="12.5" x14ac:dyDescent="0.25">
      <c r="A403" s="34"/>
      <c r="B403" s="7"/>
      <c r="C403" s="19"/>
      <c r="D403" s="7"/>
      <c r="E403" s="7"/>
      <c r="F403" s="7"/>
      <c r="G403" s="7"/>
      <c r="H403" s="6"/>
      <c r="I403" s="7"/>
      <c r="J403" s="7"/>
      <c r="K403" s="7"/>
      <c r="L403" s="7"/>
      <c r="M403" s="52"/>
      <c r="N403" s="7"/>
      <c r="O403" s="7"/>
      <c r="P403" s="47"/>
      <c r="Q403" s="47"/>
      <c r="R403" s="7"/>
      <c r="S403" s="51"/>
      <c r="T403" s="51"/>
      <c r="U403" s="7"/>
      <c r="V403" s="57"/>
      <c r="W403" s="57"/>
      <c r="X403" s="57"/>
    </row>
    <row r="404" spans="1:24" ht="12.5" x14ac:dyDescent="0.25">
      <c r="A404" s="34"/>
      <c r="B404" s="7"/>
      <c r="C404" s="19"/>
      <c r="D404" s="7"/>
      <c r="E404" s="7"/>
      <c r="F404" s="7"/>
      <c r="G404" s="7"/>
      <c r="H404" s="6"/>
      <c r="I404" s="7"/>
      <c r="J404" s="7"/>
      <c r="K404" s="7"/>
      <c r="L404" s="7"/>
      <c r="M404" s="52"/>
      <c r="N404" s="7"/>
      <c r="O404" s="7"/>
      <c r="P404" s="47"/>
      <c r="Q404" s="47"/>
      <c r="R404" s="7"/>
      <c r="S404" s="51"/>
      <c r="T404" s="51"/>
      <c r="U404" s="7"/>
      <c r="V404" s="57"/>
      <c r="W404" s="57"/>
      <c r="X404" s="57"/>
    </row>
    <row r="405" spans="1:24" ht="12.5" x14ac:dyDescent="0.25">
      <c r="A405" s="34"/>
      <c r="B405" s="7"/>
      <c r="C405" s="19"/>
      <c r="D405" s="7"/>
      <c r="E405" s="7"/>
      <c r="F405" s="7"/>
      <c r="G405" s="7"/>
      <c r="H405" s="6"/>
      <c r="I405" s="7"/>
      <c r="J405" s="7"/>
      <c r="K405" s="7"/>
      <c r="L405" s="7"/>
      <c r="M405" s="52"/>
      <c r="N405" s="7"/>
      <c r="O405" s="7"/>
      <c r="P405" s="47"/>
      <c r="Q405" s="47"/>
      <c r="R405" s="7"/>
      <c r="S405" s="51"/>
      <c r="T405" s="51"/>
      <c r="U405" s="7"/>
      <c r="V405" s="57"/>
      <c r="W405" s="57"/>
      <c r="X405" s="57"/>
    </row>
    <row r="406" spans="1:24" ht="12.5" x14ac:dyDescent="0.25">
      <c r="A406" s="34"/>
      <c r="B406" s="7"/>
      <c r="C406" s="19"/>
      <c r="D406" s="7"/>
      <c r="E406" s="7"/>
      <c r="F406" s="7"/>
      <c r="G406" s="7"/>
      <c r="H406" s="6"/>
      <c r="I406" s="7"/>
      <c r="J406" s="7"/>
      <c r="K406" s="7"/>
      <c r="L406" s="7"/>
      <c r="M406" s="52"/>
      <c r="N406" s="7"/>
      <c r="O406" s="7"/>
      <c r="P406" s="47"/>
      <c r="Q406" s="47"/>
      <c r="R406" s="7"/>
      <c r="S406" s="51"/>
      <c r="T406" s="51"/>
      <c r="U406" s="7"/>
      <c r="V406" s="57"/>
      <c r="W406" s="57"/>
      <c r="X406" s="57"/>
    </row>
    <row r="407" spans="1:24" ht="12.5" x14ac:dyDescent="0.25">
      <c r="A407" s="34"/>
      <c r="B407" s="7"/>
      <c r="C407" s="19"/>
      <c r="D407" s="7"/>
      <c r="E407" s="7"/>
      <c r="F407" s="7"/>
      <c r="G407" s="7"/>
      <c r="H407" s="6"/>
      <c r="I407" s="7"/>
      <c r="J407" s="7"/>
      <c r="K407" s="7"/>
      <c r="L407" s="7"/>
      <c r="M407" s="52"/>
      <c r="N407" s="7"/>
      <c r="O407" s="7"/>
      <c r="P407" s="47"/>
      <c r="Q407" s="47"/>
      <c r="R407" s="7"/>
      <c r="S407" s="51"/>
      <c r="T407" s="51"/>
      <c r="U407" s="7"/>
      <c r="V407" s="57"/>
      <c r="W407" s="57"/>
      <c r="X407" s="57"/>
    </row>
    <row r="408" spans="1:24" ht="12.5" x14ac:dyDescent="0.25">
      <c r="A408" s="34"/>
      <c r="B408" s="7"/>
      <c r="C408" s="19"/>
      <c r="D408" s="7"/>
      <c r="E408" s="7"/>
      <c r="F408" s="7"/>
      <c r="G408" s="7"/>
      <c r="H408" s="6"/>
      <c r="I408" s="7"/>
      <c r="J408" s="7"/>
      <c r="K408" s="7"/>
      <c r="L408" s="7"/>
      <c r="M408" s="52"/>
      <c r="N408" s="7"/>
      <c r="O408" s="7"/>
      <c r="P408" s="47"/>
      <c r="Q408" s="47"/>
      <c r="R408" s="7"/>
      <c r="S408" s="51"/>
      <c r="T408" s="51"/>
      <c r="U408" s="7"/>
      <c r="V408" s="57"/>
      <c r="W408" s="57"/>
      <c r="X408" s="57"/>
    </row>
    <row r="409" spans="1:24" ht="12.5" x14ac:dyDescent="0.25">
      <c r="A409" s="34"/>
      <c r="B409" s="7"/>
      <c r="C409" s="19"/>
      <c r="D409" s="7"/>
      <c r="E409" s="7"/>
      <c r="F409" s="7"/>
      <c r="G409" s="7"/>
      <c r="H409" s="6"/>
      <c r="I409" s="7"/>
      <c r="J409" s="7"/>
      <c r="K409" s="7"/>
      <c r="L409" s="7"/>
      <c r="M409" s="52"/>
      <c r="N409" s="7"/>
      <c r="O409" s="7"/>
      <c r="P409" s="47"/>
      <c r="Q409" s="47"/>
      <c r="R409" s="7"/>
      <c r="S409" s="51"/>
      <c r="T409" s="51"/>
      <c r="U409" s="7"/>
      <c r="V409" s="57"/>
      <c r="W409" s="57"/>
      <c r="X409" s="57"/>
    </row>
    <row r="410" spans="1:24" ht="12.5" x14ac:dyDescent="0.25">
      <c r="A410" s="34"/>
      <c r="B410" s="7"/>
      <c r="C410" s="19"/>
      <c r="D410" s="7"/>
      <c r="E410" s="7"/>
      <c r="F410" s="7"/>
      <c r="G410" s="7"/>
      <c r="H410" s="6"/>
      <c r="I410" s="7"/>
      <c r="J410" s="7"/>
      <c r="K410" s="7"/>
      <c r="L410" s="7"/>
      <c r="M410" s="52"/>
      <c r="N410" s="7"/>
      <c r="O410" s="7"/>
      <c r="P410" s="47"/>
      <c r="Q410" s="47"/>
      <c r="R410" s="7"/>
      <c r="S410" s="51"/>
      <c r="T410" s="51"/>
      <c r="U410" s="7"/>
      <c r="V410" s="57"/>
      <c r="W410" s="57"/>
      <c r="X410" s="57"/>
    </row>
    <row r="411" spans="1:24" ht="12.5" x14ac:dyDescent="0.25">
      <c r="A411" s="34"/>
      <c r="B411" s="7"/>
      <c r="C411" s="19"/>
      <c r="D411" s="7"/>
      <c r="E411" s="7"/>
      <c r="F411" s="7"/>
      <c r="G411" s="7"/>
      <c r="H411" s="6"/>
      <c r="I411" s="7"/>
      <c r="J411" s="7"/>
      <c r="K411" s="7"/>
      <c r="L411" s="7"/>
      <c r="M411" s="52"/>
      <c r="N411" s="7"/>
      <c r="O411" s="7"/>
      <c r="P411" s="47"/>
      <c r="Q411" s="47"/>
      <c r="R411" s="7"/>
      <c r="S411" s="51"/>
      <c r="T411" s="51"/>
      <c r="U411" s="7"/>
      <c r="V411" s="57"/>
      <c r="W411" s="57"/>
      <c r="X411" s="57"/>
    </row>
    <row r="412" spans="1:24" ht="12.5" x14ac:dyDescent="0.25">
      <c r="A412" s="34"/>
      <c r="B412" s="7"/>
      <c r="C412" s="19"/>
      <c r="D412" s="7"/>
      <c r="E412" s="7"/>
      <c r="F412" s="7"/>
      <c r="G412" s="7"/>
      <c r="H412" s="6"/>
      <c r="I412" s="7"/>
      <c r="J412" s="7"/>
      <c r="K412" s="7"/>
      <c r="L412" s="7"/>
      <c r="M412" s="52"/>
      <c r="N412" s="7"/>
      <c r="O412" s="7"/>
      <c r="P412" s="47"/>
      <c r="Q412" s="47"/>
      <c r="R412" s="7"/>
      <c r="S412" s="51"/>
      <c r="T412" s="51"/>
      <c r="U412" s="7"/>
      <c r="V412" s="57"/>
      <c r="W412" s="57"/>
      <c r="X412" s="57"/>
    </row>
    <row r="413" spans="1:24" ht="12.5" x14ac:dyDescent="0.25">
      <c r="A413" s="34"/>
      <c r="B413" s="7"/>
      <c r="C413" s="19"/>
      <c r="D413" s="7"/>
      <c r="E413" s="7"/>
      <c r="F413" s="7"/>
      <c r="G413" s="7"/>
      <c r="H413" s="6"/>
      <c r="I413" s="7"/>
      <c r="J413" s="7"/>
      <c r="K413" s="7"/>
      <c r="L413" s="7"/>
      <c r="M413" s="52"/>
      <c r="N413" s="7"/>
      <c r="O413" s="7"/>
      <c r="P413" s="47"/>
      <c r="Q413" s="47"/>
      <c r="R413" s="7"/>
      <c r="S413" s="51"/>
      <c r="T413" s="51"/>
      <c r="U413" s="7"/>
      <c r="V413" s="57"/>
      <c r="W413" s="57"/>
      <c r="X413" s="57"/>
    </row>
    <row r="414" spans="1:24" ht="12.5" x14ac:dyDescent="0.25">
      <c r="A414" s="34"/>
      <c r="B414" s="7"/>
      <c r="C414" s="19"/>
      <c r="D414" s="7"/>
      <c r="E414" s="7"/>
      <c r="F414" s="7"/>
      <c r="G414" s="7"/>
      <c r="H414" s="6"/>
      <c r="I414" s="7"/>
      <c r="J414" s="7"/>
      <c r="K414" s="7"/>
      <c r="L414" s="7"/>
      <c r="M414" s="52"/>
      <c r="N414" s="7"/>
      <c r="O414" s="7"/>
      <c r="P414" s="47"/>
      <c r="Q414" s="47"/>
      <c r="R414" s="7"/>
      <c r="S414" s="51"/>
      <c r="T414" s="51"/>
      <c r="U414" s="7"/>
      <c r="V414" s="57"/>
      <c r="W414" s="57"/>
      <c r="X414" s="57"/>
    </row>
    <row r="415" spans="1:24" ht="12.5" x14ac:dyDescent="0.25">
      <c r="A415" s="34"/>
      <c r="B415" s="7"/>
      <c r="C415" s="19"/>
      <c r="D415" s="7"/>
      <c r="E415" s="7"/>
      <c r="F415" s="7"/>
      <c r="G415" s="7"/>
      <c r="H415" s="6"/>
      <c r="I415" s="7"/>
      <c r="J415" s="7"/>
      <c r="K415" s="7"/>
      <c r="L415" s="7"/>
      <c r="M415" s="52"/>
      <c r="N415" s="7"/>
      <c r="O415" s="7"/>
      <c r="P415" s="47"/>
      <c r="Q415" s="47"/>
      <c r="R415" s="7"/>
      <c r="S415" s="51"/>
      <c r="T415" s="51"/>
      <c r="U415" s="7"/>
      <c r="V415" s="57"/>
      <c r="W415" s="57"/>
      <c r="X415" s="57"/>
    </row>
    <row r="416" spans="1:24" ht="12.5" x14ac:dyDescent="0.25">
      <c r="A416" s="34"/>
      <c r="B416" s="7"/>
      <c r="C416" s="19"/>
      <c r="D416" s="7"/>
      <c r="E416" s="7"/>
      <c r="F416" s="7"/>
      <c r="G416" s="7"/>
      <c r="H416" s="6"/>
      <c r="I416" s="7"/>
      <c r="J416" s="7"/>
      <c r="K416" s="7"/>
      <c r="L416" s="7"/>
      <c r="M416" s="52"/>
      <c r="N416" s="7"/>
      <c r="O416" s="7"/>
      <c r="P416" s="47"/>
      <c r="Q416" s="47"/>
      <c r="R416" s="7"/>
      <c r="S416" s="51"/>
      <c r="T416" s="51"/>
      <c r="U416" s="7"/>
      <c r="V416" s="57"/>
      <c r="W416" s="57"/>
      <c r="X416" s="57"/>
    </row>
    <row r="417" spans="1:24" ht="12.5" x14ac:dyDescent="0.25">
      <c r="A417" s="34"/>
      <c r="B417" s="7"/>
      <c r="C417" s="19"/>
      <c r="D417" s="7"/>
      <c r="E417" s="7"/>
      <c r="F417" s="7"/>
      <c r="G417" s="7"/>
      <c r="H417" s="6"/>
      <c r="I417" s="7"/>
      <c r="J417" s="7"/>
      <c r="K417" s="7"/>
      <c r="L417" s="7"/>
      <c r="M417" s="52"/>
      <c r="N417" s="7"/>
      <c r="O417" s="7"/>
      <c r="P417" s="47"/>
      <c r="Q417" s="47"/>
      <c r="R417" s="7"/>
      <c r="S417" s="51"/>
      <c r="T417" s="51"/>
      <c r="U417" s="7"/>
      <c r="V417" s="57"/>
      <c r="W417" s="57"/>
      <c r="X417" s="57"/>
    </row>
    <row r="418" spans="1:24" ht="12.5" x14ac:dyDescent="0.25">
      <c r="A418" s="34"/>
      <c r="B418" s="7"/>
      <c r="C418" s="19"/>
      <c r="D418" s="7"/>
      <c r="E418" s="7"/>
      <c r="F418" s="7"/>
      <c r="G418" s="7"/>
      <c r="H418" s="6"/>
      <c r="I418" s="7"/>
      <c r="J418" s="7"/>
      <c r="K418" s="7"/>
      <c r="L418" s="7"/>
      <c r="M418" s="52"/>
      <c r="N418" s="7"/>
      <c r="O418" s="7"/>
      <c r="P418" s="47"/>
      <c r="Q418" s="47"/>
      <c r="R418" s="7"/>
      <c r="S418" s="51"/>
      <c r="T418" s="51"/>
      <c r="U418" s="7"/>
      <c r="V418" s="57"/>
      <c r="W418" s="57"/>
      <c r="X418" s="57"/>
    </row>
    <row r="419" spans="1:24" ht="12.5" x14ac:dyDescent="0.25">
      <c r="A419" s="34"/>
      <c r="B419" s="7"/>
      <c r="C419" s="19"/>
      <c r="D419" s="7"/>
      <c r="E419" s="7"/>
      <c r="F419" s="7"/>
      <c r="G419" s="7"/>
      <c r="H419" s="6"/>
      <c r="I419" s="7"/>
      <c r="J419" s="7"/>
      <c r="K419" s="7"/>
      <c r="L419" s="7"/>
      <c r="M419" s="52"/>
      <c r="N419" s="7"/>
      <c r="O419" s="7"/>
      <c r="P419" s="47"/>
      <c r="Q419" s="47"/>
      <c r="R419" s="7"/>
      <c r="S419" s="51"/>
      <c r="T419" s="51"/>
      <c r="U419" s="7"/>
      <c r="V419" s="57"/>
      <c r="W419" s="57"/>
      <c r="X419" s="57"/>
    </row>
    <row r="420" spans="1:24" ht="12.5" x14ac:dyDescent="0.25">
      <c r="A420" s="34"/>
      <c r="B420" s="7"/>
      <c r="C420" s="19"/>
      <c r="D420" s="7"/>
      <c r="E420" s="7"/>
      <c r="F420" s="7"/>
      <c r="G420" s="7"/>
      <c r="H420" s="6"/>
      <c r="I420" s="7"/>
      <c r="J420" s="7"/>
      <c r="K420" s="7"/>
      <c r="L420" s="7"/>
      <c r="M420" s="52"/>
      <c r="N420" s="7"/>
      <c r="O420" s="7"/>
      <c r="P420" s="47"/>
      <c r="Q420" s="47"/>
      <c r="R420" s="7"/>
      <c r="S420" s="51"/>
      <c r="T420" s="51"/>
      <c r="U420" s="7"/>
      <c r="V420" s="57"/>
      <c r="W420" s="57"/>
      <c r="X420" s="57"/>
    </row>
    <row r="421" spans="1:24" ht="12.5" x14ac:dyDescent="0.25">
      <c r="A421" s="34"/>
      <c r="B421" s="7"/>
      <c r="C421" s="19"/>
      <c r="D421" s="7"/>
      <c r="E421" s="7"/>
      <c r="F421" s="7"/>
      <c r="G421" s="7"/>
      <c r="H421" s="6"/>
      <c r="I421" s="7"/>
      <c r="J421" s="7"/>
      <c r="K421" s="7"/>
      <c r="L421" s="7"/>
      <c r="M421" s="52"/>
      <c r="N421" s="7"/>
      <c r="O421" s="7"/>
      <c r="P421" s="47"/>
      <c r="Q421" s="47"/>
      <c r="R421" s="7"/>
      <c r="S421" s="51"/>
      <c r="T421" s="51"/>
      <c r="U421" s="7"/>
      <c r="V421" s="57"/>
      <c r="W421" s="57"/>
      <c r="X421" s="57"/>
    </row>
    <row r="422" spans="1:24" ht="12.5" x14ac:dyDescent="0.25">
      <c r="A422" s="34"/>
      <c r="B422" s="7"/>
      <c r="C422" s="19"/>
      <c r="D422" s="7"/>
      <c r="E422" s="7"/>
      <c r="F422" s="7"/>
      <c r="G422" s="7"/>
      <c r="H422" s="6"/>
      <c r="I422" s="7"/>
      <c r="J422" s="7"/>
      <c r="K422" s="7"/>
      <c r="L422" s="7"/>
      <c r="M422" s="52"/>
      <c r="N422" s="7"/>
      <c r="O422" s="7"/>
      <c r="P422" s="47"/>
      <c r="Q422" s="47"/>
      <c r="R422" s="7"/>
      <c r="S422" s="51"/>
      <c r="T422" s="51"/>
      <c r="U422" s="7"/>
      <c r="V422" s="57"/>
      <c r="W422" s="57"/>
      <c r="X422" s="57"/>
    </row>
    <row r="423" spans="1:24" ht="12.5" x14ac:dyDescent="0.25">
      <c r="A423" s="34"/>
      <c r="B423" s="7"/>
      <c r="C423" s="19"/>
      <c r="D423" s="7"/>
      <c r="E423" s="7"/>
      <c r="F423" s="7"/>
      <c r="G423" s="7"/>
      <c r="H423" s="6"/>
      <c r="I423" s="7"/>
      <c r="J423" s="7"/>
      <c r="K423" s="7"/>
      <c r="L423" s="7"/>
      <c r="M423" s="52"/>
      <c r="N423" s="7"/>
      <c r="O423" s="7"/>
      <c r="P423" s="47"/>
      <c r="Q423" s="47"/>
      <c r="R423" s="7"/>
      <c r="S423" s="51"/>
      <c r="T423" s="51"/>
      <c r="U423" s="7"/>
      <c r="V423" s="57"/>
      <c r="W423" s="57"/>
      <c r="X423" s="57"/>
    </row>
    <row r="424" spans="1:24" ht="12.5" x14ac:dyDescent="0.25">
      <c r="A424" s="34"/>
      <c r="B424" s="7"/>
      <c r="C424" s="19"/>
      <c r="D424" s="7"/>
      <c r="E424" s="7"/>
      <c r="F424" s="7"/>
      <c r="G424" s="7"/>
      <c r="H424" s="6"/>
      <c r="I424" s="7"/>
      <c r="J424" s="7"/>
      <c r="K424" s="7"/>
      <c r="L424" s="7"/>
      <c r="M424" s="52"/>
      <c r="N424" s="7"/>
      <c r="O424" s="7"/>
      <c r="P424" s="47"/>
      <c r="Q424" s="47"/>
      <c r="R424" s="7"/>
      <c r="S424" s="51"/>
      <c r="T424" s="51"/>
      <c r="U424" s="7"/>
      <c r="V424" s="57"/>
      <c r="W424" s="57"/>
      <c r="X424" s="57"/>
    </row>
    <row r="425" spans="1:24" ht="12.5" x14ac:dyDescent="0.25">
      <c r="A425" s="34"/>
      <c r="B425" s="7"/>
      <c r="C425" s="19"/>
      <c r="D425" s="7"/>
      <c r="E425" s="7"/>
      <c r="F425" s="7"/>
      <c r="G425" s="7"/>
      <c r="H425" s="6"/>
      <c r="I425" s="7"/>
      <c r="J425" s="7"/>
      <c r="K425" s="7"/>
      <c r="L425" s="7"/>
      <c r="M425" s="52"/>
      <c r="N425" s="7"/>
      <c r="O425" s="7"/>
      <c r="P425" s="47"/>
      <c r="Q425" s="47"/>
      <c r="R425" s="7"/>
      <c r="S425" s="51"/>
      <c r="T425" s="51"/>
      <c r="U425" s="7"/>
      <c r="V425" s="57"/>
      <c r="W425" s="57"/>
      <c r="X425" s="57"/>
    </row>
    <row r="426" spans="1:24" ht="12.5" x14ac:dyDescent="0.25">
      <c r="A426" s="34"/>
      <c r="B426" s="7"/>
      <c r="C426" s="19"/>
      <c r="D426" s="7"/>
      <c r="E426" s="7"/>
      <c r="F426" s="7"/>
      <c r="G426" s="7"/>
      <c r="H426" s="6"/>
      <c r="I426" s="7"/>
      <c r="J426" s="7"/>
      <c r="K426" s="7"/>
      <c r="L426" s="7"/>
      <c r="M426" s="52"/>
      <c r="N426" s="7"/>
      <c r="O426" s="7"/>
      <c r="P426" s="47"/>
      <c r="Q426" s="47"/>
      <c r="R426" s="7"/>
      <c r="S426" s="51"/>
      <c r="T426" s="51"/>
      <c r="U426" s="7"/>
      <c r="V426" s="57"/>
      <c r="W426" s="57"/>
      <c r="X426" s="57"/>
    </row>
    <row r="427" spans="1:24" ht="12.5" x14ac:dyDescent="0.25">
      <c r="A427" s="34"/>
      <c r="B427" s="7"/>
      <c r="C427" s="19"/>
      <c r="D427" s="7"/>
      <c r="E427" s="7"/>
      <c r="F427" s="7"/>
      <c r="G427" s="7"/>
      <c r="H427" s="6"/>
      <c r="I427" s="7"/>
      <c r="J427" s="7"/>
      <c r="K427" s="7"/>
      <c r="L427" s="7"/>
      <c r="M427" s="52"/>
      <c r="N427" s="7"/>
      <c r="O427" s="7"/>
      <c r="P427" s="47"/>
      <c r="Q427" s="47"/>
      <c r="R427" s="7"/>
      <c r="S427" s="51"/>
      <c r="T427" s="51"/>
      <c r="U427" s="7"/>
      <c r="V427" s="57"/>
      <c r="W427" s="57"/>
      <c r="X427" s="57"/>
    </row>
    <row r="428" spans="1:24" ht="12.5" x14ac:dyDescent="0.25">
      <c r="A428" s="34"/>
      <c r="B428" s="7"/>
      <c r="C428" s="19"/>
      <c r="D428" s="7"/>
      <c r="E428" s="7"/>
      <c r="F428" s="7"/>
      <c r="G428" s="7"/>
      <c r="H428" s="6"/>
      <c r="I428" s="7"/>
      <c r="J428" s="7"/>
      <c r="K428" s="7"/>
      <c r="L428" s="7"/>
      <c r="M428" s="52"/>
      <c r="N428" s="7"/>
      <c r="O428" s="7"/>
      <c r="P428" s="47"/>
      <c r="Q428" s="47"/>
      <c r="R428" s="7"/>
      <c r="S428" s="51"/>
      <c r="T428" s="51"/>
      <c r="U428" s="7"/>
      <c r="V428" s="57"/>
      <c r="W428" s="57"/>
      <c r="X428" s="57"/>
    </row>
    <row r="429" spans="1:24" ht="12.5" x14ac:dyDescent="0.25">
      <c r="A429" s="34"/>
      <c r="B429" s="7"/>
      <c r="C429" s="19"/>
      <c r="D429" s="7"/>
      <c r="E429" s="7"/>
      <c r="F429" s="7"/>
      <c r="G429" s="7"/>
      <c r="H429" s="6"/>
      <c r="I429" s="7"/>
      <c r="J429" s="7"/>
      <c r="K429" s="7"/>
      <c r="L429" s="7"/>
      <c r="M429" s="52"/>
      <c r="N429" s="7"/>
      <c r="O429" s="7"/>
      <c r="P429" s="47"/>
      <c r="Q429" s="47"/>
      <c r="R429" s="7"/>
      <c r="S429" s="51"/>
      <c r="T429" s="51"/>
      <c r="U429" s="7"/>
      <c r="V429" s="57"/>
      <c r="W429" s="57"/>
      <c r="X429" s="57"/>
    </row>
    <row r="430" spans="1:24" ht="12.5" x14ac:dyDescent="0.25">
      <c r="A430" s="34"/>
      <c r="B430" s="7"/>
      <c r="C430" s="19"/>
      <c r="D430" s="7"/>
      <c r="E430" s="7"/>
      <c r="F430" s="7"/>
      <c r="G430" s="7"/>
      <c r="H430" s="6"/>
      <c r="I430" s="7"/>
      <c r="J430" s="7"/>
      <c r="K430" s="7"/>
      <c r="L430" s="7"/>
      <c r="M430" s="52"/>
      <c r="N430" s="7"/>
      <c r="O430" s="7"/>
      <c r="P430" s="47"/>
      <c r="Q430" s="47"/>
      <c r="R430" s="7"/>
      <c r="S430" s="51"/>
      <c r="T430" s="51"/>
      <c r="U430" s="7"/>
      <c r="V430" s="57"/>
      <c r="W430" s="57"/>
      <c r="X430" s="57"/>
    </row>
    <row r="431" spans="1:24" ht="12.5" x14ac:dyDescent="0.25">
      <c r="A431" s="34"/>
      <c r="B431" s="7"/>
      <c r="C431" s="19"/>
      <c r="D431" s="7"/>
      <c r="E431" s="7"/>
      <c r="F431" s="7"/>
      <c r="G431" s="7"/>
      <c r="H431" s="6"/>
      <c r="I431" s="7"/>
      <c r="J431" s="7"/>
      <c r="K431" s="7"/>
      <c r="L431" s="7"/>
      <c r="M431" s="52"/>
      <c r="N431" s="7"/>
      <c r="O431" s="7"/>
      <c r="P431" s="47"/>
      <c r="Q431" s="47"/>
      <c r="R431" s="7"/>
      <c r="S431" s="51"/>
      <c r="T431" s="51"/>
      <c r="U431" s="7"/>
      <c r="V431" s="57"/>
      <c r="W431" s="57"/>
      <c r="X431" s="57"/>
    </row>
    <row r="432" spans="1:24" ht="12.5" x14ac:dyDescent="0.25">
      <c r="A432" s="34"/>
      <c r="B432" s="7"/>
      <c r="C432" s="19"/>
      <c r="D432" s="7"/>
      <c r="E432" s="7"/>
      <c r="F432" s="7"/>
      <c r="G432" s="7"/>
      <c r="H432" s="6"/>
      <c r="I432" s="7"/>
      <c r="J432" s="7"/>
      <c r="K432" s="7"/>
      <c r="L432" s="7"/>
      <c r="M432" s="52"/>
      <c r="N432" s="7"/>
      <c r="O432" s="7"/>
      <c r="P432" s="47"/>
      <c r="Q432" s="47"/>
      <c r="R432" s="7"/>
      <c r="S432" s="51"/>
      <c r="T432" s="51"/>
      <c r="U432" s="7"/>
      <c r="V432" s="57"/>
      <c r="W432" s="57"/>
      <c r="X432" s="57"/>
    </row>
    <row r="433" spans="1:24" ht="12.5" x14ac:dyDescent="0.25">
      <c r="A433" s="34"/>
      <c r="B433" s="7"/>
      <c r="C433" s="19"/>
      <c r="D433" s="7"/>
      <c r="E433" s="7"/>
      <c r="F433" s="7"/>
      <c r="G433" s="7"/>
      <c r="H433" s="6"/>
      <c r="I433" s="7"/>
      <c r="J433" s="7"/>
      <c r="K433" s="7"/>
      <c r="L433" s="7"/>
      <c r="M433" s="52"/>
      <c r="N433" s="7"/>
      <c r="O433" s="7"/>
      <c r="P433" s="47"/>
      <c r="Q433" s="47"/>
      <c r="R433" s="7"/>
      <c r="S433" s="51"/>
      <c r="T433" s="51"/>
      <c r="U433" s="7"/>
      <c r="V433" s="57"/>
      <c r="W433" s="57"/>
      <c r="X433" s="57"/>
    </row>
    <row r="434" spans="1:24" ht="12.5" x14ac:dyDescent="0.25">
      <c r="A434" s="34"/>
      <c r="B434" s="7"/>
      <c r="C434" s="19"/>
      <c r="D434" s="7"/>
      <c r="E434" s="7"/>
      <c r="F434" s="7"/>
      <c r="G434" s="7"/>
      <c r="H434" s="6"/>
      <c r="I434" s="7"/>
      <c r="J434" s="7"/>
      <c r="K434" s="7"/>
      <c r="L434" s="7"/>
      <c r="M434" s="52"/>
      <c r="N434" s="7"/>
      <c r="O434" s="7"/>
      <c r="P434" s="47"/>
      <c r="Q434" s="47"/>
      <c r="R434" s="7"/>
      <c r="S434" s="51"/>
      <c r="T434" s="51"/>
      <c r="U434" s="7"/>
      <c r="V434" s="57"/>
      <c r="W434" s="57"/>
      <c r="X434" s="57"/>
    </row>
    <row r="435" spans="1:24" ht="12.5" x14ac:dyDescent="0.25">
      <c r="A435" s="34"/>
      <c r="B435" s="7"/>
      <c r="C435" s="19"/>
      <c r="D435" s="7"/>
      <c r="E435" s="7"/>
      <c r="F435" s="7"/>
      <c r="G435" s="7"/>
      <c r="H435" s="6"/>
      <c r="I435" s="7"/>
      <c r="J435" s="7"/>
      <c r="K435" s="7"/>
      <c r="L435" s="7"/>
      <c r="M435" s="52"/>
      <c r="N435" s="7"/>
      <c r="O435" s="7"/>
      <c r="P435" s="47"/>
      <c r="Q435" s="47"/>
      <c r="R435" s="7"/>
      <c r="S435" s="51"/>
      <c r="T435" s="51"/>
      <c r="U435" s="7"/>
      <c r="V435" s="57"/>
      <c r="W435" s="57"/>
      <c r="X435" s="57"/>
    </row>
    <row r="436" spans="1:24" ht="12.5" x14ac:dyDescent="0.25">
      <c r="A436" s="34"/>
      <c r="B436" s="7"/>
      <c r="C436" s="19"/>
      <c r="D436" s="7"/>
      <c r="E436" s="7"/>
      <c r="F436" s="7"/>
      <c r="G436" s="7"/>
      <c r="H436" s="6"/>
      <c r="I436" s="7"/>
      <c r="J436" s="7"/>
      <c r="K436" s="7"/>
      <c r="L436" s="7"/>
      <c r="M436" s="52"/>
      <c r="N436" s="7"/>
      <c r="O436" s="7"/>
      <c r="P436" s="47"/>
      <c r="Q436" s="47"/>
      <c r="R436" s="7"/>
      <c r="S436" s="51"/>
      <c r="T436" s="51"/>
      <c r="U436" s="7"/>
      <c r="V436" s="57"/>
      <c r="W436" s="57"/>
      <c r="X436" s="57"/>
    </row>
    <row r="437" spans="1:24" ht="12.5" x14ac:dyDescent="0.25">
      <c r="A437" s="34"/>
      <c r="B437" s="7"/>
      <c r="C437" s="19"/>
      <c r="D437" s="7"/>
      <c r="E437" s="7"/>
      <c r="F437" s="7"/>
      <c r="G437" s="7"/>
      <c r="H437" s="6"/>
      <c r="I437" s="7"/>
      <c r="J437" s="7"/>
      <c r="K437" s="7"/>
      <c r="L437" s="7"/>
      <c r="M437" s="52"/>
      <c r="N437" s="7"/>
      <c r="O437" s="7"/>
      <c r="P437" s="47"/>
      <c r="Q437" s="47"/>
      <c r="R437" s="7"/>
      <c r="S437" s="51"/>
      <c r="T437" s="51"/>
      <c r="U437" s="7"/>
      <c r="V437" s="57"/>
      <c r="W437" s="57"/>
      <c r="X437" s="57"/>
    </row>
    <row r="438" spans="1:24" ht="12.5" x14ac:dyDescent="0.25">
      <c r="A438" s="34"/>
      <c r="B438" s="7"/>
      <c r="C438" s="19"/>
      <c r="D438" s="7"/>
      <c r="E438" s="7"/>
      <c r="F438" s="7"/>
      <c r="G438" s="7"/>
      <c r="H438" s="6"/>
      <c r="I438" s="7"/>
      <c r="J438" s="7"/>
      <c r="K438" s="7"/>
      <c r="L438" s="7"/>
      <c r="M438" s="52"/>
      <c r="N438" s="7"/>
      <c r="O438" s="7"/>
      <c r="P438" s="47"/>
      <c r="Q438" s="47"/>
      <c r="R438" s="7"/>
      <c r="S438" s="51"/>
      <c r="T438" s="51"/>
      <c r="U438" s="7"/>
      <c r="V438" s="57"/>
      <c r="W438" s="57"/>
      <c r="X438" s="57"/>
    </row>
    <row r="439" spans="1:24" ht="12.5" x14ac:dyDescent="0.25">
      <c r="A439" s="34"/>
      <c r="B439" s="7"/>
      <c r="C439" s="19"/>
      <c r="D439" s="7"/>
      <c r="E439" s="7"/>
      <c r="F439" s="7"/>
      <c r="G439" s="7"/>
      <c r="H439" s="6"/>
      <c r="I439" s="7"/>
      <c r="J439" s="7"/>
      <c r="K439" s="7"/>
      <c r="L439" s="7"/>
      <c r="M439" s="52"/>
      <c r="N439" s="7"/>
      <c r="O439" s="7"/>
      <c r="P439" s="47"/>
      <c r="Q439" s="47"/>
      <c r="R439" s="7"/>
      <c r="S439" s="51"/>
      <c r="T439" s="51"/>
      <c r="U439" s="7"/>
      <c r="V439" s="57"/>
      <c r="W439" s="57"/>
      <c r="X439" s="57"/>
    </row>
    <row r="440" spans="1:24" ht="12.5" x14ac:dyDescent="0.25">
      <c r="A440" s="34"/>
      <c r="B440" s="7"/>
      <c r="C440" s="19"/>
      <c r="D440" s="7"/>
      <c r="E440" s="7"/>
      <c r="F440" s="7"/>
      <c r="G440" s="7"/>
      <c r="H440" s="6"/>
      <c r="I440" s="7"/>
      <c r="J440" s="7"/>
      <c r="K440" s="7"/>
      <c r="L440" s="7"/>
      <c r="M440" s="52"/>
      <c r="N440" s="7"/>
      <c r="O440" s="7"/>
      <c r="P440" s="47"/>
      <c r="Q440" s="47"/>
      <c r="R440" s="7"/>
      <c r="S440" s="51"/>
      <c r="T440" s="51"/>
      <c r="U440" s="7"/>
      <c r="V440" s="57"/>
      <c r="W440" s="57"/>
      <c r="X440" s="57"/>
    </row>
    <row r="441" spans="1:24" ht="12.5" x14ac:dyDescent="0.25">
      <c r="A441" s="34"/>
      <c r="B441" s="7"/>
      <c r="C441" s="19"/>
      <c r="D441" s="7"/>
      <c r="E441" s="7"/>
      <c r="F441" s="7"/>
      <c r="G441" s="7"/>
      <c r="H441" s="6"/>
      <c r="I441" s="7"/>
      <c r="J441" s="7"/>
      <c r="K441" s="7"/>
      <c r="L441" s="7"/>
      <c r="M441" s="52"/>
      <c r="N441" s="7"/>
      <c r="O441" s="7"/>
      <c r="P441" s="47"/>
      <c r="Q441" s="47"/>
      <c r="R441" s="7"/>
      <c r="S441" s="51"/>
      <c r="T441" s="51"/>
      <c r="U441" s="7"/>
      <c r="V441" s="57"/>
      <c r="W441" s="57"/>
      <c r="X441" s="57"/>
    </row>
    <row r="442" spans="1:24" ht="12.5" x14ac:dyDescent="0.25">
      <c r="A442" s="34"/>
      <c r="B442" s="7"/>
      <c r="C442" s="19"/>
      <c r="D442" s="7"/>
      <c r="E442" s="7"/>
      <c r="F442" s="7"/>
      <c r="G442" s="7"/>
      <c r="H442" s="6"/>
      <c r="I442" s="7"/>
      <c r="J442" s="7"/>
      <c r="K442" s="7"/>
      <c r="L442" s="7"/>
      <c r="M442" s="52"/>
      <c r="N442" s="7"/>
      <c r="O442" s="7"/>
      <c r="P442" s="47"/>
      <c r="Q442" s="47"/>
      <c r="R442" s="7"/>
      <c r="S442" s="51"/>
      <c r="T442" s="51"/>
      <c r="U442" s="7"/>
      <c r="V442" s="57"/>
      <c r="W442" s="57"/>
      <c r="X442" s="57"/>
    </row>
    <row r="443" spans="1:24" ht="12.5" x14ac:dyDescent="0.25">
      <c r="A443" s="34"/>
      <c r="B443" s="7"/>
      <c r="C443" s="19"/>
      <c r="D443" s="7"/>
      <c r="E443" s="7"/>
      <c r="F443" s="7"/>
      <c r="G443" s="7"/>
      <c r="H443" s="6"/>
      <c r="I443" s="7"/>
      <c r="J443" s="7"/>
      <c r="K443" s="7"/>
      <c r="L443" s="7"/>
      <c r="M443" s="52"/>
      <c r="N443" s="7"/>
      <c r="O443" s="7"/>
      <c r="P443" s="47"/>
      <c r="Q443" s="47"/>
      <c r="R443" s="7"/>
      <c r="S443" s="51"/>
      <c r="T443" s="51"/>
      <c r="U443" s="7"/>
      <c r="V443" s="57"/>
      <c r="W443" s="57"/>
      <c r="X443" s="57"/>
    </row>
    <row r="444" spans="1:24" ht="12.5" x14ac:dyDescent="0.25">
      <c r="A444" s="34"/>
      <c r="B444" s="7"/>
      <c r="C444" s="19"/>
      <c r="D444" s="7"/>
      <c r="E444" s="7"/>
      <c r="F444" s="7"/>
      <c r="G444" s="7"/>
      <c r="H444" s="6"/>
      <c r="I444" s="7"/>
      <c r="J444" s="7"/>
      <c r="K444" s="7"/>
      <c r="L444" s="7"/>
      <c r="M444" s="52"/>
      <c r="N444" s="7"/>
      <c r="O444" s="7"/>
      <c r="P444" s="47"/>
      <c r="Q444" s="47"/>
      <c r="R444" s="7"/>
      <c r="S444" s="51"/>
      <c r="T444" s="51"/>
      <c r="U444" s="7"/>
      <c r="V444" s="57"/>
      <c r="W444" s="57"/>
      <c r="X444" s="57"/>
    </row>
    <row r="445" spans="1:24" ht="12.5" x14ac:dyDescent="0.25">
      <c r="A445" s="34"/>
      <c r="B445" s="7"/>
      <c r="C445" s="19"/>
      <c r="D445" s="7"/>
      <c r="E445" s="7"/>
      <c r="F445" s="7"/>
      <c r="G445" s="7"/>
      <c r="H445" s="6"/>
      <c r="I445" s="7"/>
      <c r="J445" s="7"/>
      <c r="K445" s="7"/>
      <c r="L445" s="7"/>
      <c r="M445" s="52"/>
      <c r="N445" s="7"/>
      <c r="O445" s="7"/>
      <c r="P445" s="47"/>
      <c r="Q445" s="47"/>
      <c r="R445" s="7"/>
      <c r="S445" s="51"/>
      <c r="T445" s="51"/>
      <c r="U445" s="7"/>
      <c r="V445" s="57"/>
      <c r="W445" s="57"/>
      <c r="X445" s="57"/>
    </row>
    <row r="446" spans="1:24" ht="12.5" x14ac:dyDescent="0.25">
      <c r="A446" s="34"/>
      <c r="B446" s="7"/>
      <c r="C446" s="19"/>
      <c r="D446" s="7"/>
      <c r="E446" s="7"/>
      <c r="F446" s="7"/>
      <c r="G446" s="7"/>
      <c r="H446" s="6"/>
      <c r="I446" s="7"/>
      <c r="J446" s="7"/>
      <c r="K446" s="7"/>
      <c r="L446" s="7"/>
      <c r="M446" s="52"/>
      <c r="N446" s="7"/>
      <c r="O446" s="7"/>
      <c r="P446" s="47"/>
      <c r="Q446" s="47"/>
      <c r="R446" s="7"/>
      <c r="S446" s="51"/>
      <c r="T446" s="51"/>
      <c r="U446" s="7"/>
      <c r="V446" s="57"/>
      <c r="W446" s="57"/>
      <c r="X446" s="57"/>
    </row>
    <row r="447" spans="1:24" ht="12.5" x14ac:dyDescent="0.25">
      <c r="A447" s="34"/>
      <c r="B447" s="7"/>
      <c r="C447" s="19"/>
      <c r="D447" s="7"/>
      <c r="E447" s="7"/>
      <c r="F447" s="7"/>
      <c r="G447" s="7"/>
      <c r="H447" s="6"/>
      <c r="I447" s="7"/>
      <c r="J447" s="7"/>
      <c r="K447" s="7"/>
      <c r="L447" s="7"/>
      <c r="M447" s="52"/>
      <c r="N447" s="7"/>
      <c r="O447" s="7"/>
      <c r="P447" s="47"/>
      <c r="Q447" s="47"/>
      <c r="R447" s="7"/>
      <c r="S447" s="51"/>
      <c r="T447" s="51"/>
      <c r="U447" s="7"/>
      <c r="V447" s="57"/>
      <c r="W447" s="57"/>
      <c r="X447" s="57"/>
    </row>
    <row r="448" spans="1:24" ht="12.5" x14ac:dyDescent="0.25">
      <c r="A448" s="34"/>
      <c r="B448" s="7"/>
      <c r="C448" s="19"/>
      <c r="D448" s="7"/>
      <c r="E448" s="7"/>
      <c r="F448" s="7"/>
      <c r="G448" s="7"/>
      <c r="H448" s="6"/>
      <c r="I448" s="7"/>
      <c r="J448" s="7"/>
      <c r="K448" s="7"/>
      <c r="L448" s="7"/>
      <c r="M448" s="52"/>
      <c r="N448" s="7"/>
      <c r="O448" s="7"/>
      <c r="P448" s="47"/>
      <c r="Q448" s="47"/>
      <c r="R448" s="7"/>
      <c r="S448" s="51"/>
      <c r="T448" s="51"/>
      <c r="U448" s="7"/>
      <c r="V448" s="57"/>
      <c r="W448" s="57"/>
      <c r="X448" s="57"/>
    </row>
    <row r="449" spans="1:24" ht="12.5" x14ac:dyDescent="0.25">
      <c r="A449" s="34"/>
      <c r="B449" s="7"/>
      <c r="C449" s="19"/>
      <c r="D449" s="7"/>
      <c r="E449" s="7"/>
      <c r="F449" s="7"/>
      <c r="G449" s="7"/>
      <c r="H449" s="6"/>
      <c r="I449" s="7"/>
      <c r="J449" s="7"/>
      <c r="K449" s="7"/>
      <c r="L449" s="7"/>
      <c r="M449" s="52"/>
      <c r="N449" s="7"/>
      <c r="O449" s="7"/>
      <c r="P449" s="47"/>
      <c r="Q449" s="47"/>
      <c r="R449" s="7"/>
      <c r="S449" s="51"/>
      <c r="T449" s="51"/>
      <c r="U449" s="7"/>
      <c r="V449" s="57"/>
      <c r="W449" s="57"/>
      <c r="X449" s="57"/>
    </row>
    <row r="450" spans="1:24" ht="12.5" x14ac:dyDescent="0.25">
      <c r="A450" s="34"/>
      <c r="B450" s="7"/>
      <c r="C450" s="19"/>
      <c r="D450" s="7"/>
      <c r="E450" s="7"/>
      <c r="F450" s="7"/>
      <c r="G450" s="7"/>
      <c r="H450" s="6"/>
      <c r="I450" s="7"/>
      <c r="J450" s="7"/>
      <c r="K450" s="7"/>
      <c r="L450" s="7"/>
      <c r="M450" s="52"/>
      <c r="N450" s="7"/>
      <c r="O450" s="7"/>
      <c r="P450" s="47"/>
      <c r="Q450" s="47"/>
      <c r="R450" s="7"/>
      <c r="S450" s="51"/>
      <c r="T450" s="51"/>
      <c r="U450" s="7"/>
      <c r="V450" s="57"/>
      <c r="W450" s="57"/>
      <c r="X450" s="57"/>
    </row>
    <row r="451" spans="1:24" ht="12.5" x14ac:dyDescent="0.25">
      <c r="A451" s="34"/>
      <c r="B451" s="7"/>
      <c r="C451" s="19"/>
      <c r="D451" s="7"/>
      <c r="E451" s="7"/>
      <c r="F451" s="7"/>
      <c r="G451" s="7"/>
      <c r="H451" s="6"/>
      <c r="I451" s="7"/>
      <c r="J451" s="7"/>
      <c r="K451" s="7"/>
      <c r="L451" s="7"/>
      <c r="M451" s="52"/>
      <c r="N451" s="7"/>
      <c r="O451" s="7"/>
      <c r="P451" s="47"/>
      <c r="Q451" s="47"/>
      <c r="R451" s="7"/>
      <c r="S451" s="51"/>
      <c r="T451" s="51"/>
      <c r="U451" s="7"/>
      <c r="V451" s="57"/>
      <c r="W451" s="57"/>
      <c r="X451" s="57"/>
    </row>
    <row r="452" spans="1:24" ht="12.5" x14ac:dyDescent="0.25">
      <c r="A452" s="34"/>
      <c r="B452" s="7"/>
      <c r="C452" s="19"/>
      <c r="D452" s="7"/>
      <c r="E452" s="7"/>
      <c r="F452" s="7"/>
      <c r="G452" s="7"/>
      <c r="H452" s="6"/>
      <c r="I452" s="7"/>
      <c r="J452" s="7"/>
      <c r="K452" s="7"/>
      <c r="L452" s="7"/>
      <c r="M452" s="52"/>
      <c r="N452" s="7"/>
      <c r="O452" s="7"/>
      <c r="P452" s="47"/>
      <c r="Q452" s="47"/>
      <c r="R452" s="7"/>
      <c r="S452" s="51"/>
      <c r="T452" s="51"/>
      <c r="U452" s="7"/>
      <c r="V452" s="57"/>
      <c r="W452" s="57"/>
      <c r="X452" s="57"/>
    </row>
    <row r="453" spans="1:24" ht="12.5" x14ac:dyDescent="0.25">
      <c r="A453" s="34"/>
      <c r="B453" s="7"/>
      <c r="C453" s="19"/>
      <c r="D453" s="7"/>
      <c r="E453" s="7"/>
      <c r="F453" s="7"/>
      <c r="G453" s="7"/>
      <c r="H453" s="6"/>
      <c r="I453" s="7"/>
      <c r="J453" s="7"/>
      <c r="K453" s="7"/>
      <c r="L453" s="7"/>
      <c r="M453" s="52"/>
      <c r="N453" s="7"/>
      <c r="O453" s="7"/>
      <c r="P453" s="47"/>
      <c r="Q453" s="47"/>
      <c r="R453" s="7"/>
      <c r="S453" s="51"/>
      <c r="T453" s="51"/>
      <c r="U453" s="7"/>
      <c r="V453" s="57"/>
      <c r="W453" s="57"/>
      <c r="X453" s="57"/>
    </row>
    <row r="454" spans="1:24" ht="12.5" x14ac:dyDescent="0.25">
      <c r="A454" s="34"/>
      <c r="B454" s="7"/>
      <c r="C454" s="19"/>
      <c r="D454" s="7"/>
      <c r="E454" s="7"/>
      <c r="F454" s="7"/>
      <c r="G454" s="7"/>
      <c r="H454" s="6"/>
      <c r="I454" s="7"/>
      <c r="J454" s="7"/>
      <c r="K454" s="7"/>
      <c r="L454" s="7"/>
      <c r="M454" s="52"/>
      <c r="N454" s="7"/>
      <c r="O454" s="7"/>
      <c r="P454" s="47"/>
      <c r="Q454" s="47"/>
      <c r="R454" s="7"/>
      <c r="S454" s="51"/>
      <c r="T454" s="51"/>
      <c r="U454" s="7"/>
      <c r="V454" s="57"/>
      <c r="W454" s="57"/>
      <c r="X454" s="57"/>
    </row>
    <row r="455" spans="1:24" ht="12.5" x14ac:dyDescent="0.25">
      <c r="A455" s="34"/>
      <c r="B455" s="7"/>
      <c r="C455" s="19"/>
      <c r="D455" s="7"/>
      <c r="E455" s="7"/>
      <c r="F455" s="7"/>
      <c r="G455" s="7"/>
      <c r="H455" s="6"/>
      <c r="I455" s="7"/>
      <c r="J455" s="7"/>
      <c r="K455" s="7"/>
      <c r="L455" s="7"/>
      <c r="M455" s="52"/>
      <c r="N455" s="7"/>
      <c r="O455" s="7"/>
      <c r="P455" s="47"/>
      <c r="Q455" s="47"/>
      <c r="R455" s="7"/>
      <c r="S455" s="51"/>
      <c r="T455" s="51"/>
      <c r="U455" s="7"/>
      <c r="V455" s="57"/>
      <c r="W455" s="57"/>
      <c r="X455" s="57"/>
    </row>
    <row r="456" spans="1:24" ht="12.5" x14ac:dyDescent="0.25">
      <c r="A456" s="34"/>
      <c r="B456" s="7"/>
      <c r="C456" s="19"/>
      <c r="D456" s="7"/>
      <c r="E456" s="7"/>
      <c r="F456" s="7"/>
      <c r="G456" s="7"/>
      <c r="H456" s="6"/>
      <c r="I456" s="7"/>
      <c r="J456" s="7"/>
      <c r="K456" s="7"/>
      <c r="L456" s="7"/>
      <c r="M456" s="52"/>
      <c r="N456" s="7"/>
      <c r="O456" s="7"/>
      <c r="P456" s="47"/>
      <c r="Q456" s="47"/>
      <c r="R456" s="7"/>
      <c r="S456" s="51"/>
      <c r="T456" s="51"/>
      <c r="U456" s="7"/>
      <c r="V456" s="57"/>
      <c r="W456" s="57"/>
      <c r="X456" s="57"/>
    </row>
    <row r="457" spans="1:24" ht="12.5" x14ac:dyDescent="0.25">
      <c r="A457" s="34"/>
      <c r="B457" s="7"/>
      <c r="C457" s="19"/>
      <c r="D457" s="7"/>
      <c r="E457" s="7"/>
      <c r="F457" s="7"/>
      <c r="G457" s="7"/>
      <c r="H457" s="6"/>
      <c r="I457" s="7"/>
      <c r="J457" s="7"/>
      <c r="K457" s="7"/>
      <c r="L457" s="7"/>
      <c r="M457" s="52"/>
      <c r="N457" s="7"/>
      <c r="O457" s="7"/>
      <c r="P457" s="47"/>
      <c r="Q457" s="47"/>
      <c r="R457" s="7"/>
      <c r="S457" s="51"/>
      <c r="T457" s="51"/>
      <c r="U457" s="7"/>
      <c r="V457" s="57"/>
      <c r="W457" s="57"/>
      <c r="X457" s="57"/>
    </row>
    <row r="458" spans="1:24" ht="12.5" x14ac:dyDescent="0.25">
      <c r="A458" s="34"/>
      <c r="B458" s="7"/>
      <c r="C458" s="19"/>
      <c r="D458" s="7"/>
      <c r="E458" s="7"/>
      <c r="F458" s="7"/>
      <c r="G458" s="7"/>
      <c r="H458" s="6"/>
      <c r="I458" s="7"/>
      <c r="J458" s="7"/>
      <c r="K458" s="7"/>
      <c r="L458" s="7"/>
      <c r="M458" s="52"/>
      <c r="N458" s="7"/>
      <c r="O458" s="7"/>
      <c r="P458" s="47"/>
      <c r="Q458" s="47"/>
      <c r="R458" s="7"/>
      <c r="S458" s="51"/>
      <c r="T458" s="51"/>
      <c r="U458" s="7"/>
      <c r="V458" s="57"/>
      <c r="W458" s="57"/>
      <c r="X458" s="57"/>
    </row>
    <row r="459" spans="1:24" ht="12.5" x14ac:dyDescent="0.25">
      <c r="A459" s="34"/>
      <c r="B459" s="7"/>
      <c r="C459" s="19"/>
      <c r="D459" s="7"/>
      <c r="E459" s="7"/>
      <c r="F459" s="7"/>
      <c r="G459" s="7"/>
      <c r="H459" s="6"/>
      <c r="I459" s="7"/>
      <c r="J459" s="7"/>
      <c r="K459" s="7"/>
      <c r="L459" s="7"/>
      <c r="M459" s="52"/>
      <c r="N459" s="7"/>
      <c r="O459" s="7"/>
      <c r="P459" s="47"/>
      <c r="Q459" s="47"/>
      <c r="R459" s="7"/>
      <c r="S459" s="51"/>
      <c r="T459" s="51"/>
      <c r="U459" s="7"/>
      <c r="V459" s="57"/>
      <c r="W459" s="57"/>
      <c r="X459" s="57"/>
    </row>
    <row r="460" spans="1:24" ht="12.5" x14ac:dyDescent="0.25">
      <c r="A460" s="34"/>
      <c r="B460" s="7"/>
      <c r="C460" s="19"/>
      <c r="D460" s="7"/>
      <c r="E460" s="7"/>
      <c r="F460" s="7"/>
      <c r="G460" s="7"/>
      <c r="H460" s="6"/>
      <c r="I460" s="7"/>
      <c r="J460" s="7"/>
      <c r="K460" s="7"/>
      <c r="L460" s="7"/>
      <c r="M460" s="52"/>
      <c r="N460" s="7"/>
      <c r="O460" s="7"/>
      <c r="P460" s="47"/>
      <c r="Q460" s="47"/>
      <c r="R460" s="7"/>
      <c r="S460" s="51"/>
      <c r="T460" s="51"/>
      <c r="U460" s="7"/>
      <c r="V460" s="57"/>
      <c r="W460" s="57"/>
      <c r="X460" s="57"/>
    </row>
    <row r="461" spans="1:24" ht="12.5" x14ac:dyDescent="0.25">
      <c r="A461" s="34"/>
      <c r="B461" s="7"/>
      <c r="C461" s="19"/>
      <c r="D461" s="7"/>
      <c r="E461" s="7"/>
      <c r="F461" s="7"/>
      <c r="G461" s="7"/>
      <c r="H461" s="6"/>
      <c r="I461" s="7"/>
      <c r="J461" s="7"/>
      <c r="K461" s="7"/>
      <c r="L461" s="7"/>
      <c r="M461" s="52"/>
      <c r="N461" s="7"/>
      <c r="O461" s="7"/>
      <c r="P461" s="47"/>
      <c r="Q461" s="47"/>
      <c r="R461" s="7"/>
      <c r="S461" s="51"/>
      <c r="T461" s="51"/>
      <c r="U461" s="7"/>
      <c r="V461" s="57"/>
      <c r="W461" s="57"/>
      <c r="X461" s="57"/>
    </row>
    <row r="462" spans="1:24" ht="12.5" x14ac:dyDescent="0.25">
      <c r="A462" s="34"/>
      <c r="B462" s="7"/>
      <c r="C462" s="19"/>
      <c r="D462" s="7"/>
      <c r="E462" s="7"/>
      <c r="F462" s="7"/>
      <c r="G462" s="7"/>
      <c r="H462" s="6"/>
      <c r="I462" s="7"/>
      <c r="J462" s="7"/>
      <c r="K462" s="7"/>
      <c r="L462" s="7"/>
      <c r="M462" s="52"/>
      <c r="N462" s="7"/>
      <c r="O462" s="7"/>
      <c r="P462" s="47"/>
      <c r="Q462" s="47"/>
      <c r="R462" s="7"/>
      <c r="S462" s="51"/>
      <c r="T462" s="51"/>
      <c r="U462" s="7"/>
      <c r="V462" s="57"/>
      <c r="W462" s="57"/>
      <c r="X462" s="57"/>
    </row>
    <row r="463" spans="1:24" ht="12.5" x14ac:dyDescent="0.25">
      <c r="A463" s="34"/>
      <c r="B463" s="7"/>
      <c r="C463" s="19"/>
      <c r="D463" s="7"/>
      <c r="E463" s="7"/>
      <c r="F463" s="7"/>
      <c r="G463" s="7"/>
      <c r="H463" s="6"/>
      <c r="I463" s="7"/>
      <c r="J463" s="7"/>
      <c r="K463" s="7"/>
      <c r="L463" s="7"/>
      <c r="M463" s="52"/>
      <c r="N463" s="7"/>
      <c r="O463" s="7"/>
      <c r="P463" s="47"/>
      <c r="Q463" s="47"/>
      <c r="R463" s="7"/>
      <c r="S463" s="51"/>
      <c r="T463" s="51"/>
      <c r="U463" s="7"/>
      <c r="V463" s="57"/>
      <c r="W463" s="57"/>
      <c r="X463" s="57"/>
    </row>
    <row r="464" spans="1:24" ht="12.5" x14ac:dyDescent="0.25">
      <c r="A464" s="34"/>
      <c r="B464" s="7"/>
      <c r="C464" s="19"/>
      <c r="D464" s="7"/>
      <c r="E464" s="7"/>
      <c r="F464" s="7"/>
      <c r="G464" s="7"/>
      <c r="H464" s="6"/>
      <c r="I464" s="7"/>
      <c r="J464" s="7"/>
      <c r="K464" s="7"/>
      <c r="L464" s="7"/>
      <c r="M464" s="52"/>
      <c r="N464" s="7"/>
      <c r="O464" s="7"/>
      <c r="P464" s="47"/>
      <c r="Q464" s="47"/>
      <c r="R464" s="7"/>
      <c r="S464" s="51"/>
      <c r="T464" s="51"/>
      <c r="U464" s="7"/>
      <c r="V464" s="57"/>
      <c r="W464" s="57"/>
      <c r="X464" s="57"/>
    </row>
    <row r="465" spans="1:24" ht="12.5" x14ac:dyDescent="0.25">
      <c r="A465" s="34"/>
      <c r="B465" s="7"/>
      <c r="C465" s="19"/>
      <c r="D465" s="7"/>
      <c r="E465" s="7"/>
      <c r="F465" s="7"/>
      <c r="G465" s="7"/>
      <c r="H465" s="6"/>
      <c r="I465" s="7"/>
      <c r="J465" s="7"/>
      <c r="K465" s="7"/>
      <c r="L465" s="7"/>
      <c r="M465" s="52"/>
      <c r="N465" s="7"/>
      <c r="O465" s="7"/>
      <c r="P465" s="47"/>
      <c r="Q465" s="47"/>
      <c r="R465" s="7"/>
      <c r="S465" s="51"/>
      <c r="T465" s="51"/>
      <c r="U465" s="7"/>
      <c r="V465" s="57"/>
      <c r="W465" s="57"/>
      <c r="X465" s="57"/>
    </row>
    <row r="466" spans="1:24" ht="12.5" x14ac:dyDescent="0.25">
      <c r="A466" s="34"/>
      <c r="B466" s="7"/>
      <c r="C466" s="19"/>
      <c r="D466" s="7"/>
      <c r="E466" s="7"/>
      <c r="F466" s="7"/>
      <c r="G466" s="7"/>
      <c r="H466" s="6"/>
      <c r="I466" s="7"/>
      <c r="J466" s="7"/>
      <c r="K466" s="7"/>
      <c r="L466" s="7"/>
      <c r="M466" s="52"/>
      <c r="N466" s="7"/>
      <c r="O466" s="7"/>
      <c r="P466" s="47"/>
      <c r="Q466" s="47"/>
      <c r="R466" s="7"/>
      <c r="S466" s="51"/>
      <c r="T466" s="51"/>
      <c r="U466" s="7"/>
      <c r="V466" s="57"/>
      <c r="W466" s="57"/>
      <c r="X466" s="57"/>
    </row>
    <row r="467" spans="1:24" ht="12.5" x14ac:dyDescent="0.25">
      <c r="A467" s="34"/>
      <c r="B467" s="7"/>
      <c r="C467" s="19"/>
      <c r="D467" s="7"/>
      <c r="E467" s="7"/>
      <c r="F467" s="7"/>
      <c r="G467" s="7"/>
      <c r="H467" s="6"/>
      <c r="I467" s="7"/>
      <c r="J467" s="7"/>
      <c r="K467" s="7"/>
      <c r="L467" s="7"/>
      <c r="M467" s="52"/>
      <c r="N467" s="7"/>
      <c r="O467" s="7"/>
      <c r="P467" s="47"/>
      <c r="Q467" s="47"/>
      <c r="R467" s="7"/>
      <c r="S467" s="51"/>
      <c r="T467" s="51"/>
      <c r="U467" s="7"/>
      <c r="V467" s="57"/>
      <c r="W467" s="57"/>
      <c r="X467" s="57"/>
    </row>
    <row r="468" spans="1:24" ht="12.5" x14ac:dyDescent="0.25">
      <c r="A468" s="34"/>
      <c r="B468" s="7"/>
      <c r="C468" s="19"/>
      <c r="D468" s="7"/>
      <c r="E468" s="7"/>
      <c r="F468" s="7"/>
      <c r="G468" s="7"/>
      <c r="H468" s="6"/>
      <c r="I468" s="7"/>
      <c r="J468" s="7"/>
      <c r="K468" s="7"/>
      <c r="L468" s="7"/>
      <c r="M468" s="52"/>
      <c r="N468" s="7"/>
      <c r="O468" s="7"/>
      <c r="P468" s="47"/>
      <c r="Q468" s="47"/>
      <c r="R468" s="7"/>
      <c r="S468" s="51"/>
      <c r="T468" s="51"/>
      <c r="U468" s="7"/>
      <c r="V468" s="57"/>
      <c r="W468" s="57"/>
      <c r="X468" s="57"/>
    </row>
    <row r="469" spans="1:24" ht="12.5" x14ac:dyDescent="0.25">
      <c r="A469" s="34"/>
      <c r="B469" s="7"/>
      <c r="C469" s="19"/>
      <c r="D469" s="7"/>
      <c r="E469" s="7"/>
      <c r="F469" s="7"/>
      <c r="G469" s="7"/>
      <c r="H469" s="6"/>
      <c r="I469" s="7"/>
      <c r="J469" s="7"/>
      <c r="K469" s="7"/>
      <c r="L469" s="7"/>
      <c r="M469" s="52"/>
      <c r="N469" s="7"/>
      <c r="O469" s="7"/>
      <c r="P469" s="47"/>
      <c r="Q469" s="47"/>
      <c r="R469" s="7"/>
      <c r="S469" s="51"/>
      <c r="T469" s="51"/>
      <c r="U469" s="7"/>
      <c r="V469" s="57"/>
      <c r="W469" s="57"/>
      <c r="X469" s="57"/>
    </row>
    <row r="470" spans="1:24" ht="12.5" x14ac:dyDescent="0.25">
      <c r="A470" s="34"/>
      <c r="B470" s="7"/>
      <c r="C470" s="19"/>
      <c r="D470" s="7"/>
      <c r="E470" s="7"/>
      <c r="F470" s="7"/>
      <c r="G470" s="7"/>
      <c r="H470" s="6"/>
      <c r="I470" s="7"/>
      <c r="J470" s="7"/>
      <c r="K470" s="7"/>
      <c r="L470" s="7"/>
      <c r="M470" s="52"/>
      <c r="N470" s="7"/>
      <c r="O470" s="7"/>
      <c r="P470" s="47"/>
      <c r="Q470" s="47"/>
      <c r="R470" s="7"/>
      <c r="S470" s="51"/>
      <c r="T470" s="51"/>
      <c r="U470" s="7"/>
      <c r="V470" s="57"/>
      <c r="W470" s="57"/>
      <c r="X470" s="57"/>
    </row>
    <row r="471" spans="1:24" ht="12.5" x14ac:dyDescent="0.25">
      <c r="A471" s="34"/>
      <c r="B471" s="7"/>
      <c r="C471" s="19"/>
      <c r="D471" s="7"/>
      <c r="E471" s="7"/>
      <c r="F471" s="7"/>
      <c r="G471" s="7"/>
      <c r="H471" s="6"/>
      <c r="I471" s="7"/>
      <c r="J471" s="7"/>
      <c r="K471" s="7"/>
      <c r="L471" s="7"/>
      <c r="M471" s="52"/>
      <c r="N471" s="7"/>
      <c r="O471" s="7"/>
      <c r="P471" s="47"/>
      <c r="Q471" s="47"/>
      <c r="R471" s="7"/>
      <c r="S471" s="51"/>
      <c r="T471" s="51"/>
      <c r="U471" s="7"/>
      <c r="V471" s="57"/>
      <c r="W471" s="57"/>
      <c r="X471" s="57"/>
    </row>
    <row r="472" spans="1:24" ht="12.5" x14ac:dyDescent="0.25">
      <c r="A472" s="34"/>
      <c r="B472" s="7"/>
      <c r="C472" s="19"/>
      <c r="D472" s="7"/>
      <c r="E472" s="7"/>
      <c r="F472" s="7"/>
      <c r="G472" s="7"/>
      <c r="H472" s="6"/>
      <c r="I472" s="7"/>
      <c r="J472" s="7"/>
      <c r="K472" s="7"/>
      <c r="L472" s="7"/>
      <c r="M472" s="52"/>
      <c r="N472" s="7"/>
      <c r="O472" s="7"/>
      <c r="P472" s="47"/>
      <c r="Q472" s="47"/>
      <c r="R472" s="7"/>
      <c r="S472" s="51"/>
      <c r="T472" s="51"/>
      <c r="U472" s="7"/>
      <c r="V472" s="57"/>
      <c r="W472" s="57"/>
      <c r="X472" s="57"/>
    </row>
    <row r="473" spans="1:24" ht="12.5" x14ac:dyDescent="0.25">
      <c r="A473" s="34"/>
      <c r="B473" s="7"/>
      <c r="C473" s="19"/>
      <c r="D473" s="7"/>
      <c r="E473" s="7"/>
      <c r="F473" s="7"/>
      <c r="G473" s="7"/>
      <c r="H473" s="6"/>
      <c r="I473" s="7"/>
      <c r="J473" s="7"/>
      <c r="K473" s="7"/>
      <c r="L473" s="7"/>
      <c r="M473" s="52"/>
      <c r="N473" s="7"/>
      <c r="O473" s="7"/>
      <c r="P473" s="47"/>
      <c r="Q473" s="47"/>
      <c r="R473" s="7"/>
      <c r="S473" s="51"/>
      <c r="T473" s="51"/>
      <c r="U473" s="7"/>
      <c r="V473" s="57"/>
      <c r="W473" s="57"/>
      <c r="X473" s="57"/>
    </row>
    <row r="474" spans="1:24" ht="12.5" x14ac:dyDescent="0.25">
      <c r="A474" s="34"/>
      <c r="B474" s="7"/>
      <c r="C474" s="19"/>
      <c r="D474" s="7"/>
      <c r="E474" s="7"/>
      <c r="F474" s="7"/>
      <c r="G474" s="7"/>
      <c r="H474" s="6"/>
      <c r="I474" s="7"/>
      <c r="J474" s="7"/>
      <c r="K474" s="7"/>
      <c r="L474" s="7"/>
      <c r="M474" s="52"/>
      <c r="N474" s="7"/>
      <c r="O474" s="7"/>
      <c r="P474" s="47"/>
      <c r="Q474" s="47"/>
      <c r="R474" s="7"/>
      <c r="S474" s="51"/>
      <c r="T474" s="51"/>
      <c r="U474" s="7"/>
      <c r="V474" s="57"/>
      <c r="W474" s="57"/>
      <c r="X474" s="57"/>
    </row>
    <row r="475" spans="1:24" ht="12.5" x14ac:dyDescent="0.25">
      <c r="A475" s="34"/>
      <c r="B475" s="7"/>
      <c r="C475" s="19"/>
      <c r="D475" s="7"/>
      <c r="E475" s="7"/>
      <c r="F475" s="7"/>
      <c r="G475" s="7"/>
      <c r="H475" s="6"/>
      <c r="I475" s="7"/>
      <c r="J475" s="7"/>
      <c r="K475" s="7"/>
      <c r="L475" s="7"/>
      <c r="M475" s="52"/>
      <c r="N475" s="7"/>
      <c r="O475" s="7"/>
      <c r="P475" s="47"/>
      <c r="Q475" s="47"/>
      <c r="R475" s="7"/>
      <c r="S475" s="51"/>
      <c r="T475" s="51"/>
      <c r="U475" s="7"/>
      <c r="V475" s="57"/>
      <c r="W475" s="57"/>
      <c r="X475" s="57"/>
    </row>
    <row r="476" spans="1:24" ht="12.5" x14ac:dyDescent="0.25">
      <c r="A476" s="34"/>
      <c r="B476" s="7"/>
      <c r="C476" s="19"/>
      <c r="D476" s="7"/>
      <c r="E476" s="7"/>
      <c r="F476" s="7"/>
      <c r="G476" s="7"/>
      <c r="H476" s="6"/>
      <c r="I476" s="7"/>
      <c r="J476" s="7"/>
      <c r="K476" s="7"/>
      <c r="L476" s="7"/>
      <c r="M476" s="52"/>
      <c r="N476" s="7"/>
      <c r="O476" s="7"/>
      <c r="P476" s="47"/>
      <c r="Q476" s="47"/>
      <c r="R476" s="7"/>
      <c r="S476" s="51"/>
      <c r="T476" s="51"/>
      <c r="U476" s="7"/>
      <c r="V476" s="57"/>
      <c r="W476" s="57"/>
      <c r="X476" s="57"/>
    </row>
    <row r="477" spans="1:24" ht="12.5" x14ac:dyDescent="0.25">
      <c r="A477" s="34"/>
      <c r="B477" s="7"/>
      <c r="C477" s="19"/>
      <c r="D477" s="7"/>
      <c r="E477" s="7"/>
      <c r="F477" s="7"/>
      <c r="G477" s="7"/>
      <c r="H477" s="6"/>
      <c r="I477" s="7"/>
      <c r="J477" s="7"/>
      <c r="K477" s="7"/>
      <c r="L477" s="7"/>
      <c r="M477" s="52"/>
      <c r="N477" s="7"/>
      <c r="O477" s="7"/>
      <c r="P477" s="47"/>
      <c r="Q477" s="47"/>
      <c r="R477" s="7"/>
      <c r="S477" s="51"/>
      <c r="T477" s="51"/>
      <c r="U477" s="7"/>
      <c r="V477" s="57"/>
      <c r="W477" s="57"/>
      <c r="X477" s="57"/>
    </row>
    <row r="478" spans="1:24" ht="12.5" x14ac:dyDescent="0.25">
      <c r="A478" s="34"/>
      <c r="B478" s="7"/>
      <c r="C478" s="19"/>
      <c r="D478" s="7"/>
      <c r="E478" s="7"/>
      <c r="F478" s="7"/>
      <c r="G478" s="7"/>
      <c r="H478" s="6"/>
      <c r="I478" s="7"/>
      <c r="J478" s="7"/>
      <c r="K478" s="7"/>
      <c r="L478" s="7"/>
      <c r="M478" s="52"/>
      <c r="N478" s="7"/>
      <c r="O478" s="7"/>
      <c r="P478" s="47"/>
      <c r="Q478" s="47"/>
      <c r="R478" s="7"/>
      <c r="S478" s="51"/>
      <c r="T478" s="51"/>
      <c r="U478" s="7"/>
      <c r="V478" s="57"/>
      <c r="W478" s="57"/>
      <c r="X478" s="57"/>
    </row>
    <row r="479" spans="1:24" ht="12.5" x14ac:dyDescent="0.25">
      <c r="A479" s="34"/>
      <c r="B479" s="7"/>
      <c r="C479" s="19"/>
      <c r="D479" s="7"/>
      <c r="E479" s="7"/>
      <c r="F479" s="7"/>
      <c r="G479" s="7"/>
      <c r="H479" s="6"/>
      <c r="I479" s="7"/>
      <c r="J479" s="7"/>
      <c r="K479" s="7"/>
      <c r="L479" s="7"/>
      <c r="M479" s="52"/>
      <c r="N479" s="7"/>
      <c r="O479" s="7"/>
      <c r="P479" s="47"/>
      <c r="Q479" s="47"/>
      <c r="R479" s="7"/>
      <c r="S479" s="51"/>
      <c r="T479" s="51"/>
      <c r="U479" s="7"/>
      <c r="V479" s="57"/>
      <c r="W479" s="57"/>
      <c r="X479" s="57"/>
    </row>
    <row r="480" spans="1:24" ht="12.5" x14ac:dyDescent="0.25">
      <c r="A480" s="34"/>
      <c r="B480" s="7"/>
      <c r="C480" s="19"/>
      <c r="D480" s="7"/>
      <c r="E480" s="7"/>
      <c r="F480" s="7"/>
      <c r="G480" s="7"/>
      <c r="H480" s="6"/>
      <c r="I480" s="7"/>
      <c r="J480" s="7"/>
      <c r="K480" s="7"/>
      <c r="L480" s="7"/>
      <c r="M480" s="52"/>
      <c r="N480" s="7"/>
      <c r="O480" s="7"/>
      <c r="P480" s="47"/>
      <c r="Q480" s="47"/>
      <c r="R480" s="7"/>
      <c r="S480" s="51"/>
      <c r="T480" s="51"/>
      <c r="U480" s="7"/>
      <c r="V480" s="57"/>
      <c r="W480" s="57"/>
      <c r="X480" s="57"/>
    </row>
    <row r="481" spans="1:24" ht="12.5" x14ac:dyDescent="0.25">
      <c r="A481" s="34"/>
      <c r="B481" s="7"/>
      <c r="C481" s="19"/>
      <c r="D481" s="7"/>
      <c r="E481" s="7"/>
      <c r="F481" s="7"/>
      <c r="G481" s="7"/>
      <c r="H481" s="6"/>
      <c r="I481" s="7"/>
      <c r="J481" s="7"/>
      <c r="K481" s="7"/>
      <c r="L481" s="7"/>
      <c r="M481" s="52"/>
      <c r="N481" s="7"/>
      <c r="O481" s="7"/>
      <c r="P481" s="47"/>
      <c r="Q481" s="47"/>
      <c r="R481" s="7"/>
      <c r="S481" s="51"/>
      <c r="T481" s="51"/>
      <c r="U481" s="7"/>
      <c r="V481" s="57"/>
      <c r="W481" s="57"/>
      <c r="X481" s="57"/>
    </row>
    <row r="482" spans="1:24" ht="12.5" x14ac:dyDescent="0.25">
      <c r="A482" s="34"/>
      <c r="B482" s="7"/>
      <c r="C482" s="19"/>
      <c r="D482" s="7"/>
      <c r="E482" s="7"/>
      <c r="F482" s="7"/>
      <c r="G482" s="7"/>
      <c r="H482" s="6"/>
      <c r="I482" s="7"/>
      <c r="J482" s="7"/>
      <c r="K482" s="7"/>
      <c r="L482" s="7"/>
      <c r="M482" s="52"/>
      <c r="N482" s="7"/>
      <c r="O482" s="7"/>
      <c r="P482" s="47"/>
      <c r="Q482" s="47"/>
      <c r="R482" s="7"/>
      <c r="S482" s="51"/>
      <c r="T482" s="51"/>
      <c r="U482" s="7"/>
      <c r="V482" s="57"/>
      <c r="W482" s="57"/>
      <c r="X482" s="57"/>
    </row>
    <row r="483" spans="1:24" ht="12.5" x14ac:dyDescent="0.25">
      <c r="A483" s="34"/>
      <c r="B483" s="7"/>
      <c r="C483" s="19"/>
      <c r="D483" s="7"/>
      <c r="E483" s="7"/>
      <c r="F483" s="7"/>
      <c r="G483" s="7"/>
      <c r="H483" s="6"/>
      <c r="I483" s="7"/>
      <c r="J483" s="7"/>
      <c r="K483" s="7"/>
      <c r="L483" s="7"/>
      <c r="M483" s="52"/>
      <c r="N483" s="7"/>
      <c r="O483" s="7"/>
      <c r="P483" s="47"/>
      <c r="Q483" s="47"/>
      <c r="R483" s="7"/>
      <c r="S483" s="51"/>
      <c r="T483" s="51"/>
      <c r="U483" s="7"/>
      <c r="V483" s="57"/>
      <c r="W483" s="57"/>
      <c r="X483" s="57"/>
    </row>
    <row r="484" spans="1:24" ht="12.5" x14ac:dyDescent="0.25">
      <c r="A484" s="34"/>
      <c r="B484" s="7"/>
      <c r="C484" s="19"/>
      <c r="D484" s="7"/>
      <c r="E484" s="7"/>
      <c r="F484" s="7"/>
      <c r="G484" s="7"/>
      <c r="H484" s="6"/>
      <c r="I484" s="7"/>
      <c r="J484" s="7"/>
      <c r="K484" s="7"/>
      <c r="L484" s="7"/>
      <c r="M484" s="52"/>
      <c r="N484" s="7"/>
      <c r="O484" s="7"/>
      <c r="P484" s="47"/>
      <c r="Q484" s="47"/>
      <c r="R484" s="7"/>
      <c r="S484" s="51"/>
      <c r="T484" s="51"/>
      <c r="U484" s="7"/>
      <c r="V484" s="57"/>
      <c r="W484" s="57"/>
      <c r="X484" s="57"/>
    </row>
    <row r="485" spans="1:24" ht="12.5" x14ac:dyDescent="0.25">
      <c r="A485" s="34"/>
      <c r="B485" s="7"/>
      <c r="C485" s="19"/>
      <c r="D485" s="7"/>
      <c r="E485" s="7"/>
      <c r="F485" s="7"/>
      <c r="G485" s="7"/>
      <c r="H485" s="6"/>
      <c r="I485" s="7"/>
      <c r="J485" s="7"/>
      <c r="K485" s="7"/>
      <c r="L485" s="7"/>
      <c r="M485" s="52"/>
      <c r="N485" s="7"/>
      <c r="O485" s="7"/>
      <c r="P485" s="47"/>
      <c r="Q485" s="47"/>
      <c r="R485" s="7"/>
      <c r="S485" s="51"/>
      <c r="T485" s="51"/>
      <c r="U485" s="7"/>
      <c r="V485" s="57"/>
      <c r="W485" s="57"/>
      <c r="X485" s="57"/>
    </row>
    <row r="486" spans="1:24" ht="12.5" x14ac:dyDescent="0.25">
      <c r="A486" s="34"/>
      <c r="B486" s="7"/>
      <c r="C486" s="19"/>
      <c r="D486" s="7"/>
      <c r="E486" s="7"/>
      <c r="F486" s="7"/>
      <c r="G486" s="7"/>
      <c r="H486" s="6"/>
      <c r="I486" s="7"/>
      <c r="J486" s="7"/>
      <c r="K486" s="7"/>
      <c r="L486" s="7"/>
      <c r="M486" s="52"/>
      <c r="N486" s="7"/>
      <c r="O486" s="7"/>
      <c r="P486" s="47"/>
      <c r="Q486" s="47"/>
      <c r="R486" s="7"/>
      <c r="S486" s="51"/>
      <c r="T486" s="51"/>
      <c r="U486" s="7"/>
      <c r="V486" s="57"/>
      <c r="W486" s="57"/>
      <c r="X486" s="57"/>
    </row>
    <row r="487" spans="1:24" ht="12.5" x14ac:dyDescent="0.25">
      <c r="A487" s="34"/>
      <c r="B487" s="7"/>
      <c r="C487" s="19"/>
      <c r="D487" s="7"/>
      <c r="E487" s="7"/>
      <c r="F487" s="7"/>
      <c r="G487" s="7"/>
      <c r="H487" s="6"/>
      <c r="I487" s="7"/>
      <c r="J487" s="7"/>
      <c r="K487" s="7"/>
      <c r="L487" s="7"/>
      <c r="M487" s="52"/>
      <c r="N487" s="7"/>
      <c r="O487" s="7"/>
      <c r="P487" s="47"/>
      <c r="Q487" s="47"/>
      <c r="R487" s="7"/>
      <c r="S487" s="51"/>
      <c r="T487" s="51"/>
      <c r="U487" s="7"/>
      <c r="V487" s="57"/>
      <c r="W487" s="57"/>
      <c r="X487" s="57"/>
    </row>
    <row r="488" spans="1:24" ht="12.5" x14ac:dyDescent="0.25">
      <c r="A488" s="34"/>
      <c r="B488" s="7"/>
      <c r="C488" s="19"/>
      <c r="D488" s="7"/>
      <c r="E488" s="7"/>
      <c r="F488" s="7"/>
      <c r="G488" s="7"/>
      <c r="H488" s="6"/>
      <c r="I488" s="7"/>
      <c r="J488" s="7"/>
      <c r="K488" s="7"/>
      <c r="L488" s="7"/>
      <c r="M488" s="52"/>
      <c r="N488" s="7"/>
      <c r="O488" s="7"/>
      <c r="P488" s="47"/>
      <c r="Q488" s="47"/>
      <c r="R488" s="7"/>
      <c r="S488" s="51"/>
      <c r="T488" s="51"/>
      <c r="U488" s="7"/>
      <c r="V488" s="57"/>
      <c r="W488" s="57"/>
      <c r="X488" s="57"/>
    </row>
    <row r="489" spans="1:24" ht="12.5" x14ac:dyDescent="0.25">
      <c r="A489" s="34"/>
      <c r="B489" s="7"/>
      <c r="C489" s="19"/>
      <c r="D489" s="7"/>
      <c r="E489" s="7"/>
      <c r="F489" s="7"/>
      <c r="G489" s="7"/>
      <c r="H489" s="6"/>
      <c r="I489" s="7"/>
      <c r="J489" s="7"/>
      <c r="K489" s="7"/>
      <c r="L489" s="7"/>
      <c r="M489" s="52"/>
      <c r="N489" s="7"/>
      <c r="O489" s="7"/>
      <c r="P489" s="47"/>
      <c r="Q489" s="47"/>
      <c r="R489" s="7"/>
      <c r="S489" s="51"/>
      <c r="T489" s="51"/>
      <c r="U489" s="7"/>
      <c r="V489" s="57"/>
      <c r="W489" s="57"/>
      <c r="X489" s="57"/>
    </row>
    <row r="490" spans="1:24" ht="12.5" x14ac:dyDescent="0.25">
      <c r="A490" s="34"/>
      <c r="B490" s="7"/>
      <c r="C490" s="19"/>
      <c r="D490" s="7"/>
      <c r="E490" s="7"/>
      <c r="F490" s="7"/>
      <c r="G490" s="7"/>
      <c r="H490" s="6"/>
      <c r="I490" s="7"/>
      <c r="J490" s="7"/>
      <c r="K490" s="7"/>
      <c r="L490" s="7"/>
      <c r="M490" s="52"/>
      <c r="N490" s="7"/>
      <c r="O490" s="7"/>
      <c r="P490" s="47"/>
      <c r="Q490" s="47"/>
      <c r="R490" s="7"/>
      <c r="S490" s="51"/>
      <c r="T490" s="51"/>
      <c r="U490" s="7"/>
      <c r="V490" s="57"/>
      <c r="W490" s="57"/>
      <c r="X490" s="57"/>
    </row>
    <row r="491" spans="1:24" ht="12.5" x14ac:dyDescent="0.25">
      <c r="A491" s="34"/>
      <c r="B491" s="7"/>
      <c r="C491" s="19"/>
      <c r="D491" s="7"/>
      <c r="E491" s="7"/>
      <c r="F491" s="7"/>
      <c r="G491" s="7"/>
      <c r="H491" s="6"/>
      <c r="I491" s="7"/>
      <c r="J491" s="7"/>
      <c r="K491" s="7"/>
      <c r="L491" s="7"/>
      <c r="M491" s="52"/>
      <c r="N491" s="7"/>
      <c r="O491" s="7"/>
      <c r="P491" s="47"/>
      <c r="Q491" s="47"/>
      <c r="R491" s="7"/>
      <c r="S491" s="51"/>
      <c r="T491" s="51"/>
      <c r="U491" s="7"/>
      <c r="V491" s="57"/>
      <c r="W491" s="57"/>
      <c r="X491" s="57"/>
    </row>
    <row r="492" spans="1:24" ht="12.5" x14ac:dyDescent="0.25">
      <c r="A492" s="34"/>
      <c r="B492" s="7"/>
      <c r="C492" s="19"/>
      <c r="D492" s="7"/>
      <c r="E492" s="7"/>
      <c r="F492" s="7"/>
      <c r="G492" s="7"/>
      <c r="H492" s="6"/>
      <c r="I492" s="7"/>
      <c r="J492" s="7"/>
      <c r="K492" s="7"/>
      <c r="L492" s="7"/>
      <c r="M492" s="52"/>
      <c r="N492" s="7"/>
      <c r="O492" s="7"/>
      <c r="P492" s="47"/>
      <c r="Q492" s="47"/>
      <c r="R492" s="7"/>
      <c r="S492" s="51"/>
      <c r="T492" s="51"/>
      <c r="U492" s="7"/>
      <c r="V492" s="57"/>
      <c r="W492" s="57"/>
      <c r="X492" s="57"/>
    </row>
    <row r="493" spans="1:24" ht="12.5" x14ac:dyDescent="0.25">
      <c r="A493" s="34"/>
      <c r="B493" s="7"/>
      <c r="C493" s="19"/>
      <c r="D493" s="7"/>
      <c r="E493" s="7"/>
      <c r="F493" s="7"/>
      <c r="G493" s="7"/>
      <c r="H493" s="6"/>
      <c r="I493" s="7"/>
      <c r="J493" s="7"/>
      <c r="K493" s="7"/>
      <c r="L493" s="7"/>
      <c r="M493" s="52"/>
      <c r="N493" s="7"/>
      <c r="O493" s="7"/>
      <c r="P493" s="47"/>
      <c r="Q493" s="47"/>
      <c r="R493" s="7"/>
      <c r="S493" s="51"/>
      <c r="T493" s="51"/>
      <c r="U493" s="7"/>
      <c r="V493" s="57"/>
      <c r="W493" s="57"/>
      <c r="X493" s="57"/>
    </row>
    <row r="494" spans="1:24" ht="12.5" x14ac:dyDescent="0.25">
      <c r="A494" s="34"/>
      <c r="B494" s="7"/>
      <c r="C494" s="19"/>
      <c r="D494" s="7"/>
      <c r="E494" s="7"/>
      <c r="F494" s="7"/>
      <c r="G494" s="7"/>
      <c r="H494" s="6"/>
      <c r="I494" s="7"/>
      <c r="J494" s="7"/>
      <c r="K494" s="7"/>
      <c r="L494" s="7"/>
      <c r="M494" s="52"/>
      <c r="N494" s="7"/>
      <c r="O494" s="7"/>
      <c r="P494" s="47"/>
      <c r="Q494" s="47"/>
      <c r="R494" s="7"/>
      <c r="S494" s="51"/>
      <c r="T494" s="51"/>
      <c r="U494" s="7"/>
      <c r="V494" s="57"/>
      <c r="W494" s="57"/>
      <c r="X494" s="57"/>
    </row>
    <row r="495" spans="1:24" ht="12.5" x14ac:dyDescent="0.25">
      <c r="A495" s="34"/>
      <c r="B495" s="7"/>
      <c r="C495" s="19"/>
      <c r="D495" s="7"/>
      <c r="E495" s="7"/>
      <c r="F495" s="7"/>
      <c r="G495" s="7"/>
      <c r="H495" s="6"/>
      <c r="I495" s="7"/>
      <c r="J495" s="7"/>
      <c r="K495" s="7"/>
      <c r="L495" s="7"/>
      <c r="M495" s="52"/>
      <c r="N495" s="7"/>
      <c r="O495" s="7"/>
      <c r="P495" s="47"/>
      <c r="Q495" s="47"/>
      <c r="R495" s="7"/>
      <c r="S495" s="51"/>
      <c r="T495" s="51"/>
      <c r="U495" s="7"/>
      <c r="V495" s="57"/>
      <c r="W495" s="57"/>
      <c r="X495" s="57"/>
    </row>
    <row r="496" spans="1:24" ht="12.5" x14ac:dyDescent="0.25">
      <c r="A496" s="34"/>
      <c r="B496" s="7"/>
      <c r="C496" s="19"/>
      <c r="D496" s="7"/>
      <c r="E496" s="7"/>
      <c r="F496" s="7"/>
      <c r="G496" s="7"/>
      <c r="H496" s="6"/>
      <c r="I496" s="7"/>
      <c r="J496" s="7"/>
      <c r="K496" s="7"/>
      <c r="L496" s="7"/>
      <c r="M496" s="52"/>
      <c r="N496" s="7"/>
      <c r="O496" s="7"/>
      <c r="P496" s="47"/>
      <c r="Q496" s="47"/>
      <c r="R496" s="7"/>
      <c r="S496" s="51"/>
      <c r="T496" s="51"/>
      <c r="U496" s="7"/>
      <c r="V496" s="57"/>
      <c r="W496" s="57"/>
      <c r="X496" s="57"/>
    </row>
    <row r="497" spans="1:24" ht="12.5" x14ac:dyDescent="0.25">
      <c r="A497" s="34"/>
      <c r="B497" s="7"/>
      <c r="C497" s="19"/>
      <c r="D497" s="7"/>
      <c r="E497" s="7"/>
      <c r="F497" s="7"/>
      <c r="G497" s="7"/>
      <c r="H497" s="6"/>
      <c r="I497" s="7"/>
      <c r="J497" s="7"/>
      <c r="K497" s="7"/>
      <c r="L497" s="7"/>
      <c r="M497" s="52"/>
      <c r="N497" s="7"/>
      <c r="O497" s="7"/>
      <c r="P497" s="47"/>
      <c r="Q497" s="47"/>
      <c r="R497" s="7"/>
      <c r="S497" s="51"/>
      <c r="T497" s="51"/>
      <c r="U497" s="7"/>
      <c r="V497" s="57"/>
      <c r="W497" s="57"/>
      <c r="X497" s="57"/>
    </row>
    <row r="498" spans="1:24" ht="12.5" x14ac:dyDescent="0.25">
      <c r="A498" s="34"/>
      <c r="B498" s="7"/>
      <c r="C498" s="19"/>
      <c r="D498" s="7"/>
      <c r="E498" s="7"/>
      <c r="F498" s="7"/>
      <c r="G498" s="7"/>
      <c r="H498" s="6"/>
      <c r="I498" s="7"/>
      <c r="J498" s="7"/>
      <c r="K498" s="7"/>
      <c r="L498" s="7"/>
      <c r="M498" s="52"/>
      <c r="N498" s="7"/>
      <c r="O498" s="7"/>
      <c r="P498" s="47"/>
      <c r="Q498" s="47"/>
      <c r="R498" s="7"/>
      <c r="S498" s="51"/>
      <c r="T498" s="51"/>
      <c r="U498" s="7"/>
      <c r="V498" s="57"/>
      <c r="W498" s="57"/>
      <c r="X498" s="57"/>
    </row>
    <row r="499" spans="1:24" ht="12.5" x14ac:dyDescent="0.25">
      <c r="A499" s="34"/>
      <c r="B499" s="7"/>
      <c r="C499" s="19"/>
      <c r="D499" s="7"/>
      <c r="E499" s="7"/>
      <c r="F499" s="7"/>
      <c r="G499" s="7"/>
      <c r="H499" s="6"/>
      <c r="I499" s="7"/>
      <c r="J499" s="7"/>
      <c r="K499" s="7"/>
      <c r="L499" s="7"/>
      <c r="M499" s="52"/>
      <c r="N499" s="7"/>
      <c r="O499" s="7"/>
      <c r="P499" s="47"/>
      <c r="Q499" s="47"/>
      <c r="R499" s="7"/>
      <c r="S499" s="51"/>
      <c r="T499" s="51"/>
      <c r="U499" s="7"/>
      <c r="V499" s="57"/>
      <c r="W499" s="57"/>
      <c r="X499" s="57"/>
    </row>
    <row r="500" spans="1:24" ht="12.5" x14ac:dyDescent="0.25">
      <c r="A500" s="34"/>
      <c r="B500" s="7"/>
      <c r="C500" s="19"/>
      <c r="D500" s="7"/>
      <c r="E500" s="7"/>
      <c r="F500" s="7"/>
      <c r="G500" s="7"/>
      <c r="H500" s="6"/>
      <c r="I500" s="7"/>
      <c r="J500" s="7"/>
      <c r="K500" s="7"/>
      <c r="L500" s="7"/>
      <c r="M500" s="52"/>
      <c r="N500" s="7"/>
      <c r="O500" s="7"/>
      <c r="P500" s="47"/>
      <c r="Q500" s="47"/>
      <c r="R500" s="7"/>
      <c r="S500" s="51"/>
      <c r="T500" s="51"/>
      <c r="U500" s="7"/>
      <c r="V500" s="57"/>
      <c r="W500" s="57"/>
      <c r="X500" s="57"/>
    </row>
    <row r="501" spans="1:24" ht="12.5" x14ac:dyDescent="0.25">
      <c r="A501" s="34"/>
      <c r="B501" s="7"/>
      <c r="C501" s="19"/>
      <c r="D501" s="7"/>
      <c r="E501" s="7"/>
      <c r="F501" s="7"/>
      <c r="G501" s="7"/>
      <c r="H501" s="6"/>
      <c r="I501" s="7"/>
      <c r="J501" s="7"/>
      <c r="K501" s="7"/>
      <c r="L501" s="7"/>
      <c r="M501" s="52"/>
      <c r="N501" s="7"/>
      <c r="O501" s="7"/>
      <c r="P501" s="47"/>
      <c r="Q501" s="47"/>
      <c r="R501" s="7"/>
      <c r="S501" s="51"/>
      <c r="T501" s="51"/>
      <c r="U501" s="7"/>
      <c r="V501" s="57"/>
      <c r="W501" s="57"/>
      <c r="X501" s="57"/>
    </row>
    <row r="502" spans="1:24" ht="12.5" x14ac:dyDescent="0.25">
      <c r="A502" s="34"/>
      <c r="B502" s="7"/>
      <c r="C502" s="19"/>
      <c r="D502" s="7"/>
      <c r="E502" s="7"/>
      <c r="F502" s="7"/>
      <c r="G502" s="7"/>
      <c r="H502" s="6"/>
      <c r="I502" s="7"/>
      <c r="J502" s="7"/>
      <c r="K502" s="7"/>
      <c r="L502" s="7"/>
      <c r="M502" s="52"/>
      <c r="N502" s="7"/>
      <c r="O502" s="7"/>
      <c r="P502" s="47"/>
      <c r="Q502" s="47"/>
      <c r="R502" s="7"/>
      <c r="S502" s="51"/>
      <c r="T502" s="51"/>
      <c r="U502" s="7"/>
      <c r="V502" s="57"/>
      <c r="W502" s="57"/>
      <c r="X502" s="57"/>
    </row>
    <row r="503" spans="1:24" ht="12.5" x14ac:dyDescent="0.25">
      <c r="A503" s="34"/>
      <c r="B503" s="7"/>
      <c r="C503" s="19"/>
      <c r="D503" s="7"/>
      <c r="E503" s="7"/>
      <c r="F503" s="7"/>
      <c r="G503" s="7"/>
      <c r="H503" s="6"/>
      <c r="I503" s="7"/>
      <c r="J503" s="7"/>
      <c r="K503" s="7"/>
      <c r="L503" s="7"/>
      <c r="M503" s="52"/>
      <c r="N503" s="7"/>
      <c r="O503" s="7"/>
      <c r="P503" s="47"/>
      <c r="Q503" s="47"/>
      <c r="R503" s="7"/>
      <c r="S503" s="51"/>
      <c r="T503" s="51"/>
      <c r="U503" s="7"/>
      <c r="V503" s="57"/>
      <c r="W503" s="57"/>
      <c r="X503" s="57"/>
    </row>
    <row r="504" spans="1:24" ht="12.5" x14ac:dyDescent="0.25">
      <c r="A504" s="34"/>
      <c r="B504" s="7"/>
      <c r="C504" s="19"/>
      <c r="D504" s="7"/>
      <c r="E504" s="7"/>
      <c r="F504" s="7"/>
      <c r="G504" s="7"/>
      <c r="H504" s="6"/>
      <c r="I504" s="7"/>
      <c r="J504" s="7"/>
      <c r="K504" s="7"/>
      <c r="L504" s="7"/>
      <c r="M504" s="52"/>
      <c r="N504" s="7"/>
      <c r="O504" s="7"/>
      <c r="P504" s="47"/>
      <c r="Q504" s="47"/>
      <c r="R504" s="7"/>
      <c r="S504" s="51"/>
      <c r="T504" s="51"/>
      <c r="U504" s="7"/>
      <c r="V504" s="57"/>
      <c r="W504" s="57"/>
      <c r="X504" s="57"/>
    </row>
    <row r="505" spans="1:24" ht="12.5" x14ac:dyDescent="0.25">
      <c r="A505" s="34"/>
      <c r="B505" s="7"/>
      <c r="C505" s="19"/>
      <c r="D505" s="7"/>
      <c r="E505" s="7"/>
      <c r="F505" s="7"/>
      <c r="G505" s="7"/>
      <c r="H505" s="6"/>
      <c r="I505" s="7"/>
      <c r="J505" s="7"/>
      <c r="K505" s="7"/>
      <c r="L505" s="7"/>
      <c r="M505" s="52"/>
      <c r="N505" s="7"/>
      <c r="O505" s="7"/>
      <c r="P505" s="47"/>
      <c r="Q505" s="47"/>
      <c r="R505" s="7"/>
      <c r="S505" s="51"/>
      <c r="T505" s="51"/>
      <c r="U505" s="7"/>
      <c r="V505" s="57"/>
      <c r="W505" s="57"/>
      <c r="X505" s="57"/>
    </row>
    <row r="506" spans="1:24" ht="12.5" x14ac:dyDescent="0.25">
      <c r="A506" s="34"/>
      <c r="B506" s="7"/>
      <c r="C506" s="19"/>
      <c r="D506" s="7"/>
      <c r="E506" s="7"/>
      <c r="F506" s="7"/>
      <c r="G506" s="7"/>
      <c r="H506" s="6"/>
      <c r="I506" s="7"/>
      <c r="J506" s="7"/>
      <c r="K506" s="7"/>
      <c r="L506" s="7"/>
      <c r="M506" s="52"/>
      <c r="N506" s="7"/>
      <c r="O506" s="7"/>
      <c r="P506" s="47"/>
      <c r="Q506" s="47"/>
      <c r="R506" s="7"/>
      <c r="S506" s="51"/>
      <c r="T506" s="51"/>
      <c r="U506" s="7"/>
      <c r="V506" s="57"/>
      <c r="W506" s="57"/>
      <c r="X506" s="57"/>
    </row>
    <row r="507" spans="1:24" ht="12.5" x14ac:dyDescent="0.25">
      <c r="A507" s="34"/>
      <c r="B507" s="7"/>
      <c r="C507" s="19"/>
      <c r="D507" s="7"/>
      <c r="E507" s="7"/>
      <c r="F507" s="7"/>
      <c r="G507" s="7"/>
      <c r="H507" s="6"/>
      <c r="I507" s="7"/>
      <c r="J507" s="7"/>
      <c r="K507" s="7"/>
      <c r="L507" s="7"/>
      <c r="M507" s="52"/>
      <c r="N507" s="7"/>
      <c r="O507" s="7"/>
      <c r="P507" s="47"/>
      <c r="Q507" s="47"/>
      <c r="R507" s="7"/>
      <c r="S507" s="51"/>
      <c r="T507" s="51"/>
      <c r="U507" s="7"/>
      <c r="V507" s="57"/>
      <c r="W507" s="57"/>
      <c r="X507" s="57"/>
    </row>
    <row r="508" spans="1:24" ht="12.5" x14ac:dyDescent="0.25">
      <c r="A508" s="34"/>
      <c r="B508" s="7"/>
      <c r="C508" s="19"/>
      <c r="D508" s="7"/>
      <c r="E508" s="7"/>
      <c r="F508" s="7"/>
      <c r="G508" s="7"/>
      <c r="H508" s="6"/>
      <c r="I508" s="7"/>
      <c r="J508" s="7"/>
      <c r="K508" s="7"/>
      <c r="L508" s="7"/>
      <c r="M508" s="52"/>
      <c r="N508" s="7"/>
      <c r="O508" s="7"/>
      <c r="P508" s="47"/>
      <c r="Q508" s="47"/>
      <c r="R508" s="7"/>
      <c r="S508" s="51"/>
      <c r="T508" s="51"/>
      <c r="U508" s="7"/>
      <c r="V508" s="57"/>
      <c r="W508" s="57"/>
      <c r="X508" s="57"/>
    </row>
    <row r="509" spans="1:24" ht="12.5" x14ac:dyDescent="0.25">
      <c r="A509" s="34"/>
      <c r="B509" s="7"/>
      <c r="C509" s="19"/>
      <c r="D509" s="7"/>
      <c r="E509" s="7"/>
      <c r="F509" s="7"/>
      <c r="G509" s="7"/>
      <c r="H509" s="6"/>
      <c r="I509" s="7"/>
      <c r="J509" s="7"/>
      <c r="K509" s="7"/>
      <c r="L509" s="7"/>
      <c r="M509" s="52"/>
      <c r="N509" s="7"/>
      <c r="O509" s="7"/>
      <c r="P509" s="47"/>
      <c r="Q509" s="47"/>
      <c r="R509" s="7"/>
      <c r="S509" s="51"/>
      <c r="T509" s="51"/>
      <c r="U509" s="7"/>
      <c r="V509" s="57"/>
      <c r="W509" s="57"/>
      <c r="X509" s="57"/>
    </row>
    <row r="510" spans="1:24" ht="12.5" x14ac:dyDescent="0.25">
      <c r="A510" s="34"/>
      <c r="B510" s="7"/>
      <c r="C510" s="19"/>
      <c r="D510" s="7"/>
      <c r="E510" s="7"/>
      <c r="F510" s="7"/>
      <c r="G510" s="7"/>
      <c r="H510" s="6"/>
      <c r="I510" s="7"/>
      <c r="J510" s="7"/>
      <c r="K510" s="7"/>
      <c r="L510" s="7"/>
      <c r="M510" s="52"/>
      <c r="N510" s="7"/>
      <c r="O510" s="7"/>
      <c r="P510" s="47"/>
      <c r="Q510" s="47"/>
      <c r="R510" s="7"/>
      <c r="S510" s="51"/>
      <c r="T510" s="51"/>
      <c r="U510" s="7"/>
      <c r="V510" s="57"/>
      <c r="W510" s="57"/>
      <c r="X510" s="57"/>
    </row>
    <row r="511" spans="1:24" ht="12.5" x14ac:dyDescent="0.25">
      <c r="A511" s="34"/>
      <c r="B511" s="7"/>
      <c r="C511" s="19"/>
      <c r="D511" s="7"/>
      <c r="E511" s="7"/>
      <c r="F511" s="7"/>
      <c r="G511" s="7"/>
      <c r="H511" s="6"/>
      <c r="I511" s="7"/>
      <c r="J511" s="7"/>
      <c r="K511" s="7"/>
      <c r="L511" s="7"/>
      <c r="M511" s="52"/>
      <c r="N511" s="7"/>
      <c r="O511" s="7"/>
      <c r="P511" s="47"/>
      <c r="Q511" s="47"/>
      <c r="R511" s="7"/>
      <c r="S511" s="51"/>
      <c r="T511" s="51"/>
      <c r="U511" s="7"/>
      <c r="V511" s="57"/>
      <c r="W511" s="57"/>
      <c r="X511" s="57"/>
    </row>
    <row r="512" spans="1:24" ht="12.5" x14ac:dyDescent="0.25">
      <c r="A512" s="34"/>
      <c r="B512" s="7"/>
      <c r="C512" s="19"/>
      <c r="D512" s="7"/>
      <c r="E512" s="7"/>
      <c r="F512" s="7"/>
      <c r="G512" s="7"/>
      <c r="H512" s="6"/>
      <c r="I512" s="7"/>
      <c r="J512" s="7"/>
      <c r="K512" s="7"/>
      <c r="L512" s="7"/>
      <c r="M512" s="52"/>
      <c r="N512" s="7"/>
      <c r="O512" s="7"/>
      <c r="P512" s="47"/>
      <c r="Q512" s="47"/>
      <c r="R512" s="7"/>
      <c r="S512" s="51"/>
      <c r="T512" s="51"/>
      <c r="U512" s="7"/>
      <c r="V512" s="57"/>
      <c r="W512" s="57"/>
      <c r="X512" s="57"/>
    </row>
    <row r="513" spans="1:24" ht="12.5" x14ac:dyDescent="0.25">
      <c r="A513" s="34"/>
      <c r="B513" s="7"/>
      <c r="C513" s="19"/>
      <c r="D513" s="7"/>
      <c r="E513" s="7"/>
      <c r="F513" s="7"/>
      <c r="G513" s="7"/>
      <c r="H513" s="6"/>
      <c r="I513" s="7"/>
      <c r="J513" s="7"/>
      <c r="K513" s="7"/>
      <c r="L513" s="7"/>
      <c r="M513" s="52"/>
      <c r="N513" s="7"/>
      <c r="O513" s="7"/>
      <c r="P513" s="47"/>
      <c r="Q513" s="47"/>
      <c r="R513" s="7"/>
      <c r="S513" s="51"/>
      <c r="T513" s="51"/>
      <c r="U513" s="7"/>
      <c r="V513" s="57"/>
      <c r="W513" s="57"/>
      <c r="X513" s="57"/>
    </row>
    <row r="514" spans="1:24" ht="12.5" x14ac:dyDescent="0.25">
      <c r="A514" s="34"/>
      <c r="B514" s="7"/>
      <c r="C514" s="19"/>
      <c r="D514" s="7"/>
      <c r="E514" s="7"/>
      <c r="F514" s="7"/>
      <c r="G514" s="7"/>
      <c r="H514" s="6"/>
      <c r="I514" s="7"/>
      <c r="J514" s="7"/>
      <c r="K514" s="7"/>
      <c r="L514" s="7"/>
      <c r="M514" s="52"/>
      <c r="N514" s="7"/>
      <c r="O514" s="7"/>
      <c r="P514" s="47"/>
      <c r="Q514" s="47"/>
      <c r="R514" s="7"/>
      <c r="S514" s="51"/>
      <c r="T514" s="51"/>
      <c r="U514" s="7"/>
      <c r="V514" s="57"/>
      <c r="W514" s="57"/>
      <c r="X514" s="57"/>
    </row>
    <row r="515" spans="1:24" ht="12.5" x14ac:dyDescent="0.25">
      <c r="A515" s="34"/>
      <c r="B515" s="7"/>
      <c r="C515" s="19"/>
      <c r="D515" s="7"/>
      <c r="E515" s="7"/>
      <c r="F515" s="7"/>
      <c r="G515" s="7"/>
      <c r="H515" s="6"/>
      <c r="I515" s="7"/>
      <c r="J515" s="7"/>
      <c r="K515" s="7"/>
      <c r="L515" s="7"/>
      <c r="M515" s="52"/>
      <c r="N515" s="7"/>
      <c r="O515" s="7"/>
      <c r="P515" s="47"/>
      <c r="Q515" s="47"/>
      <c r="R515" s="7"/>
      <c r="S515" s="51"/>
      <c r="T515" s="51"/>
      <c r="U515" s="7"/>
      <c r="V515" s="57"/>
      <c r="W515" s="57"/>
      <c r="X515" s="57"/>
    </row>
    <row r="516" spans="1:24" ht="12.5" x14ac:dyDescent="0.25">
      <c r="A516" s="34"/>
      <c r="B516" s="7"/>
      <c r="C516" s="19"/>
      <c r="D516" s="7"/>
      <c r="E516" s="7"/>
      <c r="F516" s="7"/>
      <c r="G516" s="7"/>
      <c r="H516" s="6"/>
      <c r="I516" s="7"/>
      <c r="J516" s="7"/>
      <c r="K516" s="7"/>
      <c r="L516" s="7"/>
      <c r="M516" s="52"/>
      <c r="N516" s="7"/>
      <c r="O516" s="7"/>
      <c r="P516" s="47"/>
      <c r="Q516" s="47"/>
      <c r="R516" s="7"/>
      <c r="S516" s="51"/>
      <c r="T516" s="51"/>
      <c r="U516" s="7"/>
      <c r="V516" s="57"/>
      <c r="W516" s="57"/>
      <c r="X516" s="57"/>
    </row>
    <row r="517" spans="1:24" ht="12.5" x14ac:dyDescent="0.25">
      <c r="A517" s="34"/>
      <c r="B517" s="7"/>
      <c r="C517" s="19"/>
      <c r="D517" s="7"/>
      <c r="E517" s="7"/>
      <c r="F517" s="7"/>
      <c r="G517" s="7"/>
      <c r="H517" s="6"/>
      <c r="I517" s="7"/>
      <c r="J517" s="7"/>
      <c r="K517" s="7"/>
      <c r="L517" s="7"/>
      <c r="M517" s="52"/>
      <c r="N517" s="7"/>
      <c r="O517" s="7"/>
      <c r="P517" s="47"/>
      <c r="Q517" s="47"/>
      <c r="R517" s="7"/>
      <c r="S517" s="51"/>
      <c r="T517" s="51"/>
      <c r="U517" s="7"/>
      <c r="V517" s="57"/>
      <c r="W517" s="57"/>
      <c r="X517" s="57"/>
    </row>
    <row r="518" spans="1:24" ht="12.5" x14ac:dyDescent="0.25">
      <c r="A518" s="34"/>
      <c r="B518" s="7"/>
      <c r="C518" s="19"/>
      <c r="D518" s="7"/>
      <c r="E518" s="7"/>
      <c r="F518" s="7"/>
      <c r="G518" s="7"/>
      <c r="H518" s="6"/>
      <c r="I518" s="7"/>
      <c r="J518" s="7"/>
      <c r="K518" s="7"/>
      <c r="L518" s="7"/>
      <c r="M518" s="52"/>
      <c r="N518" s="7"/>
      <c r="O518" s="7"/>
      <c r="P518" s="47"/>
      <c r="Q518" s="47"/>
      <c r="R518" s="7"/>
      <c r="S518" s="51"/>
      <c r="T518" s="51"/>
      <c r="U518" s="7"/>
      <c r="V518" s="57"/>
      <c r="W518" s="57"/>
      <c r="X518" s="57"/>
    </row>
    <row r="519" spans="1:24" ht="12.5" x14ac:dyDescent="0.25">
      <c r="A519" s="34"/>
      <c r="B519" s="7"/>
      <c r="C519" s="19"/>
      <c r="D519" s="7"/>
      <c r="E519" s="7"/>
      <c r="F519" s="7"/>
      <c r="G519" s="7"/>
      <c r="H519" s="6"/>
      <c r="I519" s="7"/>
      <c r="J519" s="7"/>
      <c r="K519" s="7"/>
      <c r="L519" s="7"/>
      <c r="M519" s="52"/>
      <c r="N519" s="7"/>
      <c r="O519" s="7"/>
      <c r="P519" s="47"/>
      <c r="Q519" s="47"/>
      <c r="R519" s="7"/>
      <c r="S519" s="51"/>
      <c r="T519" s="51"/>
      <c r="U519" s="7"/>
      <c r="V519" s="57"/>
      <c r="W519" s="57"/>
      <c r="X519" s="57"/>
    </row>
    <row r="520" spans="1:24" ht="12.5" x14ac:dyDescent="0.25">
      <c r="A520" s="34"/>
      <c r="B520" s="7"/>
      <c r="C520" s="19"/>
      <c r="D520" s="7"/>
      <c r="E520" s="7"/>
      <c r="F520" s="7"/>
      <c r="G520" s="7"/>
      <c r="H520" s="6"/>
      <c r="I520" s="7"/>
      <c r="J520" s="7"/>
      <c r="K520" s="7"/>
      <c r="L520" s="7"/>
      <c r="M520" s="52"/>
      <c r="N520" s="7"/>
      <c r="O520" s="7"/>
      <c r="P520" s="47"/>
      <c r="Q520" s="47"/>
      <c r="R520" s="7"/>
      <c r="S520" s="51"/>
      <c r="T520" s="51"/>
      <c r="U520" s="7"/>
      <c r="V520" s="57"/>
      <c r="W520" s="57"/>
      <c r="X520" s="57"/>
    </row>
    <row r="521" spans="1:24" ht="12.5" x14ac:dyDescent="0.25">
      <c r="A521" s="34"/>
      <c r="B521" s="7"/>
      <c r="C521" s="19"/>
      <c r="D521" s="7"/>
      <c r="E521" s="7"/>
      <c r="F521" s="7"/>
      <c r="G521" s="7"/>
      <c r="H521" s="6"/>
      <c r="I521" s="7"/>
      <c r="J521" s="7"/>
      <c r="K521" s="7"/>
      <c r="L521" s="7"/>
      <c r="M521" s="52"/>
      <c r="N521" s="7"/>
      <c r="O521" s="7"/>
      <c r="P521" s="47"/>
      <c r="Q521" s="47"/>
      <c r="R521" s="7"/>
      <c r="S521" s="51"/>
      <c r="T521" s="51"/>
      <c r="U521" s="7"/>
      <c r="V521" s="57"/>
      <c r="W521" s="57"/>
      <c r="X521" s="57"/>
    </row>
    <row r="522" spans="1:24" ht="12.5" x14ac:dyDescent="0.25">
      <c r="A522" s="34"/>
      <c r="B522" s="7"/>
      <c r="C522" s="19"/>
      <c r="D522" s="7"/>
      <c r="E522" s="7"/>
      <c r="F522" s="7"/>
      <c r="G522" s="7"/>
      <c r="H522" s="6"/>
      <c r="I522" s="7"/>
      <c r="J522" s="7"/>
      <c r="K522" s="7"/>
      <c r="L522" s="7"/>
      <c r="M522" s="52"/>
      <c r="N522" s="7"/>
      <c r="O522" s="7"/>
      <c r="P522" s="47"/>
      <c r="Q522" s="47"/>
      <c r="R522" s="7"/>
      <c r="S522" s="51"/>
      <c r="T522" s="51"/>
      <c r="U522" s="7"/>
      <c r="V522" s="57"/>
      <c r="W522" s="57"/>
      <c r="X522" s="57"/>
    </row>
    <row r="523" spans="1:24" ht="12.5" x14ac:dyDescent="0.25">
      <c r="A523" s="34"/>
      <c r="B523" s="7"/>
      <c r="C523" s="19"/>
      <c r="D523" s="7"/>
      <c r="E523" s="7"/>
      <c r="F523" s="7"/>
      <c r="G523" s="7"/>
      <c r="H523" s="6"/>
      <c r="I523" s="7"/>
      <c r="J523" s="7"/>
      <c r="K523" s="7"/>
      <c r="L523" s="7"/>
      <c r="M523" s="52"/>
      <c r="N523" s="7"/>
      <c r="O523" s="7"/>
      <c r="P523" s="47"/>
      <c r="Q523" s="47"/>
      <c r="R523" s="7"/>
      <c r="S523" s="51"/>
      <c r="T523" s="51"/>
      <c r="U523" s="7"/>
      <c r="V523" s="57"/>
      <c r="W523" s="57"/>
      <c r="X523" s="57"/>
    </row>
    <row r="524" spans="1:24" ht="12.5" x14ac:dyDescent="0.25">
      <c r="A524" s="34"/>
      <c r="B524" s="7"/>
      <c r="C524" s="19"/>
      <c r="D524" s="7"/>
      <c r="E524" s="7"/>
      <c r="F524" s="7"/>
      <c r="G524" s="7"/>
      <c r="H524" s="6"/>
      <c r="I524" s="7"/>
      <c r="J524" s="7"/>
      <c r="K524" s="7"/>
      <c r="L524" s="7"/>
      <c r="M524" s="52"/>
      <c r="N524" s="7"/>
      <c r="O524" s="7"/>
      <c r="P524" s="47"/>
      <c r="Q524" s="47"/>
      <c r="R524" s="7"/>
      <c r="S524" s="51"/>
      <c r="T524" s="51"/>
      <c r="U524" s="7"/>
      <c r="V524" s="57"/>
      <c r="W524" s="57"/>
      <c r="X524" s="57"/>
    </row>
    <row r="525" spans="1:24" ht="12.5" x14ac:dyDescent="0.25">
      <c r="A525" s="34"/>
      <c r="B525" s="7"/>
      <c r="C525" s="19"/>
      <c r="D525" s="7"/>
      <c r="E525" s="7"/>
      <c r="F525" s="7"/>
      <c r="G525" s="7"/>
      <c r="H525" s="6"/>
      <c r="I525" s="7"/>
      <c r="J525" s="7"/>
      <c r="K525" s="7"/>
      <c r="L525" s="7"/>
      <c r="M525" s="52"/>
      <c r="N525" s="7"/>
      <c r="O525" s="7"/>
      <c r="P525" s="47"/>
      <c r="Q525" s="47"/>
      <c r="R525" s="7"/>
      <c r="S525" s="51"/>
      <c r="T525" s="51"/>
      <c r="U525" s="7"/>
      <c r="V525" s="57"/>
      <c r="W525" s="57"/>
      <c r="X525" s="57"/>
    </row>
    <row r="526" spans="1:24" ht="12.5" x14ac:dyDescent="0.25">
      <c r="A526" s="34"/>
      <c r="B526" s="7"/>
      <c r="C526" s="19"/>
      <c r="D526" s="7"/>
      <c r="E526" s="7"/>
      <c r="F526" s="7"/>
      <c r="G526" s="7"/>
      <c r="H526" s="6"/>
      <c r="I526" s="7"/>
      <c r="J526" s="7"/>
      <c r="K526" s="7"/>
      <c r="L526" s="7"/>
      <c r="M526" s="52"/>
      <c r="N526" s="7"/>
      <c r="O526" s="7"/>
      <c r="P526" s="47"/>
      <c r="Q526" s="47"/>
      <c r="R526" s="7"/>
      <c r="S526" s="51"/>
      <c r="T526" s="51"/>
      <c r="U526" s="7"/>
      <c r="V526" s="57"/>
      <c r="W526" s="57"/>
      <c r="X526" s="57"/>
    </row>
    <row r="527" spans="1:24" ht="12.5" x14ac:dyDescent="0.25">
      <c r="A527" s="34"/>
      <c r="B527" s="7"/>
      <c r="C527" s="19"/>
      <c r="D527" s="7"/>
      <c r="E527" s="7"/>
      <c r="F527" s="7"/>
      <c r="G527" s="7"/>
      <c r="H527" s="6"/>
      <c r="I527" s="7"/>
      <c r="J527" s="7"/>
      <c r="K527" s="7"/>
      <c r="L527" s="7"/>
      <c r="M527" s="52"/>
      <c r="N527" s="7"/>
      <c r="O527" s="7"/>
      <c r="P527" s="47"/>
      <c r="Q527" s="47"/>
      <c r="R527" s="7"/>
      <c r="S527" s="51"/>
      <c r="T527" s="51"/>
      <c r="U527" s="7"/>
      <c r="V527" s="57"/>
      <c r="W527" s="57"/>
      <c r="X527" s="57"/>
    </row>
    <row r="528" spans="1:24" ht="12.5" x14ac:dyDescent="0.25">
      <c r="A528" s="34"/>
      <c r="B528" s="7"/>
      <c r="C528" s="19"/>
      <c r="D528" s="7"/>
      <c r="E528" s="7"/>
      <c r="F528" s="7"/>
      <c r="G528" s="7"/>
      <c r="H528" s="6"/>
      <c r="I528" s="7"/>
      <c r="J528" s="7"/>
      <c r="K528" s="7"/>
      <c r="L528" s="7"/>
      <c r="M528" s="52"/>
      <c r="N528" s="7"/>
      <c r="O528" s="7"/>
      <c r="P528" s="47"/>
      <c r="Q528" s="47"/>
      <c r="R528" s="7"/>
      <c r="S528" s="51"/>
      <c r="T528" s="51"/>
      <c r="U528" s="7"/>
      <c r="V528" s="57"/>
      <c r="W528" s="57"/>
      <c r="X528" s="57"/>
    </row>
    <row r="529" spans="1:24" ht="12.5" x14ac:dyDescent="0.25">
      <c r="A529" s="34"/>
      <c r="B529" s="7"/>
      <c r="C529" s="19"/>
      <c r="D529" s="7"/>
      <c r="E529" s="7"/>
      <c r="F529" s="7"/>
      <c r="G529" s="7"/>
      <c r="H529" s="6"/>
      <c r="I529" s="7"/>
      <c r="J529" s="7"/>
      <c r="K529" s="7"/>
      <c r="L529" s="7"/>
      <c r="M529" s="52"/>
      <c r="N529" s="7"/>
      <c r="O529" s="7"/>
      <c r="P529" s="47"/>
      <c r="Q529" s="47"/>
      <c r="R529" s="7"/>
      <c r="S529" s="51"/>
      <c r="T529" s="51"/>
      <c r="U529" s="7"/>
      <c r="V529" s="57"/>
      <c r="W529" s="57"/>
      <c r="X529" s="57"/>
    </row>
    <row r="530" spans="1:24" ht="12.5" x14ac:dyDescent="0.25">
      <c r="A530" s="34"/>
      <c r="B530" s="7"/>
      <c r="C530" s="19"/>
      <c r="D530" s="7"/>
      <c r="E530" s="7"/>
      <c r="F530" s="7"/>
      <c r="G530" s="7"/>
      <c r="H530" s="6"/>
      <c r="I530" s="7"/>
      <c r="J530" s="7"/>
      <c r="K530" s="7"/>
      <c r="L530" s="7"/>
      <c r="M530" s="52"/>
      <c r="N530" s="7"/>
      <c r="O530" s="7"/>
      <c r="P530" s="47"/>
      <c r="Q530" s="47"/>
      <c r="R530" s="7"/>
      <c r="S530" s="51"/>
      <c r="T530" s="51"/>
      <c r="U530" s="7"/>
      <c r="V530" s="57"/>
      <c r="W530" s="57"/>
      <c r="X530" s="57"/>
    </row>
    <row r="531" spans="1:24" ht="12.5" x14ac:dyDescent="0.25">
      <c r="A531" s="34"/>
      <c r="B531" s="7"/>
      <c r="C531" s="19"/>
      <c r="D531" s="7"/>
      <c r="E531" s="7"/>
      <c r="F531" s="7"/>
      <c r="G531" s="7"/>
      <c r="H531" s="6"/>
      <c r="I531" s="7"/>
      <c r="J531" s="7"/>
      <c r="K531" s="7"/>
      <c r="L531" s="7"/>
      <c r="M531" s="52"/>
      <c r="N531" s="7"/>
      <c r="O531" s="7"/>
      <c r="P531" s="47"/>
      <c r="Q531" s="47"/>
      <c r="R531" s="7"/>
      <c r="S531" s="51"/>
      <c r="T531" s="51"/>
      <c r="U531" s="7"/>
      <c r="V531" s="57"/>
      <c r="W531" s="57"/>
      <c r="X531" s="57"/>
    </row>
    <row r="532" spans="1:24" ht="12.5" x14ac:dyDescent="0.25">
      <c r="A532" s="34"/>
      <c r="B532" s="7"/>
      <c r="C532" s="19"/>
      <c r="D532" s="7"/>
      <c r="E532" s="7"/>
      <c r="F532" s="7"/>
      <c r="G532" s="7"/>
      <c r="H532" s="6"/>
      <c r="I532" s="7"/>
      <c r="J532" s="7"/>
      <c r="K532" s="7"/>
      <c r="L532" s="7"/>
      <c r="M532" s="52"/>
      <c r="N532" s="7"/>
      <c r="O532" s="7"/>
      <c r="P532" s="47"/>
      <c r="Q532" s="47"/>
      <c r="R532" s="7"/>
      <c r="S532" s="51"/>
      <c r="T532" s="51"/>
      <c r="U532" s="7"/>
      <c r="V532" s="57"/>
      <c r="W532" s="57"/>
      <c r="X532" s="57"/>
    </row>
    <row r="533" spans="1:24" ht="12.5" x14ac:dyDescent="0.25">
      <c r="A533" s="34"/>
      <c r="B533" s="7"/>
      <c r="C533" s="19"/>
      <c r="D533" s="7"/>
      <c r="E533" s="7"/>
      <c r="F533" s="7"/>
      <c r="G533" s="7"/>
      <c r="H533" s="6"/>
      <c r="I533" s="7"/>
      <c r="J533" s="7"/>
      <c r="K533" s="7"/>
      <c r="L533" s="7"/>
      <c r="M533" s="52"/>
      <c r="N533" s="7"/>
      <c r="O533" s="7"/>
      <c r="P533" s="47"/>
      <c r="Q533" s="47"/>
      <c r="R533" s="7"/>
      <c r="S533" s="51"/>
      <c r="T533" s="51"/>
      <c r="U533" s="7"/>
      <c r="V533" s="57"/>
      <c r="W533" s="57"/>
      <c r="X533" s="57"/>
    </row>
    <row r="534" spans="1:24" ht="12.5" x14ac:dyDescent="0.25">
      <c r="A534" s="34"/>
      <c r="B534" s="7"/>
      <c r="C534" s="19"/>
      <c r="D534" s="7"/>
      <c r="E534" s="7"/>
      <c r="F534" s="7"/>
      <c r="G534" s="7"/>
      <c r="H534" s="6"/>
      <c r="I534" s="7"/>
      <c r="J534" s="7"/>
      <c r="K534" s="7"/>
      <c r="L534" s="7"/>
      <c r="M534" s="52"/>
      <c r="N534" s="7"/>
      <c r="O534" s="7"/>
      <c r="P534" s="47"/>
      <c r="Q534" s="47"/>
      <c r="R534" s="7"/>
      <c r="S534" s="51"/>
      <c r="T534" s="51"/>
      <c r="U534" s="7"/>
      <c r="V534" s="57"/>
      <c r="W534" s="57"/>
      <c r="X534" s="57"/>
    </row>
    <row r="535" spans="1:24" ht="12.5" x14ac:dyDescent="0.25">
      <c r="A535" s="34"/>
      <c r="B535" s="7"/>
      <c r="C535" s="19"/>
      <c r="D535" s="7"/>
      <c r="E535" s="7"/>
      <c r="F535" s="7"/>
      <c r="G535" s="7"/>
      <c r="H535" s="6"/>
      <c r="I535" s="7"/>
      <c r="J535" s="7"/>
      <c r="K535" s="7"/>
      <c r="L535" s="7"/>
      <c r="M535" s="52"/>
      <c r="N535" s="7"/>
      <c r="O535" s="7"/>
      <c r="P535" s="47"/>
      <c r="Q535" s="47"/>
      <c r="R535" s="7"/>
      <c r="S535" s="51"/>
      <c r="T535" s="51"/>
      <c r="U535" s="7"/>
      <c r="V535" s="57"/>
      <c r="W535" s="57"/>
      <c r="X535" s="57"/>
    </row>
    <row r="536" spans="1:24" ht="12.5" x14ac:dyDescent="0.25">
      <c r="A536" s="34"/>
      <c r="B536" s="7"/>
      <c r="C536" s="19"/>
      <c r="D536" s="7"/>
      <c r="E536" s="7"/>
      <c r="F536" s="7"/>
      <c r="G536" s="7"/>
      <c r="H536" s="6"/>
      <c r="I536" s="7"/>
      <c r="J536" s="7"/>
      <c r="K536" s="7"/>
      <c r="L536" s="7"/>
      <c r="M536" s="52"/>
      <c r="N536" s="7"/>
      <c r="O536" s="7"/>
      <c r="P536" s="47"/>
      <c r="Q536" s="47"/>
      <c r="R536" s="7"/>
      <c r="S536" s="51"/>
      <c r="T536" s="51"/>
      <c r="U536" s="7"/>
      <c r="V536" s="57"/>
      <c r="W536" s="57"/>
      <c r="X536" s="57"/>
    </row>
    <row r="537" spans="1:24" ht="12.5" x14ac:dyDescent="0.25">
      <c r="A537" s="34"/>
      <c r="B537" s="7"/>
      <c r="C537" s="19"/>
      <c r="D537" s="7"/>
      <c r="E537" s="7"/>
      <c r="F537" s="7"/>
      <c r="G537" s="7"/>
      <c r="H537" s="6"/>
      <c r="I537" s="7"/>
      <c r="J537" s="7"/>
      <c r="K537" s="7"/>
      <c r="L537" s="7"/>
      <c r="M537" s="52"/>
      <c r="N537" s="7"/>
      <c r="O537" s="7"/>
      <c r="P537" s="47"/>
      <c r="Q537" s="47"/>
      <c r="R537" s="7"/>
      <c r="S537" s="51"/>
      <c r="T537" s="51"/>
      <c r="U537" s="7"/>
      <c r="V537" s="57"/>
      <c r="W537" s="57"/>
      <c r="X537" s="57"/>
    </row>
    <row r="538" spans="1:24" ht="12.5" x14ac:dyDescent="0.25">
      <c r="A538" s="34"/>
      <c r="B538" s="7"/>
      <c r="C538" s="19"/>
      <c r="D538" s="7"/>
      <c r="E538" s="7"/>
      <c r="F538" s="7"/>
      <c r="G538" s="7"/>
      <c r="H538" s="6"/>
      <c r="I538" s="7"/>
      <c r="J538" s="7"/>
      <c r="K538" s="7"/>
      <c r="L538" s="7"/>
      <c r="M538" s="52"/>
      <c r="N538" s="7"/>
      <c r="O538" s="7"/>
      <c r="P538" s="47"/>
      <c r="Q538" s="47"/>
      <c r="R538" s="7"/>
      <c r="S538" s="51"/>
      <c r="T538" s="51"/>
      <c r="U538" s="7"/>
      <c r="V538" s="57"/>
      <c r="W538" s="57"/>
      <c r="X538" s="57"/>
    </row>
    <row r="539" spans="1:24" ht="12.5" x14ac:dyDescent="0.25">
      <c r="A539" s="34"/>
      <c r="B539" s="7"/>
      <c r="C539" s="19"/>
      <c r="D539" s="7"/>
      <c r="E539" s="7"/>
      <c r="F539" s="7"/>
      <c r="G539" s="7"/>
      <c r="H539" s="6"/>
      <c r="I539" s="7"/>
      <c r="J539" s="7"/>
      <c r="K539" s="7"/>
      <c r="L539" s="7"/>
      <c r="M539" s="52"/>
      <c r="N539" s="7"/>
      <c r="O539" s="7"/>
      <c r="P539" s="47"/>
      <c r="Q539" s="47"/>
      <c r="R539" s="7"/>
      <c r="S539" s="51"/>
      <c r="T539" s="51"/>
      <c r="U539" s="7"/>
      <c r="V539" s="57"/>
      <c r="W539" s="57"/>
      <c r="X539" s="57"/>
    </row>
    <row r="540" spans="1:24" ht="12.5" x14ac:dyDescent="0.25">
      <c r="A540" s="34"/>
      <c r="B540" s="7"/>
      <c r="C540" s="19"/>
      <c r="D540" s="7"/>
      <c r="E540" s="7"/>
      <c r="F540" s="7"/>
      <c r="G540" s="7"/>
      <c r="H540" s="6"/>
      <c r="I540" s="7"/>
      <c r="J540" s="7"/>
      <c r="K540" s="7"/>
      <c r="L540" s="7"/>
      <c r="M540" s="52"/>
      <c r="N540" s="7"/>
      <c r="O540" s="7"/>
      <c r="P540" s="47"/>
      <c r="Q540" s="47"/>
      <c r="R540" s="7"/>
      <c r="S540" s="51"/>
      <c r="T540" s="51"/>
      <c r="U540" s="7"/>
      <c r="V540" s="57"/>
      <c r="W540" s="57"/>
      <c r="X540" s="57"/>
    </row>
    <row r="541" spans="1:24" ht="12.5" x14ac:dyDescent="0.25">
      <c r="A541" s="34"/>
      <c r="B541" s="7"/>
      <c r="C541" s="19"/>
      <c r="D541" s="7"/>
      <c r="E541" s="7"/>
      <c r="F541" s="7"/>
      <c r="G541" s="7"/>
      <c r="H541" s="6"/>
      <c r="I541" s="7"/>
      <c r="J541" s="7"/>
      <c r="K541" s="7"/>
      <c r="L541" s="7"/>
      <c r="M541" s="52"/>
      <c r="N541" s="7"/>
      <c r="O541" s="7"/>
      <c r="P541" s="47"/>
      <c r="Q541" s="47"/>
      <c r="R541" s="7"/>
      <c r="S541" s="51"/>
      <c r="T541" s="51"/>
      <c r="U541" s="7"/>
      <c r="V541" s="57"/>
      <c r="W541" s="57"/>
      <c r="X541" s="57"/>
    </row>
    <row r="542" spans="1:24" ht="12.5" x14ac:dyDescent="0.25">
      <c r="A542" s="34"/>
      <c r="B542" s="7"/>
      <c r="C542" s="19"/>
      <c r="D542" s="7"/>
      <c r="E542" s="7"/>
      <c r="F542" s="7"/>
      <c r="G542" s="7"/>
      <c r="H542" s="6"/>
      <c r="I542" s="7"/>
      <c r="J542" s="7"/>
      <c r="K542" s="7"/>
      <c r="L542" s="7"/>
      <c r="M542" s="52"/>
      <c r="N542" s="7"/>
      <c r="O542" s="7"/>
      <c r="P542" s="47"/>
      <c r="Q542" s="47"/>
      <c r="R542" s="7"/>
      <c r="S542" s="51"/>
      <c r="T542" s="51"/>
      <c r="U542" s="7"/>
      <c r="V542" s="57"/>
      <c r="W542" s="57"/>
      <c r="X542" s="57"/>
    </row>
    <row r="543" spans="1:24" ht="12.5" x14ac:dyDescent="0.25">
      <c r="A543" s="34"/>
      <c r="B543" s="7"/>
      <c r="C543" s="19"/>
      <c r="D543" s="7"/>
      <c r="E543" s="7"/>
      <c r="F543" s="7"/>
      <c r="G543" s="7"/>
      <c r="H543" s="6"/>
      <c r="I543" s="7"/>
      <c r="J543" s="7"/>
      <c r="K543" s="7"/>
      <c r="L543" s="7"/>
      <c r="M543" s="52"/>
      <c r="N543" s="7"/>
      <c r="O543" s="7"/>
      <c r="P543" s="47"/>
      <c r="Q543" s="47"/>
      <c r="R543" s="7"/>
      <c r="S543" s="51"/>
      <c r="T543" s="51"/>
      <c r="U543" s="7"/>
      <c r="V543" s="57"/>
      <c r="W543" s="57"/>
      <c r="X543" s="57"/>
    </row>
    <row r="544" spans="1:24" ht="12.5" x14ac:dyDescent="0.25">
      <c r="A544" s="34"/>
      <c r="B544" s="7"/>
      <c r="C544" s="19"/>
      <c r="D544" s="7"/>
      <c r="E544" s="7"/>
      <c r="F544" s="7"/>
      <c r="G544" s="7"/>
      <c r="H544" s="6"/>
      <c r="I544" s="7"/>
      <c r="J544" s="7"/>
      <c r="K544" s="7"/>
      <c r="L544" s="7"/>
      <c r="M544" s="52"/>
      <c r="N544" s="7"/>
      <c r="O544" s="7"/>
      <c r="P544" s="47"/>
      <c r="Q544" s="47"/>
      <c r="R544" s="7"/>
      <c r="S544" s="51"/>
      <c r="T544" s="51"/>
      <c r="U544" s="7"/>
      <c r="V544" s="57"/>
      <c r="W544" s="57"/>
      <c r="X544" s="57"/>
    </row>
    <row r="545" spans="1:24" ht="12.5" x14ac:dyDescent="0.25">
      <c r="A545" s="34"/>
      <c r="B545" s="7"/>
      <c r="C545" s="19"/>
      <c r="D545" s="7"/>
      <c r="E545" s="7"/>
      <c r="F545" s="7"/>
      <c r="G545" s="7"/>
      <c r="H545" s="6"/>
      <c r="I545" s="7"/>
      <c r="J545" s="7"/>
      <c r="K545" s="7"/>
      <c r="L545" s="7"/>
      <c r="M545" s="52"/>
      <c r="N545" s="7"/>
      <c r="O545" s="7"/>
      <c r="P545" s="47"/>
      <c r="Q545" s="47"/>
      <c r="R545" s="7"/>
      <c r="S545" s="51"/>
      <c r="T545" s="51"/>
      <c r="U545" s="7"/>
      <c r="V545" s="57"/>
      <c r="W545" s="57"/>
      <c r="X545" s="57"/>
    </row>
    <row r="546" spans="1:24" ht="12.5" x14ac:dyDescent="0.25">
      <c r="A546" s="34"/>
      <c r="B546" s="7"/>
      <c r="C546" s="19"/>
      <c r="D546" s="7"/>
      <c r="E546" s="7"/>
      <c r="F546" s="7"/>
      <c r="G546" s="7"/>
      <c r="H546" s="6"/>
      <c r="I546" s="7"/>
      <c r="J546" s="7"/>
      <c r="K546" s="7"/>
      <c r="L546" s="7"/>
      <c r="M546" s="52"/>
      <c r="N546" s="7"/>
      <c r="O546" s="7"/>
      <c r="P546" s="47"/>
      <c r="Q546" s="47"/>
      <c r="R546" s="7"/>
      <c r="S546" s="51"/>
      <c r="T546" s="51"/>
      <c r="U546" s="7"/>
      <c r="V546" s="57"/>
      <c r="W546" s="57"/>
      <c r="X546" s="57"/>
    </row>
    <row r="547" spans="1:24" ht="12.5" x14ac:dyDescent="0.25">
      <c r="A547" s="34"/>
      <c r="B547" s="7"/>
      <c r="C547" s="19"/>
      <c r="D547" s="7"/>
      <c r="E547" s="7"/>
      <c r="F547" s="7"/>
      <c r="G547" s="7"/>
      <c r="H547" s="6"/>
      <c r="I547" s="7"/>
      <c r="J547" s="7"/>
      <c r="K547" s="7"/>
      <c r="L547" s="7"/>
      <c r="M547" s="52"/>
      <c r="N547" s="7"/>
      <c r="O547" s="7"/>
      <c r="P547" s="47"/>
      <c r="Q547" s="47"/>
      <c r="R547" s="7"/>
      <c r="S547" s="51"/>
      <c r="T547" s="51"/>
      <c r="U547" s="7"/>
      <c r="V547" s="57"/>
      <c r="W547" s="57"/>
      <c r="X547" s="57"/>
    </row>
    <row r="548" spans="1:24" ht="12.5" x14ac:dyDescent="0.25">
      <c r="A548" s="34"/>
      <c r="B548" s="7"/>
      <c r="C548" s="19"/>
      <c r="D548" s="7"/>
      <c r="E548" s="7"/>
      <c r="F548" s="7"/>
      <c r="G548" s="7"/>
      <c r="H548" s="6"/>
      <c r="I548" s="7"/>
      <c r="J548" s="7"/>
      <c r="K548" s="7"/>
      <c r="L548" s="7"/>
      <c r="M548" s="52"/>
      <c r="N548" s="7"/>
      <c r="O548" s="7"/>
      <c r="P548" s="47"/>
      <c r="Q548" s="47"/>
      <c r="R548" s="7"/>
      <c r="S548" s="51"/>
      <c r="T548" s="51"/>
      <c r="U548" s="7"/>
      <c r="V548" s="57"/>
      <c r="W548" s="57"/>
      <c r="X548" s="57"/>
    </row>
    <row r="549" spans="1:24" ht="12.5" x14ac:dyDescent="0.25">
      <c r="A549" s="34"/>
      <c r="B549" s="7"/>
      <c r="C549" s="19"/>
      <c r="D549" s="7"/>
      <c r="E549" s="7"/>
      <c r="F549" s="7"/>
      <c r="G549" s="7"/>
      <c r="H549" s="6"/>
      <c r="I549" s="7"/>
      <c r="J549" s="7"/>
      <c r="K549" s="7"/>
      <c r="L549" s="7"/>
      <c r="M549" s="52"/>
      <c r="N549" s="7"/>
      <c r="O549" s="7"/>
      <c r="P549" s="47"/>
      <c r="Q549" s="47"/>
      <c r="R549" s="7"/>
      <c r="S549" s="51"/>
      <c r="T549" s="51"/>
      <c r="U549" s="7"/>
      <c r="V549" s="57"/>
      <c r="W549" s="57"/>
      <c r="X549" s="57"/>
    </row>
    <row r="550" spans="1:24" ht="12.5" x14ac:dyDescent="0.25">
      <c r="A550" s="34"/>
      <c r="B550" s="7"/>
      <c r="C550" s="19"/>
      <c r="D550" s="7"/>
      <c r="E550" s="7"/>
      <c r="F550" s="7"/>
      <c r="G550" s="7"/>
      <c r="H550" s="6"/>
      <c r="I550" s="7"/>
      <c r="J550" s="7"/>
      <c r="K550" s="7"/>
      <c r="L550" s="7"/>
      <c r="M550" s="52"/>
      <c r="N550" s="7"/>
      <c r="O550" s="7"/>
      <c r="P550" s="47"/>
      <c r="Q550" s="47"/>
      <c r="R550" s="7"/>
      <c r="S550" s="51"/>
      <c r="T550" s="51"/>
      <c r="U550" s="7"/>
      <c r="V550" s="57"/>
      <c r="W550" s="57"/>
      <c r="X550" s="57"/>
    </row>
    <row r="551" spans="1:24" ht="12.5" x14ac:dyDescent="0.25">
      <c r="A551" s="34"/>
      <c r="B551" s="7"/>
      <c r="C551" s="19"/>
      <c r="D551" s="7"/>
      <c r="E551" s="7"/>
      <c r="F551" s="7"/>
      <c r="G551" s="7"/>
      <c r="H551" s="6"/>
      <c r="I551" s="7"/>
      <c r="J551" s="7"/>
      <c r="K551" s="7"/>
      <c r="L551" s="7"/>
      <c r="M551" s="52"/>
      <c r="N551" s="7"/>
      <c r="O551" s="7"/>
      <c r="P551" s="47"/>
      <c r="Q551" s="47"/>
      <c r="R551" s="7"/>
      <c r="S551" s="51"/>
      <c r="T551" s="51"/>
      <c r="U551" s="7"/>
      <c r="V551" s="57"/>
      <c r="W551" s="57"/>
      <c r="X551" s="57"/>
    </row>
    <row r="552" spans="1:24" ht="12.5" x14ac:dyDescent="0.25">
      <c r="A552" s="34"/>
      <c r="B552" s="7"/>
      <c r="C552" s="19"/>
      <c r="D552" s="7"/>
      <c r="E552" s="7"/>
      <c r="F552" s="7"/>
      <c r="G552" s="7"/>
      <c r="H552" s="6"/>
      <c r="I552" s="7"/>
      <c r="J552" s="7"/>
      <c r="K552" s="7"/>
      <c r="L552" s="7"/>
      <c r="M552" s="52"/>
      <c r="N552" s="7"/>
      <c r="O552" s="7"/>
      <c r="P552" s="47"/>
      <c r="Q552" s="47"/>
      <c r="R552" s="7"/>
      <c r="S552" s="51"/>
      <c r="T552" s="51"/>
      <c r="U552" s="7"/>
      <c r="V552" s="57"/>
      <c r="W552" s="57"/>
      <c r="X552" s="57"/>
    </row>
    <row r="553" spans="1:24" ht="12.5" x14ac:dyDescent="0.25">
      <c r="A553" s="34"/>
      <c r="B553" s="7"/>
      <c r="C553" s="19"/>
      <c r="D553" s="7"/>
      <c r="E553" s="7"/>
      <c r="F553" s="7"/>
      <c r="G553" s="7"/>
      <c r="H553" s="6"/>
      <c r="I553" s="7"/>
      <c r="J553" s="7"/>
      <c r="K553" s="7"/>
      <c r="L553" s="7"/>
      <c r="M553" s="52"/>
      <c r="N553" s="7"/>
      <c r="O553" s="7"/>
      <c r="P553" s="47"/>
      <c r="Q553" s="47"/>
      <c r="R553" s="7"/>
      <c r="S553" s="51"/>
      <c r="T553" s="51"/>
      <c r="U553" s="7"/>
      <c r="V553" s="57"/>
      <c r="W553" s="57"/>
      <c r="X553" s="57"/>
    </row>
    <row r="554" spans="1:24" ht="12.5" x14ac:dyDescent="0.25">
      <c r="A554" s="34"/>
      <c r="B554" s="7"/>
      <c r="C554" s="19"/>
      <c r="D554" s="7"/>
      <c r="E554" s="7"/>
      <c r="F554" s="7"/>
      <c r="G554" s="7"/>
      <c r="H554" s="6"/>
      <c r="I554" s="7"/>
      <c r="J554" s="7"/>
      <c r="K554" s="7"/>
      <c r="L554" s="7"/>
      <c r="M554" s="52"/>
      <c r="N554" s="7"/>
      <c r="O554" s="7"/>
      <c r="P554" s="47"/>
      <c r="Q554" s="47"/>
      <c r="R554" s="7"/>
      <c r="S554" s="51"/>
      <c r="T554" s="51"/>
      <c r="U554" s="7"/>
      <c r="V554" s="57"/>
      <c r="W554" s="57"/>
      <c r="X554" s="57"/>
    </row>
    <row r="555" spans="1:24" ht="12.5" x14ac:dyDescent="0.25">
      <c r="A555" s="34"/>
      <c r="B555" s="7"/>
      <c r="C555" s="19"/>
      <c r="D555" s="7"/>
      <c r="E555" s="7"/>
      <c r="F555" s="7"/>
      <c r="G555" s="7"/>
      <c r="H555" s="6"/>
      <c r="I555" s="7"/>
      <c r="J555" s="7"/>
      <c r="K555" s="7"/>
      <c r="L555" s="7"/>
      <c r="M555" s="52"/>
      <c r="N555" s="7"/>
      <c r="O555" s="7"/>
      <c r="P555" s="47"/>
      <c r="Q555" s="47"/>
      <c r="R555" s="7"/>
      <c r="S555" s="51"/>
      <c r="T555" s="51"/>
      <c r="U555" s="7"/>
      <c r="V555" s="57"/>
      <c r="W555" s="57"/>
      <c r="X555" s="57"/>
    </row>
    <row r="556" spans="1:24" ht="12.5" x14ac:dyDescent="0.25">
      <c r="A556" s="34"/>
      <c r="B556" s="7"/>
      <c r="C556" s="19"/>
      <c r="D556" s="7"/>
      <c r="E556" s="7"/>
      <c r="F556" s="7"/>
      <c r="G556" s="7"/>
      <c r="H556" s="6"/>
      <c r="I556" s="7"/>
      <c r="J556" s="7"/>
      <c r="K556" s="7"/>
      <c r="L556" s="7"/>
      <c r="M556" s="52"/>
      <c r="N556" s="7"/>
      <c r="O556" s="7"/>
      <c r="P556" s="47"/>
      <c r="Q556" s="47"/>
      <c r="R556" s="7"/>
      <c r="S556" s="51"/>
      <c r="T556" s="51"/>
      <c r="U556" s="7"/>
      <c r="V556" s="57"/>
      <c r="W556" s="57"/>
      <c r="X556" s="57"/>
    </row>
    <row r="557" spans="1:24" ht="12.5" x14ac:dyDescent="0.25">
      <c r="A557" s="34"/>
      <c r="B557" s="7"/>
      <c r="C557" s="19"/>
      <c r="D557" s="7"/>
      <c r="E557" s="7"/>
      <c r="F557" s="7"/>
      <c r="G557" s="7"/>
      <c r="H557" s="6"/>
      <c r="I557" s="7"/>
      <c r="J557" s="7"/>
      <c r="K557" s="7"/>
      <c r="L557" s="7"/>
      <c r="M557" s="52"/>
      <c r="N557" s="7"/>
      <c r="O557" s="7"/>
      <c r="P557" s="47"/>
      <c r="Q557" s="47"/>
      <c r="R557" s="7"/>
      <c r="S557" s="51"/>
      <c r="T557" s="51"/>
      <c r="U557" s="7"/>
      <c r="V557" s="57"/>
      <c r="W557" s="57"/>
      <c r="X557" s="57"/>
    </row>
    <row r="558" spans="1:24" ht="12.5" x14ac:dyDescent="0.25">
      <c r="A558" s="34"/>
      <c r="B558" s="7"/>
      <c r="C558" s="19"/>
      <c r="D558" s="7"/>
      <c r="E558" s="7"/>
      <c r="F558" s="7"/>
      <c r="G558" s="7"/>
      <c r="H558" s="6"/>
      <c r="I558" s="7"/>
      <c r="J558" s="7"/>
      <c r="K558" s="7"/>
      <c r="L558" s="7"/>
      <c r="M558" s="52"/>
      <c r="N558" s="7"/>
      <c r="O558" s="7"/>
      <c r="P558" s="47"/>
      <c r="Q558" s="47"/>
      <c r="R558" s="7"/>
      <c r="S558" s="51"/>
      <c r="T558" s="51"/>
      <c r="U558" s="7"/>
      <c r="V558" s="57"/>
      <c r="W558" s="57"/>
      <c r="X558" s="57"/>
    </row>
    <row r="559" spans="1:24" ht="12.5" x14ac:dyDescent="0.25">
      <c r="A559" s="34"/>
      <c r="B559" s="7"/>
      <c r="C559" s="19"/>
      <c r="D559" s="7"/>
      <c r="E559" s="7"/>
      <c r="F559" s="7"/>
      <c r="G559" s="7"/>
      <c r="H559" s="6"/>
      <c r="I559" s="7"/>
      <c r="J559" s="7"/>
      <c r="K559" s="7"/>
      <c r="L559" s="7"/>
      <c r="M559" s="52"/>
      <c r="N559" s="7"/>
      <c r="O559" s="7"/>
      <c r="P559" s="47"/>
      <c r="Q559" s="47"/>
      <c r="R559" s="7"/>
      <c r="S559" s="51"/>
      <c r="T559" s="51"/>
      <c r="U559" s="7"/>
      <c r="V559" s="57"/>
      <c r="W559" s="57"/>
      <c r="X559" s="57"/>
    </row>
    <row r="560" spans="1:24" ht="12.5" x14ac:dyDescent="0.25">
      <c r="A560" s="34"/>
      <c r="B560" s="7"/>
      <c r="C560" s="19"/>
      <c r="D560" s="7"/>
      <c r="E560" s="7"/>
      <c r="F560" s="7"/>
      <c r="G560" s="7"/>
      <c r="H560" s="6"/>
      <c r="I560" s="7"/>
      <c r="J560" s="7"/>
      <c r="K560" s="7"/>
      <c r="L560" s="7"/>
      <c r="M560" s="52"/>
      <c r="N560" s="7"/>
      <c r="O560" s="7"/>
      <c r="P560" s="47"/>
      <c r="Q560" s="47"/>
      <c r="R560" s="7"/>
      <c r="S560" s="51"/>
      <c r="T560" s="51"/>
      <c r="U560" s="7"/>
      <c r="V560" s="57"/>
      <c r="W560" s="57"/>
      <c r="X560" s="57"/>
    </row>
    <row r="561" spans="1:24" ht="12.5" x14ac:dyDescent="0.25">
      <c r="A561" s="34"/>
      <c r="B561" s="7"/>
      <c r="C561" s="19"/>
      <c r="D561" s="7"/>
      <c r="E561" s="7"/>
      <c r="F561" s="7"/>
      <c r="G561" s="7"/>
      <c r="H561" s="6"/>
      <c r="I561" s="7"/>
      <c r="J561" s="7"/>
      <c r="K561" s="7"/>
      <c r="L561" s="7"/>
      <c r="M561" s="52"/>
      <c r="N561" s="7"/>
      <c r="O561" s="7"/>
      <c r="P561" s="47"/>
      <c r="Q561" s="47"/>
      <c r="R561" s="7"/>
      <c r="S561" s="51"/>
      <c r="T561" s="51"/>
      <c r="U561" s="7"/>
      <c r="V561" s="57"/>
      <c r="W561" s="57"/>
      <c r="X561" s="57"/>
    </row>
    <row r="562" spans="1:24" ht="12.5" x14ac:dyDescent="0.25">
      <c r="A562" s="34"/>
      <c r="B562" s="7"/>
      <c r="C562" s="19"/>
      <c r="D562" s="7"/>
      <c r="E562" s="7"/>
      <c r="F562" s="7"/>
      <c r="G562" s="7"/>
      <c r="H562" s="6"/>
      <c r="I562" s="7"/>
      <c r="J562" s="7"/>
      <c r="K562" s="7"/>
      <c r="L562" s="7"/>
      <c r="M562" s="52"/>
      <c r="N562" s="7"/>
      <c r="O562" s="7"/>
      <c r="P562" s="47"/>
      <c r="Q562" s="47"/>
      <c r="R562" s="7"/>
      <c r="S562" s="51"/>
      <c r="T562" s="51"/>
      <c r="U562" s="7"/>
      <c r="V562" s="57"/>
      <c r="W562" s="57"/>
      <c r="X562" s="57"/>
    </row>
    <row r="563" spans="1:24" ht="12.5" x14ac:dyDescent="0.25">
      <c r="A563" s="34"/>
      <c r="B563" s="7"/>
      <c r="C563" s="19"/>
      <c r="D563" s="7"/>
      <c r="E563" s="7"/>
      <c r="F563" s="7"/>
      <c r="G563" s="7"/>
      <c r="H563" s="6"/>
      <c r="I563" s="7"/>
      <c r="J563" s="7"/>
      <c r="K563" s="7"/>
      <c r="L563" s="7"/>
      <c r="M563" s="52"/>
      <c r="N563" s="7"/>
      <c r="O563" s="7"/>
      <c r="P563" s="47"/>
      <c r="Q563" s="47"/>
      <c r="R563" s="7"/>
      <c r="S563" s="51"/>
      <c r="T563" s="51"/>
      <c r="U563" s="7"/>
      <c r="V563" s="57"/>
      <c r="W563" s="57"/>
      <c r="X563" s="57"/>
    </row>
    <row r="564" spans="1:24" ht="12.5" x14ac:dyDescent="0.25">
      <c r="A564" s="34"/>
      <c r="B564" s="7"/>
      <c r="C564" s="19"/>
      <c r="D564" s="7"/>
      <c r="E564" s="7"/>
      <c r="F564" s="7"/>
      <c r="G564" s="7"/>
      <c r="H564" s="6"/>
      <c r="I564" s="7"/>
      <c r="J564" s="7"/>
      <c r="K564" s="7"/>
      <c r="L564" s="7"/>
      <c r="M564" s="52"/>
      <c r="N564" s="7"/>
      <c r="O564" s="7"/>
      <c r="P564" s="47"/>
      <c r="Q564" s="47"/>
      <c r="R564" s="7"/>
      <c r="S564" s="51"/>
      <c r="T564" s="51"/>
      <c r="U564" s="7"/>
      <c r="V564" s="57"/>
      <c r="W564" s="57"/>
      <c r="X564" s="57"/>
    </row>
    <row r="565" spans="1:24" ht="12.5" x14ac:dyDescent="0.25">
      <c r="A565" s="34"/>
      <c r="B565" s="7"/>
      <c r="C565" s="19"/>
      <c r="D565" s="7"/>
      <c r="E565" s="7"/>
      <c r="F565" s="7"/>
      <c r="G565" s="7"/>
      <c r="H565" s="6"/>
      <c r="I565" s="7"/>
      <c r="J565" s="7"/>
      <c r="K565" s="7"/>
      <c r="L565" s="7"/>
      <c r="M565" s="52"/>
      <c r="N565" s="7"/>
      <c r="O565" s="7"/>
      <c r="P565" s="47"/>
      <c r="Q565" s="47"/>
      <c r="R565" s="7"/>
      <c r="S565" s="51"/>
      <c r="T565" s="51"/>
      <c r="U565" s="7"/>
      <c r="V565" s="57"/>
      <c r="W565" s="57"/>
      <c r="X565" s="57"/>
    </row>
    <row r="566" spans="1:24" ht="12.5" x14ac:dyDescent="0.25">
      <c r="A566" s="34"/>
      <c r="B566" s="7"/>
      <c r="C566" s="19"/>
      <c r="D566" s="7"/>
      <c r="E566" s="7"/>
      <c r="F566" s="7"/>
      <c r="G566" s="7"/>
      <c r="H566" s="6"/>
      <c r="I566" s="7"/>
      <c r="J566" s="7"/>
      <c r="K566" s="7"/>
      <c r="L566" s="7"/>
      <c r="M566" s="52"/>
      <c r="N566" s="7"/>
      <c r="O566" s="7"/>
      <c r="P566" s="47"/>
      <c r="Q566" s="47"/>
      <c r="R566" s="7"/>
      <c r="S566" s="51"/>
      <c r="T566" s="51"/>
      <c r="U566" s="7"/>
      <c r="V566" s="57"/>
      <c r="W566" s="57"/>
      <c r="X566" s="57"/>
    </row>
    <row r="567" spans="1:24" ht="12.5" x14ac:dyDescent="0.25">
      <c r="A567" s="34"/>
      <c r="B567" s="7"/>
      <c r="C567" s="19"/>
      <c r="D567" s="7"/>
      <c r="E567" s="7"/>
      <c r="F567" s="7"/>
      <c r="G567" s="7"/>
      <c r="H567" s="6"/>
      <c r="I567" s="7"/>
      <c r="J567" s="7"/>
      <c r="K567" s="7"/>
      <c r="L567" s="7"/>
      <c r="M567" s="52"/>
      <c r="N567" s="7"/>
      <c r="O567" s="7"/>
      <c r="P567" s="47"/>
      <c r="Q567" s="47"/>
      <c r="R567" s="7"/>
      <c r="S567" s="51"/>
      <c r="T567" s="51"/>
      <c r="U567" s="7"/>
      <c r="V567" s="57"/>
      <c r="W567" s="57"/>
      <c r="X567" s="57"/>
    </row>
    <row r="568" spans="1:24" ht="12.5" x14ac:dyDescent="0.25">
      <c r="A568" s="34"/>
      <c r="B568" s="7"/>
      <c r="C568" s="19"/>
      <c r="D568" s="7"/>
      <c r="E568" s="7"/>
      <c r="F568" s="7"/>
      <c r="G568" s="7"/>
      <c r="H568" s="6"/>
      <c r="I568" s="7"/>
      <c r="J568" s="7"/>
      <c r="K568" s="7"/>
      <c r="L568" s="7"/>
      <c r="M568" s="52"/>
      <c r="N568" s="7"/>
      <c r="O568" s="7"/>
      <c r="P568" s="47"/>
      <c r="Q568" s="47"/>
      <c r="R568" s="7"/>
      <c r="S568" s="51"/>
      <c r="T568" s="51"/>
      <c r="U568" s="7"/>
      <c r="V568" s="57"/>
      <c r="W568" s="57"/>
      <c r="X568" s="57"/>
    </row>
    <row r="569" spans="1:24" ht="12.5" x14ac:dyDescent="0.25">
      <c r="A569" s="34"/>
      <c r="B569" s="7"/>
      <c r="C569" s="19"/>
      <c r="D569" s="7"/>
      <c r="E569" s="7"/>
      <c r="F569" s="7"/>
      <c r="G569" s="7"/>
      <c r="H569" s="6"/>
      <c r="I569" s="7"/>
      <c r="J569" s="7"/>
      <c r="K569" s="7"/>
      <c r="L569" s="7"/>
      <c r="M569" s="52"/>
      <c r="N569" s="7"/>
      <c r="O569" s="7"/>
      <c r="P569" s="47"/>
      <c r="Q569" s="47"/>
      <c r="R569" s="7"/>
      <c r="S569" s="51"/>
      <c r="T569" s="51"/>
      <c r="U569" s="7"/>
      <c r="V569" s="57"/>
      <c r="W569" s="57"/>
      <c r="X569" s="57"/>
    </row>
    <row r="570" spans="1:24" ht="12.5" x14ac:dyDescent="0.25">
      <c r="A570" s="34"/>
      <c r="B570" s="7"/>
      <c r="C570" s="19"/>
      <c r="D570" s="7"/>
      <c r="E570" s="7"/>
      <c r="F570" s="7"/>
      <c r="G570" s="7"/>
      <c r="H570" s="6"/>
      <c r="I570" s="7"/>
      <c r="J570" s="7"/>
      <c r="K570" s="7"/>
      <c r="L570" s="7"/>
      <c r="M570" s="52"/>
      <c r="N570" s="7"/>
      <c r="O570" s="7"/>
      <c r="P570" s="47"/>
      <c r="Q570" s="47"/>
      <c r="R570" s="7"/>
      <c r="S570" s="51"/>
      <c r="T570" s="51"/>
      <c r="U570" s="7"/>
      <c r="V570" s="57"/>
      <c r="W570" s="57"/>
      <c r="X570" s="57"/>
    </row>
    <row r="571" spans="1:24" ht="12.5" x14ac:dyDescent="0.25">
      <c r="A571" s="34"/>
      <c r="B571" s="7"/>
      <c r="C571" s="19"/>
      <c r="D571" s="7"/>
      <c r="E571" s="7"/>
      <c r="F571" s="7"/>
      <c r="G571" s="7"/>
      <c r="H571" s="6"/>
      <c r="I571" s="7"/>
      <c r="J571" s="7"/>
      <c r="K571" s="7"/>
      <c r="L571" s="7"/>
      <c r="M571" s="52"/>
      <c r="N571" s="7"/>
      <c r="O571" s="7"/>
      <c r="P571" s="47"/>
      <c r="Q571" s="47"/>
      <c r="R571" s="7"/>
      <c r="S571" s="51"/>
      <c r="T571" s="51"/>
      <c r="U571" s="7"/>
      <c r="V571" s="57"/>
      <c r="W571" s="57"/>
      <c r="X571" s="57"/>
    </row>
    <row r="572" spans="1:24" ht="12.5" x14ac:dyDescent="0.25">
      <c r="A572" s="34"/>
      <c r="B572" s="7"/>
      <c r="C572" s="19"/>
      <c r="D572" s="7"/>
      <c r="E572" s="7"/>
      <c r="F572" s="7"/>
      <c r="G572" s="7"/>
      <c r="H572" s="6"/>
      <c r="I572" s="7"/>
      <c r="J572" s="7"/>
      <c r="K572" s="7"/>
      <c r="L572" s="7"/>
      <c r="M572" s="52"/>
      <c r="N572" s="7"/>
      <c r="O572" s="7"/>
      <c r="P572" s="47"/>
      <c r="Q572" s="47"/>
      <c r="R572" s="7"/>
      <c r="S572" s="51"/>
      <c r="T572" s="51"/>
      <c r="U572" s="7"/>
      <c r="V572" s="57"/>
      <c r="W572" s="57"/>
      <c r="X572" s="57"/>
    </row>
    <row r="573" spans="1:24" ht="12.5" x14ac:dyDescent="0.25">
      <c r="A573" s="34"/>
      <c r="B573" s="7"/>
      <c r="C573" s="19"/>
      <c r="D573" s="7"/>
      <c r="E573" s="7"/>
      <c r="F573" s="7"/>
      <c r="G573" s="7"/>
      <c r="H573" s="6"/>
      <c r="I573" s="7"/>
      <c r="J573" s="7"/>
      <c r="K573" s="7"/>
      <c r="L573" s="7"/>
      <c r="M573" s="52"/>
      <c r="N573" s="7"/>
      <c r="O573" s="7"/>
      <c r="P573" s="47"/>
      <c r="Q573" s="47"/>
      <c r="R573" s="7"/>
      <c r="S573" s="51"/>
      <c r="T573" s="51"/>
      <c r="U573" s="7"/>
      <c r="V573" s="57"/>
      <c r="W573" s="57"/>
      <c r="X573" s="57"/>
    </row>
    <row r="574" spans="1:24" ht="12.5" x14ac:dyDescent="0.25">
      <c r="A574" s="34"/>
      <c r="B574" s="7"/>
      <c r="C574" s="19"/>
      <c r="D574" s="7"/>
      <c r="E574" s="7"/>
      <c r="F574" s="7"/>
      <c r="G574" s="7"/>
      <c r="H574" s="6"/>
      <c r="I574" s="7"/>
      <c r="J574" s="7"/>
      <c r="K574" s="7"/>
      <c r="L574" s="7"/>
      <c r="M574" s="52"/>
      <c r="N574" s="7"/>
      <c r="O574" s="7"/>
      <c r="P574" s="47"/>
      <c r="Q574" s="47"/>
      <c r="R574" s="7"/>
      <c r="S574" s="51"/>
      <c r="T574" s="51"/>
      <c r="U574" s="7"/>
      <c r="V574" s="57"/>
      <c r="W574" s="57"/>
      <c r="X574" s="57"/>
    </row>
    <row r="575" spans="1:24" ht="12.5" x14ac:dyDescent="0.25">
      <c r="A575" s="34"/>
      <c r="B575" s="7"/>
      <c r="C575" s="19"/>
      <c r="D575" s="7"/>
      <c r="E575" s="7"/>
      <c r="F575" s="7"/>
      <c r="G575" s="7"/>
      <c r="H575" s="6"/>
      <c r="I575" s="7"/>
      <c r="J575" s="7"/>
      <c r="K575" s="7"/>
      <c r="L575" s="7"/>
      <c r="M575" s="52"/>
      <c r="N575" s="7"/>
      <c r="O575" s="7"/>
      <c r="P575" s="47"/>
      <c r="Q575" s="47"/>
      <c r="R575" s="7"/>
      <c r="S575" s="51"/>
      <c r="T575" s="51"/>
      <c r="U575" s="7"/>
      <c r="V575" s="57"/>
      <c r="W575" s="57"/>
      <c r="X575" s="57"/>
    </row>
    <row r="576" spans="1:24" ht="12.5" x14ac:dyDescent="0.25">
      <c r="A576" s="34"/>
      <c r="B576" s="7"/>
      <c r="C576" s="19"/>
      <c r="D576" s="7"/>
      <c r="E576" s="7"/>
      <c r="F576" s="7"/>
      <c r="G576" s="7"/>
      <c r="H576" s="6"/>
      <c r="I576" s="7"/>
      <c r="J576" s="7"/>
      <c r="K576" s="7"/>
      <c r="L576" s="7"/>
      <c r="M576" s="52"/>
      <c r="N576" s="7"/>
      <c r="O576" s="7"/>
      <c r="P576" s="47"/>
      <c r="Q576" s="47"/>
      <c r="R576" s="7"/>
      <c r="S576" s="51"/>
      <c r="T576" s="51"/>
      <c r="U576" s="7"/>
      <c r="V576" s="57"/>
      <c r="W576" s="57"/>
      <c r="X576" s="57"/>
    </row>
    <row r="577" spans="1:24" ht="12.5" x14ac:dyDescent="0.25">
      <c r="A577" s="34"/>
      <c r="B577" s="7"/>
      <c r="C577" s="19"/>
      <c r="D577" s="7"/>
      <c r="E577" s="7"/>
      <c r="F577" s="7"/>
      <c r="G577" s="7"/>
      <c r="H577" s="6"/>
      <c r="I577" s="7"/>
      <c r="J577" s="7"/>
      <c r="K577" s="7"/>
      <c r="L577" s="7"/>
      <c r="M577" s="52"/>
      <c r="N577" s="7"/>
      <c r="O577" s="7"/>
      <c r="P577" s="47"/>
      <c r="Q577" s="47"/>
      <c r="R577" s="7"/>
      <c r="S577" s="51"/>
      <c r="T577" s="51"/>
      <c r="U577" s="7"/>
      <c r="V577" s="57"/>
      <c r="W577" s="57"/>
      <c r="X577" s="57"/>
    </row>
    <row r="578" spans="1:24" ht="12.5" x14ac:dyDescent="0.25">
      <c r="A578" s="34"/>
      <c r="B578" s="7"/>
      <c r="C578" s="19"/>
      <c r="D578" s="7"/>
      <c r="E578" s="7"/>
      <c r="F578" s="7"/>
      <c r="G578" s="7"/>
      <c r="H578" s="6"/>
      <c r="I578" s="7"/>
      <c r="J578" s="7"/>
      <c r="K578" s="7"/>
      <c r="L578" s="7"/>
      <c r="M578" s="52"/>
      <c r="N578" s="7"/>
      <c r="O578" s="7"/>
      <c r="P578" s="47"/>
      <c r="Q578" s="47"/>
      <c r="R578" s="7"/>
      <c r="S578" s="51"/>
      <c r="T578" s="51"/>
      <c r="U578" s="7"/>
      <c r="V578" s="57"/>
      <c r="W578" s="57"/>
      <c r="X578" s="57"/>
    </row>
    <row r="579" spans="1:24" ht="12.5" x14ac:dyDescent="0.25">
      <c r="A579" s="34"/>
      <c r="B579" s="7"/>
      <c r="C579" s="19"/>
      <c r="D579" s="7"/>
      <c r="E579" s="7"/>
      <c r="F579" s="7"/>
      <c r="G579" s="7"/>
      <c r="H579" s="6"/>
      <c r="I579" s="7"/>
      <c r="J579" s="7"/>
      <c r="K579" s="7"/>
      <c r="L579" s="7"/>
      <c r="M579" s="52"/>
      <c r="N579" s="7"/>
      <c r="O579" s="7"/>
      <c r="P579" s="47"/>
      <c r="Q579" s="47"/>
      <c r="R579" s="7"/>
      <c r="S579" s="51"/>
      <c r="T579" s="51"/>
      <c r="U579" s="7"/>
      <c r="V579" s="57"/>
      <c r="W579" s="57"/>
      <c r="X579" s="57"/>
    </row>
    <row r="580" spans="1:24" ht="12.5" x14ac:dyDescent="0.25">
      <c r="A580" s="34"/>
      <c r="B580" s="7"/>
      <c r="C580" s="19"/>
      <c r="D580" s="7"/>
      <c r="E580" s="7"/>
      <c r="F580" s="7"/>
      <c r="G580" s="7"/>
      <c r="H580" s="6"/>
      <c r="I580" s="7"/>
      <c r="J580" s="7"/>
      <c r="K580" s="7"/>
      <c r="L580" s="7"/>
      <c r="M580" s="52"/>
      <c r="N580" s="7"/>
      <c r="O580" s="7"/>
      <c r="P580" s="47"/>
      <c r="Q580" s="47"/>
      <c r="R580" s="7"/>
      <c r="S580" s="51"/>
      <c r="T580" s="51"/>
      <c r="U580" s="7"/>
      <c r="V580" s="57"/>
      <c r="W580" s="57"/>
      <c r="X580" s="57"/>
    </row>
    <row r="581" spans="1:24" ht="12.5" x14ac:dyDescent="0.25">
      <c r="A581" s="34"/>
      <c r="B581" s="7"/>
      <c r="C581" s="19"/>
      <c r="D581" s="7"/>
      <c r="E581" s="7"/>
      <c r="F581" s="7"/>
      <c r="G581" s="7"/>
      <c r="H581" s="6"/>
      <c r="I581" s="7"/>
      <c r="J581" s="7"/>
      <c r="K581" s="7"/>
      <c r="L581" s="7"/>
      <c r="M581" s="52"/>
      <c r="N581" s="7"/>
      <c r="O581" s="7"/>
      <c r="P581" s="47"/>
      <c r="Q581" s="47"/>
      <c r="R581" s="7"/>
      <c r="S581" s="51"/>
      <c r="T581" s="51"/>
      <c r="U581" s="7"/>
      <c r="V581" s="57"/>
      <c r="W581" s="57"/>
      <c r="X581" s="57"/>
    </row>
    <row r="582" spans="1:24" ht="12.5" x14ac:dyDescent="0.25">
      <c r="A582" s="34"/>
      <c r="B582" s="7"/>
      <c r="C582" s="19"/>
      <c r="D582" s="7"/>
      <c r="E582" s="7"/>
      <c r="F582" s="7"/>
      <c r="G582" s="7"/>
      <c r="H582" s="6"/>
      <c r="I582" s="7"/>
      <c r="J582" s="7"/>
      <c r="K582" s="7"/>
      <c r="L582" s="7"/>
      <c r="M582" s="52"/>
      <c r="N582" s="7"/>
      <c r="O582" s="7"/>
      <c r="P582" s="47"/>
      <c r="Q582" s="47"/>
      <c r="R582" s="7"/>
      <c r="S582" s="51"/>
      <c r="T582" s="51"/>
      <c r="U582" s="7"/>
      <c r="V582" s="57"/>
      <c r="W582" s="57"/>
      <c r="X582" s="57"/>
    </row>
    <row r="583" spans="1:24" ht="12.5" x14ac:dyDescent="0.25">
      <c r="A583" s="34"/>
      <c r="B583" s="7"/>
      <c r="C583" s="19"/>
      <c r="D583" s="7"/>
      <c r="E583" s="7"/>
      <c r="F583" s="7"/>
      <c r="G583" s="7"/>
      <c r="H583" s="6"/>
      <c r="I583" s="7"/>
      <c r="J583" s="7"/>
      <c r="K583" s="7"/>
      <c r="L583" s="7"/>
      <c r="M583" s="52"/>
      <c r="N583" s="7"/>
      <c r="O583" s="7"/>
      <c r="P583" s="47"/>
      <c r="Q583" s="47"/>
      <c r="R583" s="7"/>
      <c r="S583" s="51"/>
      <c r="T583" s="51"/>
      <c r="U583" s="7"/>
      <c r="V583" s="57"/>
      <c r="W583" s="57"/>
      <c r="X583" s="57"/>
    </row>
    <row r="584" spans="1:24" ht="12.5" x14ac:dyDescent="0.25">
      <c r="A584" s="34"/>
      <c r="B584" s="7"/>
      <c r="C584" s="19"/>
      <c r="D584" s="7"/>
      <c r="E584" s="7"/>
      <c r="F584" s="7"/>
      <c r="G584" s="7"/>
      <c r="H584" s="6"/>
      <c r="I584" s="7"/>
      <c r="J584" s="7"/>
      <c r="K584" s="7"/>
      <c r="L584" s="7"/>
      <c r="M584" s="52"/>
      <c r="N584" s="7"/>
      <c r="O584" s="7"/>
      <c r="P584" s="47"/>
      <c r="Q584" s="47"/>
      <c r="R584" s="7"/>
      <c r="S584" s="51"/>
      <c r="T584" s="51"/>
      <c r="U584" s="7"/>
      <c r="V584" s="57"/>
      <c r="W584" s="57"/>
      <c r="X584" s="57"/>
    </row>
    <row r="585" spans="1:24" ht="12.5" x14ac:dyDescent="0.25">
      <c r="A585" s="34"/>
      <c r="B585" s="7"/>
      <c r="C585" s="19"/>
      <c r="D585" s="7"/>
      <c r="E585" s="7"/>
      <c r="F585" s="7"/>
      <c r="G585" s="7"/>
      <c r="H585" s="6"/>
      <c r="I585" s="7"/>
      <c r="J585" s="7"/>
      <c r="K585" s="7"/>
      <c r="L585" s="7"/>
      <c r="M585" s="52"/>
      <c r="N585" s="7"/>
      <c r="O585" s="7"/>
      <c r="P585" s="47"/>
      <c r="Q585" s="47"/>
      <c r="R585" s="7"/>
      <c r="S585" s="51"/>
      <c r="T585" s="51"/>
      <c r="U585" s="7"/>
      <c r="V585" s="57"/>
      <c r="W585" s="57"/>
      <c r="X585" s="57"/>
    </row>
    <row r="586" spans="1:24" ht="12.5" x14ac:dyDescent="0.25">
      <c r="A586" s="34"/>
      <c r="B586" s="7"/>
      <c r="C586" s="19"/>
      <c r="D586" s="7"/>
      <c r="E586" s="7"/>
      <c r="F586" s="7"/>
      <c r="G586" s="7"/>
      <c r="H586" s="6"/>
      <c r="I586" s="7"/>
      <c r="J586" s="7"/>
      <c r="K586" s="7"/>
      <c r="L586" s="7"/>
      <c r="M586" s="52"/>
      <c r="N586" s="7"/>
      <c r="O586" s="7"/>
      <c r="P586" s="47"/>
      <c r="Q586" s="47"/>
      <c r="R586" s="7"/>
      <c r="S586" s="51"/>
      <c r="T586" s="51"/>
      <c r="U586" s="7"/>
      <c r="V586" s="57"/>
      <c r="W586" s="57"/>
      <c r="X586" s="57"/>
    </row>
    <row r="587" spans="1:24" ht="12.5" x14ac:dyDescent="0.25">
      <c r="A587" s="34"/>
      <c r="B587" s="7"/>
      <c r="C587" s="19"/>
      <c r="D587" s="7"/>
      <c r="E587" s="7"/>
      <c r="F587" s="7"/>
      <c r="G587" s="7"/>
      <c r="H587" s="6"/>
      <c r="I587" s="7"/>
      <c r="J587" s="7"/>
      <c r="K587" s="7"/>
      <c r="L587" s="7"/>
      <c r="M587" s="52"/>
      <c r="N587" s="7"/>
      <c r="O587" s="7"/>
      <c r="P587" s="47"/>
      <c r="Q587" s="47"/>
      <c r="R587" s="7"/>
      <c r="S587" s="51"/>
      <c r="T587" s="51"/>
      <c r="U587" s="7"/>
      <c r="V587" s="57"/>
      <c r="W587" s="57"/>
      <c r="X587" s="57"/>
    </row>
    <row r="588" spans="1:24" ht="12.5" x14ac:dyDescent="0.25">
      <c r="A588" s="34"/>
      <c r="B588" s="7"/>
      <c r="C588" s="19"/>
      <c r="D588" s="7"/>
      <c r="E588" s="7"/>
      <c r="F588" s="7"/>
      <c r="G588" s="7"/>
      <c r="H588" s="6"/>
      <c r="I588" s="7"/>
      <c r="J588" s="7"/>
      <c r="K588" s="7"/>
      <c r="L588" s="7"/>
      <c r="M588" s="52"/>
      <c r="N588" s="7"/>
      <c r="O588" s="7"/>
      <c r="P588" s="47"/>
      <c r="Q588" s="47"/>
      <c r="R588" s="7"/>
      <c r="S588" s="51"/>
      <c r="T588" s="51"/>
      <c r="U588" s="7"/>
      <c r="V588" s="57"/>
      <c r="W588" s="57"/>
      <c r="X588" s="57"/>
    </row>
    <row r="589" spans="1:24" ht="12.5" x14ac:dyDescent="0.25">
      <c r="A589" s="34"/>
      <c r="B589" s="7"/>
      <c r="C589" s="19"/>
      <c r="D589" s="7"/>
      <c r="E589" s="7"/>
      <c r="F589" s="7"/>
      <c r="G589" s="7"/>
      <c r="H589" s="6"/>
      <c r="I589" s="7"/>
      <c r="J589" s="7"/>
      <c r="K589" s="7"/>
      <c r="L589" s="7"/>
      <c r="M589" s="52"/>
      <c r="N589" s="7"/>
      <c r="O589" s="7"/>
      <c r="P589" s="47"/>
      <c r="Q589" s="47"/>
      <c r="R589" s="7"/>
      <c r="S589" s="51"/>
      <c r="T589" s="51"/>
      <c r="U589" s="7"/>
      <c r="V589" s="57"/>
      <c r="W589" s="57"/>
      <c r="X589" s="57"/>
    </row>
    <row r="590" spans="1:24" ht="12.5" x14ac:dyDescent="0.25">
      <c r="A590" s="34"/>
      <c r="B590" s="7"/>
      <c r="C590" s="19"/>
      <c r="D590" s="7"/>
      <c r="E590" s="7"/>
      <c r="F590" s="7"/>
      <c r="G590" s="7"/>
      <c r="H590" s="6"/>
      <c r="I590" s="7"/>
      <c r="J590" s="7"/>
      <c r="K590" s="7"/>
      <c r="L590" s="7"/>
      <c r="M590" s="52"/>
      <c r="N590" s="7"/>
      <c r="O590" s="7"/>
      <c r="P590" s="47"/>
      <c r="Q590" s="47"/>
      <c r="R590" s="7"/>
      <c r="S590" s="51"/>
      <c r="T590" s="51"/>
      <c r="U590" s="7"/>
      <c r="V590" s="57"/>
      <c r="W590" s="57"/>
      <c r="X590" s="57"/>
    </row>
    <row r="591" spans="1:24" ht="12.5" x14ac:dyDescent="0.25">
      <c r="A591" s="34"/>
      <c r="B591" s="7"/>
      <c r="C591" s="19"/>
      <c r="D591" s="7"/>
      <c r="E591" s="7"/>
      <c r="F591" s="7"/>
      <c r="G591" s="7"/>
      <c r="H591" s="6"/>
      <c r="I591" s="7"/>
      <c r="J591" s="7"/>
      <c r="K591" s="7"/>
      <c r="L591" s="7"/>
      <c r="M591" s="52"/>
      <c r="N591" s="7"/>
      <c r="O591" s="7"/>
      <c r="P591" s="47"/>
      <c r="Q591" s="47"/>
      <c r="R591" s="7"/>
      <c r="S591" s="51"/>
      <c r="T591" s="51"/>
      <c r="U591" s="7"/>
      <c r="V591" s="57"/>
      <c r="W591" s="57"/>
      <c r="X591" s="57"/>
    </row>
    <row r="592" spans="1:24" ht="12.5" x14ac:dyDescent="0.25">
      <c r="A592" s="34"/>
      <c r="B592" s="7"/>
      <c r="C592" s="19"/>
      <c r="D592" s="7"/>
      <c r="E592" s="7"/>
      <c r="F592" s="7"/>
      <c r="G592" s="7"/>
      <c r="H592" s="6"/>
      <c r="I592" s="7"/>
      <c r="J592" s="7"/>
      <c r="K592" s="7"/>
      <c r="L592" s="7"/>
      <c r="M592" s="52"/>
      <c r="N592" s="7"/>
      <c r="O592" s="7"/>
      <c r="P592" s="47"/>
      <c r="Q592" s="47"/>
      <c r="R592" s="7"/>
      <c r="S592" s="51"/>
      <c r="T592" s="51"/>
      <c r="U592" s="7"/>
      <c r="V592" s="57"/>
      <c r="W592" s="57"/>
      <c r="X592" s="57"/>
    </row>
    <row r="593" spans="1:24" ht="12.5" x14ac:dyDescent="0.25">
      <c r="A593" s="34"/>
      <c r="B593" s="7"/>
      <c r="C593" s="19"/>
      <c r="D593" s="7"/>
      <c r="E593" s="7"/>
      <c r="F593" s="7"/>
      <c r="G593" s="7"/>
      <c r="H593" s="6"/>
      <c r="I593" s="7"/>
      <c r="J593" s="7"/>
      <c r="K593" s="7"/>
      <c r="L593" s="7"/>
      <c r="M593" s="52"/>
      <c r="N593" s="7"/>
      <c r="O593" s="7"/>
      <c r="P593" s="47"/>
      <c r="Q593" s="47"/>
      <c r="R593" s="7"/>
      <c r="S593" s="51"/>
      <c r="T593" s="51"/>
      <c r="U593" s="7"/>
      <c r="V593" s="57"/>
      <c r="W593" s="57"/>
      <c r="X593" s="57"/>
    </row>
    <row r="594" spans="1:24" ht="12.5" x14ac:dyDescent="0.25">
      <c r="A594" s="34"/>
      <c r="B594" s="7"/>
      <c r="C594" s="19"/>
      <c r="D594" s="7"/>
      <c r="E594" s="7"/>
      <c r="F594" s="7"/>
      <c r="G594" s="7"/>
      <c r="H594" s="6"/>
      <c r="I594" s="7"/>
      <c r="J594" s="7"/>
      <c r="K594" s="7"/>
      <c r="L594" s="7"/>
      <c r="M594" s="52"/>
      <c r="N594" s="7"/>
      <c r="O594" s="7"/>
      <c r="P594" s="47"/>
      <c r="Q594" s="47"/>
      <c r="R594" s="7"/>
      <c r="S594" s="51"/>
      <c r="T594" s="51"/>
      <c r="U594" s="7"/>
      <c r="V594" s="57"/>
      <c r="W594" s="57"/>
      <c r="X594" s="57"/>
    </row>
    <row r="595" spans="1:24" ht="12.5" x14ac:dyDescent="0.25">
      <c r="A595" s="34"/>
      <c r="B595" s="7"/>
      <c r="C595" s="19"/>
      <c r="D595" s="7"/>
      <c r="E595" s="7"/>
      <c r="F595" s="7"/>
      <c r="G595" s="7"/>
      <c r="H595" s="6"/>
      <c r="I595" s="7"/>
      <c r="J595" s="7"/>
      <c r="K595" s="7"/>
      <c r="L595" s="7"/>
      <c r="M595" s="52"/>
      <c r="N595" s="7"/>
      <c r="O595" s="7"/>
      <c r="P595" s="47"/>
      <c r="Q595" s="47"/>
      <c r="R595" s="7"/>
      <c r="S595" s="51"/>
      <c r="T595" s="51"/>
      <c r="U595" s="7"/>
      <c r="V595" s="57"/>
      <c r="W595" s="57"/>
      <c r="X595" s="57"/>
    </row>
    <row r="596" spans="1:24" ht="12.5" x14ac:dyDescent="0.25">
      <c r="A596" s="34"/>
      <c r="B596" s="7"/>
      <c r="C596" s="19"/>
      <c r="D596" s="7"/>
      <c r="E596" s="7"/>
      <c r="F596" s="7"/>
      <c r="G596" s="7"/>
      <c r="H596" s="6"/>
      <c r="I596" s="7"/>
      <c r="J596" s="7"/>
      <c r="K596" s="7"/>
      <c r="L596" s="7"/>
      <c r="M596" s="52"/>
      <c r="N596" s="7"/>
      <c r="O596" s="7"/>
      <c r="P596" s="47"/>
      <c r="Q596" s="47"/>
      <c r="R596" s="7"/>
      <c r="S596" s="51"/>
      <c r="T596" s="51"/>
      <c r="U596" s="7"/>
      <c r="V596" s="57"/>
      <c r="W596" s="57"/>
      <c r="X596" s="57"/>
    </row>
    <row r="597" spans="1:24" ht="12.5" x14ac:dyDescent="0.25">
      <c r="A597" s="34"/>
      <c r="B597" s="7"/>
      <c r="C597" s="19"/>
      <c r="D597" s="7"/>
      <c r="E597" s="7"/>
      <c r="F597" s="7"/>
      <c r="G597" s="7"/>
      <c r="H597" s="6"/>
      <c r="I597" s="7"/>
      <c r="J597" s="7"/>
      <c r="K597" s="7"/>
      <c r="L597" s="7"/>
      <c r="M597" s="52"/>
      <c r="N597" s="7"/>
      <c r="O597" s="7"/>
      <c r="P597" s="47"/>
      <c r="Q597" s="47"/>
      <c r="R597" s="7"/>
      <c r="S597" s="51"/>
      <c r="T597" s="51"/>
      <c r="U597" s="7"/>
      <c r="V597" s="57"/>
      <c r="W597" s="57"/>
      <c r="X597" s="57"/>
    </row>
    <row r="598" spans="1:24" ht="12.5" x14ac:dyDescent="0.25">
      <c r="A598" s="34"/>
      <c r="B598" s="7"/>
      <c r="C598" s="19"/>
      <c r="D598" s="7"/>
      <c r="E598" s="7"/>
      <c r="F598" s="7"/>
      <c r="G598" s="7"/>
      <c r="H598" s="6"/>
      <c r="I598" s="7"/>
      <c r="J598" s="7"/>
      <c r="K598" s="7"/>
      <c r="L598" s="7"/>
      <c r="M598" s="52"/>
      <c r="N598" s="7"/>
      <c r="O598" s="7"/>
      <c r="P598" s="47"/>
      <c r="Q598" s="47"/>
      <c r="R598" s="7"/>
      <c r="S598" s="51"/>
      <c r="T598" s="51"/>
      <c r="U598" s="7"/>
      <c r="V598" s="57"/>
      <c r="W598" s="57"/>
      <c r="X598" s="57"/>
    </row>
    <row r="599" spans="1:24" ht="12.5" x14ac:dyDescent="0.25">
      <c r="A599" s="34"/>
      <c r="B599" s="7"/>
      <c r="C599" s="19"/>
      <c r="D599" s="7"/>
      <c r="E599" s="7"/>
      <c r="F599" s="7"/>
      <c r="G599" s="7"/>
      <c r="H599" s="6"/>
      <c r="I599" s="7"/>
      <c r="J599" s="7"/>
      <c r="K599" s="7"/>
      <c r="L599" s="7"/>
      <c r="M599" s="52"/>
      <c r="N599" s="7"/>
      <c r="O599" s="7"/>
      <c r="P599" s="47"/>
      <c r="Q599" s="47"/>
      <c r="R599" s="7"/>
      <c r="S599" s="51"/>
      <c r="T599" s="51"/>
      <c r="U599" s="7"/>
      <c r="V599" s="57"/>
      <c r="W599" s="57"/>
      <c r="X599" s="57"/>
    </row>
    <row r="600" spans="1:24" ht="12.5" x14ac:dyDescent="0.25">
      <c r="A600" s="34"/>
      <c r="B600" s="7"/>
      <c r="C600" s="19"/>
      <c r="D600" s="7"/>
      <c r="E600" s="7"/>
      <c r="F600" s="7"/>
      <c r="G600" s="7"/>
      <c r="H600" s="6"/>
      <c r="I600" s="7"/>
      <c r="J600" s="7"/>
      <c r="K600" s="7"/>
      <c r="L600" s="7"/>
      <c r="M600" s="52"/>
      <c r="N600" s="7"/>
      <c r="O600" s="7"/>
      <c r="P600" s="47"/>
      <c r="Q600" s="47"/>
      <c r="R600" s="7"/>
      <c r="S600" s="51"/>
      <c r="T600" s="51"/>
      <c r="U600" s="7"/>
      <c r="V600" s="57"/>
      <c r="W600" s="57"/>
      <c r="X600" s="57"/>
    </row>
    <row r="601" spans="1:24" ht="12.5" x14ac:dyDescent="0.25">
      <c r="A601" s="34"/>
      <c r="B601" s="7"/>
      <c r="C601" s="19"/>
      <c r="D601" s="7"/>
      <c r="E601" s="7"/>
      <c r="F601" s="7"/>
      <c r="G601" s="7"/>
      <c r="H601" s="6"/>
      <c r="I601" s="7"/>
      <c r="J601" s="7"/>
      <c r="K601" s="7"/>
      <c r="L601" s="7"/>
      <c r="M601" s="52"/>
      <c r="N601" s="7"/>
      <c r="O601" s="7"/>
      <c r="P601" s="47"/>
      <c r="Q601" s="47"/>
      <c r="R601" s="7"/>
      <c r="S601" s="51"/>
      <c r="T601" s="51"/>
      <c r="U601" s="7"/>
      <c r="V601" s="57"/>
      <c r="W601" s="57"/>
      <c r="X601" s="57"/>
    </row>
    <row r="602" spans="1:24" ht="12.5" x14ac:dyDescent="0.25">
      <c r="A602" s="34"/>
      <c r="B602" s="7"/>
      <c r="C602" s="19"/>
      <c r="D602" s="7"/>
      <c r="E602" s="7"/>
      <c r="F602" s="7"/>
      <c r="G602" s="7"/>
      <c r="H602" s="6"/>
      <c r="I602" s="7"/>
      <c r="J602" s="7"/>
      <c r="K602" s="7"/>
      <c r="L602" s="7"/>
      <c r="M602" s="52"/>
      <c r="N602" s="7"/>
      <c r="O602" s="7"/>
      <c r="P602" s="47"/>
      <c r="Q602" s="47"/>
      <c r="R602" s="7"/>
      <c r="S602" s="51"/>
      <c r="T602" s="51"/>
      <c r="U602" s="7"/>
      <c r="V602" s="57"/>
      <c r="W602" s="57"/>
      <c r="X602" s="57"/>
    </row>
    <row r="603" spans="1:24" ht="12.5" x14ac:dyDescent="0.25">
      <c r="A603" s="34"/>
      <c r="B603" s="7"/>
      <c r="C603" s="19"/>
      <c r="D603" s="7"/>
      <c r="E603" s="7"/>
      <c r="F603" s="7"/>
      <c r="G603" s="7"/>
      <c r="H603" s="6"/>
      <c r="I603" s="7"/>
      <c r="J603" s="7"/>
      <c r="K603" s="7"/>
      <c r="L603" s="7"/>
      <c r="M603" s="52"/>
      <c r="N603" s="7"/>
      <c r="O603" s="7"/>
      <c r="P603" s="47"/>
      <c r="Q603" s="47"/>
      <c r="R603" s="7"/>
      <c r="S603" s="51"/>
      <c r="T603" s="51"/>
      <c r="U603" s="7"/>
      <c r="V603" s="57"/>
      <c r="W603" s="57"/>
      <c r="X603" s="57"/>
    </row>
    <row r="604" spans="1:24" ht="12.5" x14ac:dyDescent="0.25">
      <c r="A604" s="34"/>
      <c r="B604" s="7"/>
      <c r="C604" s="19"/>
      <c r="D604" s="7"/>
      <c r="E604" s="7"/>
      <c r="F604" s="7"/>
      <c r="G604" s="7"/>
      <c r="H604" s="6"/>
      <c r="I604" s="7"/>
      <c r="J604" s="7"/>
      <c r="K604" s="7"/>
      <c r="L604" s="7"/>
      <c r="M604" s="52"/>
      <c r="N604" s="7"/>
      <c r="O604" s="7"/>
      <c r="P604" s="47"/>
      <c r="Q604" s="47"/>
      <c r="R604" s="7"/>
      <c r="S604" s="51"/>
      <c r="T604" s="51"/>
      <c r="U604" s="7"/>
      <c r="V604" s="57"/>
      <c r="W604" s="57"/>
      <c r="X604" s="57"/>
    </row>
    <row r="605" spans="1:24" ht="12.5" x14ac:dyDescent="0.25">
      <c r="A605" s="34"/>
      <c r="B605" s="7"/>
      <c r="C605" s="19"/>
      <c r="D605" s="7"/>
      <c r="E605" s="7"/>
      <c r="F605" s="7"/>
      <c r="G605" s="7"/>
      <c r="H605" s="6"/>
      <c r="I605" s="7"/>
      <c r="J605" s="7"/>
      <c r="K605" s="7"/>
      <c r="L605" s="7"/>
      <c r="M605" s="52"/>
      <c r="N605" s="7"/>
      <c r="O605" s="7"/>
      <c r="P605" s="47"/>
      <c r="Q605" s="47"/>
      <c r="R605" s="7"/>
      <c r="S605" s="51"/>
      <c r="T605" s="51"/>
      <c r="U605" s="7"/>
      <c r="V605" s="57"/>
      <c r="W605" s="57"/>
      <c r="X605" s="57"/>
    </row>
    <row r="606" spans="1:24" ht="12.5" x14ac:dyDescent="0.25">
      <c r="A606" s="34"/>
      <c r="B606" s="7"/>
      <c r="C606" s="19"/>
      <c r="D606" s="7"/>
      <c r="E606" s="7"/>
      <c r="F606" s="7"/>
      <c r="G606" s="7"/>
      <c r="H606" s="6"/>
      <c r="I606" s="7"/>
      <c r="J606" s="7"/>
      <c r="K606" s="7"/>
      <c r="L606" s="7"/>
      <c r="M606" s="52"/>
      <c r="N606" s="7"/>
      <c r="O606" s="7"/>
      <c r="P606" s="47"/>
      <c r="Q606" s="47"/>
      <c r="R606" s="7"/>
      <c r="S606" s="51"/>
      <c r="T606" s="51"/>
      <c r="U606" s="7"/>
      <c r="V606" s="57"/>
      <c r="W606" s="57"/>
      <c r="X606" s="57"/>
    </row>
    <row r="607" spans="1:24" ht="12.5" x14ac:dyDescent="0.25">
      <c r="A607" s="34"/>
      <c r="B607" s="7"/>
      <c r="C607" s="19"/>
      <c r="D607" s="7"/>
      <c r="E607" s="7"/>
      <c r="F607" s="7"/>
      <c r="G607" s="7"/>
      <c r="H607" s="6"/>
      <c r="I607" s="7"/>
      <c r="J607" s="7"/>
      <c r="K607" s="7"/>
      <c r="L607" s="7"/>
      <c r="M607" s="52"/>
      <c r="N607" s="7"/>
      <c r="O607" s="7"/>
      <c r="P607" s="47"/>
      <c r="Q607" s="47"/>
      <c r="R607" s="7"/>
      <c r="S607" s="51"/>
      <c r="T607" s="51"/>
      <c r="U607" s="7"/>
      <c r="V607" s="57"/>
      <c r="W607" s="57"/>
      <c r="X607" s="57"/>
    </row>
    <row r="608" spans="1:24" ht="12.5" x14ac:dyDescent="0.25">
      <c r="A608" s="34"/>
      <c r="B608" s="7"/>
      <c r="C608" s="19"/>
      <c r="D608" s="7"/>
      <c r="E608" s="7"/>
      <c r="F608" s="7"/>
      <c r="G608" s="7"/>
      <c r="H608" s="6"/>
      <c r="I608" s="7"/>
      <c r="J608" s="7"/>
      <c r="K608" s="7"/>
      <c r="L608" s="7"/>
      <c r="M608" s="52"/>
      <c r="N608" s="7"/>
      <c r="O608" s="7"/>
      <c r="P608" s="47"/>
      <c r="Q608" s="47"/>
      <c r="R608" s="7"/>
      <c r="S608" s="51"/>
      <c r="T608" s="51"/>
      <c r="U608" s="7"/>
      <c r="V608" s="57"/>
      <c r="W608" s="57"/>
      <c r="X608" s="57"/>
    </row>
    <row r="609" spans="1:24" ht="12.5" x14ac:dyDescent="0.25">
      <c r="A609" s="34"/>
      <c r="B609" s="7"/>
      <c r="C609" s="19"/>
      <c r="D609" s="7"/>
      <c r="E609" s="7"/>
      <c r="F609" s="7"/>
      <c r="G609" s="7"/>
      <c r="H609" s="6"/>
      <c r="I609" s="7"/>
      <c r="J609" s="7"/>
      <c r="K609" s="7"/>
      <c r="L609" s="7"/>
      <c r="M609" s="52"/>
      <c r="N609" s="7"/>
      <c r="O609" s="7"/>
      <c r="P609" s="47"/>
      <c r="Q609" s="47"/>
      <c r="R609" s="7"/>
      <c r="S609" s="51"/>
      <c r="T609" s="51"/>
      <c r="U609" s="7"/>
      <c r="V609" s="57"/>
      <c r="W609" s="57"/>
      <c r="X609" s="57"/>
    </row>
    <row r="610" spans="1:24" ht="12.5" x14ac:dyDescent="0.25">
      <c r="A610" s="34"/>
      <c r="B610" s="7"/>
      <c r="C610" s="19"/>
      <c r="D610" s="7"/>
      <c r="E610" s="7"/>
      <c r="F610" s="7"/>
      <c r="G610" s="7"/>
      <c r="H610" s="6"/>
      <c r="I610" s="7"/>
      <c r="J610" s="7"/>
      <c r="K610" s="7"/>
      <c r="L610" s="7"/>
      <c r="M610" s="52"/>
      <c r="N610" s="7"/>
      <c r="O610" s="7"/>
      <c r="P610" s="47"/>
      <c r="Q610" s="47"/>
      <c r="R610" s="7"/>
      <c r="S610" s="51"/>
      <c r="T610" s="51"/>
      <c r="U610" s="7"/>
      <c r="V610" s="57"/>
      <c r="W610" s="57"/>
      <c r="X610" s="57"/>
    </row>
    <row r="611" spans="1:24" ht="12.5" x14ac:dyDescent="0.25">
      <c r="A611" s="34"/>
      <c r="B611" s="7"/>
      <c r="C611" s="19"/>
      <c r="D611" s="7"/>
      <c r="E611" s="7"/>
      <c r="F611" s="7"/>
      <c r="G611" s="7"/>
      <c r="H611" s="6"/>
      <c r="I611" s="7"/>
      <c r="J611" s="7"/>
      <c r="K611" s="7"/>
      <c r="L611" s="7"/>
      <c r="M611" s="52"/>
      <c r="N611" s="7"/>
      <c r="O611" s="7"/>
      <c r="P611" s="47"/>
      <c r="Q611" s="47"/>
      <c r="R611" s="7"/>
      <c r="S611" s="51"/>
      <c r="T611" s="51"/>
      <c r="U611" s="7"/>
      <c r="V611" s="57"/>
      <c r="W611" s="57"/>
      <c r="X611" s="57"/>
    </row>
    <row r="612" spans="1:24" ht="12.5" x14ac:dyDescent="0.25">
      <c r="A612" s="34"/>
      <c r="B612" s="7"/>
      <c r="C612" s="19"/>
      <c r="D612" s="7"/>
      <c r="E612" s="7"/>
      <c r="F612" s="7"/>
      <c r="G612" s="7"/>
      <c r="H612" s="6"/>
      <c r="I612" s="7"/>
      <c r="J612" s="7"/>
      <c r="K612" s="7"/>
      <c r="L612" s="7"/>
      <c r="M612" s="52"/>
      <c r="N612" s="7"/>
      <c r="O612" s="7"/>
      <c r="P612" s="47"/>
      <c r="Q612" s="47"/>
      <c r="R612" s="7"/>
      <c r="S612" s="51"/>
      <c r="T612" s="51"/>
      <c r="U612" s="7"/>
      <c r="V612" s="57"/>
      <c r="W612" s="57"/>
      <c r="X612" s="57"/>
    </row>
    <row r="613" spans="1:24" ht="12.5" x14ac:dyDescent="0.25">
      <c r="A613" s="34"/>
      <c r="B613" s="7"/>
      <c r="C613" s="19"/>
      <c r="D613" s="7"/>
      <c r="E613" s="7"/>
      <c r="F613" s="7"/>
      <c r="G613" s="7"/>
      <c r="H613" s="6"/>
      <c r="I613" s="7"/>
      <c r="J613" s="7"/>
      <c r="K613" s="7"/>
      <c r="L613" s="7"/>
      <c r="M613" s="52"/>
      <c r="N613" s="7"/>
      <c r="O613" s="7"/>
      <c r="P613" s="47"/>
      <c r="Q613" s="47"/>
      <c r="R613" s="7"/>
      <c r="S613" s="51"/>
      <c r="T613" s="51"/>
      <c r="U613" s="7"/>
      <c r="V613" s="57"/>
      <c r="W613" s="57"/>
      <c r="X613" s="57"/>
    </row>
    <row r="614" spans="1:24" ht="12.5" x14ac:dyDescent="0.25">
      <c r="A614" s="34"/>
      <c r="B614" s="7"/>
      <c r="C614" s="19"/>
      <c r="D614" s="7"/>
      <c r="E614" s="7"/>
      <c r="F614" s="7"/>
      <c r="G614" s="7"/>
      <c r="H614" s="6"/>
      <c r="I614" s="7"/>
      <c r="J614" s="7"/>
      <c r="K614" s="7"/>
      <c r="L614" s="7"/>
      <c r="M614" s="52"/>
      <c r="N614" s="7"/>
      <c r="O614" s="7"/>
      <c r="P614" s="47"/>
      <c r="Q614" s="47"/>
      <c r="R614" s="7"/>
      <c r="S614" s="51"/>
      <c r="T614" s="51"/>
      <c r="U614" s="7"/>
      <c r="V614" s="57"/>
      <c r="W614" s="57"/>
      <c r="X614" s="57"/>
    </row>
    <row r="615" spans="1:24" ht="12.5" x14ac:dyDescent="0.25">
      <c r="A615" s="34"/>
      <c r="B615" s="7"/>
      <c r="C615" s="19"/>
      <c r="D615" s="7"/>
      <c r="E615" s="7"/>
      <c r="F615" s="7"/>
      <c r="G615" s="7"/>
      <c r="H615" s="6"/>
      <c r="I615" s="7"/>
      <c r="J615" s="7"/>
      <c r="K615" s="7"/>
      <c r="L615" s="7"/>
      <c r="M615" s="52"/>
      <c r="N615" s="7"/>
      <c r="O615" s="7"/>
      <c r="P615" s="47"/>
      <c r="Q615" s="47"/>
      <c r="R615" s="7"/>
      <c r="S615" s="51"/>
      <c r="T615" s="51"/>
      <c r="U615" s="7"/>
      <c r="V615" s="57"/>
      <c r="W615" s="57"/>
      <c r="X615" s="57"/>
    </row>
    <row r="616" spans="1:24" ht="12.5" x14ac:dyDescent="0.25">
      <c r="A616" s="34"/>
      <c r="B616" s="7"/>
      <c r="C616" s="19"/>
      <c r="D616" s="7"/>
      <c r="E616" s="7"/>
      <c r="F616" s="7"/>
      <c r="G616" s="7"/>
      <c r="H616" s="6"/>
      <c r="I616" s="7"/>
      <c r="J616" s="7"/>
      <c r="K616" s="7"/>
      <c r="L616" s="7"/>
      <c r="M616" s="52"/>
      <c r="N616" s="7"/>
      <c r="O616" s="7"/>
      <c r="P616" s="47"/>
      <c r="Q616" s="47"/>
      <c r="R616" s="7"/>
      <c r="S616" s="51"/>
      <c r="T616" s="51"/>
      <c r="U616" s="7"/>
      <c r="V616" s="57"/>
      <c r="W616" s="57"/>
      <c r="X616" s="57"/>
    </row>
    <row r="617" spans="1:24" ht="12.5" x14ac:dyDescent="0.25">
      <c r="A617" s="34"/>
      <c r="B617" s="7"/>
      <c r="C617" s="19"/>
      <c r="D617" s="7"/>
      <c r="E617" s="7"/>
      <c r="F617" s="7"/>
      <c r="G617" s="7"/>
      <c r="H617" s="6"/>
      <c r="I617" s="7"/>
      <c r="J617" s="7"/>
      <c r="K617" s="7"/>
      <c r="L617" s="7"/>
      <c r="M617" s="52"/>
      <c r="N617" s="7"/>
      <c r="O617" s="7"/>
      <c r="P617" s="47"/>
      <c r="Q617" s="47"/>
      <c r="R617" s="7"/>
      <c r="S617" s="51"/>
      <c r="T617" s="51"/>
      <c r="U617" s="7"/>
      <c r="V617" s="57"/>
      <c r="W617" s="57"/>
      <c r="X617" s="57"/>
    </row>
    <row r="618" spans="1:24" ht="12.5" x14ac:dyDescent="0.25">
      <c r="A618" s="34"/>
      <c r="B618" s="7"/>
      <c r="C618" s="19"/>
      <c r="D618" s="7"/>
      <c r="E618" s="7"/>
      <c r="F618" s="7"/>
      <c r="G618" s="7"/>
      <c r="H618" s="6"/>
      <c r="I618" s="7"/>
      <c r="J618" s="7"/>
      <c r="K618" s="7"/>
      <c r="L618" s="7"/>
      <c r="M618" s="52"/>
      <c r="N618" s="7"/>
      <c r="O618" s="7"/>
      <c r="P618" s="47"/>
      <c r="Q618" s="47"/>
      <c r="R618" s="7"/>
      <c r="S618" s="51"/>
      <c r="T618" s="51"/>
      <c r="U618" s="7"/>
      <c r="V618" s="57"/>
      <c r="W618" s="57"/>
      <c r="X618" s="57"/>
    </row>
    <row r="619" spans="1:24" ht="12.5" x14ac:dyDescent="0.25">
      <c r="A619" s="34"/>
      <c r="B619" s="7"/>
      <c r="C619" s="19"/>
      <c r="D619" s="7"/>
      <c r="E619" s="7"/>
      <c r="F619" s="7"/>
      <c r="G619" s="7"/>
      <c r="H619" s="6"/>
      <c r="I619" s="7"/>
      <c r="J619" s="7"/>
      <c r="K619" s="7"/>
      <c r="L619" s="7"/>
      <c r="M619" s="52"/>
      <c r="N619" s="7"/>
      <c r="O619" s="7"/>
      <c r="P619" s="47"/>
      <c r="Q619" s="47"/>
      <c r="R619" s="7"/>
      <c r="S619" s="51"/>
      <c r="T619" s="51"/>
      <c r="U619" s="7"/>
      <c r="V619" s="57"/>
      <c r="W619" s="57"/>
      <c r="X619" s="57"/>
    </row>
    <row r="620" spans="1:24" ht="12.5" x14ac:dyDescent="0.25">
      <c r="A620" s="34"/>
      <c r="B620" s="7"/>
      <c r="C620" s="19"/>
      <c r="D620" s="7"/>
      <c r="E620" s="7"/>
      <c r="F620" s="7"/>
      <c r="G620" s="7"/>
      <c r="H620" s="6"/>
      <c r="I620" s="7"/>
      <c r="J620" s="7"/>
      <c r="K620" s="7"/>
      <c r="L620" s="7"/>
      <c r="M620" s="52"/>
      <c r="N620" s="7"/>
      <c r="O620" s="7"/>
      <c r="P620" s="47"/>
      <c r="Q620" s="47"/>
      <c r="R620" s="7"/>
      <c r="S620" s="51"/>
      <c r="T620" s="51"/>
      <c r="U620" s="7"/>
      <c r="V620" s="57"/>
      <c r="W620" s="57"/>
      <c r="X620" s="57"/>
    </row>
    <row r="621" spans="1:24" ht="12.5" x14ac:dyDescent="0.25">
      <c r="A621" s="34"/>
      <c r="B621" s="7"/>
      <c r="C621" s="19"/>
      <c r="D621" s="7"/>
      <c r="E621" s="7"/>
      <c r="F621" s="7"/>
      <c r="G621" s="7"/>
      <c r="H621" s="6"/>
      <c r="I621" s="7"/>
      <c r="J621" s="7"/>
      <c r="K621" s="7"/>
      <c r="L621" s="7"/>
      <c r="M621" s="52"/>
      <c r="N621" s="7"/>
      <c r="O621" s="7"/>
      <c r="P621" s="47"/>
      <c r="Q621" s="47"/>
      <c r="R621" s="7"/>
      <c r="S621" s="51"/>
      <c r="T621" s="51"/>
      <c r="U621" s="7"/>
      <c r="V621" s="57"/>
      <c r="W621" s="57"/>
      <c r="X621" s="57"/>
    </row>
    <row r="622" spans="1:24" ht="12.5" x14ac:dyDescent="0.25">
      <c r="A622" s="34"/>
      <c r="B622" s="7"/>
      <c r="C622" s="19"/>
      <c r="D622" s="7"/>
      <c r="E622" s="7"/>
      <c r="F622" s="7"/>
      <c r="G622" s="7"/>
      <c r="H622" s="6"/>
      <c r="I622" s="7"/>
      <c r="J622" s="7"/>
      <c r="K622" s="7"/>
      <c r="L622" s="7"/>
      <c r="M622" s="52"/>
      <c r="N622" s="7"/>
      <c r="O622" s="7"/>
      <c r="P622" s="47"/>
      <c r="Q622" s="47"/>
      <c r="R622" s="7"/>
      <c r="S622" s="51"/>
      <c r="T622" s="51"/>
      <c r="U622" s="7"/>
      <c r="V622" s="57"/>
      <c r="W622" s="57"/>
      <c r="X622" s="57"/>
    </row>
    <row r="623" spans="1:24" ht="12.5" x14ac:dyDescent="0.25">
      <c r="A623" s="34"/>
      <c r="B623" s="7"/>
      <c r="C623" s="19"/>
      <c r="D623" s="7"/>
      <c r="E623" s="7"/>
      <c r="F623" s="7"/>
      <c r="G623" s="7"/>
      <c r="H623" s="6"/>
      <c r="I623" s="7"/>
      <c r="J623" s="7"/>
      <c r="K623" s="7"/>
      <c r="L623" s="7"/>
      <c r="M623" s="52"/>
      <c r="N623" s="7"/>
      <c r="O623" s="7"/>
      <c r="P623" s="47"/>
      <c r="Q623" s="47"/>
      <c r="R623" s="7"/>
      <c r="S623" s="51"/>
      <c r="T623" s="51"/>
      <c r="U623" s="7"/>
      <c r="V623" s="57"/>
      <c r="W623" s="57"/>
      <c r="X623" s="57"/>
    </row>
    <row r="624" spans="1:24" ht="12.5" x14ac:dyDescent="0.25">
      <c r="A624" s="34"/>
      <c r="B624" s="7"/>
      <c r="C624" s="19"/>
      <c r="D624" s="7"/>
      <c r="E624" s="7"/>
      <c r="F624" s="7"/>
      <c r="G624" s="7"/>
      <c r="H624" s="6"/>
      <c r="I624" s="7"/>
      <c r="J624" s="7"/>
      <c r="K624" s="7"/>
      <c r="L624" s="7"/>
      <c r="M624" s="52"/>
      <c r="N624" s="7"/>
      <c r="O624" s="7"/>
      <c r="P624" s="47"/>
      <c r="Q624" s="47"/>
      <c r="R624" s="7"/>
      <c r="S624" s="51"/>
      <c r="T624" s="51"/>
      <c r="U624" s="7"/>
      <c r="V624" s="57"/>
      <c r="W624" s="57"/>
      <c r="X624" s="57"/>
    </row>
    <row r="625" spans="1:24" ht="12.5" x14ac:dyDescent="0.25">
      <c r="A625" s="34"/>
      <c r="B625" s="7"/>
      <c r="C625" s="19"/>
      <c r="D625" s="7"/>
      <c r="E625" s="7"/>
      <c r="F625" s="7"/>
      <c r="G625" s="7"/>
      <c r="H625" s="6"/>
      <c r="I625" s="7"/>
      <c r="J625" s="7"/>
      <c r="K625" s="7"/>
      <c r="L625" s="7"/>
      <c r="M625" s="52"/>
      <c r="N625" s="7"/>
      <c r="O625" s="7"/>
      <c r="P625" s="47"/>
      <c r="Q625" s="47"/>
      <c r="R625" s="7"/>
      <c r="S625" s="51"/>
      <c r="T625" s="51"/>
      <c r="U625" s="7"/>
      <c r="V625" s="57"/>
      <c r="W625" s="57"/>
      <c r="X625" s="57"/>
    </row>
    <row r="626" spans="1:24" ht="12.5" x14ac:dyDescent="0.25">
      <c r="A626" s="34"/>
      <c r="B626" s="7"/>
      <c r="C626" s="19"/>
      <c r="D626" s="7"/>
      <c r="E626" s="7"/>
      <c r="F626" s="7"/>
      <c r="G626" s="7"/>
      <c r="H626" s="6"/>
      <c r="I626" s="7"/>
      <c r="J626" s="7"/>
      <c r="K626" s="7"/>
      <c r="L626" s="7"/>
      <c r="M626" s="52"/>
      <c r="N626" s="7"/>
      <c r="O626" s="7"/>
      <c r="P626" s="47"/>
      <c r="Q626" s="47"/>
      <c r="R626" s="7"/>
      <c r="S626" s="51"/>
      <c r="T626" s="51"/>
      <c r="U626" s="7"/>
      <c r="V626" s="57"/>
      <c r="W626" s="57"/>
      <c r="X626" s="57"/>
    </row>
    <row r="627" spans="1:24" ht="12.5" x14ac:dyDescent="0.25">
      <c r="A627" s="34"/>
      <c r="B627" s="7"/>
      <c r="C627" s="19"/>
      <c r="D627" s="7"/>
      <c r="E627" s="7"/>
      <c r="F627" s="7"/>
      <c r="G627" s="7"/>
      <c r="H627" s="6"/>
      <c r="I627" s="7"/>
      <c r="J627" s="7"/>
      <c r="K627" s="7"/>
      <c r="L627" s="7"/>
      <c r="M627" s="52"/>
      <c r="N627" s="7"/>
      <c r="O627" s="7"/>
      <c r="P627" s="47"/>
      <c r="Q627" s="47"/>
      <c r="R627" s="7"/>
      <c r="S627" s="51"/>
      <c r="T627" s="51"/>
      <c r="U627" s="7"/>
      <c r="V627" s="57"/>
      <c r="W627" s="57"/>
      <c r="X627" s="57"/>
    </row>
    <row r="628" spans="1:24" ht="12.5" x14ac:dyDescent="0.25">
      <c r="A628" s="34"/>
      <c r="B628" s="7"/>
      <c r="C628" s="19"/>
      <c r="D628" s="7"/>
      <c r="E628" s="7"/>
      <c r="F628" s="7"/>
      <c r="G628" s="7"/>
      <c r="H628" s="6"/>
      <c r="I628" s="7"/>
      <c r="J628" s="7"/>
      <c r="K628" s="7"/>
      <c r="L628" s="7"/>
      <c r="M628" s="52"/>
      <c r="N628" s="7"/>
      <c r="O628" s="7"/>
      <c r="P628" s="47"/>
      <c r="Q628" s="47"/>
      <c r="R628" s="7"/>
      <c r="S628" s="51"/>
      <c r="T628" s="51"/>
      <c r="U628" s="7"/>
      <c r="V628" s="57"/>
      <c r="W628" s="57"/>
      <c r="X628" s="57"/>
    </row>
    <row r="629" spans="1:24" ht="12.5" x14ac:dyDescent="0.25">
      <c r="A629" s="34"/>
      <c r="B629" s="7"/>
      <c r="C629" s="19"/>
      <c r="D629" s="7"/>
      <c r="E629" s="7"/>
      <c r="F629" s="7"/>
      <c r="G629" s="7"/>
      <c r="H629" s="6"/>
      <c r="I629" s="7"/>
      <c r="J629" s="7"/>
      <c r="K629" s="7"/>
      <c r="L629" s="7"/>
      <c r="M629" s="52"/>
      <c r="N629" s="7"/>
      <c r="O629" s="7"/>
      <c r="P629" s="47"/>
      <c r="Q629" s="47"/>
      <c r="R629" s="7"/>
      <c r="S629" s="51"/>
      <c r="T629" s="51"/>
      <c r="U629" s="7"/>
      <c r="V629" s="57"/>
      <c r="W629" s="57"/>
      <c r="X629" s="57"/>
    </row>
    <row r="630" spans="1:24" ht="12.5" x14ac:dyDescent="0.25">
      <c r="A630" s="34"/>
      <c r="B630" s="7"/>
      <c r="C630" s="19"/>
      <c r="D630" s="7"/>
      <c r="E630" s="7"/>
      <c r="F630" s="7"/>
      <c r="G630" s="7"/>
      <c r="H630" s="6"/>
      <c r="I630" s="7"/>
      <c r="J630" s="7"/>
      <c r="K630" s="7"/>
      <c r="L630" s="7"/>
      <c r="M630" s="52"/>
      <c r="N630" s="7"/>
      <c r="O630" s="7"/>
      <c r="P630" s="47"/>
      <c r="Q630" s="47"/>
      <c r="R630" s="7"/>
      <c r="S630" s="51"/>
      <c r="T630" s="51"/>
      <c r="U630" s="7"/>
      <c r="V630" s="57"/>
      <c r="W630" s="57"/>
      <c r="X630" s="57"/>
    </row>
    <row r="631" spans="1:24" ht="12.5" x14ac:dyDescent="0.25">
      <c r="A631" s="34"/>
      <c r="B631" s="7"/>
      <c r="C631" s="19"/>
      <c r="D631" s="7"/>
      <c r="E631" s="7"/>
      <c r="F631" s="7"/>
      <c r="G631" s="7"/>
      <c r="H631" s="6"/>
      <c r="I631" s="7"/>
      <c r="J631" s="7"/>
      <c r="K631" s="7"/>
      <c r="L631" s="7"/>
      <c r="M631" s="52"/>
      <c r="N631" s="7"/>
      <c r="O631" s="7"/>
      <c r="P631" s="47"/>
      <c r="Q631" s="47"/>
      <c r="R631" s="7"/>
      <c r="S631" s="51"/>
      <c r="T631" s="51"/>
      <c r="U631" s="7"/>
      <c r="V631" s="57"/>
      <c r="W631" s="57"/>
      <c r="X631" s="57"/>
    </row>
    <row r="632" spans="1:24" ht="12.5" x14ac:dyDescent="0.25">
      <c r="A632" s="34"/>
      <c r="B632" s="7"/>
      <c r="C632" s="19"/>
      <c r="D632" s="7"/>
      <c r="E632" s="7"/>
      <c r="F632" s="7"/>
      <c r="G632" s="7"/>
      <c r="H632" s="6"/>
      <c r="I632" s="7"/>
      <c r="J632" s="7"/>
      <c r="K632" s="7"/>
      <c r="L632" s="7"/>
      <c r="M632" s="52"/>
      <c r="N632" s="7"/>
      <c r="O632" s="7"/>
      <c r="P632" s="47"/>
      <c r="Q632" s="47"/>
      <c r="R632" s="7"/>
      <c r="S632" s="51"/>
      <c r="T632" s="51"/>
      <c r="U632" s="7"/>
      <c r="V632" s="57"/>
      <c r="W632" s="57"/>
      <c r="X632" s="57"/>
    </row>
    <row r="633" spans="1:24" ht="12.5" x14ac:dyDescent="0.25">
      <c r="A633" s="34"/>
      <c r="B633" s="7"/>
      <c r="C633" s="19"/>
      <c r="D633" s="7"/>
      <c r="E633" s="7"/>
      <c r="F633" s="7"/>
      <c r="G633" s="7"/>
      <c r="H633" s="6"/>
      <c r="I633" s="7"/>
      <c r="J633" s="7"/>
      <c r="K633" s="7"/>
      <c r="L633" s="7"/>
      <c r="M633" s="52"/>
      <c r="N633" s="7"/>
      <c r="O633" s="7"/>
      <c r="P633" s="47"/>
      <c r="Q633" s="47"/>
      <c r="R633" s="7"/>
      <c r="S633" s="51"/>
      <c r="T633" s="51"/>
      <c r="U633" s="7"/>
      <c r="V633" s="57"/>
      <c r="W633" s="57"/>
      <c r="X633" s="57"/>
    </row>
    <row r="634" spans="1:24" ht="12.5" x14ac:dyDescent="0.25">
      <c r="A634" s="34"/>
      <c r="B634" s="7"/>
      <c r="C634" s="19"/>
      <c r="D634" s="7"/>
      <c r="E634" s="7"/>
      <c r="F634" s="7"/>
      <c r="G634" s="7"/>
      <c r="H634" s="6"/>
      <c r="I634" s="7"/>
      <c r="J634" s="7"/>
      <c r="K634" s="7"/>
      <c r="L634" s="7"/>
      <c r="M634" s="52"/>
      <c r="N634" s="7"/>
      <c r="O634" s="7"/>
      <c r="P634" s="47"/>
      <c r="Q634" s="47"/>
      <c r="R634" s="7"/>
      <c r="S634" s="51"/>
      <c r="T634" s="51"/>
      <c r="U634" s="7"/>
      <c r="V634" s="57"/>
      <c r="W634" s="57"/>
      <c r="X634" s="57"/>
    </row>
    <row r="635" spans="1:24" ht="12.5" x14ac:dyDescent="0.25">
      <c r="A635" s="34"/>
      <c r="B635" s="7"/>
      <c r="C635" s="19"/>
      <c r="D635" s="7"/>
      <c r="E635" s="7"/>
      <c r="F635" s="7"/>
      <c r="G635" s="7"/>
      <c r="H635" s="6"/>
      <c r="I635" s="7"/>
      <c r="J635" s="7"/>
      <c r="K635" s="7"/>
      <c r="L635" s="7"/>
      <c r="M635" s="52"/>
      <c r="N635" s="7"/>
      <c r="O635" s="7"/>
      <c r="P635" s="47"/>
      <c r="Q635" s="47"/>
      <c r="R635" s="7"/>
      <c r="S635" s="51"/>
      <c r="T635" s="51"/>
      <c r="U635" s="7"/>
      <c r="V635" s="57"/>
      <c r="W635" s="57"/>
      <c r="X635" s="57"/>
    </row>
    <row r="636" spans="1:24" ht="12.5" x14ac:dyDescent="0.25">
      <c r="A636" s="34"/>
      <c r="B636" s="7"/>
      <c r="C636" s="19"/>
      <c r="D636" s="7"/>
      <c r="E636" s="7"/>
      <c r="F636" s="7"/>
      <c r="G636" s="7"/>
      <c r="H636" s="6"/>
      <c r="I636" s="7"/>
      <c r="J636" s="7"/>
      <c r="K636" s="7"/>
      <c r="L636" s="7"/>
      <c r="M636" s="52"/>
      <c r="N636" s="7"/>
      <c r="O636" s="7"/>
      <c r="P636" s="47"/>
      <c r="Q636" s="47"/>
      <c r="R636" s="7"/>
      <c r="S636" s="51"/>
      <c r="T636" s="51"/>
      <c r="U636" s="7"/>
      <c r="V636" s="57"/>
      <c r="W636" s="57"/>
      <c r="X636" s="57"/>
    </row>
    <row r="637" spans="1:24" ht="12.5" x14ac:dyDescent="0.25">
      <c r="A637" s="34"/>
      <c r="B637" s="7"/>
      <c r="C637" s="19"/>
      <c r="D637" s="7"/>
      <c r="E637" s="7"/>
      <c r="F637" s="7"/>
      <c r="G637" s="7"/>
      <c r="H637" s="6"/>
      <c r="I637" s="7"/>
      <c r="J637" s="7"/>
      <c r="K637" s="7"/>
      <c r="L637" s="7"/>
      <c r="M637" s="52"/>
      <c r="N637" s="7"/>
      <c r="O637" s="7"/>
      <c r="P637" s="47"/>
      <c r="Q637" s="47"/>
      <c r="R637" s="7"/>
      <c r="S637" s="51"/>
      <c r="T637" s="51"/>
      <c r="U637" s="7"/>
      <c r="V637" s="57"/>
      <c r="W637" s="57"/>
      <c r="X637" s="57"/>
    </row>
    <row r="638" spans="1:24" ht="12.5" x14ac:dyDescent="0.25">
      <c r="A638" s="34"/>
      <c r="B638" s="7"/>
      <c r="C638" s="19"/>
      <c r="D638" s="7"/>
      <c r="E638" s="7"/>
      <c r="F638" s="7"/>
      <c r="G638" s="7"/>
      <c r="H638" s="6"/>
      <c r="I638" s="7"/>
      <c r="J638" s="7"/>
      <c r="K638" s="7"/>
      <c r="L638" s="7"/>
      <c r="M638" s="52"/>
      <c r="N638" s="7"/>
      <c r="O638" s="7"/>
      <c r="P638" s="47"/>
      <c r="Q638" s="47"/>
      <c r="R638" s="7"/>
      <c r="S638" s="51"/>
      <c r="T638" s="51"/>
      <c r="U638" s="7"/>
      <c r="V638" s="57"/>
      <c r="W638" s="57"/>
      <c r="X638" s="57"/>
    </row>
    <row r="639" spans="1:24" ht="12.5" x14ac:dyDescent="0.25">
      <c r="A639" s="34"/>
      <c r="B639" s="7"/>
      <c r="C639" s="19"/>
      <c r="D639" s="7"/>
      <c r="E639" s="7"/>
      <c r="F639" s="7"/>
      <c r="G639" s="7"/>
      <c r="H639" s="6"/>
      <c r="I639" s="7"/>
      <c r="J639" s="7"/>
      <c r="K639" s="7"/>
      <c r="L639" s="7"/>
      <c r="M639" s="52"/>
      <c r="N639" s="7"/>
      <c r="O639" s="7"/>
      <c r="P639" s="47"/>
      <c r="Q639" s="47"/>
      <c r="R639" s="7"/>
      <c r="S639" s="51"/>
      <c r="T639" s="51"/>
      <c r="U639" s="7"/>
      <c r="V639" s="57"/>
      <c r="W639" s="57"/>
      <c r="X639" s="57"/>
    </row>
    <row r="640" spans="1:24" ht="12.5" x14ac:dyDescent="0.25">
      <c r="A640" s="34"/>
      <c r="B640" s="7"/>
      <c r="C640" s="19"/>
      <c r="D640" s="7"/>
      <c r="E640" s="7"/>
      <c r="F640" s="7"/>
      <c r="G640" s="7"/>
      <c r="H640" s="6"/>
      <c r="I640" s="7"/>
      <c r="J640" s="7"/>
      <c r="K640" s="7"/>
      <c r="L640" s="7"/>
      <c r="M640" s="52"/>
      <c r="N640" s="7"/>
      <c r="O640" s="7"/>
      <c r="P640" s="47"/>
      <c r="Q640" s="47"/>
      <c r="R640" s="7"/>
      <c r="S640" s="51"/>
      <c r="T640" s="51"/>
      <c r="U640" s="7"/>
      <c r="V640" s="57"/>
      <c r="W640" s="57"/>
      <c r="X640" s="57"/>
    </row>
    <row r="641" spans="1:24" ht="12.5" x14ac:dyDescent="0.25">
      <c r="A641" s="34"/>
      <c r="B641" s="7"/>
      <c r="C641" s="19"/>
      <c r="D641" s="7"/>
      <c r="E641" s="7"/>
      <c r="F641" s="7"/>
      <c r="G641" s="7"/>
      <c r="H641" s="6"/>
      <c r="I641" s="7"/>
      <c r="J641" s="7"/>
      <c r="K641" s="7"/>
      <c r="L641" s="7"/>
      <c r="M641" s="52"/>
      <c r="N641" s="7"/>
      <c r="O641" s="7"/>
      <c r="P641" s="47"/>
      <c r="Q641" s="47"/>
      <c r="R641" s="7"/>
      <c r="S641" s="51"/>
      <c r="T641" s="51"/>
      <c r="U641" s="7"/>
      <c r="V641" s="57"/>
      <c r="W641" s="57"/>
      <c r="X641" s="57"/>
    </row>
    <row r="642" spans="1:24" ht="12.5" x14ac:dyDescent="0.25">
      <c r="A642" s="34"/>
      <c r="B642" s="7"/>
      <c r="C642" s="19"/>
      <c r="D642" s="7"/>
      <c r="E642" s="7"/>
      <c r="F642" s="7"/>
      <c r="G642" s="7"/>
      <c r="H642" s="6"/>
      <c r="I642" s="7"/>
      <c r="J642" s="7"/>
      <c r="K642" s="7"/>
      <c r="L642" s="7"/>
      <c r="M642" s="52"/>
      <c r="N642" s="7"/>
      <c r="O642" s="7"/>
      <c r="P642" s="47"/>
      <c r="Q642" s="47"/>
      <c r="R642" s="7"/>
      <c r="S642" s="51"/>
      <c r="T642" s="51"/>
      <c r="U642" s="7"/>
      <c r="V642" s="57"/>
      <c r="W642" s="57"/>
      <c r="X642" s="57"/>
    </row>
    <row r="643" spans="1:24" ht="12.5" x14ac:dyDescent="0.25">
      <c r="A643" s="34"/>
      <c r="B643" s="7"/>
      <c r="C643" s="19"/>
      <c r="D643" s="7"/>
      <c r="E643" s="7"/>
      <c r="F643" s="7"/>
      <c r="G643" s="7"/>
      <c r="H643" s="6"/>
      <c r="I643" s="7"/>
      <c r="J643" s="7"/>
      <c r="K643" s="7"/>
      <c r="L643" s="7"/>
      <c r="M643" s="52"/>
      <c r="N643" s="7"/>
      <c r="O643" s="7"/>
      <c r="P643" s="47"/>
      <c r="Q643" s="47"/>
      <c r="R643" s="7"/>
      <c r="S643" s="51"/>
      <c r="T643" s="51"/>
      <c r="U643" s="7"/>
      <c r="V643" s="57"/>
      <c r="W643" s="57"/>
      <c r="X643" s="57"/>
    </row>
    <row r="644" spans="1:24" ht="12.5" x14ac:dyDescent="0.25">
      <c r="A644" s="34"/>
      <c r="B644" s="7"/>
      <c r="C644" s="19"/>
      <c r="D644" s="7"/>
      <c r="E644" s="7"/>
      <c r="F644" s="7"/>
      <c r="G644" s="7"/>
      <c r="H644" s="6"/>
      <c r="I644" s="7"/>
      <c r="J644" s="7"/>
      <c r="K644" s="7"/>
      <c r="L644" s="7"/>
      <c r="M644" s="52"/>
      <c r="N644" s="7"/>
      <c r="O644" s="7"/>
      <c r="P644" s="47"/>
      <c r="Q644" s="47"/>
      <c r="R644" s="7"/>
      <c r="S644" s="51"/>
      <c r="T644" s="51"/>
      <c r="U644" s="7"/>
      <c r="V644" s="57"/>
      <c r="W644" s="57"/>
      <c r="X644" s="57"/>
    </row>
    <row r="645" spans="1:24" ht="12.5" x14ac:dyDescent="0.25">
      <c r="A645" s="34"/>
      <c r="B645" s="7"/>
      <c r="C645" s="19"/>
      <c r="D645" s="7"/>
      <c r="E645" s="7"/>
      <c r="F645" s="7"/>
      <c r="G645" s="7"/>
      <c r="H645" s="6"/>
      <c r="I645" s="7"/>
      <c r="J645" s="7"/>
      <c r="K645" s="7"/>
      <c r="L645" s="7"/>
      <c r="M645" s="52"/>
      <c r="N645" s="7"/>
      <c r="O645" s="7"/>
      <c r="P645" s="47"/>
      <c r="Q645" s="47"/>
      <c r="R645" s="7"/>
      <c r="S645" s="51"/>
      <c r="T645" s="51"/>
      <c r="U645" s="7"/>
      <c r="V645" s="57"/>
      <c r="W645" s="57"/>
      <c r="X645" s="57"/>
    </row>
    <row r="646" spans="1:24" ht="12.5" x14ac:dyDescent="0.25">
      <c r="A646" s="34"/>
      <c r="B646" s="7"/>
      <c r="C646" s="19"/>
      <c r="D646" s="7"/>
      <c r="E646" s="7"/>
      <c r="F646" s="7"/>
      <c r="G646" s="7"/>
      <c r="H646" s="6"/>
      <c r="I646" s="7"/>
      <c r="J646" s="7"/>
      <c r="K646" s="7"/>
      <c r="L646" s="7"/>
      <c r="M646" s="52"/>
      <c r="N646" s="7"/>
      <c r="O646" s="7"/>
      <c r="P646" s="47"/>
      <c r="Q646" s="47"/>
      <c r="R646" s="7"/>
      <c r="S646" s="51"/>
      <c r="T646" s="51"/>
      <c r="U646" s="7"/>
      <c r="V646" s="57"/>
      <c r="W646" s="57"/>
      <c r="X646" s="57"/>
    </row>
    <row r="647" spans="1:24" ht="12.5" x14ac:dyDescent="0.25">
      <c r="A647" s="34"/>
      <c r="B647" s="7"/>
      <c r="C647" s="19"/>
      <c r="D647" s="7"/>
      <c r="E647" s="7"/>
      <c r="F647" s="7"/>
      <c r="G647" s="7"/>
      <c r="H647" s="6"/>
      <c r="I647" s="7"/>
      <c r="J647" s="7"/>
      <c r="K647" s="7"/>
      <c r="L647" s="7"/>
      <c r="M647" s="52"/>
      <c r="N647" s="7"/>
      <c r="O647" s="7"/>
      <c r="P647" s="47"/>
      <c r="Q647" s="47"/>
      <c r="R647" s="7"/>
      <c r="S647" s="51"/>
      <c r="T647" s="51"/>
      <c r="U647" s="7"/>
      <c r="V647" s="57"/>
      <c r="W647" s="57"/>
      <c r="X647" s="57"/>
    </row>
    <row r="648" spans="1:24" ht="12.5" x14ac:dyDescent="0.25">
      <c r="A648" s="34"/>
      <c r="B648" s="7"/>
      <c r="C648" s="19"/>
      <c r="D648" s="7"/>
      <c r="E648" s="7"/>
      <c r="F648" s="7"/>
      <c r="G648" s="7"/>
      <c r="H648" s="6"/>
      <c r="I648" s="7"/>
      <c r="J648" s="7"/>
      <c r="K648" s="7"/>
      <c r="L648" s="7"/>
      <c r="M648" s="52"/>
      <c r="N648" s="7"/>
      <c r="O648" s="7"/>
      <c r="P648" s="47"/>
      <c r="Q648" s="47"/>
      <c r="R648" s="7"/>
      <c r="S648" s="51"/>
      <c r="T648" s="51"/>
      <c r="U648" s="7"/>
      <c r="V648" s="57"/>
      <c r="W648" s="57"/>
      <c r="X648" s="57"/>
    </row>
    <row r="649" spans="1:24" ht="12.5" x14ac:dyDescent="0.25">
      <c r="A649" s="34"/>
      <c r="B649" s="7"/>
      <c r="C649" s="19"/>
      <c r="D649" s="7"/>
      <c r="E649" s="7"/>
      <c r="F649" s="7"/>
      <c r="G649" s="7"/>
      <c r="H649" s="6"/>
      <c r="I649" s="7"/>
      <c r="J649" s="7"/>
      <c r="K649" s="7"/>
      <c r="L649" s="7"/>
      <c r="M649" s="52"/>
      <c r="N649" s="7"/>
      <c r="O649" s="7"/>
      <c r="P649" s="47"/>
      <c r="Q649" s="47"/>
      <c r="R649" s="7"/>
      <c r="S649" s="51"/>
      <c r="T649" s="51"/>
      <c r="U649" s="7"/>
      <c r="V649" s="57"/>
      <c r="W649" s="57"/>
      <c r="X649" s="57"/>
    </row>
    <row r="650" spans="1:24" ht="12.5" x14ac:dyDescent="0.25">
      <c r="A650" s="34"/>
      <c r="B650" s="7"/>
      <c r="C650" s="19"/>
      <c r="D650" s="7"/>
      <c r="E650" s="7"/>
      <c r="F650" s="7"/>
      <c r="G650" s="7"/>
      <c r="H650" s="6"/>
      <c r="I650" s="7"/>
      <c r="J650" s="7"/>
      <c r="K650" s="7"/>
      <c r="L650" s="7"/>
      <c r="M650" s="52"/>
      <c r="N650" s="7"/>
      <c r="O650" s="7"/>
      <c r="P650" s="47"/>
      <c r="Q650" s="47"/>
      <c r="R650" s="7"/>
      <c r="S650" s="51"/>
      <c r="T650" s="51"/>
      <c r="U650" s="7"/>
      <c r="V650" s="57"/>
      <c r="W650" s="57"/>
      <c r="X650" s="57"/>
    </row>
    <row r="651" spans="1:24" ht="12.5" x14ac:dyDescent="0.25">
      <c r="A651" s="34"/>
      <c r="B651" s="7"/>
      <c r="C651" s="19"/>
      <c r="D651" s="7"/>
      <c r="E651" s="7"/>
      <c r="F651" s="7"/>
      <c r="G651" s="7"/>
      <c r="H651" s="6"/>
      <c r="I651" s="7"/>
      <c r="J651" s="7"/>
      <c r="K651" s="7"/>
      <c r="L651" s="7"/>
      <c r="M651" s="52"/>
      <c r="N651" s="7"/>
      <c r="O651" s="7"/>
      <c r="P651" s="47"/>
      <c r="Q651" s="47"/>
      <c r="R651" s="7"/>
      <c r="S651" s="51"/>
      <c r="T651" s="51"/>
      <c r="U651" s="7"/>
      <c r="V651" s="57"/>
      <c r="W651" s="57"/>
      <c r="X651" s="57"/>
    </row>
    <row r="652" spans="1:24" ht="12.5" x14ac:dyDescent="0.25">
      <c r="A652" s="34"/>
      <c r="B652" s="7"/>
      <c r="C652" s="19"/>
      <c r="D652" s="7"/>
      <c r="E652" s="7"/>
      <c r="F652" s="7"/>
      <c r="G652" s="7"/>
      <c r="H652" s="6"/>
      <c r="I652" s="7"/>
      <c r="J652" s="7"/>
      <c r="K652" s="7"/>
      <c r="L652" s="7"/>
      <c r="M652" s="52"/>
      <c r="N652" s="7"/>
      <c r="O652" s="7"/>
      <c r="P652" s="47"/>
      <c r="Q652" s="47"/>
      <c r="R652" s="7"/>
      <c r="S652" s="51"/>
      <c r="T652" s="51"/>
      <c r="U652" s="7"/>
      <c r="V652" s="57"/>
      <c r="W652" s="57"/>
      <c r="X652" s="57"/>
    </row>
    <row r="653" spans="1:24" ht="12.5" x14ac:dyDescent="0.25">
      <c r="A653" s="34"/>
      <c r="B653" s="7"/>
      <c r="C653" s="19"/>
      <c r="D653" s="7"/>
      <c r="E653" s="7"/>
      <c r="F653" s="7"/>
      <c r="G653" s="7"/>
      <c r="H653" s="6"/>
      <c r="I653" s="7"/>
      <c r="J653" s="7"/>
      <c r="K653" s="7"/>
      <c r="L653" s="7"/>
      <c r="M653" s="52"/>
      <c r="N653" s="7"/>
      <c r="O653" s="7"/>
      <c r="P653" s="47"/>
      <c r="Q653" s="47"/>
      <c r="R653" s="7"/>
      <c r="S653" s="51"/>
      <c r="T653" s="51"/>
      <c r="U653" s="7"/>
      <c r="V653" s="57"/>
      <c r="W653" s="57"/>
      <c r="X653" s="57"/>
    </row>
    <row r="654" spans="1:24" ht="12.5" x14ac:dyDescent="0.25">
      <c r="A654" s="34"/>
      <c r="B654" s="7"/>
      <c r="C654" s="19"/>
      <c r="D654" s="7"/>
      <c r="E654" s="7"/>
      <c r="F654" s="7"/>
      <c r="G654" s="7"/>
      <c r="H654" s="6"/>
      <c r="I654" s="7"/>
      <c r="J654" s="7"/>
      <c r="K654" s="7"/>
      <c r="L654" s="7"/>
      <c r="M654" s="52"/>
      <c r="N654" s="7"/>
      <c r="O654" s="7"/>
      <c r="P654" s="47"/>
      <c r="Q654" s="47"/>
      <c r="R654" s="7"/>
      <c r="S654" s="51"/>
      <c r="T654" s="51"/>
      <c r="U654" s="7"/>
      <c r="V654" s="57"/>
      <c r="W654" s="57"/>
      <c r="X654" s="57"/>
    </row>
    <row r="655" spans="1:24" ht="12.5" x14ac:dyDescent="0.25">
      <c r="A655" s="34"/>
      <c r="B655" s="7"/>
      <c r="C655" s="19"/>
      <c r="D655" s="7"/>
      <c r="E655" s="7"/>
      <c r="F655" s="7"/>
      <c r="G655" s="7"/>
      <c r="H655" s="6"/>
      <c r="I655" s="7"/>
      <c r="J655" s="7"/>
      <c r="K655" s="7"/>
      <c r="L655" s="7"/>
      <c r="M655" s="52"/>
      <c r="N655" s="7"/>
      <c r="O655" s="7"/>
      <c r="P655" s="47"/>
      <c r="Q655" s="47"/>
      <c r="R655" s="7"/>
      <c r="S655" s="51"/>
      <c r="T655" s="51"/>
      <c r="U655" s="7"/>
      <c r="V655" s="57"/>
      <c r="W655" s="57"/>
      <c r="X655" s="57"/>
    </row>
    <row r="656" spans="1:24" ht="12.5" x14ac:dyDescent="0.25">
      <c r="A656" s="34"/>
      <c r="B656" s="7"/>
      <c r="C656" s="19"/>
      <c r="D656" s="7"/>
      <c r="E656" s="7"/>
      <c r="F656" s="7"/>
      <c r="G656" s="7"/>
      <c r="H656" s="6"/>
      <c r="I656" s="7"/>
      <c r="J656" s="7"/>
      <c r="K656" s="7"/>
      <c r="L656" s="7"/>
      <c r="M656" s="52"/>
      <c r="N656" s="7"/>
      <c r="O656" s="7"/>
      <c r="P656" s="47"/>
      <c r="Q656" s="47"/>
      <c r="R656" s="7"/>
      <c r="S656" s="51"/>
      <c r="T656" s="51"/>
      <c r="U656" s="7"/>
      <c r="V656" s="57"/>
      <c r="W656" s="57"/>
      <c r="X656" s="57"/>
    </row>
    <row r="657" spans="1:24" ht="12.5" x14ac:dyDescent="0.25">
      <c r="A657" s="34"/>
      <c r="B657" s="7"/>
      <c r="C657" s="19"/>
      <c r="D657" s="7"/>
      <c r="E657" s="7"/>
      <c r="F657" s="7"/>
      <c r="G657" s="7"/>
      <c r="H657" s="6"/>
      <c r="I657" s="7"/>
      <c r="J657" s="7"/>
      <c r="K657" s="7"/>
      <c r="L657" s="7"/>
      <c r="M657" s="52"/>
      <c r="N657" s="7"/>
      <c r="O657" s="7"/>
      <c r="P657" s="47"/>
      <c r="Q657" s="47"/>
      <c r="R657" s="7"/>
      <c r="S657" s="51"/>
      <c r="T657" s="51"/>
      <c r="U657" s="7"/>
      <c r="V657" s="57"/>
      <c r="W657" s="57"/>
      <c r="X657" s="57"/>
    </row>
    <row r="658" spans="1:24" ht="12.5" x14ac:dyDescent="0.25">
      <c r="A658" s="34"/>
      <c r="B658" s="7"/>
      <c r="C658" s="19"/>
      <c r="D658" s="7"/>
      <c r="E658" s="7"/>
      <c r="F658" s="7"/>
      <c r="G658" s="7"/>
      <c r="H658" s="6"/>
      <c r="I658" s="7"/>
      <c r="J658" s="7"/>
      <c r="K658" s="7"/>
      <c r="L658" s="7"/>
      <c r="M658" s="52"/>
      <c r="N658" s="7"/>
      <c r="O658" s="7"/>
      <c r="P658" s="47"/>
      <c r="Q658" s="47"/>
      <c r="R658" s="7"/>
      <c r="S658" s="51"/>
      <c r="T658" s="51"/>
      <c r="U658" s="7"/>
      <c r="V658" s="57"/>
      <c r="W658" s="57"/>
      <c r="X658" s="57"/>
    </row>
    <row r="659" spans="1:24" ht="12.5" x14ac:dyDescent="0.25">
      <c r="A659" s="34"/>
      <c r="B659" s="7"/>
      <c r="C659" s="19"/>
      <c r="D659" s="7"/>
      <c r="E659" s="7"/>
      <c r="F659" s="7"/>
      <c r="G659" s="7"/>
      <c r="H659" s="6"/>
      <c r="I659" s="7"/>
      <c r="J659" s="7"/>
      <c r="K659" s="7"/>
      <c r="L659" s="7"/>
      <c r="M659" s="52"/>
      <c r="N659" s="7"/>
      <c r="O659" s="7"/>
      <c r="P659" s="47"/>
      <c r="Q659" s="47"/>
      <c r="R659" s="7"/>
      <c r="S659" s="51"/>
      <c r="T659" s="51"/>
      <c r="U659" s="7"/>
      <c r="V659" s="57"/>
      <c r="W659" s="57"/>
      <c r="X659" s="57"/>
    </row>
    <row r="660" spans="1:24" ht="12.5" x14ac:dyDescent="0.25">
      <c r="A660" s="34"/>
      <c r="B660" s="7"/>
      <c r="C660" s="19"/>
      <c r="D660" s="7"/>
      <c r="E660" s="7"/>
      <c r="F660" s="7"/>
      <c r="G660" s="7"/>
      <c r="H660" s="6"/>
      <c r="I660" s="7"/>
      <c r="J660" s="7"/>
      <c r="K660" s="7"/>
      <c r="L660" s="7"/>
      <c r="M660" s="52"/>
      <c r="N660" s="7"/>
      <c r="O660" s="7"/>
      <c r="P660" s="47"/>
      <c r="Q660" s="47"/>
      <c r="R660" s="7"/>
      <c r="S660" s="51"/>
      <c r="T660" s="51"/>
      <c r="U660" s="7"/>
      <c r="V660" s="57"/>
      <c r="W660" s="57"/>
      <c r="X660" s="57"/>
    </row>
    <row r="661" spans="1:24" ht="12.5" x14ac:dyDescent="0.25">
      <c r="A661" s="34"/>
      <c r="B661" s="7"/>
      <c r="C661" s="19"/>
      <c r="D661" s="7"/>
      <c r="E661" s="7"/>
      <c r="F661" s="7"/>
      <c r="G661" s="7"/>
      <c r="H661" s="6"/>
      <c r="I661" s="7"/>
      <c r="J661" s="7"/>
      <c r="K661" s="7"/>
      <c r="L661" s="7"/>
      <c r="M661" s="52"/>
      <c r="N661" s="7"/>
      <c r="O661" s="7"/>
      <c r="P661" s="47"/>
      <c r="Q661" s="47"/>
      <c r="R661" s="7"/>
      <c r="S661" s="51"/>
      <c r="T661" s="51"/>
      <c r="U661" s="7"/>
      <c r="V661" s="57"/>
      <c r="W661" s="57"/>
      <c r="X661" s="57"/>
    </row>
    <row r="662" spans="1:24" ht="12.5" x14ac:dyDescent="0.25">
      <c r="A662" s="34"/>
      <c r="B662" s="7"/>
      <c r="C662" s="19"/>
      <c r="D662" s="7"/>
      <c r="E662" s="7"/>
      <c r="F662" s="7"/>
      <c r="G662" s="7"/>
      <c r="H662" s="6"/>
      <c r="I662" s="7"/>
      <c r="J662" s="7"/>
      <c r="K662" s="7"/>
      <c r="L662" s="7"/>
      <c r="M662" s="52"/>
      <c r="N662" s="7"/>
      <c r="O662" s="7"/>
      <c r="P662" s="47"/>
      <c r="Q662" s="47"/>
      <c r="R662" s="7"/>
      <c r="S662" s="51"/>
      <c r="T662" s="51"/>
      <c r="U662" s="7"/>
      <c r="V662" s="57"/>
      <c r="W662" s="57"/>
      <c r="X662" s="57"/>
    </row>
    <row r="663" spans="1:24" ht="12.5" x14ac:dyDescent="0.25">
      <c r="A663" s="34"/>
      <c r="B663" s="7"/>
      <c r="C663" s="19"/>
      <c r="D663" s="7"/>
      <c r="E663" s="7"/>
      <c r="F663" s="7"/>
      <c r="G663" s="7"/>
      <c r="H663" s="6"/>
      <c r="I663" s="7"/>
      <c r="J663" s="7"/>
      <c r="K663" s="7"/>
      <c r="L663" s="7"/>
      <c r="M663" s="52"/>
      <c r="N663" s="7"/>
      <c r="O663" s="7"/>
      <c r="P663" s="47"/>
      <c r="Q663" s="47"/>
      <c r="R663" s="7"/>
      <c r="S663" s="51"/>
      <c r="T663" s="51"/>
      <c r="U663" s="7"/>
      <c r="V663" s="57"/>
      <c r="W663" s="57"/>
      <c r="X663" s="57"/>
    </row>
    <row r="664" spans="1:24" ht="12.5" x14ac:dyDescent="0.25">
      <c r="A664" s="34"/>
      <c r="B664" s="7"/>
      <c r="C664" s="19"/>
      <c r="D664" s="7"/>
      <c r="E664" s="7"/>
      <c r="F664" s="7"/>
      <c r="G664" s="7"/>
      <c r="H664" s="6"/>
      <c r="I664" s="7"/>
      <c r="J664" s="7"/>
      <c r="K664" s="7"/>
      <c r="L664" s="7"/>
      <c r="M664" s="52"/>
      <c r="N664" s="7"/>
      <c r="O664" s="7"/>
      <c r="P664" s="47"/>
      <c r="Q664" s="47"/>
      <c r="R664" s="7"/>
      <c r="S664" s="51"/>
      <c r="T664" s="51"/>
      <c r="U664" s="7"/>
      <c r="V664" s="57"/>
      <c r="W664" s="57"/>
      <c r="X664" s="57"/>
    </row>
    <row r="665" spans="1:24" ht="12.5" x14ac:dyDescent="0.25">
      <c r="A665" s="34"/>
      <c r="B665" s="7"/>
      <c r="C665" s="19"/>
      <c r="D665" s="7"/>
      <c r="E665" s="7"/>
      <c r="F665" s="7"/>
      <c r="G665" s="7"/>
      <c r="H665" s="6"/>
      <c r="I665" s="7"/>
      <c r="J665" s="7"/>
      <c r="K665" s="7"/>
      <c r="L665" s="7"/>
      <c r="M665" s="52"/>
      <c r="N665" s="7"/>
      <c r="O665" s="7"/>
      <c r="P665" s="47"/>
      <c r="Q665" s="47"/>
      <c r="R665" s="7"/>
      <c r="S665" s="51"/>
      <c r="T665" s="51"/>
      <c r="U665" s="7"/>
      <c r="V665" s="57"/>
      <c r="W665" s="57"/>
      <c r="X665" s="57"/>
    </row>
    <row r="666" spans="1:24" ht="12.5" x14ac:dyDescent="0.25">
      <c r="A666" s="34"/>
      <c r="B666" s="7"/>
      <c r="C666" s="19"/>
      <c r="D666" s="7"/>
      <c r="E666" s="7"/>
      <c r="F666" s="7"/>
      <c r="G666" s="7"/>
      <c r="H666" s="6"/>
      <c r="I666" s="7"/>
      <c r="J666" s="7"/>
      <c r="K666" s="7"/>
      <c r="L666" s="7"/>
      <c r="M666" s="52"/>
      <c r="N666" s="7"/>
      <c r="O666" s="7"/>
      <c r="P666" s="47"/>
      <c r="Q666" s="47"/>
      <c r="R666" s="7"/>
      <c r="S666" s="51"/>
      <c r="T666" s="51"/>
      <c r="U666" s="7"/>
      <c r="V666" s="57"/>
      <c r="W666" s="57"/>
      <c r="X666" s="57"/>
    </row>
    <row r="667" spans="1:24" ht="12.5" x14ac:dyDescent="0.25">
      <c r="A667" s="34"/>
      <c r="B667" s="7"/>
      <c r="C667" s="19"/>
      <c r="D667" s="7"/>
      <c r="E667" s="7"/>
      <c r="F667" s="7"/>
      <c r="G667" s="7"/>
      <c r="H667" s="6"/>
      <c r="I667" s="7"/>
      <c r="J667" s="7"/>
      <c r="K667" s="7"/>
      <c r="L667" s="7"/>
      <c r="M667" s="52"/>
      <c r="N667" s="7"/>
      <c r="O667" s="7"/>
      <c r="P667" s="47"/>
      <c r="Q667" s="47"/>
      <c r="R667" s="7"/>
      <c r="S667" s="51"/>
      <c r="T667" s="51"/>
      <c r="U667" s="7"/>
      <c r="V667" s="57"/>
      <c r="W667" s="57"/>
      <c r="X667" s="57"/>
    </row>
    <row r="668" spans="1:24" ht="12.5" x14ac:dyDescent="0.25">
      <c r="A668" s="34"/>
      <c r="B668" s="7"/>
      <c r="C668" s="19"/>
      <c r="D668" s="7"/>
      <c r="E668" s="7"/>
      <c r="F668" s="7"/>
      <c r="G668" s="7"/>
      <c r="H668" s="6"/>
      <c r="I668" s="7"/>
      <c r="J668" s="7"/>
      <c r="K668" s="7"/>
      <c r="L668" s="7"/>
      <c r="M668" s="52"/>
      <c r="N668" s="7"/>
      <c r="O668" s="7"/>
      <c r="P668" s="47"/>
      <c r="Q668" s="47"/>
      <c r="R668" s="7"/>
      <c r="S668" s="51"/>
      <c r="T668" s="51"/>
      <c r="U668" s="7"/>
      <c r="V668" s="57"/>
      <c r="W668" s="57"/>
      <c r="X668" s="57"/>
    </row>
    <row r="669" spans="1:24" ht="12.5" x14ac:dyDescent="0.25">
      <c r="A669" s="34"/>
      <c r="B669" s="7"/>
      <c r="C669" s="19"/>
      <c r="D669" s="7"/>
      <c r="E669" s="7"/>
      <c r="F669" s="7"/>
      <c r="G669" s="7"/>
      <c r="H669" s="6"/>
      <c r="I669" s="7"/>
      <c r="J669" s="7"/>
      <c r="K669" s="7"/>
      <c r="L669" s="7"/>
      <c r="M669" s="52"/>
      <c r="N669" s="7"/>
      <c r="O669" s="7"/>
      <c r="P669" s="47"/>
      <c r="Q669" s="47"/>
      <c r="R669" s="7"/>
      <c r="S669" s="51"/>
      <c r="T669" s="51"/>
      <c r="U669" s="7"/>
      <c r="V669" s="57"/>
      <c r="W669" s="57"/>
      <c r="X669" s="57"/>
    </row>
    <row r="670" spans="1:24" ht="12.5" x14ac:dyDescent="0.25">
      <c r="A670" s="34"/>
      <c r="B670" s="7"/>
      <c r="C670" s="19"/>
      <c r="D670" s="7"/>
      <c r="E670" s="7"/>
      <c r="F670" s="7"/>
      <c r="G670" s="7"/>
      <c r="H670" s="6"/>
      <c r="I670" s="7"/>
      <c r="J670" s="7"/>
      <c r="K670" s="7"/>
      <c r="L670" s="7"/>
      <c r="M670" s="52"/>
      <c r="N670" s="7"/>
      <c r="O670" s="7"/>
      <c r="P670" s="47"/>
      <c r="Q670" s="47"/>
      <c r="R670" s="7"/>
      <c r="S670" s="51"/>
      <c r="T670" s="51"/>
      <c r="U670" s="7"/>
      <c r="V670" s="57"/>
      <c r="W670" s="57"/>
      <c r="X670" s="57"/>
    </row>
    <row r="671" spans="1:24" ht="12.5" x14ac:dyDescent="0.25">
      <c r="A671" s="34"/>
      <c r="B671" s="7"/>
      <c r="C671" s="19"/>
      <c r="D671" s="7"/>
      <c r="E671" s="7"/>
      <c r="F671" s="7"/>
      <c r="G671" s="7"/>
      <c r="H671" s="6"/>
      <c r="I671" s="7"/>
      <c r="J671" s="7"/>
      <c r="K671" s="7"/>
      <c r="L671" s="7"/>
      <c r="M671" s="52"/>
      <c r="N671" s="7"/>
      <c r="O671" s="7"/>
      <c r="P671" s="47"/>
      <c r="Q671" s="47"/>
      <c r="R671" s="7"/>
      <c r="S671" s="51"/>
      <c r="T671" s="51"/>
      <c r="U671" s="7"/>
      <c r="V671" s="57"/>
      <c r="W671" s="57"/>
      <c r="X671" s="57"/>
    </row>
    <row r="672" spans="1:24" ht="12.5" x14ac:dyDescent="0.25">
      <c r="A672" s="34"/>
      <c r="B672" s="7"/>
      <c r="C672" s="19"/>
      <c r="D672" s="7"/>
      <c r="E672" s="7"/>
      <c r="F672" s="7"/>
      <c r="G672" s="7"/>
      <c r="H672" s="6"/>
      <c r="I672" s="7"/>
      <c r="J672" s="7"/>
      <c r="K672" s="7"/>
      <c r="L672" s="7"/>
      <c r="M672" s="52"/>
      <c r="N672" s="7"/>
      <c r="O672" s="7"/>
      <c r="P672" s="47"/>
      <c r="Q672" s="47"/>
      <c r="R672" s="7"/>
      <c r="S672" s="51"/>
      <c r="T672" s="51"/>
      <c r="U672" s="7"/>
      <c r="V672" s="57"/>
      <c r="W672" s="57"/>
      <c r="X672" s="57"/>
    </row>
    <row r="673" spans="1:24" ht="12.5" x14ac:dyDescent="0.25">
      <c r="A673" s="34"/>
      <c r="B673" s="7"/>
      <c r="C673" s="19"/>
      <c r="D673" s="7"/>
      <c r="E673" s="7"/>
      <c r="F673" s="7"/>
      <c r="G673" s="7"/>
      <c r="H673" s="6"/>
      <c r="I673" s="7"/>
      <c r="J673" s="7"/>
      <c r="K673" s="7"/>
      <c r="L673" s="7"/>
      <c r="M673" s="52"/>
      <c r="N673" s="7"/>
      <c r="O673" s="7"/>
      <c r="P673" s="47"/>
      <c r="Q673" s="47"/>
      <c r="R673" s="7"/>
      <c r="S673" s="51"/>
      <c r="T673" s="51"/>
      <c r="U673" s="7"/>
      <c r="V673" s="57"/>
      <c r="W673" s="57"/>
      <c r="X673" s="57"/>
    </row>
    <row r="674" spans="1:24" ht="12.5" x14ac:dyDescent="0.25">
      <c r="A674" s="34"/>
      <c r="B674" s="7"/>
      <c r="C674" s="19"/>
      <c r="D674" s="7"/>
      <c r="E674" s="7"/>
      <c r="F674" s="7"/>
      <c r="G674" s="7"/>
      <c r="H674" s="6"/>
      <c r="I674" s="7"/>
      <c r="J674" s="7"/>
      <c r="K674" s="7"/>
      <c r="L674" s="7"/>
      <c r="M674" s="52"/>
      <c r="N674" s="7"/>
      <c r="O674" s="7"/>
      <c r="P674" s="47"/>
      <c r="Q674" s="47"/>
      <c r="R674" s="7"/>
      <c r="S674" s="51"/>
      <c r="T674" s="51"/>
      <c r="U674" s="7"/>
      <c r="V674" s="57"/>
      <c r="W674" s="57"/>
      <c r="X674" s="57"/>
    </row>
    <row r="675" spans="1:24" ht="12.5" x14ac:dyDescent="0.25">
      <c r="A675" s="34"/>
      <c r="B675" s="7"/>
      <c r="C675" s="19"/>
      <c r="D675" s="7"/>
      <c r="E675" s="7"/>
      <c r="F675" s="7"/>
      <c r="G675" s="7"/>
      <c r="H675" s="6"/>
      <c r="I675" s="7"/>
      <c r="J675" s="7"/>
      <c r="K675" s="7"/>
      <c r="L675" s="7"/>
      <c r="M675" s="52"/>
      <c r="N675" s="7"/>
      <c r="O675" s="7"/>
      <c r="P675" s="47"/>
      <c r="Q675" s="47"/>
      <c r="R675" s="7"/>
      <c r="S675" s="51"/>
      <c r="T675" s="51"/>
      <c r="U675" s="7"/>
      <c r="V675" s="57"/>
      <c r="W675" s="57"/>
      <c r="X675" s="57"/>
    </row>
    <row r="676" spans="1:24" ht="12.5" x14ac:dyDescent="0.25">
      <c r="A676" s="34"/>
      <c r="B676" s="7"/>
      <c r="C676" s="19"/>
      <c r="D676" s="7"/>
      <c r="E676" s="7"/>
      <c r="F676" s="7"/>
      <c r="G676" s="7"/>
      <c r="H676" s="6"/>
      <c r="I676" s="7"/>
      <c r="J676" s="7"/>
      <c r="K676" s="7"/>
      <c r="L676" s="7"/>
      <c r="M676" s="52"/>
      <c r="N676" s="7"/>
      <c r="O676" s="7"/>
      <c r="P676" s="47"/>
      <c r="Q676" s="47"/>
      <c r="R676" s="7"/>
      <c r="S676" s="51"/>
      <c r="T676" s="51"/>
      <c r="U676" s="7"/>
      <c r="V676" s="57"/>
      <c r="W676" s="57"/>
      <c r="X676" s="57"/>
    </row>
    <row r="677" spans="1:24" ht="12.5" x14ac:dyDescent="0.25">
      <c r="A677" s="34"/>
      <c r="B677" s="7"/>
      <c r="C677" s="19"/>
      <c r="D677" s="7"/>
      <c r="E677" s="7"/>
      <c r="F677" s="7"/>
      <c r="G677" s="7"/>
      <c r="H677" s="6"/>
      <c r="I677" s="7"/>
      <c r="J677" s="7"/>
      <c r="K677" s="7"/>
      <c r="L677" s="7"/>
      <c r="M677" s="52"/>
      <c r="N677" s="7"/>
      <c r="O677" s="7"/>
      <c r="P677" s="47"/>
      <c r="Q677" s="47"/>
      <c r="R677" s="7"/>
      <c r="S677" s="51"/>
      <c r="T677" s="51"/>
      <c r="U677" s="7"/>
      <c r="V677" s="57"/>
      <c r="W677" s="57"/>
      <c r="X677" s="57"/>
    </row>
    <row r="678" spans="1:24" ht="12.5" x14ac:dyDescent="0.25">
      <c r="A678" s="34"/>
      <c r="B678" s="7"/>
      <c r="C678" s="19"/>
      <c r="D678" s="7"/>
      <c r="E678" s="7"/>
      <c r="F678" s="7"/>
      <c r="G678" s="7"/>
      <c r="H678" s="6"/>
      <c r="I678" s="7"/>
      <c r="J678" s="7"/>
      <c r="K678" s="7"/>
      <c r="L678" s="7"/>
      <c r="M678" s="52"/>
      <c r="N678" s="7"/>
      <c r="O678" s="7"/>
      <c r="P678" s="47"/>
      <c r="Q678" s="47"/>
      <c r="R678" s="7"/>
      <c r="S678" s="51"/>
      <c r="T678" s="51"/>
      <c r="U678" s="7"/>
      <c r="V678" s="57"/>
      <c r="W678" s="57"/>
      <c r="X678" s="57"/>
    </row>
    <row r="679" spans="1:24" ht="12.5" x14ac:dyDescent="0.25">
      <c r="A679" s="34"/>
      <c r="B679" s="7"/>
      <c r="C679" s="19"/>
      <c r="D679" s="7"/>
      <c r="E679" s="7"/>
      <c r="F679" s="7"/>
      <c r="G679" s="7"/>
      <c r="H679" s="6"/>
      <c r="I679" s="7"/>
      <c r="J679" s="7"/>
      <c r="K679" s="7"/>
      <c r="L679" s="7"/>
      <c r="M679" s="52"/>
      <c r="N679" s="7"/>
      <c r="O679" s="7"/>
      <c r="P679" s="47"/>
      <c r="Q679" s="47"/>
      <c r="R679" s="7"/>
      <c r="S679" s="51"/>
      <c r="T679" s="51"/>
      <c r="U679" s="7"/>
      <c r="V679" s="57"/>
      <c r="W679" s="57"/>
      <c r="X679" s="57"/>
    </row>
    <row r="680" spans="1:24" ht="12.5" x14ac:dyDescent="0.25">
      <c r="A680" s="34"/>
      <c r="B680" s="7"/>
      <c r="C680" s="19"/>
      <c r="D680" s="7"/>
      <c r="E680" s="7"/>
      <c r="F680" s="7"/>
      <c r="G680" s="7"/>
      <c r="H680" s="6"/>
      <c r="I680" s="7"/>
      <c r="J680" s="7"/>
      <c r="K680" s="7"/>
      <c r="L680" s="7"/>
      <c r="M680" s="52"/>
      <c r="N680" s="7"/>
      <c r="O680" s="7"/>
      <c r="P680" s="47"/>
      <c r="Q680" s="47"/>
      <c r="R680" s="7"/>
      <c r="S680" s="51"/>
      <c r="T680" s="51"/>
      <c r="U680" s="7"/>
      <c r="V680" s="57"/>
      <c r="W680" s="57"/>
      <c r="X680" s="57"/>
    </row>
    <row r="681" spans="1:24" ht="12.5" x14ac:dyDescent="0.25">
      <c r="A681" s="34"/>
      <c r="B681" s="7"/>
      <c r="C681" s="19"/>
      <c r="D681" s="7"/>
      <c r="E681" s="7"/>
      <c r="F681" s="7"/>
      <c r="G681" s="7"/>
      <c r="H681" s="6"/>
      <c r="I681" s="7"/>
      <c r="J681" s="7"/>
      <c r="K681" s="7"/>
      <c r="L681" s="7"/>
      <c r="M681" s="52"/>
      <c r="N681" s="7"/>
      <c r="O681" s="7"/>
      <c r="P681" s="47"/>
      <c r="Q681" s="47"/>
      <c r="R681" s="7"/>
      <c r="S681" s="51"/>
      <c r="T681" s="51"/>
      <c r="U681" s="7"/>
      <c r="V681" s="57"/>
      <c r="W681" s="57"/>
      <c r="X681" s="57"/>
    </row>
    <row r="682" spans="1:24" ht="12.5" x14ac:dyDescent="0.25">
      <c r="A682" s="34"/>
      <c r="B682" s="7"/>
      <c r="C682" s="19"/>
      <c r="D682" s="7"/>
      <c r="E682" s="7"/>
      <c r="F682" s="7"/>
      <c r="G682" s="7"/>
      <c r="H682" s="6"/>
      <c r="I682" s="7"/>
      <c r="J682" s="7"/>
      <c r="K682" s="7"/>
      <c r="L682" s="7"/>
      <c r="M682" s="52"/>
      <c r="N682" s="7"/>
      <c r="O682" s="7"/>
      <c r="P682" s="47"/>
      <c r="Q682" s="47"/>
      <c r="R682" s="7"/>
      <c r="S682" s="51"/>
      <c r="T682" s="51"/>
      <c r="U682" s="7"/>
      <c r="V682" s="57"/>
      <c r="W682" s="57"/>
      <c r="X682" s="57"/>
    </row>
    <row r="683" spans="1:24" ht="12.5" x14ac:dyDescent="0.25">
      <c r="A683" s="34"/>
      <c r="B683" s="7"/>
      <c r="C683" s="19"/>
      <c r="D683" s="7"/>
      <c r="E683" s="7"/>
      <c r="F683" s="7"/>
      <c r="G683" s="7"/>
      <c r="H683" s="6"/>
      <c r="I683" s="7"/>
      <c r="J683" s="7"/>
      <c r="K683" s="7"/>
      <c r="L683" s="7"/>
      <c r="M683" s="52"/>
      <c r="N683" s="7"/>
      <c r="O683" s="7"/>
      <c r="P683" s="47"/>
      <c r="Q683" s="47"/>
      <c r="R683" s="7"/>
      <c r="S683" s="51"/>
      <c r="T683" s="51"/>
      <c r="U683" s="7"/>
      <c r="V683" s="57"/>
      <c r="W683" s="57"/>
      <c r="X683" s="57"/>
    </row>
    <row r="684" spans="1:24" ht="12.5" x14ac:dyDescent="0.25">
      <c r="A684" s="34"/>
      <c r="B684" s="7"/>
      <c r="C684" s="19"/>
      <c r="D684" s="7"/>
      <c r="E684" s="7"/>
      <c r="F684" s="7"/>
      <c r="G684" s="7"/>
      <c r="H684" s="6"/>
      <c r="I684" s="7"/>
      <c r="J684" s="7"/>
      <c r="K684" s="7"/>
      <c r="L684" s="7"/>
      <c r="M684" s="52"/>
      <c r="N684" s="7"/>
      <c r="O684" s="7"/>
      <c r="P684" s="47"/>
      <c r="Q684" s="47"/>
      <c r="R684" s="7"/>
      <c r="S684" s="51"/>
      <c r="T684" s="51"/>
      <c r="U684" s="7"/>
      <c r="V684" s="57"/>
      <c r="W684" s="57"/>
      <c r="X684" s="57"/>
    </row>
    <row r="685" spans="1:24" ht="12.5" x14ac:dyDescent="0.25">
      <c r="A685" s="34"/>
      <c r="B685" s="7"/>
      <c r="C685" s="19"/>
      <c r="D685" s="7"/>
      <c r="E685" s="7"/>
      <c r="F685" s="7"/>
      <c r="G685" s="7"/>
      <c r="H685" s="6"/>
      <c r="I685" s="7"/>
      <c r="J685" s="7"/>
      <c r="K685" s="7"/>
      <c r="L685" s="7"/>
      <c r="M685" s="52"/>
      <c r="N685" s="7"/>
      <c r="O685" s="7"/>
      <c r="P685" s="47"/>
      <c r="Q685" s="47"/>
      <c r="R685" s="7"/>
      <c r="S685" s="51"/>
      <c r="T685" s="51"/>
      <c r="U685" s="7"/>
      <c r="V685" s="57"/>
      <c r="W685" s="57"/>
      <c r="X685" s="57"/>
    </row>
    <row r="686" spans="1:24" ht="12.5" x14ac:dyDescent="0.25">
      <c r="A686" s="34"/>
      <c r="B686" s="7"/>
      <c r="C686" s="19"/>
      <c r="D686" s="7"/>
      <c r="E686" s="7"/>
      <c r="F686" s="7"/>
      <c r="G686" s="7"/>
      <c r="H686" s="6"/>
      <c r="I686" s="7"/>
      <c r="J686" s="7"/>
      <c r="K686" s="7"/>
      <c r="L686" s="7"/>
      <c r="M686" s="52"/>
      <c r="N686" s="7"/>
      <c r="O686" s="7"/>
      <c r="P686" s="47"/>
      <c r="Q686" s="47"/>
      <c r="R686" s="7"/>
      <c r="S686" s="51"/>
      <c r="T686" s="51"/>
      <c r="U686" s="7"/>
      <c r="V686" s="57"/>
      <c r="W686" s="57"/>
      <c r="X686" s="57"/>
    </row>
    <row r="687" spans="1:24" ht="12.5" x14ac:dyDescent="0.25">
      <c r="A687" s="34"/>
      <c r="B687" s="7"/>
      <c r="C687" s="19"/>
      <c r="D687" s="7"/>
      <c r="E687" s="7"/>
      <c r="F687" s="7"/>
      <c r="G687" s="7"/>
      <c r="H687" s="6"/>
      <c r="I687" s="7"/>
      <c r="J687" s="7"/>
      <c r="K687" s="7"/>
      <c r="L687" s="7"/>
      <c r="M687" s="52"/>
      <c r="N687" s="7"/>
      <c r="O687" s="7"/>
      <c r="P687" s="47"/>
      <c r="Q687" s="47"/>
      <c r="R687" s="7"/>
      <c r="S687" s="51"/>
      <c r="T687" s="51"/>
      <c r="U687" s="7"/>
      <c r="V687" s="57"/>
      <c r="W687" s="57"/>
      <c r="X687" s="57"/>
    </row>
    <row r="688" spans="1:24" ht="12.5" x14ac:dyDescent="0.25">
      <c r="A688" s="34"/>
      <c r="B688" s="7"/>
      <c r="C688" s="19"/>
      <c r="D688" s="7"/>
      <c r="E688" s="7"/>
      <c r="F688" s="7"/>
      <c r="G688" s="7"/>
      <c r="H688" s="6"/>
      <c r="I688" s="7"/>
      <c r="J688" s="7"/>
      <c r="K688" s="7"/>
      <c r="L688" s="7"/>
      <c r="M688" s="52"/>
      <c r="N688" s="7"/>
      <c r="O688" s="7"/>
      <c r="P688" s="47"/>
      <c r="Q688" s="47"/>
      <c r="R688" s="7"/>
      <c r="S688" s="51"/>
      <c r="T688" s="51"/>
      <c r="U688" s="7"/>
      <c r="V688" s="57"/>
      <c r="W688" s="57"/>
      <c r="X688" s="57"/>
    </row>
    <row r="689" spans="1:24" ht="12.5" x14ac:dyDescent="0.25">
      <c r="A689" s="34"/>
      <c r="B689" s="7"/>
      <c r="C689" s="19"/>
      <c r="D689" s="7"/>
      <c r="E689" s="7"/>
      <c r="F689" s="7"/>
      <c r="G689" s="7"/>
      <c r="H689" s="6"/>
      <c r="I689" s="7"/>
      <c r="J689" s="7"/>
      <c r="K689" s="7"/>
      <c r="L689" s="7"/>
      <c r="M689" s="52"/>
      <c r="N689" s="7"/>
      <c r="O689" s="7"/>
      <c r="P689" s="47"/>
      <c r="Q689" s="47"/>
      <c r="R689" s="7"/>
      <c r="S689" s="51"/>
      <c r="T689" s="51"/>
      <c r="U689" s="7"/>
      <c r="V689" s="57"/>
      <c r="W689" s="57"/>
      <c r="X689" s="57"/>
    </row>
    <row r="690" spans="1:24" ht="12.5" x14ac:dyDescent="0.25">
      <c r="A690" s="34"/>
      <c r="B690" s="7"/>
      <c r="C690" s="19"/>
      <c r="D690" s="7"/>
      <c r="E690" s="7"/>
      <c r="F690" s="7"/>
      <c r="G690" s="7"/>
      <c r="H690" s="6"/>
      <c r="I690" s="7"/>
      <c r="J690" s="7"/>
      <c r="K690" s="7"/>
      <c r="L690" s="7"/>
      <c r="M690" s="52"/>
      <c r="N690" s="7"/>
      <c r="O690" s="7"/>
      <c r="P690" s="47"/>
      <c r="Q690" s="47"/>
      <c r="R690" s="7"/>
      <c r="S690" s="51"/>
      <c r="T690" s="51"/>
      <c r="U690" s="7"/>
      <c r="V690" s="57"/>
      <c r="W690" s="57"/>
      <c r="X690" s="57"/>
    </row>
    <row r="691" spans="1:24" ht="12.5" x14ac:dyDescent="0.25">
      <c r="A691" s="34"/>
      <c r="B691" s="7"/>
      <c r="C691" s="19"/>
      <c r="D691" s="7"/>
      <c r="E691" s="7"/>
      <c r="F691" s="7"/>
      <c r="G691" s="7"/>
      <c r="H691" s="6"/>
      <c r="I691" s="7"/>
      <c r="J691" s="7"/>
      <c r="K691" s="7"/>
      <c r="L691" s="7"/>
      <c r="M691" s="52"/>
      <c r="N691" s="7"/>
      <c r="O691" s="7"/>
      <c r="P691" s="47"/>
      <c r="Q691" s="47"/>
      <c r="R691" s="7"/>
      <c r="S691" s="51"/>
      <c r="T691" s="51"/>
      <c r="U691" s="7"/>
      <c r="V691" s="57"/>
      <c r="W691" s="57"/>
      <c r="X691" s="57"/>
    </row>
    <row r="692" spans="1:24" ht="12.5" x14ac:dyDescent="0.25">
      <c r="A692" s="34"/>
      <c r="B692" s="7"/>
      <c r="C692" s="19"/>
      <c r="D692" s="7"/>
      <c r="E692" s="7"/>
      <c r="F692" s="7"/>
      <c r="G692" s="7"/>
      <c r="H692" s="6"/>
      <c r="I692" s="7"/>
      <c r="J692" s="7"/>
      <c r="K692" s="7"/>
      <c r="L692" s="7"/>
      <c r="M692" s="52"/>
      <c r="N692" s="7"/>
      <c r="O692" s="7"/>
      <c r="P692" s="47"/>
      <c r="Q692" s="47"/>
      <c r="R692" s="7"/>
      <c r="S692" s="51"/>
      <c r="T692" s="51"/>
      <c r="U692" s="7"/>
      <c r="V692" s="57"/>
      <c r="W692" s="57"/>
      <c r="X692" s="57"/>
    </row>
    <row r="693" spans="1:24" ht="12.5" x14ac:dyDescent="0.25">
      <c r="A693" s="34"/>
      <c r="B693" s="7"/>
      <c r="C693" s="19"/>
      <c r="D693" s="7"/>
      <c r="E693" s="7"/>
      <c r="F693" s="7"/>
      <c r="G693" s="7"/>
      <c r="H693" s="6"/>
      <c r="I693" s="7"/>
      <c r="J693" s="7"/>
      <c r="K693" s="7"/>
      <c r="L693" s="7"/>
      <c r="M693" s="52"/>
      <c r="N693" s="7"/>
      <c r="O693" s="7"/>
      <c r="P693" s="47"/>
      <c r="Q693" s="47"/>
      <c r="R693" s="7"/>
      <c r="S693" s="51"/>
      <c r="T693" s="51"/>
      <c r="U693" s="7"/>
      <c r="V693" s="57"/>
      <c r="W693" s="57"/>
      <c r="X693" s="57"/>
    </row>
    <row r="694" spans="1:24" ht="12.5" x14ac:dyDescent="0.25">
      <c r="A694" s="34"/>
      <c r="B694" s="7"/>
      <c r="C694" s="19"/>
      <c r="D694" s="7"/>
      <c r="E694" s="7"/>
      <c r="F694" s="7"/>
      <c r="G694" s="7"/>
      <c r="H694" s="6"/>
      <c r="I694" s="7"/>
      <c r="J694" s="7"/>
      <c r="K694" s="7"/>
      <c r="L694" s="7"/>
      <c r="M694" s="52"/>
      <c r="N694" s="7"/>
      <c r="O694" s="7"/>
      <c r="P694" s="47"/>
      <c r="Q694" s="47"/>
      <c r="R694" s="7"/>
      <c r="S694" s="51"/>
      <c r="T694" s="51"/>
      <c r="U694" s="7"/>
      <c r="V694" s="57"/>
      <c r="W694" s="57"/>
      <c r="X694" s="57"/>
    </row>
    <row r="695" spans="1:24" ht="12.5" x14ac:dyDescent="0.25">
      <c r="A695" s="34"/>
      <c r="B695" s="7"/>
      <c r="C695" s="19"/>
      <c r="D695" s="7"/>
      <c r="E695" s="7"/>
      <c r="F695" s="7"/>
      <c r="G695" s="7"/>
      <c r="H695" s="6"/>
      <c r="I695" s="7"/>
      <c r="J695" s="7"/>
      <c r="K695" s="7"/>
      <c r="L695" s="7"/>
      <c r="M695" s="52"/>
      <c r="N695" s="7"/>
      <c r="O695" s="7"/>
      <c r="P695" s="47"/>
      <c r="Q695" s="47"/>
      <c r="R695" s="7"/>
      <c r="S695" s="51"/>
      <c r="T695" s="51"/>
      <c r="U695" s="7"/>
      <c r="V695" s="57"/>
      <c r="W695" s="57"/>
      <c r="X695" s="57"/>
    </row>
    <row r="696" spans="1:24" ht="12.5" x14ac:dyDescent="0.25">
      <c r="A696" s="34"/>
      <c r="B696" s="7"/>
      <c r="C696" s="19"/>
      <c r="D696" s="7"/>
      <c r="E696" s="7"/>
      <c r="F696" s="7"/>
      <c r="G696" s="7"/>
      <c r="H696" s="6"/>
      <c r="I696" s="7"/>
      <c r="J696" s="7"/>
      <c r="K696" s="7"/>
      <c r="L696" s="7"/>
      <c r="M696" s="52"/>
      <c r="N696" s="7"/>
      <c r="O696" s="7"/>
      <c r="P696" s="47"/>
      <c r="Q696" s="47"/>
      <c r="R696" s="7"/>
      <c r="S696" s="51"/>
      <c r="T696" s="51"/>
      <c r="U696" s="7"/>
      <c r="V696" s="57"/>
      <c r="W696" s="57"/>
      <c r="X696" s="57"/>
    </row>
    <row r="697" spans="1:24" ht="12.5" x14ac:dyDescent="0.25">
      <c r="A697" s="34"/>
      <c r="B697" s="7"/>
      <c r="C697" s="19"/>
      <c r="D697" s="7"/>
      <c r="E697" s="7"/>
      <c r="F697" s="7"/>
      <c r="G697" s="7"/>
      <c r="H697" s="6"/>
      <c r="I697" s="7"/>
      <c r="J697" s="7"/>
      <c r="K697" s="7"/>
      <c r="L697" s="7"/>
      <c r="M697" s="52"/>
      <c r="N697" s="7"/>
      <c r="O697" s="7"/>
      <c r="P697" s="47"/>
      <c r="Q697" s="47"/>
      <c r="R697" s="7"/>
      <c r="S697" s="51"/>
      <c r="T697" s="51"/>
      <c r="U697" s="7"/>
      <c r="V697" s="57"/>
      <c r="W697" s="57"/>
      <c r="X697" s="57"/>
    </row>
    <row r="698" spans="1:24" ht="12.5" x14ac:dyDescent="0.25">
      <c r="A698" s="34"/>
      <c r="B698" s="7"/>
      <c r="C698" s="19"/>
      <c r="D698" s="7"/>
      <c r="E698" s="7"/>
      <c r="F698" s="7"/>
      <c r="G698" s="7"/>
      <c r="H698" s="6"/>
      <c r="I698" s="7"/>
      <c r="J698" s="7"/>
      <c r="K698" s="7"/>
      <c r="L698" s="7"/>
      <c r="M698" s="52"/>
      <c r="N698" s="7"/>
      <c r="O698" s="7"/>
      <c r="P698" s="47"/>
      <c r="Q698" s="47"/>
      <c r="R698" s="7"/>
      <c r="S698" s="51"/>
      <c r="T698" s="51"/>
      <c r="U698" s="7"/>
      <c r="V698" s="57"/>
      <c r="W698" s="57"/>
      <c r="X698" s="57"/>
    </row>
    <row r="699" spans="1:24" ht="12.5" x14ac:dyDescent="0.25">
      <c r="A699" s="34"/>
      <c r="B699" s="7"/>
      <c r="C699" s="19"/>
      <c r="D699" s="7"/>
      <c r="E699" s="7"/>
      <c r="F699" s="7"/>
      <c r="G699" s="7"/>
      <c r="H699" s="6"/>
      <c r="I699" s="7"/>
      <c r="J699" s="7"/>
      <c r="K699" s="7"/>
      <c r="L699" s="7"/>
      <c r="M699" s="52"/>
      <c r="N699" s="7"/>
      <c r="O699" s="7"/>
      <c r="P699" s="47"/>
      <c r="Q699" s="47"/>
      <c r="R699" s="7"/>
      <c r="S699" s="51"/>
      <c r="T699" s="51"/>
      <c r="U699" s="7"/>
      <c r="V699" s="57"/>
      <c r="W699" s="57"/>
      <c r="X699" s="57"/>
    </row>
    <row r="700" spans="1:24" ht="12.5" x14ac:dyDescent="0.25">
      <c r="A700" s="34"/>
      <c r="B700" s="7"/>
      <c r="C700" s="19"/>
      <c r="D700" s="7"/>
      <c r="E700" s="7"/>
      <c r="F700" s="7"/>
      <c r="G700" s="7"/>
      <c r="H700" s="6"/>
      <c r="I700" s="7"/>
      <c r="J700" s="7"/>
      <c r="K700" s="7"/>
      <c r="L700" s="7"/>
      <c r="M700" s="52"/>
      <c r="N700" s="7"/>
      <c r="O700" s="7"/>
      <c r="P700" s="47"/>
      <c r="Q700" s="47"/>
      <c r="R700" s="7"/>
      <c r="S700" s="51"/>
      <c r="T700" s="51"/>
      <c r="U700" s="7"/>
      <c r="V700" s="57"/>
      <c r="W700" s="57"/>
      <c r="X700" s="57"/>
    </row>
    <row r="701" spans="1:24" ht="12.5" x14ac:dyDescent="0.25">
      <c r="A701" s="34"/>
      <c r="B701" s="7"/>
      <c r="C701" s="19"/>
      <c r="D701" s="7"/>
      <c r="E701" s="7"/>
      <c r="F701" s="7"/>
      <c r="G701" s="7"/>
      <c r="H701" s="6"/>
      <c r="I701" s="7"/>
      <c r="J701" s="7"/>
      <c r="K701" s="7"/>
      <c r="L701" s="7"/>
      <c r="M701" s="52"/>
      <c r="N701" s="7"/>
      <c r="O701" s="7"/>
      <c r="P701" s="47"/>
      <c r="Q701" s="47"/>
      <c r="R701" s="7"/>
      <c r="S701" s="51"/>
      <c r="T701" s="51"/>
      <c r="U701" s="7"/>
      <c r="V701" s="57"/>
      <c r="W701" s="57"/>
      <c r="X701" s="57"/>
    </row>
    <row r="702" spans="1:24" ht="12.5" x14ac:dyDescent="0.25">
      <c r="A702" s="34"/>
      <c r="B702" s="7"/>
      <c r="C702" s="19"/>
      <c r="D702" s="7"/>
      <c r="E702" s="7"/>
      <c r="F702" s="7"/>
      <c r="G702" s="7"/>
      <c r="H702" s="6"/>
      <c r="I702" s="7"/>
      <c r="J702" s="7"/>
      <c r="K702" s="7"/>
      <c r="L702" s="7"/>
      <c r="M702" s="52"/>
      <c r="N702" s="7"/>
      <c r="O702" s="7"/>
      <c r="P702" s="47"/>
      <c r="Q702" s="47"/>
      <c r="R702" s="7"/>
      <c r="S702" s="51"/>
      <c r="T702" s="51"/>
      <c r="U702" s="7"/>
      <c r="V702" s="57"/>
      <c r="W702" s="57"/>
      <c r="X702" s="57"/>
    </row>
    <row r="703" spans="1:24" ht="12.5" x14ac:dyDescent="0.25">
      <c r="A703" s="34"/>
      <c r="B703" s="7"/>
      <c r="C703" s="19"/>
      <c r="D703" s="7"/>
      <c r="E703" s="7"/>
      <c r="F703" s="7"/>
      <c r="G703" s="7"/>
      <c r="H703" s="6"/>
      <c r="I703" s="7"/>
      <c r="J703" s="7"/>
      <c r="K703" s="7"/>
      <c r="L703" s="7"/>
      <c r="M703" s="52"/>
      <c r="N703" s="7"/>
      <c r="O703" s="7"/>
      <c r="P703" s="47"/>
      <c r="Q703" s="47"/>
      <c r="R703" s="7"/>
      <c r="S703" s="51"/>
      <c r="T703" s="51"/>
      <c r="U703" s="7"/>
      <c r="V703" s="57"/>
      <c r="W703" s="57"/>
      <c r="X703" s="57"/>
    </row>
    <row r="704" spans="1:24" ht="12.5" x14ac:dyDescent="0.25">
      <c r="A704" s="34"/>
      <c r="B704" s="7"/>
      <c r="C704" s="19"/>
      <c r="D704" s="7"/>
      <c r="E704" s="7"/>
      <c r="F704" s="7"/>
      <c r="G704" s="7"/>
      <c r="H704" s="6"/>
      <c r="I704" s="7"/>
      <c r="J704" s="7"/>
      <c r="K704" s="7"/>
      <c r="L704" s="7"/>
      <c r="M704" s="52"/>
      <c r="N704" s="7"/>
      <c r="O704" s="7"/>
      <c r="P704" s="47"/>
      <c r="Q704" s="47"/>
      <c r="R704" s="7"/>
      <c r="S704" s="51"/>
      <c r="T704" s="51"/>
      <c r="U704" s="7"/>
      <c r="V704" s="57"/>
      <c r="W704" s="57"/>
      <c r="X704" s="57"/>
    </row>
    <row r="705" spans="1:24" ht="12.5" x14ac:dyDescent="0.25">
      <c r="A705" s="34"/>
      <c r="B705" s="7"/>
      <c r="C705" s="19"/>
      <c r="D705" s="7"/>
      <c r="E705" s="7"/>
      <c r="F705" s="7"/>
      <c r="G705" s="7"/>
      <c r="H705" s="6"/>
      <c r="I705" s="7"/>
      <c r="J705" s="7"/>
      <c r="K705" s="7"/>
      <c r="L705" s="7"/>
      <c r="M705" s="52"/>
      <c r="N705" s="7"/>
      <c r="O705" s="7"/>
      <c r="P705" s="47"/>
      <c r="Q705" s="47"/>
      <c r="R705" s="7"/>
      <c r="S705" s="51"/>
      <c r="T705" s="51"/>
      <c r="U705" s="7"/>
      <c r="V705" s="57"/>
      <c r="W705" s="57"/>
      <c r="X705" s="57"/>
    </row>
    <row r="706" spans="1:24" ht="12.5" x14ac:dyDescent="0.25">
      <c r="A706" s="34"/>
      <c r="B706" s="7"/>
      <c r="C706" s="19"/>
      <c r="D706" s="7"/>
      <c r="E706" s="7"/>
      <c r="F706" s="7"/>
      <c r="G706" s="7"/>
      <c r="H706" s="6"/>
      <c r="I706" s="7"/>
      <c r="J706" s="7"/>
      <c r="K706" s="7"/>
      <c r="L706" s="7"/>
      <c r="M706" s="52"/>
      <c r="N706" s="7"/>
      <c r="O706" s="7"/>
      <c r="P706" s="47"/>
      <c r="Q706" s="47"/>
      <c r="R706" s="7"/>
      <c r="S706" s="51"/>
      <c r="T706" s="51"/>
      <c r="U706" s="7"/>
      <c r="V706" s="57"/>
      <c r="W706" s="57"/>
      <c r="X706" s="57"/>
    </row>
    <row r="707" spans="1:24" ht="12.5" x14ac:dyDescent="0.25">
      <c r="A707" s="34"/>
      <c r="B707" s="7"/>
      <c r="C707" s="19"/>
      <c r="D707" s="7"/>
      <c r="E707" s="7"/>
      <c r="F707" s="7"/>
      <c r="G707" s="7"/>
      <c r="H707" s="6"/>
      <c r="I707" s="7"/>
      <c r="J707" s="7"/>
      <c r="K707" s="7"/>
      <c r="L707" s="7"/>
      <c r="M707" s="52"/>
      <c r="N707" s="7"/>
      <c r="O707" s="7"/>
      <c r="P707" s="47"/>
      <c r="Q707" s="47"/>
      <c r="R707" s="7"/>
      <c r="S707" s="51"/>
      <c r="T707" s="51"/>
      <c r="U707" s="7"/>
      <c r="V707" s="57"/>
      <c r="W707" s="57"/>
      <c r="X707" s="57"/>
    </row>
    <row r="708" spans="1:24" ht="12.5" x14ac:dyDescent="0.25">
      <c r="A708" s="34"/>
      <c r="B708" s="7"/>
      <c r="C708" s="19"/>
      <c r="D708" s="7"/>
      <c r="E708" s="7"/>
      <c r="F708" s="7"/>
      <c r="G708" s="7"/>
      <c r="H708" s="6"/>
      <c r="I708" s="7"/>
      <c r="J708" s="7"/>
      <c r="K708" s="7"/>
      <c r="L708" s="7"/>
      <c r="M708" s="52"/>
      <c r="N708" s="7"/>
      <c r="O708" s="7"/>
      <c r="P708" s="47"/>
      <c r="Q708" s="47"/>
      <c r="R708" s="7"/>
      <c r="S708" s="51"/>
      <c r="T708" s="51"/>
      <c r="U708" s="7"/>
      <c r="V708" s="57"/>
      <c r="W708" s="57"/>
      <c r="X708" s="57"/>
    </row>
    <row r="709" spans="1:24" ht="12.5" x14ac:dyDescent="0.25">
      <c r="A709" s="34"/>
      <c r="B709" s="7"/>
      <c r="C709" s="19"/>
      <c r="D709" s="7"/>
      <c r="E709" s="7"/>
      <c r="F709" s="7"/>
      <c r="G709" s="7"/>
      <c r="H709" s="6"/>
      <c r="I709" s="7"/>
      <c r="J709" s="7"/>
      <c r="K709" s="7"/>
      <c r="L709" s="7"/>
      <c r="M709" s="52"/>
      <c r="N709" s="7"/>
      <c r="O709" s="7"/>
      <c r="P709" s="47"/>
      <c r="Q709" s="47"/>
      <c r="R709" s="7"/>
      <c r="S709" s="51"/>
      <c r="T709" s="51"/>
      <c r="U709" s="7"/>
      <c r="V709" s="57"/>
      <c r="W709" s="57"/>
      <c r="X709" s="57"/>
    </row>
    <row r="710" spans="1:24" ht="12.5" x14ac:dyDescent="0.25">
      <c r="A710" s="34"/>
      <c r="B710" s="7"/>
      <c r="C710" s="19"/>
      <c r="D710" s="7"/>
      <c r="E710" s="7"/>
      <c r="F710" s="7"/>
      <c r="G710" s="7"/>
      <c r="H710" s="6"/>
      <c r="I710" s="7"/>
      <c r="J710" s="7"/>
      <c r="K710" s="7"/>
      <c r="L710" s="7"/>
      <c r="M710" s="52"/>
      <c r="N710" s="7"/>
      <c r="O710" s="7"/>
      <c r="P710" s="47"/>
      <c r="Q710" s="47"/>
      <c r="R710" s="7"/>
      <c r="S710" s="51"/>
      <c r="T710" s="51"/>
      <c r="U710" s="7"/>
      <c r="V710" s="57"/>
      <c r="W710" s="57"/>
      <c r="X710" s="57"/>
    </row>
    <row r="711" spans="1:24" ht="12.5" x14ac:dyDescent="0.25">
      <c r="A711" s="34"/>
      <c r="B711" s="7"/>
      <c r="C711" s="19"/>
      <c r="D711" s="7"/>
      <c r="E711" s="7"/>
      <c r="F711" s="7"/>
      <c r="G711" s="7"/>
      <c r="H711" s="6"/>
      <c r="I711" s="7"/>
      <c r="J711" s="7"/>
      <c r="K711" s="7"/>
      <c r="L711" s="7"/>
      <c r="M711" s="52"/>
      <c r="N711" s="7"/>
      <c r="O711" s="7"/>
      <c r="P711" s="47"/>
      <c r="Q711" s="47"/>
      <c r="R711" s="7"/>
      <c r="S711" s="51"/>
      <c r="T711" s="51"/>
      <c r="U711" s="7"/>
      <c r="V711" s="57"/>
      <c r="W711" s="57"/>
      <c r="X711" s="57"/>
    </row>
    <row r="712" spans="1:24" ht="12.5" x14ac:dyDescent="0.25">
      <c r="A712" s="34"/>
      <c r="B712" s="7"/>
      <c r="C712" s="19"/>
      <c r="D712" s="7"/>
      <c r="E712" s="7"/>
      <c r="F712" s="7"/>
      <c r="G712" s="7"/>
      <c r="H712" s="6"/>
      <c r="I712" s="7"/>
      <c r="J712" s="7"/>
      <c r="K712" s="7"/>
      <c r="L712" s="7"/>
      <c r="M712" s="52"/>
      <c r="N712" s="7"/>
      <c r="O712" s="7"/>
      <c r="P712" s="47"/>
      <c r="Q712" s="47"/>
      <c r="R712" s="7"/>
      <c r="S712" s="51"/>
      <c r="T712" s="51"/>
      <c r="U712" s="7"/>
      <c r="V712" s="57"/>
      <c r="W712" s="57"/>
      <c r="X712" s="57"/>
    </row>
    <row r="713" spans="1:24" ht="12.5" x14ac:dyDescent="0.25">
      <c r="A713" s="34"/>
      <c r="B713" s="7"/>
      <c r="C713" s="19"/>
      <c r="D713" s="7"/>
      <c r="E713" s="7"/>
      <c r="F713" s="7"/>
      <c r="G713" s="7"/>
      <c r="H713" s="6"/>
      <c r="I713" s="7"/>
      <c r="J713" s="7"/>
      <c r="K713" s="7"/>
      <c r="L713" s="7"/>
      <c r="M713" s="52"/>
      <c r="N713" s="7"/>
      <c r="O713" s="7"/>
      <c r="P713" s="47"/>
      <c r="Q713" s="47"/>
      <c r="R713" s="7"/>
      <c r="S713" s="51"/>
      <c r="T713" s="51"/>
      <c r="U713" s="7"/>
      <c r="V713" s="57"/>
      <c r="W713" s="57"/>
      <c r="X713" s="57"/>
    </row>
    <row r="714" spans="1:24" ht="12.5" x14ac:dyDescent="0.25">
      <c r="A714" s="34"/>
      <c r="B714" s="7"/>
      <c r="C714" s="19"/>
      <c r="D714" s="7"/>
      <c r="E714" s="7"/>
      <c r="F714" s="7"/>
      <c r="G714" s="7"/>
      <c r="H714" s="6"/>
      <c r="I714" s="7"/>
      <c r="J714" s="7"/>
      <c r="K714" s="7"/>
      <c r="L714" s="7"/>
      <c r="M714" s="52"/>
      <c r="N714" s="7"/>
      <c r="O714" s="7"/>
      <c r="P714" s="47"/>
      <c r="Q714" s="47"/>
      <c r="R714" s="7"/>
      <c r="S714" s="51"/>
      <c r="T714" s="51"/>
      <c r="U714" s="7"/>
      <c r="V714" s="57"/>
      <c r="W714" s="57"/>
      <c r="X714" s="57"/>
    </row>
    <row r="715" spans="1:24" ht="12.5" x14ac:dyDescent="0.25">
      <c r="A715" s="34"/>
      <c r="B715" s="7"/>
      <c r="C715" s="19"/>
      <c r="D715" s="7"/>
      <c r="E715" s="7"/>
      <c r="F715" s="7"/>
      <c r="G715" s="7"/>
      <c r="H715" s="6"/>
      <c r="I715" s="7"/>
      <c r="J715" s="7"/>
      <c r="K715" s="7"/>
      <c r="L715" s="7"/>
      <c r="M715" s="52"/>
      <c r="N715" s="7"/>
      <c r="O715" s="7"/>
      <c r="P715" s="47"/>
      <c r="Q715" s="47"/>
      <c r="R715" s="7"/>
      <c r="S715" s="51"/>
      <c r="T715" s="51"/>
      <c r="U715" s="7"/>
      <c r="V715" s="57"/>
      <c r="W715" s="57"/>
      <c r="X715" s="57"/>
    </row>
    <row r="716" spans="1:24" ht="12.5" x14ac:dyDescent="0.25">
      <c r="A716" s="34"/>
      <c r="B716" s="7"/>
      <c r="C716" s="19"/>
      <c r="D716" s="7"/>
      <c r="E716" s="7"/>
      <c r="F716" s="7"/>
      <c r="G716" s="7"/>
      <c r="H716" s="6"/>
      <c r="I716" s="7"/>
      <c r="J716" s="7"/>
      <c r="K716" s="7"/>
      <c r="L716" s="7"/>
      <c r="M716" s="52"/>
      <c r="N716" s="7"/>
      <c r="O716" s="7"/>
      <c r="P716" s="47"/>
      <c r="Q716" s="47"/>
      <c r="R716" s="7"/>
      <c r="S716" s="51"/>
      <c r="T716" s="51"/>
      <c r="U716" s="7"/>
      <c r="V716" s="57"/>
      <c r="W716" s="57"/>
      <c r="X716" s="57"/>
    </row>
    <row r="717" spans="1:24" ht="12.5" x14ac:dyDescent="0.25">
      <c r="A717" s="34"/>
      <c r="B717" s="7"/>
      <c r="C717" s="19"/>
      <c r="D717" s="7"/>
      <c r="E717" s="7"/>
      <c r="F717" s="7"/>
      <c r="G717" s="7"/>
      <c r="H717" s="6"/>
      <c r="I717" s="7"/>
      <c r="J717" s="7"/>
      <c r="K717" s="7"/>
      <c r="L717" s="7"/>
      <c r="M717" s="52"/>
      <c r="N717" s="7"/>
      <c r="O717" s="7"/>
      <c r="P717" s="47"/>
      <c r="Q717" s="47"/>
      <c r="R717" s="7"/>
      <c r="S717" s="51"/>
      <c r="T717" s="51"/>
      <c r="U717" s="7"/>
      <c r="V717" s="57"/>
      <c r="W717" s="57"/>
      <c r="X717" s="57"/>
    </row>
    <row r="718" spans="1:24" ht="12.5" x14ac:dyDescent="0.25">
      <c r="A718" s="34"/>
      <c r="B718" s="7"/>
      <c r="C718" s="19"/>
      <c r="D718" s="7"/>
      <c r="E718" s="7"/>
      <c r="F718" s="7"/>
      <c r="G718" s="7"/>
      <c r="H718" s="6"/>
      <c r="I718" s="7"/>
      <c r="J718" s="7"/>
      <c r="K718" s="7"/>
      <c r="L718" s="7"/>
      <c r="M718" s="52"/>
      <c r="N718" s="7"/>
      <c r="O718" s="7"/>
      <c r="P718" s="47"/>
      <c r="Q718" s="47"/>
      <c r="R718" s="7"/>
      <c r="S718" s="51"/>
      <c r="T718" s="51"/>
      <c r="U718" s="7"/>
      <c r="V718" s="57"/>
      <c r="W718" s="57"/>
      <c r="X718" s="57"/>
    </row>
    <row r="719" spans="1:24" ht="12.5" x14ac:dyDescent="0.25">
      <c r="A719" s="34"/>
      <c r="B719" s="7"/>
      <c r="C719" s="19"/>
      <c r="D719" s="7"/>
      <c r="E719" s="7"/>
      <c r="F719" s="7"/>
      <c r="G719" s="7"/>
      <c r="H719" s="6"/>
      <c r="I719" s="7"/>
      <c r="J719" s="7"/>
      <c r="K719" s="7"/>
      <c r="L719" s="7"/>
      <c r="M719" s="52"/>
      <c r="N719" s="7"/>
      <c r="O719" s="7"/>
      <c r="P719" s="47"/>
      <c r="Q719" s="47"/>
      <c r="R719" s="7"/>
      <c r="S719" s="51"/>
      <c r="T719" s="51"/>
      <c r="U719" s="7"/>
      <c r="V719" s="57"/>
      <c r="W719" s="57"/>
      <c r="X719" s="57"/>
    </row>
    <row r="720" spans="1:24" ht="12.5" x14ac:dyDescent="0.25">
      <c r="A720" s="34"/>
      <c r="B720" s="7"/>
      <c r="C720" s="19"/>
      <c r="D720" s="7"/>
      <c r="E720" s="7"/>
      <c r="F720" s="7"/>
      <c r="G720" s="7"/>
      <c r="H720" s="6"/>
      <c r="I720" s="7"/>
      <c r="J720" s="7"/>
      <c r="K720" s="7"/>
      <c r="L720" s="7"/>
      <c r="M720" s="52"/>
      <c r="N720" s="7"/>
      <c r="O720" s="7"/>
      <c r="P720" s="47"/>
      <c r="Q720" s="47"/>
      <c r="R720" s="7"/>
      <c r="S720" s="51"/>
      <c r="T720" s="51"/>
      <c r="U720" s="7"/>
      <c r="V720" s="57"/>
      <c r="W720" s="57"/>
      <c r="X720" s="57"/>
    </row>
    <row r="721" spans="1:24" ht="12.5" x14ac:dyDescent="0.25">
      <c r="A721" s="34"/>
      <c r="B721" s="7"/>
      <c r="C721" s="19"/>
      <c r="D721" s="7"/>
      <c r="E721" s="7"/>
      <c r="F721" s="7"/>
      <c r="G721" s="7"/>
      <c r="H721" s="6"/>
      <c r="I721" s="7"/>
      <c r="J721" s="7"/>
      <c r="K721" s="7"/>
      <c r="L721" s="7"/>
      <c r="M721" s="52"/>
      <c r="N721" s="7"/>
      <c r="O721" s="7"/>
      <c r="P721" s="47"/>
      <c r="Q721" s="47"/>
      <c r="R721" s="7"/>
      <c r="S721" s="51"/>
      <c r="T721" s="51"/>
      <c r="U721" s="7"/>
      <c r="V721" s="57"/>
      <c r="W721" s="57"/>
      <c r="X721" s="57"/>
    </row>
    <row r="722" spans="1:24" ht="12.5" x14ac:dyDescent="0.25">
      <c r="A722" s="34"/>
      <c r="B722" s="7"/>
      <c r="C722" s="19"/>
      <c r="D722" s="7"/>
      <c r="E722" s="7"/>
      <c r="F722" s="7"/>
      <c r="G722" s="7"/>
      <c r="H722" s="6"/>
      <c r="I722" s="7"/>
      <c r="J722" s="7"/>
      <c r="K722" s="7"/>
      <c r="L722" s="7"/>
      <c r="M722" s="52"/>
      <c r="N722" s="7"/>
      <c r="O722" s="7"/>
      <c r="P722" s="47"/>
      <c r="Q722" s="47"/>
      <c r="R722" s="7"/>
      <c r="S722" s="51"/>
      <c r="T722" s="51"/>
      <c r="U722" s="7"/>
      <c r="V722" s="57"/>
      <c r="W722" s="57"/>
      <c r="X722" s="57"/>
    </row>
    <row r="723" spans="1:24" ht="12.5" x14ac:dyDescent="0.25">
      <c r="A723" s="34"/>
      <c r="B723" s="7"/>
      <c r="C723" s="19"/>
      <c r="D723" s="7"/>
      <c r="E723" s="7"/>
      <c r="F723" s="7"/>
      <c r="G723" s="7"/>
      <c r="H723" s="6"/>
      <c r="I723" s="7"/>
      <c r="J723" s="7"/>
      <c r="K723" s="7"/>
      <c r="L723" s="7"/>
      <c r="M723" s="52"/>
      <c r="N723" s="7"/>
      <c r="O723" s="7"/>
      <c r="P723" s="47"/>
      <c r="Q723" s="47"/>
      <c r="R723" s="7"/>
      <c r="S723" s="51"/>
      <c r="T723" s="51"/>
      <c r="U723" s="7"/>
      <c r="V723" s="57"/>
      <c r="W723" s="57"/>
      <c r="X723" s="57"/>
    </row>
    <row r="724" spans="1:24" ht="12.5" x14ac:dyDescent="0.25">
      <c r="A724" s="34"/>
      <c r="B724" s="7"/>
      <c r="C724" s="19"/>
      <c r="D724" s="7"/>
      <c r="E724" s="7"/>
      <c r="F724" s="7"/>
      <c r="G724" s="7"/>
      <c r="H724" s="6"/>
      <c r="I724" s="7"/>
      <c r="J724" s="7"/>
      <c r="K724" s="7"/>
      <c r="L724" s="7"/>
      <c r="M724" s="52"/>
      <c r="N724" s="7"/>
      <c r="O724" s="7"/>
      <c r="P724" s="47"/>
      <c r="Q724" s="47"/>
      <c r="R724" s="7"/>
      <c r="S724" s="51"/>
      <c r="T724" s="51"/>
      <c r="U724" s="7"/>
      <c r="V724" s="57"/>
      <c r="W724" s="57"/>
      <c r="X724" s="57"/>
    </row>
    <row r="725" spans="1:24" ht="12.5" x14ac:dyDescent="0.25">
      <c r="A725" s="34"/>
      <c r="B725" s="7"/>
      <c r="C725" s="19"/>
      <c r="D725" s="7"/>
      <c r="E725" s="7"/>
      <c r="F725" s="7"/>
      <c r="G725" s="7"/>
      <c r="H725" s="6"/>
      <c r="I725" s="7"/>
      <c r="J725" s="7"/>
      <c r="K725" s="7"/>
      <c r="L725" s="7"/>
      <c r="M725" s="52"/>
      <c r="N725" s="7"/>
      <c r="O725" s="7"/>
      <c r="P725" s="47"/>
      <c r="Q725" s="47"/>
      <c r="R725" s="7"/>
      <c r="S725" s="51"/>
      <c r="T725" s="51"/>
      <c r="U725" s="7"/>
      <c r="V725" s="57"/>
      <c r="W725" s="57"/>
      <c r="X725" s="57"/>
    </row>
    <row r="726" spans="1:24" ht="12.5" x14ac:dyDescent="0.25">
      <c r="A726" s="34"/>
      <c r="B726" s="7"/>
      <c r="C726" s="19"/>
      <c r="D726" s="7"/>
      <c r="E726" s="7"/>
      <c r="F726" s="7"/>
      <c r="G726" s="7"/>
      <c r="H726" s="6"/>
      <c r="I726" s="7"/>
      <c r="J726" s="7"/>
      <c r="K726" s="7"/>
      <c r="L726" s="7"/>
      <c r="M726" s="52"/>
      <c r="N726" s="7"/>
      <c r="O726" s="7"/>
      <c r="P726" s="47"/>
      <c r="Q726" s="47"/>
      <c r="R726" s="7"/>
      <c r="S726" s="51"/>
      <c r="T726" s="51"/>
      <c r="U726" s="7"/>
      <c r="V726" s="57"/>
      <c r="W726" s="57"/>
      <c r="X726" s="57"/>
    </row>
    <row r="727" spans="1:24" ht="12.5" x14ac:dyDescent="0.25">
      <c r="A727" s="34"/>
      <c r="B727" s="7"/>
      <c r="C727" s="19"/>
      <c r="D727" s="7"/>
      <c r="E727" s="7"/>
      <c r="F727" s="7"/>
      <c r="G727" s="7"/>
      <c r="H727" s="6"/>
      <c r="I727" s="7"/>
      <c r="J727" s="7"/>
      <c r="K727" s="7"/>
      <c r="L727" s="7"/>
      <c r="M727" s="52"/>
      <c r="N727" s="7"/>
      <c r="O727" s="7"/>
      <c r="P727" s="47"/>
      <c r="Q727" s="47"/>
      <c r="R727" s="7"/>
      <c r="S727" s="51"/>
      <c r="T727" s="51"/>
      <c r="U727" s="7"/>
      <c r="V727" s="57"/>
      <c r="W727" s="57"/>
      <c r="X727" s="57"/>
    </row>
    <row r="728" spans="1:24" ht="12.5" x14ac:dyDescent="0.25">
      <c r="A728" s="34"/>
      <c r="B728" s="7"/>
      <c r="C728" s="19"/>
      <c r="D728" s="7"/>
      <c r="E728" s="7"/>
      <c r="F728" s="7"/>
      <c r="G728" s="7"/>
      <c r="H728" s="6"/>
      <c r="I728" s="7"/>
      <c r="J728" s="7"/>
      <c r="K728" s="7"/>
      <c r="L728" s="7"/>
      <c r="M728" s="52"/>
      <c r="N728" s="7"/>
      <c r="O728" s="7"/>
      <c r="P728" s="47"/>
      <c r="Q728" s="47"/>
      <c r="R728" s="7"/>
      <c r="S728" s="51"/>
      <c r="T728" s="51"/>
      <c r="U728" s="7"/>
      <c r="V728" s="57"/>
      <c r="W728" s="57"/>
      <c r="X728" s="57"/>
    </row>
    <row r="729" spans="1:24" ht="12.5" x14ac:dyDescent="0.25">
      <c r="A729" s="34"/>
      <c r="B729" s="7"/>
      <c r="C729" s="19"/>
      <c r="D729" s="7"/>
      <c r="E729" s="7"/>
      <c r="F729" s="7"/>
      <c r="G729" s="7"/>
      <c r="H729" s="6"/>
      <c r="I729" s="7"/>
      <c r="J729" s="7"/>
      <c r="K729" s="7"/>
      <c r="L729" s="7"/>
      <c r="M729" s="52"/>
      <c r="N729" s="7"/>
      <c r="O729" s="7"/>
      <c r="P729" s="47"/>
      <c r="Q729" s="47"/>
      <c r="R729" s="7"/>
      <c r="S729" s="51"/>
      <c r="T729" s="51"/>
      <c r="U729" s="7"/>
      <c r="V729" s="57"/>
      <c r="W729" s="57"/>
      <c r="X729" s="57"/>
    </row>
    <row r="730" spans="1:24" ht="12.5" x14ac:dyDescent="0.25">
      <c r="A730" s="34"/>
      <c r="B730" s="7"/>
      <c r="C730" s="19"/>
      <c r="D730" s="7"/>
      <c r="E730" s="7"/>
      <c r="F730" s="7"/>
      <c r="G730" s="7"/>
      <c r="H730" s="6"/>
      <c r="I730" s="7"/>
      <c r="J730" s="7"/>
      <c r="K730" s="7"/>
      <c r="L730" s="7"/>
      <c r="M730" s="52"/>
      <c r="N730" s="7"/>
      <c r="O730" s="7"/>
      <c r="P730" s="47"/>
      <c r="Q730" s="47"/>
      <c r="R730" s="7"/>
      <c r="S730" s="51"/>
      <c r="T730" s="51"/>
      <c r="U730" s="7"/>
      <c r="V730" s="57"/>
      <c r="W730" s="57"/>
      <c r="X730" s="57"/>
    </row>
    <row r="731" spans="1:24" ht="12.5" x14ac:dyDescent="0.25">
      <c r="A731" s="34"/>
      <c r="B731" s="7"/>
      <c r="C731" s="19"/>
      <c r="D731" s="7"/>
      <c r="E731" s="7"/>
      <c r="F731" s="7"/>
      <c r="G731" s="7"/>
      <c r="H731" s="6"/>
      <c r="I731" s="7"/>
      <c r="J731" s="7"/>
      <c r="K731" s="7"/>
      <c r="L731" s="7"/>
      <c r="M731" s="52"/>
      <c r="N731" s="7"/>
      <c r="O731" s="7"/>
      <c r="P731" s="47"/>
      <c r="Q731" s="47"/>
      <c r="R731" s="7"/>
      <c r="S731" s="51"/>
      <c r="T731" s="51"/>
      <c r="U731" s="7"/>
      <c r="V731" s="57"/>
      <c r="W731" s="57"/>
      <c r="X731" s="57"/>
    </row>
    <row r="732" spans="1:24" ht="12.5" x14ac:dyDescent="0.25">
      <c r="A732" s="34"/>
      <c r="B732" s="7"/>
      <c r="C732" s="19"/>
      <c r="D732" s="7"/>
      <c r="E732" s="7"/>
      <c r="F732" s="7"/>
      <c r="G732" s="7"/>
      <c r="H732" s="6"/>
      <c r="I732" s="7"/>
      <c r="J732" s="7"/>
      <c r="K732" s="7"/>
      <c r="L732" s="7"/>
      <c r="M732" s="52"/>
      <c r="N732" s="7"/>
      <c r="O732" s="7"/>
      <c r="P732" s="47"/>
      <c r="Q732" s="47"/>
      <c r="R732" s="7"/>
      <c r="S732" s="51"/>
      <c r="T732" s="51"/>
      <c r="U732" s="7"/>
      <c r="V732" s="57"/>
      <c r="W732" s="57"/>
      <c r="X732" s="57"/>
    </row>
    <row r="733" spans="1:24" ht="12.5" x14ac:dyDescent="0.25">
      <c r="A733" s="34"/>
      <c r="B733" s="7"/>
      <c r="C733" s="19"/>
      <c r="D733" s="7"/>
      <c r="E733" s="7"/>
      <c r="F733" s="7"/>
      <c r="G733" s="7"/>
      <c r="H733" s="6"/>
      <c r="I733" s="7"/>
      <c r="J733" s="7"/>
      <c r="K733" s="7"/>
      <c r="L733" s="7"/>
      <c r="M733" s="52"/>
      <c r="N733" s="7"/>
      <c r="O733" s="7"/>
      <c r="P733" s="47"/>
      <c r="Q733" s="47"/>
      <c r="R733" s="7"/>
      <c r="S733" s="51"/>
      <c r="T733" s="51"/>
      <c r="U733" s="7"/>
      <c r="V733" s="57"/>
      <c r="W733" s="57"/>
      <c r="X733" s="57"/>
    </row>
    <row r="734" spans="1:24" ht="12.5" x14ac:dyDescent="0.25">
      <c r="A734" s="34"/>
      <c r="B734" s="7"/>
      <c r="C734" s="19"/>
      <c r="D734" s="7"/>
      <c r="E734" s="7"/>
      <c r="F734" s="7"/>
      <c r="G734" s="7"/>
      <c r="H734" s="6"/>
      <c r="I734" s="7"/>
      <c r="J734" s="7"/>
      <c r="K734" s="7"/>
      <c r="L734" s="7"/>
      <c r="M734" s="52"/>
      <c r="N734" s="7"/>
      <c r="O734" s="7"/>
      <c r="P734" s="47"/>
      <c r="Q734" s="47"/>
      <c r="R734" s="7"/>
      <c r="S734" s="51"/>
      <c r="T734" s="51"/>
      <c r="U734" s="7"/>
      <c r="V734" s="57"/>
      <c r="W734" s="57"/>
      <c r="X734" s="57"/>
    </row>
    <row r="735" spans="1:24" ht="12.5" x14ac:dyDescent="0.25">
      <c r="A735" s="34"/>
      <c r="B735" s="7"/>
      <c r="C735" s="19"/>
      <c r="D735" s="7"/>
      <c r="E735" s="7"/>
      <c r="F735" s="7"/>
      <c r="G735" s="7"/>
      <c r="H735" s="6"/>
      <c r="I735" s="7"/>
      <c r="J735" s="7"/>
      <c r="K735" s="7"/>
      <c r="L735" s="7"/>
      <c r="M735" s="52"/>
      <c r="N735" s="7"/>
      <c r="O735" s="7"/>
      <c r="P735" s="47"/>
      <c r="Q735" s="47"/>
      <c r="R735" s="7"/>
      <c r="S735" s="51"/>
      <c r="T735" s="51"/>
      <c r="U735" s="7"/>
      <c r="V735" s="57"/>
      <c r="W735" s="57"/>
      <c r="X735" s="57"/>
    </row>
    <row r="736" spans="1:24" ht="12.5" x14ac:dyDescent="0.25">
      <c r="A736" s="34"/>
      <c r="B736" s="7"/>
      <c r="C736" s="19"/>
      <c r="D736" s="7"/>
      <c r="E736" s="7"/>
      <c r="F736" s="7"/>
      <c r="G736" s="7"/>
      <c r="H736" s="6"/>
      <c r="I736" s="7"/>
      <c r="J736" s="7"/>
      <c r="K736" s="7"/>
      <c r="L736" s="7"/>
      <c r="M736" s="52"/>
      <c r="N736" s="7"/>
      <c r="O736" s="7"/>
      <c r="P736" s="47"/>
      <c r="Q736" s="47"/>
      <c r="R736" s="7"/>
      <c r="S736" s="51"/>
      <c r="T736" s="51"/>
      <c r="U736" s="7"/>
      <c r="V736" s="57"/>
      <c r="W736" s="57"/>
      <c r="X736" s="57"/>
    </row>
    <row r="737" spans="1:24" ht="12.5" x14ac:dyDescent="0.25">
      <c r="A737" s="34"/>
      <c r="B737" s="7"/>
      <c r="C737" s="19"/>
      <c r="D737" s="7"/>
      <c r="E737" s="7"/>
      <c r="F737" s="7"/>
      <c r="G737" s="7"/>
      <c r="H737" s="6"/>
      <c r="I737" s="7"/>
      <c r="J737" s="7"/>
      <c r="K737" s="7"/>
      <c r="L737" s="7"/>
      <c r="M737" s="52"/>
      <c r="N737" s="7"/>
      <c r="O737" s="7"/>
      <c r="P737" s="47"/>
      <c r="Q737" s="47"/>
      <c r="R737" s="7"/>
      <c r="S737" s="51"/>
      <c r="T737" s="51"/>
      <c r="U737" s="7"/>
      <c r="V737" s="57"/>
      <c r="W737" s="57"/>
      <c r="X737" s="57"/>
    </row>
    <row r="738" spans="1:24" ht="12.5" x14ac:dyDescent="0.25">
      <c r="A738" s="34"/>
      <c r="B738" s="7"/>
      <c r="C738" s="19"/>
      <c r="D738" s="7"/>
      <c r="E738" s="7"/>
      <c r="F738" s="7"/>
      <c r="G738" s="7"/>
      <c r="H738" s="6"/>
      <c r="I738" s="7"/>
      <c r="J738" s="7"/>
      <c r="K738" s="7"/>
      <c r="L738" s="7"/>
      <c r="M738" s="52"/>
      <c r="N738" s="7"/>
      <c r="O738" s="7"/>
      <c r="P738" s="47"/>
      <c r="Q738" s="47"/>
      <c r="R738" s="7"/>
      <c r="S738" s="51"/>
      <c r="T738" s="51"/>
      <c r="U738" s="7"/>
      <c r="V738" s="57"/>
      <c r="W738" s="57"/>
      <c r="X738" s="57"/>
    </row>
    <row r="739" spans="1:24" ht="12.5" x14ac:dyDescent="0.25">
      <c r="A739" s="34"/>
      <c r="B739" s="7"/>
      <c r="C739" s="19"/>
      <c r="D739" s="7"/>
      <c r="E739" s="7"/>
      <c r="F739" s="7"/>
      <c r="G739" s="7"/>
      <c r="H739" s="6"/>
      <c r="I739" s="7"/>
      <c r="J739" s="7"/>
      <c r="K739" s="7"/>
      <c r="L739" s="7"/>
      <c r="M739" s="52"/>
      <c r="N739" s="7"/>
      <c r="O739" s="7"/>
      <c r="P739" s="47"/>
      <c r="Q739" s="47"/>
      <c r="R739" s="7"/>
      <c r="S739" s="51"/>
      <c r="T739" s="51"/>
      <c r="U739" s="7"/>
      <c r="V739" s="57"/>
      <c r="W739" s="57"/>
      <c r="X739" s="57"/>
    </row>
    <row r="740" spans="1:24" ht="12.5" x14ac:dyDescent="0.25">
      <c r="A740" s="34"/>
      <c r="B740" s="7"/>
      <c r="C740" s="19"/>
      <c r="D740" s="7"/>
      <c r="E740" s="7"/>
      <c r="F740" s="7"/>
      <c r="G740" s="7"/>
      <c r="H740" s="6"/>
      <c r="I740" s="7"/>
      <c r="J740" s="7"/>
      <c r="K740" s="7"/>
      <c r="L740" s="7"/>
      <c r="M740" s="52"/>
      <c r="N740" s="7"/>
      <c r="O740" s="7"/>
      <c r="P740" s="47"/>
      <c r="Q740" s="47"/>
      <c r="R740" s="7"/>
      <c r="S740" s="51"/>
      <c r="T740" s="51"/>
      <c r="U740" s="7"/>
      <c r="V740" s="57"/>
      <c r="W740" s="57"/>
      <c r="X740" s="57"/>
    </row>
    <row r="741" spans="1:24" ht="12.5" x14ac:dyDescent="0.25">
      <c r="A741" s="34"/>
      <c r="B741" s="7"/>
      <c r="C741" s="19"/>
      <c r="D741" s="7"/>
      <c r="E741" s="7"/>
      <c r="F741" s="7"/>
      <c r="G741" s="7"/>
      <c r="H741" s="6"/>
      <c r="I741" s="7"/>
      <c r="J741" s="7"/>
      <c r="K741" s="7"/>
      <c r="L741" s="7"/>
      <c r="M741" s="52"/>
      <c r="N741" s="7"/>
      <c r="O741" s="7"/>
      <c r="P741" s="47"/>
      <c r="Q741" s="47"/>
      <c r="R741" s="7"/>
      <c r="S741" s="51"/>
      <c r="T741" s="51"/>
      <c r="U741" s="7"/>
      <c r="V741" s="57"/>
      <c r="W741" s="57"/>
      <c r="X741" s="57"/>
    </row>
    <row r="742" spans="1:24" ht="12.5" x14ac:dyDescent="0.25">
      <c r="A742" s="34"/>
      <c r="B742" s="7"/>
      <c r="C742" s="19"/>
      <c r="D742" s="7"/>
      <c r="E742" s="7"/>
      <c r="F742" s="7"/>
      <c r="G742" s="7"/>
      <c r="H742" s="6"/>
      <c r="I742" s="7"/>
      <c r="J742" s="7"/>
      <c r="K742" s="7"/>
      <c r="L742" s="7"/>
      <c r="M742" s="52"/>
      <c r="N742" s="7"/>
      <c r="O742" s="7"/>
      <c r="P742" s="47"/>
      <c r="Q742" s="47"/>
      <c r="R742" s="7"/>
      <c r="S742" s="51"/>
      <c r="T742" s="51"/>
      <c r="U742" s="7"/>
      <c r="V742" s="57"/>
      <c r="W742" s="57"/>
      <c r="X742" s="57"/>
    </row>
    <row r="743" spans="1:24" ht="12.5" x14ac:dyDescent="0.25">
      <c r="A743" s="34"/>
      <c r="B743" s="7"/>
      <c r="C743" s="19"/>
      <c r="D743" s="7"/>
      <c r="E743" s="7"/>
      <c r="F743" s="7"/>
      <c r="G743" s="7"/>
      <c r="H743" s="6"/>
      <c r="I743" s="7"/>
      <c r="J743" s="7"/>
      <c r="K743" s="7"/>
      <c r="L743" s="7"/>
      <c r="M743" s="52"/>
      <c r="N743" s="7"/>
      <c r="O743" s="7"/>
      <c r="P743" s="47"/>
      <c r="Q743" s="47"/>
      <c r="R743" s="7"/>
      <c r="S743" s="51"/>
      <c r="T743" s="51"/>
      <c r="U743" s="7"/>
      <c r="V743" s="57"/>
      <c r="W743" s="57"/>
      <c r="X743" s="57"/>
    </row>
    <row r="744" spans="1:24" ht="12.5" x14ac:dyDescent="0.25">
      <c r="A744" s="34"/>
      <c r="B744" s="7"/>
      <c r="C744" s="19"/>
      <c r="D744" s="7"/>
      <c r="E744" s="7"/>
      <c r="F744" s="7"/>
      <c r="G744" s="7"/>
      <c r="H744" s="6"/>
      <c r="I744" s="7"/>
      <c r="J744" s="7"/>
      <c r="K744" s="7"/>
      <c r="L744" s="7"/>
      <c r="M744" s="52"/>
      <c r="N744" s="7"/>
      <c r="O744" s="7"/>
      <c r="P744" s="47"/>
      <c r="Q744" s="47"/>
      <c r="R744" s="7"/>
      <c r="S744" s="51"/>
      <c r="T744" s="51"/>
      <c r="U744" s="7"/>
      <c r="V744" s="57"/>
      <c r="W744" s="57"/>
      <c r="X744" s="57"/>
    </row>
    <row r="745" spans="1:24" ht="12.5" x14ac:dyDescent="0.25">
      <c r="A745" s="34"/>
      <c r="B745" s="7"/>
      <c r="C745" s="19"/>
      <c r="D745" s="7"/>
      <c r="E745" s="7"/>
      <c r="F745" s="7"/>
      <c r="G745" s="7"/>
      <c r="H745" s="6"/>
      <c r="I745" s="7"/>
      <c r="J745" s="7"/>
      <c r="K745" s="7"/>
      <c r="L745" s="7"/>
      <c r="M745" s="52"/>
      <c r="N745" s="7"/>
      <c r="O745" s="7"/>
      <c r="P745" s="47"/>
      <c r="Q745" s="47"/>
      <c r="R745" s="7"/>
      <c r="S745" s="51"/>
      <c r="T745" s="51"/>
      <c r="U745" s="7"/>
      <c r="V745" s="57"/>
      <c r="W745" s="57"/>
      <c r="X745" s="57"/>
    </row>
    <row r="746" spans="1:24" ht="12.5" x14ac:dyDescent="0.25">
      <c r="A746" s="34"/>
      <c r="B746" s="7"/>
      <c r="C746" s="19"/>
      <c r="D746" s="7"/>
      <c r="E746" s="7"/>
      <c r="F746" s="7"/>
      <c r="G746" s="7"/>
      <c r="H746" s="6"/>
      <c r="I746" s="7"/>
      <c r="J746" s="7"/>
      <c r="K746" s="7"/>
      <c r="L746" s="7"/>
      <c r="M746" s="52"/>
      <c r="N746" s="7"/>
      <c r="O746" s="7"/>
      <c r="P746" s="47"/>
      <c r="Q746" s="47"/>
      <c r="R746" s="7"/>
      <c r="S746" s="51"/>
      <c r="T746" s="51"/>
      <c r="U746" s="7"/>
      <c r="V746" s="57"/>
      <c r="W746" s="57"/>
      <c r="X746" s="57"/>
    </row>
    <row r="747" spans="1:24" ht="12.5" x14ac:dyDescent="0.25">
      <c r="A747" s="34"/>
      <c r="B747" s="7"/>
      <c r="C747" s="19"/>
      <c r="D747" s="7"/>
      <c r="E747" s="7"/>
      <c r="F747" s="7"/>
      <c r="G747" s="7"/>
      <c r="H747" s="6"/>
      <c r="I747" s="7"/>
      <c r="J747" s="7"/>
      <c r="K747" s="7"/>
      <c r="L747" s="7"/>
      <c r="M747" s="52"/>
      <c r="N747" s="7"/>
      <c r="O747" s="7"/>
      <c r="P747" s="47"/>
      <c r="Q747" s="47"/>
      <c r="R747" s="7"/>
      <c r="S747" s="51"/>
      <c r="T747" s="51"/>
      <c r="U747" s="7"/>
      <c r="V747" s="57"/>
      <c r="W747" s="57"/>
      <c r="X747" s="57"/>
    </row>
    <row r="748" spans="1:24" ht="12.5" x14ac:dyDescent="0.25">
      <c r="A748" s="34"/>
      <c r="B748" s="7"/>
      <c r="C748" s="19"/>
      <c r="D748" s="7"/>
      <c r="E748" s="7"/>
      <c r="F748" s="7"/>
      <c r="G748" s="7"/>
      <c r="H748" s="6"/>
      <c r="I748" s="7"/>
      <c r="J748" s="7"/>
      <c r="K748" s="7"/>
      <c r="L748" s="7"/>
      <c r="M748" s="52"/>
      <c r="N748" s="7"/>
      <c r="O748" s="7"/>
      <c r="P748" s="47"/>
      <c r="Q748" s="47"/>
      <c r="R748" s="7"/>
      <c r="S748" s="51"/>
      <c r="T748" s="51"/>
      <c r="U748" s="7"/>
      <c r="V748" s="57"/>
      <c r="W748" s="57"/>
      <c r="X748" s="57"/>
    </row>
    <row r="749" spans="1:24" ht="12.5" x14ac:dyDescent="0.25">
      <c r="A749" s="34"/>
      <c r="B749" s="7"/>
      <c r="C749" s="19"/>
      <c r="D749" s="7"/>
      <c r="E749" s="7"/>
      <c r="F749" s="7"/>
      <c r="G749" s="7"/>
      <c r="H749" s="6"/>
      <c r="I749" s="7"/>
      <c r="J749" s="7"/>
      <c r="K749" s="7"/>
      <c r="L749" s="7"/>
      <c r="M749" s="52"/>
      <c r="N749" s="7"/>
      <c r="O749" s="7"/>
      <c r="P749" s="47"/>
      <c r="Q749" s="47"/>
      <c r="R749" s="7"/>
      <c r="S749" s="51"/>
      <c r="T749" s="51"/>
      <c r="U749" s="7"/>
      <c r="V749" s="57"/>
      <c r="W749" s="57"/>
      <c r="X749" s="57"/>
    </row>
    <row r="750" spans="1:24" ht="12.5" x14ac:dyDescent="0.25">
      <c r="A750" s="34"/>
      <c r="B750" s="7"/>
      <c r="C750" s="19"/>
      <c r="D750" s="7"/>
      <c r="E750" s="7"/>
      <c r="F750" s="7"/>
      <c r="G750" s="7"/>
      <c r="H750" s="6"/>
      <c r="I750" s="7"/>
      <c r="J750" s="7"/>
      <c r="K750" s="7"/>
      <c r="L750" s="7"/>
      <c r="M750" s="52"/>
      <c r="N750" s="7"/>
      <c r="O750" s="7"/>
      <c r="P750" s="47"/>
      <c r="Q750" s="47"/>
      <c r="R750" s="7"/>
      <c r="S750" s="51"/>
      <c r="T750" s="51"/>
      <c r="U750" s="7"/>
      <c r="V750" s="57"/>
      <c r="W750" s="57"/>
      <c r="X750" s="57"/>
    </row>
    <row r="751" spans="1:24" ht="12.5" x14ac:dyDescent="0.25">
      <c r="A751" s="34"/>
      <c r="B751" s="7"/>
      <c r="C751" s="19"/>
      <c r="D751" s="7"/>
      <c r="E751" s="7"/>
      <c r="F751" s="7"/>
      <c r="G751" s="7"/>
      <c r="H751" s="6"/>
      <c r="I751" s="7"/>
      <c r="J751" s="7"/>
      <c r="K751" s="7"/>
      <c r="L751" s="7"/>
      <c r="M751" s="52"/>
      <c r="N751" s="7"/>
      <c r="O751" s="7"/>
      <c r="P751" s="47"/>
      <c r="Q751" s="47"/>
      <c r="R751" s="7"/>
      <c r="S751" s="51"/>
      <c r="T751" s="51"/>
      <c r="U751" s="7"/>
      <c r="V751" s="57"/>
      <c r="W751" s="57"/>
      <c r="X751" s="57"/>
    </row>
    <row r="752" spans="1:24" ht="12.5" x14ac:dyDescent="0.25">
      <c r="A752" s="34"/>
      <c r="B752" s="7"/>
      <c r="C752" s="19"/>
      <c r="D752" s="7"/>
      <c r="E752" s="7"/>
      <c r="F752" s="7"/>
      <c r="G752" s="7"/>
      <c r="H752" s="6"/>
      <c r="I752" s="7"/>
      <c r="J752" s="7"/>
      <c r="K752" s="7"/>
      <c r="L752" s="7"/>
      <c r="M752" s="52"/>
      <c r="N752" s="7"/>
      <c r="O752" s="7"/>
      <c r="P752" s="47"/>
      <c r="Q752" s="47"/>
      <c r="R752" s="7"/>
      <c r="S752" s="51"/>
      <c r="T752" s="51"/>
      <c r="U752" s="7"/>
      <c r="V752" s="57"/>
      <c r="W752" s="57"/>
      <c r="X752" s="57"/>
    </row>
    <row r="753" spans="1:24" ht="12.5" x14ac:dyDescent="0.25">
      <c r="A753" s="34"/>
      <c r="B753" s="7"/>
      <c r="C753" s="19"/>
      <c r="D753" s="7"/>
      <c r="E753" s="7"/>
      <c r="F753" s="7"/>
      <c r="G753" s="7"/>
      <c r="H753" s="6"/>
      <c r="I753" s="7"/>
      <c r="J753" s="7"/>
      <c r="K753" s="7"/>
      <c r="L753" s="7"/>
      <c r="M753" s="52"/>
      <c r="N753" s="7"/>
      <c r="O753" s="7"/>
      <c r="P753" s="47"/>
      <c r="Q753" s="47"/>
      <c r="R753" s="7"/>
      <c r="S753" s="51"/>
      <c r="T753" s="51"/>
      <c r="U753" s="7"/>
      <c r="V753" s="57"/>
      <c r="W753" s="57"/>
      <c r="X753" s="57"/>
    </row>
    <row r="754" spans="1:24" ht="12.5" x14ac:dyDescent="0.25">
      <c r="A754" s="34"/>
      <c r="B754" s="7"/>
      <c r="C754" s="19"/>
      <c r="D754" s="7"/>
      <c r="E754" s="7"/>
      <c r="F754" s="7"/>
      <c r="G754" s="7"/>
      <c r="H754" s="6"/>
      <c r="I754" s="7"/>
      <c r="J754" s="7"/>
      <c r="K754" s="7"/>
      <c r="L754" s="7"/>
      <c r="M754" s="52"/>
      <c r="N754" s="7"/>
      <c r="O754" s="7"/>
      <c r="P754" s="47"/>
      <c r="Q754" s="47"/>
      <c r="R754" s="7"/>
      <c r="S754" s="51"/>
      <c r="T754" s="51"/>
      <c r="U754" s="7"/>
      <c r="V754" s="57"/>
      <c r="W754" s="57"/>
      <c r="X754" s="57"/>
    </row>
    <row r="755" spans="1:24" ht="12.5" x14ac:dyDescent="0.25">
      <c r="A755" s="34"/>
      <c r="B755" s="7"/>
      <c r="C755" s="19"/>
      <c r="D755" s="7"/>
      <c r="E755" s="7"/>
      <c r="F755" s="7"/>
      <c r="G755" s="7"/>
      <c r="H755" s="6"/>
      <c r="I755" s="7"/>
      <c r="J755" s="7"/>
      <c r="K755" s="7"/>
      <c r="L755" s="7"/>
      <c r="M755" s="52"/>
      <c r="N755" s="7"/>
      <c r="O755" s="7"/>
      <c r="P755" s="47"/>
      <c r="Q755" s="47"/>
      <c r="R755" s="7"/>
      <c r="S755" s="51"/>
      <c r="T755" s="51"/>
      <c r="U755" s="7"/>
      <c r="V755" s="57"/>
      <c r="W755" s="57"/>
      <c r="X755" s="57"/>
    </row>
    <row r="756" spans="1:24" ht="12.5" x14ac:dyDescent="0.25">
      <c r="A756" s="34"/>
      <c r="B756" s="7"/>
      <c r="C756" s="19"/>
      <c r="D756" s="7"/>
      <c r="E756" s="7"/>
      <c r="F756" s="7"/>
      <c r="G756" s="7"/>
      <c r="H756" s="6"/>
      <c r="I756" s="7"/>
      <c r="J756" s="7"/>
      <c r="K756" s="7"/>
      <c r="L756" s="7"/>
      <c r="M756" s="52"/>
      <c r="N756" s="7"/>
      <c r="O756" s="7"/>
      <c r="P756" s="47"/>
      <c r="Q756" s="47"/>
      <c r="R756" s="7"/>
      <c r="S756" s="51"/>
      <c r="T756" s="51"/>
      <c r="U756" s="7"/>
      <c r="V756" s="57"/>
      <c r="W756" s="57"/>
      <c r="X756" s="57"/>
    </row>
    <row r="757" spans="1:24" ht="12.5" x14ac:dyDescent="0.25">
      <c r="A757" s="34"/>
      <c r="B757" s="7"/>
      <c r="C757" s="19"/>
      <c r="D757" s="7"/>
      <c r="E757" s="7"/>
      <c r="F757" s="7"/>
      <c r="G757" s="7"/>
      <c r="H757" s="6"/>
      <c r="I757" s="7"/>
      <c r="J757" s="7"/>
      <c r="K757" s="7"/>
      <c r="L757" s="7"/>
      <c r="M757" s="52"/>
      <c r="N757" s="7"/>
      <c r="O757" s="7"/>
      <c r="P757" s="47"/>
      <c r="Q757" s="47"/>
      <c r="R757" s="7"/>
      <c r="S757" s="51"/>
      <c r="T757" s="51"/>
      <c r="U757" s="7"/>
      <c r="V757" s="57"/>
      <c r="W757" s="57"/>
      <c r="X757" s="57"/>
    </row>
    <row r="758" spans="1:24" ht="12.5" x14ac:dyDescent="0.25">
      <c r="A758" s="34"/>
      <c r="B758" s="7"/>
      <c r="C758" s="19"/>
      <c r="D758" s="7"/>
      <c r="E758" s="7"/>
      <c r="F758" s="7"/>
      <c r="G758" s="7"/>
      <c r="H758" s="6"/>
      <c r="I758" s="7"/>
      <c r="J758" s="7"/>
      <c r="K758" s="7"/>
      <c r="L758" s="7"/>
      <c r="M758" s="52"/>
      <c r="N758" s="7"/>
      <c r="O758" s="7"/>
      <c r="P758" s="47"/>
      <c r="Q758" s="47"/>
      <c r="R758" s="7"/>
      <c r="S758" s="51"/>
      <c r="T758" s="51"/>
      <c r="U758" s="7"/>
      <c r="V758" s="57"/>
      <c r="W758" s="57"/>
      <c r="X758" s="57"/>
    </row>
    <row r="759" spans="1:24" ht="12.5" x14ac:dyDescent="0.25">
      <c r="A759" s="34"/>
      <c r="B759" s="7"/>
      <c r="C759" s="19"/>
      <c r="D759" s="7"/>
      <c r="E759" s="7"/>
      <c r="F759" s="7"/>
      <c r="G759" s="7"/>
      <c r="H759" s="6"/>
      <c r="I759" s="7"/>
      <c r="J759" s="7"/>
      <c r="K759" s="7"/>
      <c r="L759" s="7"/>
      <c r="M759" s="52"/>
      <c r="N759" s="7"/>
      <c r="O759" s="7"/>
      <c r="P759" s="47"/>
      <c r="Q759" s="47"/>
      <c r="R759" s="7"/>
      <c r="S759" s="51"/>
      <c r="T759" s="51"/>
      <c r="U759" s="7"/>
      <c r="V759" s="57"/>
      <c r="W759" s="57"/>
      <c r="X759" s="57"/>
    </row>
    <row r="760" spans="1:24" ht="12.5" x14ac:dyDescent="0.25">
      <c r="A760" s="34"/>
      <c r="B760" s="7"/>
      <c r="C760" s="19"/>
      <c r="D760" s="7"/>
      <c r="E760" s="7"/>
      <c r="F760" s="7"/>
      <c r="G760" s="7"/>
      <c r="H760" s="6"/>
      <c r="I760" s="7"/>
      <c r="J760" s="7"/>
      <c r="K760" s="7"/>
      <c r="L760" s="7"/>
      <c r="M760" s="52"/>
      <c r="N760" s="7"/>
      <c r="O760" s="7"/>
      <c r="P760" s="47"/>
      <c r="Q760" s="47"/>
      <c r="R760" s="7"/>
      <c r="S760" s="51"/>
      <c r="T760" s="51"/>
      <c r="U760" s="7"/>
      <c r="V760" s="57"/>
      <c r="W760" s="57"/>
      <c r="X760" s="57"/>
    </row>
    <row r="761" spans="1:24" ht="12.5" x14ac:dyDescent="0.25">
      <c r="A761" s="34"/>
      <c r="B761" s="7"/>
      <c r="C761" s="19"/>
      <c r="D761" s="7"/>
      <c r="E761" s="7"/>
      <c r="F761" s="7"/>
      <c r="G761" s="7"/>
      <c r="H761" s="6"/>
      <c r="I761" s="7"/>
      <c r="J761" s="7"/>
      <c r="K761" s="7"/>
      <c r="L761" s="7"/>
      <c r="M761" s="52"/>
      <c r="N761" s="7"/>
      <c r="O761" s="7"/>
      <c r="P761" s="47"/>
      <c r="Q761" s="47"/>
      <c r="R761" s="7"/>
      <c r="S761" s="51"/>
      <c r="T761" s="51"/>
      <c r="U761" s="7"/>
      <c r="V761" s="57"/>
      <c r="W761" s="57"/>
      <c r="X761" s="57"/>
    </row>
    <row r="762" spans="1:24" ht="12.5" x14ac:dyDescent="0.25">
      <c r="A762" s="34"/>
      <c r="B762" s="7"/>
      <c r="C762" s="19"/>
      <c r="D762" s="7"/>
      <c r="E762" s="7"/>
      <c r="F762" s="7"/>
      <c r="G762" s="7"/>
      <c r="H762" s="6"/>
      <c r="I762" s="7"/>
      <c r="J762" s="7"/>
      <c r="K762" s="7"/>
      <c r="L762" s="7"/>
      <c r="M762" s="52"/>
      <c r="N762" s="7"/>
      <c r="O762" s="7"/>
      <c r="P762" s="47"/>
      <c r="Q762" s="47"/>
      <c r="R762" s="7"/>
      <c r="S762" s="51"/>
      <c r="T762" s="51"/>
      <c r="U762" s="7"/>
      <c r="V762" s="57"/>
      <c r="W762" s="57"/>
      <c r="X762" s="57"/>
    </row>
    <row r="763" spans="1:24" ht="12.5" x14ac:dyDescent="0.25">
      <c r="A763" s="34"/>
      <c r="B763" s="7"/>
      <c r="C763" s="19"/>
      <c r="D763" s="7"/>
      <c r="E763" s="7"/>
      <c r="F763" s="7"/>
      <c r="G763" s="7"/>
      <c r="H763" s="6"/>
      <c r="I763" s="7"/>
      <c r="J763" s="7"/>
      <c r="K763" s="7"/>
      <c r="L763" s="7"/>
      <c r="M763" s="52"/>
      <c r="N763" s="7"/>
      <c r="O763" s="7"/>
      <c r="P763" s="47"/>
      <c r="Q763" s="47"/>
      <c r="R763" s="7"/>
      <c r="S763" s="51"/>
      <c r="T763" s="51"/>
      <c r="U763" s="7"/>
      <c r="V763" s="57"/>
      <c r="W763" s="57"/>
      <c r="X763" s="57"/>
    </row>
    <row r="764" spans="1:24" ht="12.5" x14ac:dyDescent="0.25">
      <c r="A764" s="34"/>
      <c r="B764" s="7"/>
      <c r="C764" s="19"/>
      <c r="D764" s="7"/>
      <c r="E764" s="7"/>
      <c r="F764" s="7"/>
      <c r="G764" s="7"/>
      <c r="H764" s="6"/>
      <c r="I764" s="7"/>
      <c r="J764" s="7"/>
      <c r="K764" s="7"/>
      <c r="L764" s="7"/>
      <c r="M764" s="52"/>
      <c r="N764" s="7"/>
      <c r="O764" s="7"/>
      <c r="P764" s="47"/>
      <c r="Q764" s="47"/>
      <c r="R764" s="7"/>
      <c r="S764" s="51"/>
      <c r="T764" s="51"/>
      <c r="U764" s="7"/>
      <c r="V764" s="57"/>
      <c r="W764" s="57"/>
      <c r="X764" s="57"/>
    </row>
    <row r="765" spans="1:24" ht="12.5" x14ac:dyDescent="0.25">
      <c r="A765" s="34"/>
      <c r="B765" s="7"/>
      <c r="C765" s="19"/>
      <c r="D765" s="7"/>
      <c r="E765" s="7"/>
      <c r="F765" s="7"/>
      <c r="G765" s="7"/>
      <c r="H765" s="6"/>
      <c r="I765" s="7"/>
      <c r="J765" s="7"/>
      <c r="K765" s="7"/>
      <c r="L765" s="7"/>
      <c r="M765" s="52"/>
      <c r="N765" s="7"/>
      <c r="O765" s="7"/>
      <c r="P765" s="47"/>
      <c r="Q765" s="47"/>
      <c r="R765" s="7"/>
      <c r="S765" s="51"/>
      <c r="T765" s="51"/>
      <c r="U765" s="7"/>
      <c r="V765" s="57"/>
      <c r="W765" s="57"/>
      <c r="X765" s="57"/>
    </row>
    <row r="766" spans="1:24" ht="12.5" x14ac:dyDescent="0.25">
      <c r="A766" s="34"/>
      <c r="B766" s="7"/>
      <c r="C766" s="19"/>
      <c r="D766" s="7"/>
      <c r="E766" s="7"/>
      <c r="F766" s="7"/>
      <c r="G766" s="7"/>
      <c r="H766" s="6"/>
      <c r="I766" s="7"/>
      <c r="J766" s="7"/>
      <c r="K766" s="7"/>
      <c r="L766" s="7"/>
      <c r="M766" s="52"/>
      <c r="N766" s="7"/>
      <c r="O766" s="7"/>
      <c r="P766" s="47"/>
      <c r="Q766" s="47"/>
      <c r="R766" s="7"/>
      <c r="S766" s="51"/>
      <c r="T766" s="51"/>
      <c r="U766" s="7"/>
      <c r="V766" s="57"/>
      <c r="W766" s="57"/>
      <c r="X766" s="57"/>
    </row>
    <row r="767" spans="1:24" ht="12.5" x14ac:dyDescent="0.25">
      <c r="A767" s="34"/>
      <c r="B767" s="7"/>
      <c r="C767" s="19"/>
      <c r="D767" s="7"/>
      <c r="E767" s="7"/>
      <c r="F767" s="7"/>
      <c r="G767" s="7"/>
      <c r="H767" s="6"/>
      <c r="I767" s="7"/>
      <c r="J767" s="7"/>
      <c r="K767" s="7"/>
      <c r="L767" s="7"/>
      <c r="M767" s="52"/>
      <c r="N767" s="7"/>
      <c r="O767" s="7"/>
      <c r="P767" s="47"/>
      <c r="Q767" s="47"/>
      <c r="R767" s="7"/>
      <c r="S767" s="51"/>
      <c r="T767" s="51"/>
      <c r="U767" s="7"/>
      <c r="V767" s="57"/>
      <c r="W767" s="57"/>
      <c r="X767" s="57"/>
    </row>
    <row r="768" spans="1:24" ht="12.5" x14ac:dyDescent="0.25">
      <c r="A768" s="34"/>
      <c r="B768" s="7"/>
      <c r="C768" s="19"/>
      <c r="D768" s="7"/>
      <c r="E768" s="7"/>
      <c r="F768" s="7"/>
      <c r="G768" s="7"/>
      <c r="H768" s="6"/>
      <c r="I768" s="7"/>
      <c r="J768" s="7"/>
      <c r="K768" s="7"/>
      <c r="L768" s="7"/>
      <c r="M768" s="52"/>
      <c r="N768" s="7"/>
      <c r="O768" s="7"/>
      <c r="P768" s="47"/>
      <c r="Q768" s="47"/>
      <c r="R768" s="7"/>
      <c r="S768" s="51"/>
      <c r="T768" s="51"/>
      <c r="U768" s="7"/>
      <c r="V768" s="57"/>
      <c r="W768" s="57"/>
      <c r="X768" s="57"/>
    </row>
    <row r="769" spans="1:24" ht="12.5" x14ac:dyDescent="0.25">
      <c r="A769" s="34"/>
      <c r="B769" s="7"/>
      <c r="C769" s="19"/>
      <c r="D769" s="7"/>
      <c r="E769" s="7"/>
      <c r="F769" s="7"/>
      <c r="G769" s="7"/>
      <c r="H769" s="6"/>
      <c r="I769" s="7"/>
      <c r="J769" s="7"/>
      <c r="K769" s="7"/>
      <c r="L769" s="7"/>
      <c r="M769" s="52"/>
      <c r="N769" s="7"/>
      <c r="O769" s="7"/>
      <c r="P769" s="47"/>
      <c r="Q769" s="47"/>
      <c r="R769" s="7"/>
      <c r="S769" s="51"/>
      <c r="T769" s="51"/>
      <c r="U769" s="7"/>
      <c r="V769" s="57"/>
      <c r="W769" s="57"/>
      <c r="X769" s="57"/>
    </row>
    <row r="770" spans="1:24" ht="12.5" x14ac:dyDescent="0.25">
      <c r="A770" s="34"/>
      <c r="B770" s="7"/>
      <c r="C770" s="19"/>
      <c r="D770" s="7"/>
      <c r="E770" s="7"/>
      <c r="F770" s="7"/>
      <c r="G770" s="7"/>
      <c r="H770" s="6"/>
      <c r="I770" s="7"/>
      <c r="J770" s="7"/>
      <c r="K770" s="7"/>
      <c r="L770" s="7"/>
      <c r="M770" s="52"/>
      <c r="N770" s="7"/>
      <c r="O770" s="7"/>
      <c r="P770" s="47"/>
      <c r="Q770" s="47"/>
      <c r="R770" s="7"/>
      <c r="S770" s="51"/>
      <c r="T770" s="51"/>
      <c r="U770" s="7"/>
      <c r="V770" s="57"/>
      <c r="W770" s="57"/>
      <c r="X770" s="57"/>
    </row>
    <row r="771" spans="1:24" ht="12.5" x14ac:dyDescent="0.25">
      <c r="A771" s="34"/>
      <c r="B771" s="7"/>
      <c r="C771" s="19"/>
      <c r="D771" s="7"/>
      <c r="E771" s="7"/>
      <c r="F771" s="7"/>
      <c r="G771" s="7"/>
      <c r="H771" s="6"/>
      <c r="I771" s="7"/>
      <c r="J771" s="7"/>
      <c r="K771" s="7"/>
      <c r="L771" s="7"/>
      <c r="M771" s="52"/>
      <c r="N771" s="7"/>
      <c r="O771" s="7"/>
      <c r="P771" s="47"/>
      <c r="Q771" s="47"/>
      <c r="R771" s="7"/>
      <c r="S771" s="51"/>
      <c r="T771" s="51"/>
      <c r="U771" s="7"/>
      <c r="V771" s="57"/>
      <c r="W771" s="57"/>
      <c r="X771" s="57"/>
    </row>
    <row r="772" spans="1:24" ht="12.5" x14ac:dyDescent="0.25">
      <c r="A772" s="34"/>
      <c r="B772" s="7"/>
      <c r="C772" s="19"/>
      <c r="D772" s="7"/>
      <c r="E772" s="7"/>
      <c r="F772" s="7"/>
      <c r="G772" s="7"/>
      <c r="H772" s="6"/>
      <c r="I772" s="7"/>
      <c r="J772" s="7"/>
      <c r="K772" s="7"/>
      <c r="L772" s="7"/>
      <c r="M772" s="52"/>
      <c r="N772" s="7"/>
      <c r="O772" s="7"/>
      <c r="P772" s="47"/>
      <c r="Q772" s="47"/>
      <c r="R772" s="7"/>
      <c r="S772" s="51"/>
      <c r="T772" s="51"/>
      <c r="U772" s="7"/>
      <c r="V772" s="57"/>
      <c r="W772" s="57"/>
      <c r="X772" s="57"/>
    </row>
    <row r="773" spans="1:24" ht="12.5" x14ac:dyDescent="0.25">
      <c r="A773" s="34"/>
      <c r="B773" s="7"/>
      <c r="C773" s="19"/>
      <c r="D773" s="7"/>
      <c r="E773" s="7"/>
      <c r="F773" s="7"/>
      <c r="G773" s="7"/>
      <c r="H773" s="6"/>
      <c r="I773" s="7"/>
      <c r="J773" s="7"/>
      <c r="K773" s="7"/>
      <c r="L773" s="7"/>
      <c r="M773" s="52"/>
      <c r="N773" s="7"/>
      <c r="O773" s="7"/>
      <c r="P773" s="47"/>
      <c r="Q773" s="47"/>
      <c r="R773" s="7"/>
      <c r="S773" s="51"/>
      <c r="T773" s="51"/>
      <c r="U773" s="7"/>
      <c r="V773" s="57"/>
      <c r="W773" s="57"/>
      <c r="X773" s="57"/>
    </row>
    <row r="774" spans="1:24" ht="12.5" x14ac:dyDescent="0.25">
      <c r="A774" s="34"/>
      <c r="B774" s="7"/>
      <c r="C774" s="19"/>
      <c r="D774" s="7"/>
      <c r="E774" s="7"/>
      <c r="F774" s="7"/>
      <c r="G774" s="7"/>
      <c r="H774" s="6"/>
      <c r="I774" s="7"/>
      <c r="J774" s="7"/>
      <c r="K774" s="7"/>
      <c r="L774" s="7"/>
      <c r="M774" s="52"/>
      <c r="N774" s="7"/>
      <c r="O774" s="7"/>
      <c r="P774" s="47"/>
      <c r="Q774" s="47"/>
      <c r="R774" s="7"/>
      <c r="S774" s="51"/>
      <c r="T774" s="51"/>
      <c r="U774" s="7"/>
      <c r="V774" s="57"/>
      <c r="W774" s="57"/>
      <c r="X774" s="57"/>
    </row>
    <row r="775" spans="1:24" ht="12.5" x14ac:dyDescent="0.25">
      <c r="A775" s="34"/>
      <c r="B775" s="7"/>
      <c r="C775" s="19"/>
      <c r="D775" s="7"/>
      <c r="E775" s="7"/>
      <c r="F775" s="7"/>
      <c r="G775" s="7"/>
      <c r="H775" s="6"/>
      <c r="I775" s="7"/>
      <c r="J775" s="7"/>
      <c r="K775" s="7"/>
      <c r="L775" s="7"/>
      <c r="M775" s="52"/>
      <c r="N775" s="7"/>
      <c r="O775" s="7"/>
      <c r="P775" s="47"/>
      <c r="Q775" s="47"/>
      <c r="R775" s="7"/>
      <c r="S775" s="51"/>
      <c r="T775" s="51"/>
      <c r="U775" s="7"/>
      <c r="V775" s="57"/>
      <c r="W775" s="57"/>
      <c r="X775" s="57"/>
    </row>
    <row r="776" spans="1:24" ht="12.5" x14ac:dyDescent="0.25">
      <c r="A776" s="34"/>
      <c r="B776" s="7"/>
      <c r="C776" s="19"/>
      <c r="D776" s="7"/>
      <c r="E776" s="7"/>
      <c r="F776" s="7"/>
      <c r="G776" s="7"/>
      <c r="H776" s="6"/>
      <c r="I776" s="7"/>
      <c r="J776" s="7"/>
      <c r="K776" s="7"/>
      <c r="L776" s="7"/>
      <c r="M776" s="52"/>
      <c r="N776" s="7"/>
      <c r="O776" s="7"/>
      <c r="P776" s="47"/>
      <c r="Q776" s="47"/>
      <c r="R776" s="7"/>
      <c r="S776" s="51"/>
      <c r="T776" s="51"/>
      <c r="U776" s="7"/>
      <c r="V776" s="57"/>
      <c r="W776" s="57"/>
      <c r="X776" s="57"/>
    </row>
    <row r="777" spans="1:24" ht="12.5" x14ac:dyDescent="0.25">
      <c r="A777" s="34"/>
      <c r="B777" s="7"/>
      <c r="C777" s="19"/>
      <c r="D777" s="7"/>
      <c r="E777" s="7"/>
      <c r="F777" s="7"/>
      <c r="G777" s="7"/>
      <c r="H777" s="6"/>
      <c r="I777" s="7"/>
      <c r="J777" s="7"/>
      <c r="K777" s="7"/>
      <c r="L777" s="7"/>
      <c r="M777" s="52"/>
      <c r="N777" s="7"/>
      <c r="O777" s="7"/>
      <c r="P777" s="47"/>
      <c r="Q777" s="47"/>
      <c r="R777" s="7"/>
      <c r="S777" s="51"/>
      <c r="T777" s="51"/>
      <c r="U777" s="7"/>
      <c r="V777" s="57"/>
      <c r="W777" s="57"/>
      <c r="X777" s="57"/>
    </row>
    <row r="778" spans="1:24" ht="12.5" x14ac:dyDescent="0.25">
      <c r="A778" s="34"/>
      <c r="B778" s="7"/>
      <c r="C778" s="19"/>
      <c r="D778" s="7"/>
      <c r="E778" s="7"/>
      <c r="F778" s="7"/>
      <c r="G778" s="7"/>
      <c r="H778" s="6"/>
      <c r="I778" s="7"/>
      <c r="J778" s="7"/>
      <c r="K778" s="7"/>
      <c r="L778" s="7"/>
      <c r="M778" s="52"/>
      <c r="N778" s="7"/>
      <c r="O778" s="7"/>
      <c r="P778" s="47"/>
      <c r="Q778" s="47"/>
      <c r="R778" s="7"/>
      <c r="S778" s="51"/>
      <c r="T778" s="51"/>
      <c r="U778" s="7"/>
      <c r="V778" s="57"/>
      <c r="W778" s="57"/>
      <c r="X778" s="57"/>
    </row>
    <row r="779" spans="1:24" ht="12.5" x14ac:dyDescent="0.25">
      <c r="A779" s="34"/>
      <c r="B779" s="7"/>
      <c r="C779" s="19"/>
      <c r="D779" s="7"/>
      <c r="E779" s="7"/>
      <c r="F779" s="7"/>
      <c r="G779" s="7"/>
      <c r="H779" s="6"/>
      <c r="I779" s="7"/>
      <c r="J779" s="7"/>
      <c r="K779" s="7"/>
      <c r="L779" s="7"/>
      <c r="M779" s="52"/>
      <c r="N779" s="7"/>
      <c r="O779" s="7"/>
      <c r="P779" s="47"/>
      <c r="Q779" s="47"/>
      <c r="R779" s="7"/>
      <c r="S779" s="51"/>
      <c r="T779" s="51"/>
      <c r="U779" s="7"/>
      <c r="V779" s="57"/>
      <c r="W779" s="57"/>
      <c r="X779" s="57"/>
    </row>
    <row r="780" spans="1:24" ht="12.5" x14ac:dyDescent="0.25">
      <c r="A780" s="34"/>
      <c r="B780" s="7"/>
      <c r="C780" s="19"/>
      <c r="D780" s="7"/>
      <c r="E780" s="7"/>
      <c r="F780" s="7"/>
      <c r="G780" s="7"/>
      <c r="H780" s="6"/>
      <c r="I780" s="7"/>
      <c r="J780" s="7"/>
      <c r="K780" s="7"/>
      <c r="L780" s="7"/>
      <c r="M780" s="52"/>
      <c r="N780" s="7"/>
      <c r="O780" s="7"/>
      <c r="P780" s="47"/>
      <c r="Q780" s="47"/>
      <c r="R780" s="7"/>
      <c r="S780" s="51"/>
      <c r="T780" s="51"/>
      <c r="U780" s="7"/>
      <c r="V780" s="57"/>
      <c r="W780" s="57"/>
      <c r="X780" s="57"/>
    </row>
    <row r="781" spans="1:24" ht="12.5" x14ac:dyDescent="0.25">
      <c r="A781" s="34"/>
      <c r="B781" s="7"/>
      <c r="C781" s="19"/>
      <c r="D781" s="7"/>
      <c r="E781" s="7"/>
      <c r="F781" s="7"/>
      <c r="G781" s="7"/>
      <c r="H781" s="6"/>
      <c r="I781" s="7"/>
      <c r="J781" s="7"/>
      <c r="K781" s="7"/>
      <c r="L781" s="7"/>
      <c r="M781" s="52"/>
      <c r="N781" s="7"/>
      <c r="O781" s="7"/>
      <c r="P781" s="47"/>
      <c r="Q781" s="47"/>
      <c r="R781" s="7"/>
      <c r="S781" s="51"/>
      <c r="T781" s="51"/>
      <c r="U781" s="7"/>
      <c r="V781" s="57"/>
      <c r="W781" s="57"/>
      <c r="X781" s="57"/>
    </row>
    <row r="782" spans="1:24" ht="12.5" x14ac:dyDescent="0.25">
      <c r="A782" s="34"/>
      <c r="B782" s="7"/>
      <c r="C782" s="19"/>
      <c r="D782" s="7"/>
      <c r="E782" s="7"/>
      <c r="F782" s="7"/>
      <c r="G782" s="7"/>
      <c r="H782" s="6"/>
      <c r="I782" s="7"/>
      <c r="J782" s="7"/>
      <c r="K782" s="7"/>
      <c r="L782" s="7"/>
      <c r="M782" s="52"/>
      <c r="N782" s="7"/>
      <c r="O782" s="7"/>
      <c r="P782" s="47"/>
      <c r="Q782" s="47"/>
      <c r="R782" s="7"/>
      <c r="S782" s="51"/>
      <c r="T782" s="51"/>
      <c r="U782" s="7"/>
      <c r="V782" s="57"/>
      <c r="W782" s="57"/>
      <c r="X782" s="57"/>
    </row>
    <row r="783" spans="1:24" ht="12.5" x14ac:dyDescent="0.25">
      <c r="A783" s="34"/>
      <c r="B783" s="7"/>
      <c r="C783" s="19"/>
      <c r="D783" s="7"/>
      <c r="E783" s="7"/>
      <c r="F783" s="7"/>
      <c r="G783" s="7"/>
      <c r="H783" s="6"/>
      <c r="I783" s="7"/>
      <c r="J783" s="7"/>
      <c r="K783" s="7"/>
      <c r="L783" s="7"/>
      <c r="M783" s="52"/>
      <c r="N783" s="7"/>
      <c r="O783" s="7"/>
      <c r="P783" s="47"/>
      <c r="Q783" s="47"/>
      <c r="R783" s="7"/>
      <c r="S783" s="51"/>
      <c r="T783" s="51"/>
      <c r="U783" s="7"/>
      <c r="V783" s="57"/>
      <c r="W783" s="57"/>
      <c r="X783" s="57"/>
    </row>
    <row r="784" spans="1:24" ht="12.5" x14ac:dyDescent="0.25">
      <c r="A784" s="34"/>
      <c r="B784" s="7"/>
      <c r="C784" s="19"/>
      <c r="D784" s="7"/>
      <c r="E784" s="7"/>
      <c r="F784" s="7"/>
      <c r="G784" s="7"/>
      <c r="H784" s="6"/>
      <c r="I784" s="7"/>
      <c r="J784" s="7"/>
      <c r="K784" s="7"/>
      <c r="L784" s="7"/>
      <c r="M784" s="52"/>
      <c r="N784" s="7"/>
      <c r="O784" s="7"/>
      <c r="P784" s="47"/>
      <c r="Q784" s="47"/>
      <c r="R784" s="7"/>
      <c r="S784" s="51"/>
      <c r="T784" s="51"/>
      <c r="U784" s="7"/>
      <c r="V784" s="57"/>
      <c r="W784" s="57"/>
      <c r="X784" s="57"/>
    </row>
    <row r="785" spans="1:24" ht="12.5" x14ac:dyDescent="0.25">
      <c r="A785" s="34"/>
      <c r="B785" s="7"/>
      <c r="C785" s="19"/>
      <c r="D785" s="7"/>
      <c r="E785" s="7"/>
      <c r="F785" s="7"/>
      <c r="G785" s="7"/>
      <c r="H785" s="6"/>
      <c r="I785" s="7"/>
      <c r="J785" s="7"/>
      <c r="K785" s="7"/>
      <c r="L785" s="7"/>
      <c r="M785" s="52"/>
      <c r="N785" s="7"/>
      <c r="O785" s="7"/>
      <c r="P785" s="47"/>
      <c r="Q785" s="47"/>
      <c r="R785" s="7"/>
      <c r="S785" s="51"/>
      <c r="T785" s="51"/>
      <c r="U785" s="7"/>
      <c r="V785" s="57"/>
      <c r="W785" s="57"/>
      <c r="X785" s="57"/>
    </row>
    <row r="786" spans="1:24" ht="12.5" x14ac:dyDescent="0.25">
      <c r="A786" s="34"/>
      <c r="B786" s="7"/>
      <c r="C786" s="19"/>
      <c r="D786" s="7"/>
      <c r="E786" s="7"/>
      <c r="F786" s="7"/>
      <c r="G786" s="7"/>
      <c r="H786" s="6"/>
      <c r="I786" s="7"/>
      <c r="J786" s="7"/>
      <c r="K786" s="7"/>
      <c r="L786" s="7"/>
      <c r="M786" s="52"/>
      <c r="N786" s="7"/>
      <c r="O786" s="7"/>
      <c r="P786" s="47"/>
      <c r="Q786" s="47"/>
      <c r="R786" s="7"/>
      <c r="S786" s="51"/>
      <c r="T786" s="51"/>
      <c r="U786" s="7"/>
      <c r="V786" s="57"/>
      <c r="W786" s="57"/>
      <c r="X786" s="57"/>
    </row>
    <row r="787" spans="1:24" ht="12.5" x14ac:dyDescent="0.25">
      <c r="A787" s="34"/>
      <c r="B787" s="7"/>
      <c r="C787" s="19"/>
      <c r="D787" s="7"/>
      <c r="E787" s="7"/>
      <c r="F787" s="7"/>
      <c r="G787" s="7"/>
      <c r="H787" s="6"/>
      <c r="I787" s="7"/>
      <c r="J787" s="7"/>
      <c r="K787" s="7"/>
      <c r="L787" s="7"/>
      <c r="M787" s="52"/>
      <c r="N787" s="7"/>
      <c r="O787" s="7"/>
      <c r="P787" s="47"/>
      <c r="Q787" s="47"/>
      <c r="R787" s="7"/>
      <c r="S787" s="51"/>
      <c r="T787" s="51"/>
      <c r="U787" s="7"/>
      <c r="V787" s="57"/>
      <c r="W787" s="57"/>
      <c r="X787" s="57"/>
    </row>
    <row r="788" spans="1:24" ht="12.5" x14ac:dyDescent="0.25">
      <c r="A788" s="34"/>
      <c r="B788" s="7"/>
      <c r="C788" s="19"/>
      <c r="D788" s="7"/>
      <c r="E788" s="7"/>
      <c r="F788" s="7"/>
      <c r="G788" s="7"/>
      <c r="H788" s="6"/>
      <c r="I788" s="7"/>
      <c r="J788" s="7"/>
      <c r="K788" s="7"/>
      <c r="L788" s="7"/>
      <c r="M788" s="52"/>
      <c r="N788" s="7"/>
      <c r="O788" s="7"/>
      <c r="P788" s="47"/>
      <c r="Q788" s="47"/>
      <c r="R788" s="7"/>
      <c r="S788" s="51"/>
      <c r="T788" s="51"/>
      <c r="U788" s="7"/>
      <c r="V788" s="57"/>
      <c r="W788" s="57"/>
      <c r="X788" s="57"/>
    </row>
    <row r="789" spans="1:24" ht="12.5" x14ac:dyDescent="0.25">
      <c r="A789" s="34"/>
      <c r="B789" s="7"/>
      <c r="C789" s="19"/>
      <c r="D789" s="7"/>
      <c r="E789" s="7"/>
      <c r="F789" s="7"/>
      <c r="G789" s="7"/>
      <c r="H789" s="6"/>
      <c r="I789" s="7"/>
      <c r="J789" s="7"/>
      <c r="K789" s="7"/>
      <c r="L789" s="7"/>
      <c r="M789" s="52"/>
      <c r="N789" s="7"/>
      <c r="O789" s="7"/>
      <c r="P789" s="47"/>
      <c r="Q789" s="47"/>
      <c r="R789" s="7"/>
      <c r="S789" s="51"/>
      <c r="T789" s="51"/>
      <c r="U789" s="7"/>
      <c r="V789" s="57"/>
      <c r="W789" s="57"/>
      <c r="X789" s="57"/>
    </row>
    <row r="790" spans="1:24" ht="12.5" x14ac:dyDescent="0.25">
      <c r="A790" s="34"/>
      <c r="B790" s="7"/>
      <c r="C790" s="19"/>
      <c r="D790" s="7"/>
      <c r="E790" s="7"/>
      <c r="F790" s="7"/>
      <c r="G790" s="7"/>
      <c r="H790" s="6"/>
      <c r="I790" s="7"/>
      <c r="J790" s="7"/>
      <c r="K790" s="7"/>
      <c r="L790" s="7"/>
      <c r="M790" s="52"/>
      <c r="N790" s="7"/>
      <c r="O790" s="7"/>
      <c r="P790" s="47"/>
      <c r="Q790" s="47"/>
      <c r="R790" s="7"/>
      <c r="S790" s="51"/>
      <c r="T790" s="51"/>
      <c r="U790" s="7"/>
      <c r="V790" s="57"/>
      <c r="W790" s="57"/>
      <c r="X790" s="57"/>
    </row>
    <row r="791" spans="1:24" ht="12.5" x14ac:dyDescent="0.25">
      <c r="A791" s="34"/>
      <c r="B791" s="7"/>
      <c r="C791" s="19"/>
      <c r="D791" s="7"/>
      <c r="E791" s="7"/>
      <c r="F791" s="7"/>
      <c r="G791" s="7"/>
      <c r="H791" s="6"/>
      <c r="I791" s="7"/>
      <c r="J791" s="7"/>
      <c r="K791" s="7"/>
      <c r="L791" s="7"/>
      <c r="M791" s="52"/>
      <c r="N791" s="7"/>
      <c r="O791" s="7"/>
      <c r="P791" s="47"/>
      <c r="Q791" s="47"/>
      <c r="R791" s="7"/>
      <c r="S791" s="51"/>
      <c r="T791" s="51"/>
      <c r="U791" s="7"/>
      <c r="V791" s="57"/>
      <c r="W791" s="57"/>
      <c r="X791" s="57"/>
    </row>
    <row r="792" spans="1:24" ht="12.5" x14ac:dyDescent="0.25">
      <c r="A792" s="34"/>
      <c r="B792" s="7"/>
      <c r="C792" s="19"/>
      <c r="D792" s="7"/>
      <c r="E792" s="7"/>
      <c r="F792" s="7"/>
      <c r="G792" s="7"/>
      <c r="H792" s="6"/>
      <c r="I792" s="7"/>
      <c r="J792" s="7"/>
      <c r="K792" s="7"/>
      <c r="L792" s="7"/>
      <c r="M792" s="52"/>
      <c r="N792" s="7"/>
      <c r="O792" s="7"/>
      <c r="P792" s="47"/>
      <c r="Q792" s="47"/>
      <c r="R792" s="7"/>
      <c r="S792" s="51"/>
      <c r="T792" s="51"/>
      <c r="U792" s="7"/>
      <c r="V792" s="57"/>
      <c r="W792" s="57"/>
      <c r="X792" s="57"/>
    </row>
    <row r="793" spans="1:24" ht="12.5" x14ac:dyDescent="0.25">
      <c r="A793" s="34"/>
      <c r="B793" s="7"/>
      <c r="C793" s="19"/>
      <c r="D793" s="7"/>
      <c r="E793" s="7"/>
      <c r="F793" s="7"/>
      <c r="G793" s="7"/>
      <c r="H793" s="6"/>
      <c r="I793" s="7"/>
      <c r="J793" s="7"/>
      <c r="K793" s="7"/>
      <c r="L793" s="7"/>
      <c r="M793" s="52"/>
      <c r="N793" s="7"/>
      <c r="O793" s="7"/>
      <c r="P793" s="47"/>
      <c r="Q793" s="47"/>
      <c r="R793" s="7"/>
      <c r="S793" s="51"/>
      <c r="T793" s="51"/>
      <c r="U793" s="7"/>
      <c r="V793" s="57"/>
      <c r="W793" s="57"/>
      <c r="X793" s="57"/>
    </row>
    <row r="794" spans="1:24" ht="12.5" x14ac:dyDescent="0.25">
      <c r="A794" s="34"/>
      <c r="B794" s="7"/>
      <c r="C794" s="19"/>
      <c r="D794" s="7"/>
      <c r="E794" s="7"/>
      <c r="F794" s="7"/>
      <c r="G794" s="7"/>
      <c r="H794" s="6"/>
      <c r="I794" s="7"/>
      <c r="J794" s="7"/>
      <c r="K794" s="7"/>
      <c r="L794" s="7"/>
      <c r="M794" s="52"/>
      <c r="N794" s="7"/>
      <c r="O794" s="7"/>
      <c r="P794" s="47"/>
      <c r="Q794" s="47"/>
      <c r="R794" s="7"/>
      <c r="S794" s="51"/>
      <c r="T794" s="51"/>
      <c r="U794" s="7"/>
      <c r="V794" s="57"/>
      <c r="W794" s="57"/>
      <c r="X794" s="57"/>
    </row>
    <row r="795" spans="1:24" ht="12.5" x14ac:dyDescent="0.25">
      <c r="A795" s="34"/>
      <c r="B795" s="7"/>
      <c r="C795" s="19"/>
      <c r="D795" s="7"/>
      <c r="E795" s="7"/>
      <c r="F795" s="7"/>
      <c r="G795" s="7"/>
      <c r="H795" s="6"/>
      <c r="I795" s="7"/>
      <c r="J795" s="7"/>
      <c r="K795" s="7"/>
      <c r="L795" s="7"/>
      <c r="M795" s="52"/>
      <c r="N795" s="7"/>
      <c r="O795" s="7"/>
      <c r="P795" s="47"/>
      <c r="Q795" s="47"/>
      <c r="R795" s="7"/>
      <c r="S795" s="51"/>
      <c r="T795" s="51"/>
      <c r="U795" s="7"/>
      <c r="V795" s="57"/>
      <c r="W795" s="57"/>
      <c r="X795" s="57"/>
    </row>
    <row r="796" spans="1:24" ht="12.5" x14ac:dyDescent="0.25">
      <c r="A796" s="34"/>
      <c r="B796" s="7"/>
      <c r="C796" s="19"/>
      <c r="D796" s="7"/>
      <c r="E796" s="7"/>
      <c r="F796" s="7"/>
      <c r="G796" s="7"/>
      <c r="H796" s="6"/>
      <c r="I796" s="7"/>
      <c r="J796" s="7"/>
      <c r="K796" s="7"/>
      <c r="L796" s="7"/>
      <c r="M796" s="52"/>
      <c r="N796" s="7"/>
      <c r="O796" s="7"/>
      <c r="P796" s="47"/>
      <c r="Q796" s="47"/>
      <c r="R796" s="7"/>
      <c r="S796" s="51"/>
      <c r="T796" s="51"/>
      <c r="U796" s="7"/>
      <c r="V796" s="57"/>
      <c r="W796" s="57"/>
      <c r="X796" s="57"/>
    </row>
    <row r="797" spans="1:24" ht="12.5" x14ac:dyDescent="0.25">
      <c r="A797" s="34"/>
      <c r="B797" s="7"/>
      <c r="C797" s="19"/>
      <c r="D797" s="7"/>
      <c r="E797" s="7"/>
      <c r="F797" s="7"/>
      <c r="G797" s="7"/>
      <c r="H797" s="6"/>
      <c r="I797" s="7"/>
      <c r="J797" s="7"/>
      <c r="K797" s="7"/>
      <c r="L797" s="7"/>
      <c r="M797" s="52"/>
      <c r="N797" s="7"/>
      <c r="O797" s="7"/>
      <c r="P797" s="47"/>
      <c r="Q797" s="47"/>
      <c r="R797" s="7"/>
      <c r="S797" s="51"/>
      <c r="T797" s="51"/>
      <c r="U797" s="7"/>
      <c r="V797" s="57"/>
      <c r="W797" s="57"/>
      <c r="X797" s="57"/>
    </row>
    <row r="798" spans="1:24" ht="12.5" x14ac:dyDescent="0.25">
      <c r="A798" s="34"/>
      <c r="B798" s="7"/>
      <c r="C798" s="19"/>
      <c r="D798" s="7"/>
      <c r="E798" s="7"/>
      <c r="F798" s="7"/>
      <c r="G798" s="7"/>
      <c r="H798" s="6"/>
      <c r="I798" s="7"/>
      <c r="J798" s="7"/>
      <c r="K798" s="7"/>
      <c r="L798" s="7"/>
      <c r="M798" s="52"/>
      <c r="N798" s="7"/>
      <c r="O798" s="7"/>
      <c r="P798" s="47"/>
      <c r="Q798" s="47"/>
      <c r="R798" s="7"/>
      <c r="S798" s="51"/>
      <c r="T798" s="51"/>
      <c r="U798" s="7"/>
      <c r="V798" s="57"/>
      <c r="W798" s="57"/>
      <c r="X798" s="57"/>
    </row>
    <row r="799" spans="1:24" ht="12.5" x14ac:dyDescent="0.25">
      <c r="A799" s="34"/>
      <c r="B799" s="7"/>
      <c r="C799" s="19"/>
      <c r="D799" s="7"/>
      <c r="E799" s="7"/>
      <c r="F799" s="7"/>
      <c r="G799" s="7"/>
      <c r="H799" s="6"/>
      <c r="I799" s="7"/>
      <c r="J799" s="7"/>
      <c r="K799" s="7"/>
      <c r="L799" s="7"/>
      <c r="M799" s="52"/>
      <c r="N799" s="7"/>
      <c r="O799" s="7"/>
      <c r="P799" s="47"/>
      <c r="Q799" s="47"/>
      <c r="R799" s="7"/>
      <c r="S799" s="51"/>
      <c r="T799" s="51"/>
      <c r="U799" s="7"/>
      <c r="V799" s="57"/>
      <c r="W799" s="57"/>
      <c r="X799" s="57"/>
    </row>
    <row r="800" spans="1:24" ht="12.5" x14ac:dyDescent="0.25">
      <c r="A800" s="34"/>
      <c r="B800" s="7"/>
      <c r="C800" s="19"/>
      <c r="D800" s="7"/>
      <c r="E800" s="7"/>
      <c r="F800" s="7"/>
      <c r="G800" s="7"/>
      <c r="H800" s="6"/>
      <c r="I800" s="7"/>
      <c r="J800" s="7"/>
      <c r="K800" s="7"/>
      <c r="L800" s="7"/>
      <c r="M800" s="52"/>
      <c r="N800" s="7"/>
      <c r="O800" s="7"/>
      <c r="P800" s="47"/>
      <c r="Q800" s="47"/>
      <c r="R800" s="7"/>
      <c r="S800" s="51"/>
      <c r="T800" s="51"/>
      <c r="U800" s="7"/>
      <c r="V800" s="57"/>
      <c r="W800" s="57"/>
      <c r="X800" s="57"/>
    </row>
    <row r="801" spans="1:24" ht="12.5" x14ac:dyDescent="0.25">
      <c r="A801" s="34"/>
      <c r="B801" s="7"/>
      <c r="C801" s="19"/>
      <c r="D801" s="7"/>
      <c r="E801" s="7"/>
      <c r="F801" s="7"/>
      <c r="G801" s="7"/>
      <c r="H801" s="6"/>
      <c r="I801" s="7"/>
      <c r="J801" s="7"/>
      <c r="K801" s="7"/>
      <c r="L801" s="7"/>
      <c r="M801" s="52"/>
      <c r="N801" s="7"/>
      <c r="O801" s="7"/>
      <c r="P801" s="47"/>
      <c r="Q801" s="47"/>
      <c r="R801" s="7"/>
      <c r="S801" s="51"/>
      <c r="T801" s="51"/>
      <c r="U801" s="7"/>
      <c r="V801" s="57"/>
      <c r="W801" s="57"/>
      <c r="X801" s="57"/>
    </row>
    <row r="802" spans="1:24" ht="12.5" x14ac:dyDescent="0.25">
      <c r="A802" s="34"/>
      <c r="B802" s="7"/>
      <c r="C802" s="19"/>
      <c r="D802" s="7"/>
      <c r="E802" s="7"/>
      <c r="F802" s="7"/>
      <c r="G802" s="7"/>
      <c r="H802" s="6"/>
      <c r="I802" s="7"/>
      <c r="J802" s="7"/>
      <c r="K802" s="7"/>
      <c r="L802" s="7"/>
      <c r="M802" s="52"/>
      <c r="N802" s="7"/>
      <c r="O802" s="7"/>
      <c r="P802" s="47"/>
      <c r="Q802" s="47"/>
      <c r="R802" s="7"/>
      <c r="S802" s="51"/>
      <c r="T802" s="51"/>
      <c r="U802" s="7"/>
      <c r="V802" s="57"/>
      <c r="W802" s="57"/>
      <c r="X802" s="57"/>
    </row>
    <row r="803" spans="1:24" ht="12.5" x14ac:dyDescent="0.25">
      <c r="A803" s="34"/>
      <c r="B803" s="7"/>
      <c r="C803" s="19"/>
      <c r="D803" s="7"/>
      <c r="E803" s="7"/>
      <c r="F803" s="7"/>
      <c r="G803" s="7"/>
      <c r="H803" s="6"/>
      <c r="I803" s="7"/>
      <c r="J803" s="7"/>
      <c r="K803" s="7"/>
      <c r="L803" s="7"/>
      <c r="M803" s="52"/>
      <c r="N803" s="7"/>
      <c r="O803" s="7"/>
      <c r="P803" s="47"/>
      <c r="Q803" s="47"/>
      <c r="R803" s="7"/>
      <c r="S803" s="51"/>
      <c r="T803" s="51"/>
      <c r="U803" s="7"/>
      <c r="V803" s="57"/>
      <c r="W803" s="57"/>
      <c r="X803" s="57"/>
    </row>
    <row r="804" spans="1:24" ht="12.5" x14ac:dyDescent="0.25">
      <c r="A804" s="34"/>
      <c r="B804" s="7"/>
      <c r="C804" s="19"/>
      <c r="D804" s="7"/>
      <c r="E804" s="7"/>
      <c r="F804" s="7"/>
      <c r="G804" s="7"/>
      <c r="H804" s="6"/>
      <c r="I804" s="7"/>
      <c r="J804" s="7"/>
      <c r="K804" s="7"/>
      <c r="L804" s="7"/>
      <c r="M804" s="52"/>
      <c r="N804" s="7"/>
      <c r="O804" s="7"/>
      <c r="P804" s="47"/>
      <c r="Q804" s="47"/>
      <c r="R804" s="7"/>
      <c r="S804" s="51"/>
      <c r="T804" s="51"/>
      <c r="U804" s="7"/>
      <c r="V804" s="57"/>
      <c r="W804" s="57"/>
      <c r="X804" s="57"/>
    </row>
    <row r="805" spans="1:24" ht="12.5" x14ac:dyDescent="0.25">
      <c r="A805" s="34"/>
      <c r="B805" s="7"/>
      <c r="C805" s="19"/>
      <c r="D805" s="7"/>
      <c r="E805" s="7"/>
      <c r="F805" s="7"/>
      <c r="G805" s="7"/>
      <c r="H805" s="6"/>
      <c r="I805" s="7"/>
      <c r="J805" s="7"/>
      <c r="K805" s="7"/>
      <c r="L805" s="7"/>
      <c r="M805" s="52"/>
      <c r="N805" s="7"/>
      <c r="O805" s="7"/>
      <c r="P805" s="47"/>
      <c r="Q805" s="47"/>
      <c r="R805" s="7"/>
      <c r="S805" s="51"/>
      <c r="T805" s="51"/>
      <c r="U805" s="7"/>
      <c r="V805" s="57"/>
      <c r="W805" s="57"/>
      <c r="X805" s="57"/>
    </row>
    <row r="806" spans="1:24" ht="12.5" x14ac:dyDescent="0.25">
      <c r="A806" s="34"/>
      <c r="B806" s="7"/>
      <c r="C806" s="19"/>
      <c r="D806" s="7"/>
      <c r="E806" s="7"/>
      <c r="F806" s="7"/>
      <c r="G806" s="7"/>
      <c r="H806" s="6"/>
      <c r="I806" s="7"/>
      <c r="J806" s="7"/>
      <c r="K806" s="7"/>
      <c r="L806" s="7"/>
      <c r="M806" s="52"/>
      <c r="N806" s="7"/>
      <c r="O806" s="7"/>
      <c r="P806" s="47"/>
      <c r="Q806" s="47"/>
      <c r="R806" s="7"/>
      <c r="S806" s="51"/>
      <c r="T806" s="51"/>
      <c r="U806" s="7"/>
      <c r="V806" s="57"/>
      <c r="W806" s="57"/>
      <c r="X806" s="57"/>
    </row>
    <row r="807" spans="1:24" ht="12.5" x14ac:dyDescent="0.25">
      <c r="A807" s="34"/>
      <c r="B807" s="7"/>
      <c r="C807" s="19"/>
      <c r="D807" s="7"/>
      <c r="E807" s="7"/>
      <c r="F807" s="7"/>
      <c r="G807" s="7"/>
      <c r="H807" s="6"/>
      <c r="I807" s="7"/>
      <c r="J807" s="7"/>
      <c r="K807" s="7"/>
      <c r="L807" s="7"/>
      <c r="M807" s="52"/>
      <c r="N807" s="7"/>
      <c r="O807" s="7"/>
      <c r="P807" s="47"/>
      <c r="Q807" s="47"/>
      <c r="R807" s="7"/>
      <c r="S807" s="51"/>
      <c r="T807" s="51"/>
      <c r="U807" s="7"/>
      <c r="V807" s="57"/>
      <c r="W807" s="57"/>
      <c r="X807" s="57"/>
    </row>
    <row r="808" spans="1:24" ht="12.5" x14ac:dyDescent="0.25">
      <c r="A808" s="34"/>
      <c r="B808" s="7"/>
      <c r="C808" s="19"/>
      <c r="D808" s="7"/>
      <c r="E808" s="7"/>
      <c r="F808" s="7"/>
      <c r="G808" s="7"/>
      <c r="H808" s="6"/>
      <c r="I808" s="7"/>
      <c r="J808" s="7"/>
      <c r="K808" s="7"/>
      <c r="L808" s="7"/>
      <c r="M808" s="52"/>
      <c r="N808" s="7"/>
      <c r="O808" s="7"/>
      <c r="P808" s="47"/>
      <c r="Q808" s="47"/>
      <c r="R808" s="7"/>
      <c r="S808" s="51"/>
      <c r="T808" s="51"/>
      <c r="U808" s="7"/>
      <c r="V808" s="57"/>
      <c r="W808" s="57"/>
      <c r="X808" s="57"/>
    </row>
    <row r="809" spans="1:24" ht="12.5" x14ac:dyDescent="0.25">
      <c r="A809" s="34"/>
      <c r="B809" s="7"/>
      <c r="C809" s="19"/>
      <c r="D809" s="7"/>
      <c r="E809" s="7"/>
      <c r="F809" s="7"/>
      <c r="G809" s="7"/>
      <c r="H809" s="6"/>
      <c r="I809" s="7"/>
      <c r="J809" s="7"/>
      <c r="K809" s="7"/>
      <c r="L809" s="7"/>
      <c r="M809" s="52"/>
      <c r="N809" s="7"/>
      <c r="O809" s="7"/>
      <c r="P809" s="47"/>
      <c r="Q809" s="47"/>
      <c r="R809" s="7"/>
      <c r="S809" s="51"/>
      <c r="T809" s="51"/>
      <c r="U809" s="7"/>
      <c r="V809" s="57"/>
      <c r="W809" s="57"/>
      <c r="X809" s="57"/>
    </row>
    <row r="810" spans="1:24" ht="12.5" x14ac:dyDescent="0.25">
      <c r="A810" s="34"/>
      <c r="B810" s="7"/>
      <c r="C810" s="19"/>
      <c r="D810" s="7"/>
      <c r="E810" s="7"/>
      <c r="F810" s="7"/>
      <c r="G810" s="7"/>
      <c r="H810" s="6"/>
      <c r="I810" s="7"/>
      <c r="J810" s="7"/>
      <c r="K810" s="7"/>
      <c r="L810" s="7"/>
      <c r="M810" s="52"/>
      <c r="N810" s="7"/>
      <c r="O810" s="7"/>
      <c r="P810" s="47"/>
      <c r="Q810" s="47"/>
      <c r="R810" s="7"/>
      <c r="S810" s="51"/>
      <c r="T810" s="51"/>
      <c r="U810" s="7"/>
      <c r="V810" s="57"/>
      <c r="W810" s="57"/>
      <c r="X810" s="57"/>
    </row>
    <row r="811" spans="1:24" ht="12.5" x14ac:dyDescent="0.25">
      <c r="A811" s="34"/>
      <c r="B811" s="7"/>
      <c r="C811" s="19"/>
      <c r="D811" s="7"/>
      <c r="E811" s="7"/>
      <c r="F811" s="7"/>
      <c r="G811" s="7"/>
      <c r="H811" s="6"/>
      <c r="I811" s="7"/>
      <c r="J811" s="7"/>
      <c r="K811" s="7"/>
      <c r="L811" s="7"/>
      <c r="M811" s="52"/>
      <c r="N811" s="7"/>
      <c r="O811" s="7"/>
      <c r="P811" s="47"/>
      <c r="Q811" s="47"/>
      <c r="R811" s="7"/>
      <c r="S811" s="51"/>
      <c r="T811" s="51"/>
      <c r="U811" s="7"/>
      <c r="V811" s="57"/>
      <c r="W811" s="57"/>
      <c r="X811" s="57"/>
    </row>
    <row r="812" spans="1:24" ht="12.5" x14ac:dyDescent="0.25">
      <c r="A812" s="34"/>
      <c r="B812" s="7"/>
      <c r="C812" s="19"/>
      <c r="D812" s="7"/>
      <c r="E812" s="7"/>
      <c r="F812" s="7"/>
      <c r="G812" s="7"/>
      <c r="H812" s="6"/>
      <c r="I812" s="7"/>
      <c r="J812" s="7"/>
      <c r="K812" s="7"/>
      <c r="L812" s="7"/>
      <c r="M812" s="52"/>
      <c r="N812" s="7"/>
      <c r="O812" s="7"/>
      <c r="P812" s="47"/>
      <c r="Q812" s="47"/>
      <c r="R812" s="7"/>
      <c r="S812" s="51"/>
      <c r="T812" s="51"/>
      <c r="U812" s="7"/>
      <c r="V812" s="57"/>
      <c r="W812" s="57"/>
      <c r="X812" s="57"/>
    </row>
    <row r="813" spans="1:24" ht="12.5" x14ac:dyDescent="0.25">
      <c r="A813" s="34"/>
      <c r="B813" s="7"/>
      <c r="C813" s="19"/>
      <c r="D813" s="7"/>
      <c r="E813" s="7"/>
      <c r="F813" s="7"/>
      <c r="G813" s="7"/>
      <c r="H813" s="6"/>
      <c r="I813" s="7"/>
      <c r="J813" s="7"/>
      <c r="K813" s="7"/>
      <c r="L813" s="7"/>
      <c r="M813" s="52"/>
      <c r="N813" s="7"/>
      <c r="O813" s="7"/>
      <c r="P813" s="47"/>
      <c r="Q813" s="47"/>
      <c r="R813" s="7"/>
      <c r="S813" s="51"/>
      <c r="T813" s="51"/>
      <c r="U813" s="7"/>
      <c r="V813" s="57"/>
      <c r="W813" s="57"/>
      <c r="X813" s="57"/>
    </row>
    <row r="814" spans="1:24" ht="12.5" x14ac:dyDescent="0.25">
      <c r="A814" s="34"/>
      <c r="B814" s="7"/>
      <c r="C814" s="19"/>
      <c r="D814" s="7"/>
      <c r="E814" s="7"/>
      <c r="F814" s="7"/>
      <c r="G814" s="7"/>
      <c r="H814" s="6"/>
      <c r="I814" s="7"/>
      <c r="J814" s="7"/>
      <c r="K814" s="7"/>
      <c r="L814" s="7"/>
      <c r="M814" s="52"/>
      <c r="N814" s="7"/>
      <c r="O814" s="7"/>
      <c r="P814" s="47"/>
      <c r="Q814" s="47"/>
      <c r="R814" s="7"/>
      <c r="S814" s="51"/>
      <c r="T814" s="51"/>
      <c r="U814" s="7"/>
      <c r="V814" s="57"/>
      <c r="W814" s="57"/>
      <c r="X814" s="57"/>
    </row>
    <row r="815" spans="1:24" ht="12.5" x14ac:dyDescent="0.25">
      <c r="A815" s="34"/>
      <c r="B815" s="7"/>
      <c r="C815" s="19"/>
      <c r="D815" s="7"/>
      <c r="E815" s="7"/>
      <c r="F815" s="7"/>
      <c r="G815" s="7"/>
      <c r="H815" s="6"/>
      <c r="I815" s="7"/>
      <c r="J815" s="7"/>
      <c r="K815" s="7"/>
      <c r="L815" s="7"/>
      <c r="M815" s="52"/>
      <c r="N815" s="7"/>
      <c r="O815" s="7"/>
      <c r="P815" s="47"/>
      <c r="Q815" s="47"/>
      <c r="R815" s="7"/>
      <c r="S815" s="51"/>
      <c r="T815" s="51"/>
      <c r="U815" s="7"/>
      <c r="V815" s="57"/>
      <c r="W815" s="57"/>
      <c r="X815" s="57"/>
    </row>
    <row r="816" spans="1:24" ht="12.5" x14ac:dyDescent="0.25">
      <c r="A816" s="34"/>
      <c r="B816" s="7"/>
      <c r="C816" s="19"/>
      <c r="D816" s="7"/>
      <c r="E816" s="7"/>
      <c r="F816" s="7"/>
      <c r="G816" s="7"/>
      <c r="H816" s="6"/>
      <c r="I816" s="7"/>
      <c r="J816" s="7"/>
      <c r="K816" s="7"/>
      <c r="L816" s="7"/>
      <c r="M816" s="52"/>
      <c r="N816" s="7"/>
      <c r="O816" s="7"/>
      <c r="P816" s="47"/>
      <c r="Q816" s="47"/>
      <c r="R816" s="7"/>
      <c r="S816" s="51"/>
      <c r="T816" s="51"/>
      <c r="U816" s="7"/>
      <c r="V816" s="57"/>
      <c r="W816" s="57"/>
      <c r="X816" s="57"/>
    </row>
    <row r="817" spans="1:24" ht="12.5" x14ac:dyDescent="0.25">
      <c r="A817" s="34"/>
      <c r="B817" s="7"/>
      <c r="C817" s="19"/>
      <c r="D817" s="7"/>
      <c r="E817" s="7"/>
      <c r="F817" s="7"/>
      <c r="G817" s="7"/>
      <c r="H817" s="6"/>
      <c r="I817" s="7"/>
      <c r="J817" s="7"/>
      <c r="K817" s="7"/>
      <c r="L817" s="7"/>
      <c r="M817" s="52"/>
      <c r="N817" s="7"/>
      <c r="O817" s="7"/>
      <c r="P817" s="47"/>
      <c r="Q817" s="47"/>
      <c r="R817" s="7"/>
      <c r="S817" s="51"/>
      <c r="T817" s="51"/>
      <c r="U817" s="7"/>
      <c r="V817" s="57"/>
      <c r="W817" s="57"/>
      <c r="X817" s="57"/>
    </row>
    <row r="818" spans="1:24" ht="12.5" x14ac:dyDescent="0.25">
      <c r="A818" s="34"/>
      <c r="B818" s="7"/>
      <c r="C818" s="19"/>
      <c r="D818" s="7"/>
      <c r="E818" s="7"/>
      <c r="F818" s="7"/>
      <c r="G818" s="7"/>
      <c r="H818" s="6"/>
      <c r="I818" s="7"/>
      <c r="J818" s="7"/>
      <c r="K818" s="7"/>
      <c r="L818" s="7"/>
      <c r="M818" s="52"/>
      <c r="N818" s="7"/>
      <c r="O818" s="7"/>
      <c r="P818" s="47"/>
      <c r="Q818" s="47"/>
      <c r="R818" s="7"/>
      <c r="S818" s="51"/>
      <c r="T818" s="51"/>
      <c r="U818" s="7"/>
      <c r="V818" s="57"/>
      <c r="W818" s="57"/>
      <c r="X818" s="57"/>
    </row>
    <row r="819" spans="1:24" ht="12.5" x14ac:dyDescent="0.25">
      <c r="A819" s="34"/>
      <c r="B819" s="7"/>
      <c r="C819" s="19"/>
      <c r="D819" s="7"/>
      <c r="E819" s="7"/>
      <c r="F819" s="7"/>
      <c r="G819" s="7"/>
      <c r="H819" s="6"/>
      <c r="I819" s="7"/>
      <c r="J819" s="7"/>
      <c r="K819" s="7"/>
      <c r="L819" s="7"/>
      <c r="M819" s="52"/>
      <c r="N819" s="7"/>
      <c r="O819" s="7"/>
      <c r="P819" s="47"/>
      <c r="Q819" s="47"/>
      <c r="R819" s="7"/>
      <c r="S819" s="51"/>
      <c r="T819" s="51"/>
      <c r="U819" s="7"/>
      <c r="V819" s="57"/>
      <c r="W819" s="57"/>
      <c r="X819" s="57"/>
    </row>
    <row r="820" spans="1:24" ht="12.5" x14ac:dyDescent="0.25">
      <c r="A820" s="34"/>
      <c r="B820" s="7"/>
      <c r="C820" s="19"/>
      <c r="D820" s="7"/>
      <c r="E820" s="7"/>
      <c r="F820" s="7"/>
      <c r="G820" s="7"/>
      <c r="H820" s="6"/>
      <c r="I820" s="7"/>
      <c r="J820" s="7"/>
      <c r="K820" s="7"/>
      <c r="L820" s="7"/>
      <c r="M820" s="52"/>
      <c r="N820" s="7"/>
      <c r="O820" s="7"/>
      <c r="P820" s="47"/>
      <c r="Q820" s="47"/>
      <c r="R820" s="7"/>
      <c r="S820" s="51"/>
      <c r="T820" s="51"/>
      <c r="U820" s="7"/>
      <c r="V820" s="57"/>
      <c r="W820" s="57"/>
      <c r="X820" s="57"/>
    </row>
    <row r="821" spans="1:24" ht="12.5" x14ac:dyDescent="0.25">
      <c r="A821" s="34"/>
      <c r="B821" s="7"/>
      <c r="C821" s="19"/>
      <c r="D821" s="7"/>
      <c r="E821" s="7"/>
      <c r="F821" s="7"/>
      <c r="G821" s="7"/>
      <c r="H821" s="6"/>
      <c r="I821" s="7"/>
      <c r="J821" s="7"/>
      <c r="K821" s="7"/>
      <c r="L821" s="7"/>
      <c r="M821" s="52"/>
      <c r="N821" s="7"/>
      <c r="O821" s="7"/>
      <c r="P821" s="47"/>
      <c r="Q821" s="47"/>
      <c r="R821" s="7"/>
      <c r="S821" s="51"/>
      <c r="T821" s="51"/>
      <c r="U821" s="7"/>
      <c r="V821" s="57"/>
      <c r="W821" s="57"/>
      <c r="X821" s="57"/>
    </row>
    <row r="822" spans="1:24" ht="12.5" x14ac:dyDescent="0.25">
      <c r="A822" s="34"/>
      <c r="B822" s="7"/>
      <c r="C822" s="19"/>
      <c r="D822" s="7"/>
      <c r="E822" s="7"/>
      <c r="F822" s="7"/>
      <c r="G822" s="7"/>
      <c r="H822" s="6"/>
      <c r="I822" s="7"/>
      <c r="J822" s="7"/>
      <c r="K822" s="7"/>
      <c r="L822" s="7"/>
      <c r="M822" s="52"/>
      <c r="N822" s="7"/>
      <c r="O822" s="7"/>
      <c r="P822" s="47"/>
      <c r="Q822" s="47"/>
      <c r="R822" s="7"/>
      <c r="S822" s="51"/>
      <c r="T822" s="51"/>
      <c r="U822" s="7"/>
      <c r="V822" s="57"/>
      <c r="W822" s="57"/>
      <c r="X822" s="57"/>
    </row>
    <row r="823" spans="1:24" ht="12.5" x14ac:dyDescent="0.25">
      <c r="A823" s="34"/>
      <c r="B823" s="7"/>
      <c r="C823" s="19"/>
      <c r="D823" s="7"/>
      <c r="E823" s="7"/>
      <c r="F823" s="7"/>
      <c r="G823" s="7"/>
      <c r="H823" s="6"/>
      <c r="I823" s="7"/>
      <c r="J823" s="7"/>
      <c r="K823" s="7"/>
      <c r="L823" s="7"/>
      <c r="M823" s="52"/>
      <c r="N823" s="7"/>
      <c r="O823" s="7"/>
      <c r="P823" s="47"/>
      <c r="Q823" s="47"/>
      <c r="R823" s="7"/>
      <c r="S823" s="51"/>
      <c r="T823" s="51"/>
      <c r="U823" s="7"/>
      <c r="V823" s="57"/>
      <c r="W823" s="57"/>
      <c r="X823" s="57"/>
    </row>
    <row r="824" spans="1:24" ht="12.5" x14ac:dyDescent="0.25">
      <c r="A824" s="34"/>
      <c r="B824" s="7"/>
      <c r="C824" s="19"/>
      <c r="D824" s="7"/>
      <c r="E824" s="7"/>
      <c r="F824" s="7"/>
      <c r="G824" s="7"/>
      <c r="H824" s="6"/>
      <c r="I824" s="7"/>
      <c r="J824" s="7"/>
      <c r="K824" s="7"/>
      <c r="L824" s="7"/>
      <c r="M824" s="52"/>
      <c r="N824" s="7"/>
      <c r="O824" s="7"/>
      <c r="P824" s="47"/>
      <c r="Q824" s="47"/>
      <c r="R824" s="7"/>
      <c r="S824" s="51"/>
      <c r="T824" s="51"/>
      <c r="U824" s="7"/>
      <c r="V824" s="57"/>
      <c r="W824" s="57"/>
      <c r="X824" s="57"/>
    </row>
    <row r="825" spans="1:24" ht="12.5" x14ac:dyDescent="0.25">
      <c r="A825" s="34"/>
      <c r="B825" s="7"/>
      <c r="C825" s="19"/>
      <c r="D825" s="7"/>
      <c r="E825" s="7"/>
      <c r="F825" s="7"/>
      <c r="G825" s="7"/>
      <c r="H825" s="6"/>
      <c r="I825" s="7"/>
      <c r="J825" s="7"/>
      <c r="K825" s="7"/>
      <c r="L825" s="7"/>
      <c r="M825" s="52"/>
      <c r="N825" s="7"/>
      <c r="O825" s="7"/>
      <c r="P825" s="47"/>
      <c r="Q825" s="47"/>
      <c r="R825" s="7"/>
      <c r="S825" s="51"/>
      <c r="T825" s="51"/>
      <c r="U825" s="7"/>
      <c r="V825" s="57"/>
      <c r="W825" s="57"/>
      <c r="X825" s="57"/>
    </row>
    <row r="826" spans="1:24" ht="12.5" x14ac:dyDescent="0.25">
      <c r="A826" s="34"/>
      <c r="B826" s="7"/>
      <c r="C826" s="19"/>
      <c r="D826" s="7"/>
      <c r="E826" s="7"/>
      <c r="F826" s="7"/>
      <c r="G826" s="7"/>
      <c r="H826" s="6"/>
      <c r="I826" s="7"/>
      <c r="J826" s="7"/>
      <c r="K826" s="7"/>
      <c r="L826" s="7"/>
      <c r="M826" s="52"/>
      <c r="N826" s="7"/>
      <c r="O826" s="7"/>
      <c r="P826" s="47"/>
      <c r="Q826" s="47"/>
      <c r="R826" s="7"/>
      <c r="S826" s="51"/>
      <c r="T826" s="51"/>
      <c r="U826" s="7"/>
      <c r="V826" s="57"/>
      <c r="W826" s="57"/>
      <c r="X826" s="57"/>
    </row>
    <row r="827" spans="1:24" ht="12.5" x14ac:dyDescent="0.25">
      <c r="A827" s="34"/>
      <c r="B827" s="7"/>
      <c r="C827" s="19"/>
      <c r="D827" s="7"/>
      <c r="E827" s="7"/>
      <c r="F827" s="7"/>
      <c r="G827" s="7"/>
      <c r="H827" s="6"/>
      <c r="I827" s="7"/>
      <c r="J827" s="7"/>
      <c r="K827" s="7"/>
      <c r="L827" s="7"/>
      <c r="M827" s="52"/>
      <c r="N827" s="7"/>
      <c r="O827" s="7"/>
      <c r="P827" s="47"/>
      <c r="Q827" s="47"/>
      <c r="R827" s="7"/>
      <c r="S827" s="51"/>
      <c r="T827" s="51"/>
      <c r="U827" s="7"/>
      <c r="V827" s="57"/>
      <c r="W827" s="57"/>
      <c r="X827" s="57"/>
    </row>
    <row r="828" spans="1:24" ht="12.5" x14ac:dyDescent="0.25">
      <c r="A828" s="34"/>
      <c r="B828" s="7"/>
      <c r="C828" s="19"/>
      <c r="D828" s="7"/>
      <c r="E828" s="7"/>
      <c r="F828" s="7"/>
      <c r="G828" s="7"/>
      <c r="H828" s="6"/>
      <c r="I828" s="7"/>
      <c r="J828" s="7"/>
      <c r="K828" s="7"/>
      <c r="L828" s="7"/>
      <c r="M828" s="52"/>
      <c r="N828" s="7"/>
      <c r="O828" s="7"/>
      <c r="P828" s="47"/>
      <c r="Q828" s="47"/>
      <c r="R828" s="7"/>
      <c r="S828" s="51"/>
      <c r="T828" s="51"/>
      <c r="U828" s="7"/>
      <c r="V828" s="57"/>
      <c r="W828" s="57"/>
      <c r="X828" s="57"/>
    </row>
    <row r="829" spans="1:24" ht="12.5" x14ac:dyDescent="0.25">
      <c r="A829" s="34"/>
      <c r="B829" s="7"/>
      <c r="C829" s="19"/>
      <c r="D829" s="7"/>
      <c r="E829" s="7"/>
      <c r="F829" s="7"/>
      <c r="G829" s="7"/>
      <c r="H829" s="6"/>
      <c r="I829" s="7"/>
      <c r="J829" s="7"/>
      <c r="K829" s="7"/>
      <c r="L829" s="7"/>
      <c r="M829" s="52"/>
      <c r="N829" s="7"/>
      <c r="O829" s="7"/>
      <c r="P829" s="47"/>
      <c r="Q829" s="47"/>
      <c r="R829" s="7"/>
      <c r="S829" s="51"/>
      <c r="T829" s="51"/>
      <c r="U829" s="7"/>
      <c r="V829" s="57"/>
      <c r="W829" s="57"/>
      <c r="X829" s="57"/>
    </row>
    <row r="830" spans="1:24" ht="12.5" x14ac:dyDescent="0.25">
      <c r="A830" s="34"/>
      <c r="B830" s="7"/>
      <c r="C830" s="19"/>
      <c r="D830" s="7"/>
      <c r="E830" s="7"/>
      <c r="F830" s="7"/>
      <c r="G830" s="7"/>
      <c r="H830" s="6"/>
      <c r="I830" s="7"/>
      <c r="J830" s="7"/>
      <c r="K830" s="7"/>
      <c r="L830" s="7"/>
      <c r="M830" s="52"/>
      <c r="N830" s="7"/>
      <c r="O830" s="7"/>
      <c r="P830" s="47"/>
      <c r="Q830" s="47"/>
      <c r="R830" s="7"/>
      <c r="S830" s="51"/>
      <c r="T830" s="51"/>
      <c r="U830" s="7"/>
      <c r="V830" s="57"/>
      <c r="W830" s="57"/>
      <c r="X830" s="57"/>
    </row>
    <row r="831" spans="1:24" ht="12.5" x14ac:dyDescent="0.25">
      <c r="A831" s="34"/>
      <c r="B831" s="7"/>
      <c r="C831" s="19"/>
      <c r="D831" s="7"/>
      <c r="E831" s="7"/>
      <c r="F831" s="7"/>
      <c r="G831" s="7"/>
      <c r="H831" s="6"/>
      <c r="I831" s="7"/>
      <c r="J831" s="7"/>
      <c r="K831" s="7"/>
      <c r="L831" s="7"/>
      <c r="M831" s="52"/>
      <c r="N831" s="7"/>
      <c r="O831" s="7"/>
      <c r="P831" s="47"/>
      <c r="Q831" s="47"/>
      <c r="R831" s="7"/>
      <c r="S831" s="51"/>
      <c r="T831" s="51"/>
      <c r="U831" s="7"/>
      <c r="V831" s="57"/>
      <c r="W831" s="57"/>
      <c r="X831" s="57"/>
    </row>
    <row r="832" spans="1:24" ht="12.5" x14ac:dyDescent="0.25">
      <c r="A832" s="34"/>
      <c r="B832" s="7"/>
      <c r="C832" s="19"/>
      <c r="D832" s="7"/>
      <c r="E832" s="7"/>
      <c r="F832" s="7"/>
      <c r="G832" s="7"/>
      <c r="H832" s="6"/>
      <c r="I832" s="7"/>
      <c r="J832" s="7"/>
      <c r="K832" s="7"/>
      <c r="L832" s="7"/>
      <c r="M832" s="52"/>
      <c r="N832" s="7"/>
      <c r="O832" s="7"/>
      <c r="P832" s="47"/>
      <c r="Q832" s="47"/>
      <c r="R832" s="7"/>
      <c r="S832" s="51"/>
      <c r="T832" s="51"/>
      <c r="U832" s="7"/>
      <c r="V832" s="57"/>
      <c r="W832" s="57"/>
      <c r="X832" s="57"/>
    </row>
    <row r="833" spans="1:24" ht="12.5" x14ac:dyDescent="0.25">
      <c r="A833" s="34"/>
      <c r="B833" s="7"/>
      <c r="C833" s="19"/>
      <c r="D833" s="7"/>
      <c r="E833" s="7"/>
      <c r="F833" s="7"/>
      <c r="G833" s="7"/>
      <c r="H833" s="6"/>
      <c r="I833" s="7"/>
      <c r="J833" s="7"/>
      <c r="K833" s="7"/>
      <c r="L833" s="7"/>
      <c r="M833" s="52"/>
      <c r="N833" s="7"/>
      <c r="O833" s="7"/>
      <c r="P833" s="47"/>
      <c r="Q833" s="47"/>
      <c r="R833" s="7"/>
      <c r="S833" s="51"/>
      <c r="T833" s="51"/>
      <c r="U833" s="7"/>
      <c r="V833" s="57"/>
      <c r="W833" s="57"/>
      <c r="X833" s="57"/>
    </row>
    <row r="834" spans="1:24" ht="12.5" x14ac:dyDescent="0.25">
      <c r="A834" s="34"/>
      <c r="B834" s="7"/>
      <c r="C834" s="19"/>
      <c r="D834" s="7"/>
      <c r="E834" s="7"/>
      <c r="F834" s="7"/>
      <c r="G834" s="7"/>
      <c r="H834" s="6"/>
      <c r="I834" s="7"/>
      <c r="J834" s="7"/>
      <c r="K834" s="7"/>
      <c r="L834" s="7"/>
      <c r="M834" s="52"/>
      <c r="N834" s="7"/>
      <c r="O834" s="7"/>
      <c r="P834" s="47"/>
      <c r="Q834" s="47"/>
      <c r="R834" s="7"/>
      <c r="S834" s="51"/>
      <c r="T834" s="51"/>
      <c r="U834" s="7"/>
      <c r="V834" s="57"/>
      <c r="W834" s="57"/>
      <c r="X834" s="57"/>
    </row>
    <row r="835" spans="1:24" ht="12.5" x14ac:dyDescent="0.25">
      <c r="A835" s="34"/>
      <c r="B835" s="7"/>
      <c r="C835" s="19"/>
      <c r="D835" s="7"/>
      <c r="E835" s="7"/>
      <c r="F835" s="7"/>
      <c r="G835" s="7"/>
      <c r="H835" s="6"/>
      <c r="I835" s="7"/>
      <c r="J835" s="7"/>
      <c r="K835" s="7"/>
      <c r="L835" s="7"/>
      <c r="M835" s="52"/>
      <c r="N835" s="7"/>
      <c r="O835" s="7"/>
      <c r="P835" s="47"/>
      <c r="Q835" s="47"/>
      <c r="R835" s="7"/>
      <c r="S835" s="51"/>
      <c r="T835" s="51"/>
      <c r="U835" s="7"/>
      <c r="V835" s="57"/>
      <c r="W835" s="57"/>
      <c r="X835" s="57"/>
    </row>
    <row r="836" spans="1:24" ht="12.5" x14ac:dyDescent="0.25">
      <c r="A836" s="34"/>
      <c r="B836" s="7"/>
      <c r="C836" s="19"/>
      <c r="D836" s="7"/>
      <c r="E836" s="7"/>
      <c r="F836" s="7"/>
      <c r="G836" s="7"/>
      <c r="H836" s="6"/>
      <c r="I836" s="7"/>
      <c r="J836" s="7"/>
      <c r="K836" s="7"/>
      <c r="L836" s="7"/>
      <c r="M836" s="52"/>
      <c r="N836" s="7"/>
      <c r="O836" s="7"/>
      <c r="P836" s="47"/>
      <c r="Q836" s="47"/>
      <c r="R836" s="7"/>
      <c r="S836" s="51"/>
      <c r="T836" s="51"/>
      <c r="U836" s="7"/>
      <c r="V836" s="57"/>
      <c r="W836" s="57"/>
      <c r="X836" s="57"/>
    </row>
    <row r="837" spans="1:24" ht="12.5" x14ac:dyDescent="0.25">
      <c r="A837" s="34"/>
      <c r="B837" s="7"/>
      <c r="C837" s="19"/>
      <c r="D837" s="7"/>
      <c r="E837" s="7"/>
      <c r="F837" s="7"/>
      <c r="G837" s="7"/>
      <c r="H837" s="6"/>
      <c r="I837" s="7"/>
      <c r="J837" s="7"/>
      <c r="K837" s="7"/>
      <c r="L837" s="7"/>
      <c r="M837" s="52"/>
      <c r="N837" s="7"/>
      <c r="O837" s="7"/>
      <c r="P837" s="47"/>
      <c r="Q837" s="47"/>
      <c r="R837" s="7"/>
      <c r="S837" s="51"/>
      <c r="T837" s="51"/>
      <c r="U837" s="7"/>
      <c r="V837" s="57"/>
      <c r="W837" s="57"/>
      <c r="X837" s="57"/>
    </row>
    <row r="838" spans="1:24" ht="12.5" x14ac:dyDescent="0.25">
      <c r="A838" s="34"/>
      <c r="B838" s="7"/>
      <c r="C838" s="19"/>
      <c r="D838" s="7"/>
      <c r="E838" s="7"/>
      <c r="F838" s="7"/>
      <c r="G838" s="7"/>
      <c r="H838" s="6"/>
      <c r="I838" s="7"/>
      <c r="J838" s="7"/>
      <c r="K838" s="7"/>
      <c r="L838" s="7"/>
      <c r="M838" s="52"/>
      <c r="N838" s="7"/>
      <c r="O838" s="7"/>
      <c r="P838" s="47"/>
      <c r="Q838" s="47"/>
      <c r="R838" s="7"/>
      <c r="S838" s="51"/>
      <c r="T838" s="51"/>
      <c r="U838" s="7"/>
      <c r="V838" s="57"/>
      <c r="W838" s="57"/>
      <c r="X838" s="57"/>
    </row>
    <row r="839" spans="1:24" ht="12.5" x14ac:dyDescent="0.25">
      <c r="A839" s="34"/>
      <c r="B839" s="7"/>
      <c r="C839" s="19"/>
      <c r="D839" s="7"/>
      <c r="E839" s="7"/>
      <c r="F839" s="7"/>
      <c r="G839" s="7"/>
      <c r="H839" s="6"/>
      <c r="I839" s="7"/>
      <c r="J839" s="7"/>
      <c r="K839" s="7"/>
      <c r="L839" s="7"/>
      <c r="M839" s="52"/>
      <c r="N839" s="7"/>
      <c r="O839" s="7"/>
      <c r="P839" s="47"/>
      <c r="Q839" s="47"/>
      <c r="R839" s="7"/>
      <c r="S839" s="51"/>
      <c r="T839" s="51"/>
      <c r="U839" s="7"/>
      <c r="V839" s="57"/>
      <c r="W839" s="57"/>
      <c r="X839" s="57"/>
    </row>
    <row r="840" spans="1:24" ht="12.5" x14ac:dyDescent="0.25">
      <c r="A840" s="34"/>
      <c r="B840" s="7"/>
      <c r="C840" s="19"/>
      <c r="D840" s="7"/>
      <c r="E840" s="7"/>
      <c r="F840" s="7"/>
      <c r="G840" s="7"/>
      <c r="H840" s="6"/>
      <c r="I840" s="7"/>
      <c r="J840" s="7"/>
      <c r="K840" s="7"/>
      <c r="L840" s="7"/>
      <c r="M840" s="52"/>
      <c r="N840" s="7"/>
      <c r="O840" s="7"/>
      <c r="P840" s="47"/>
      <c r="Q840" s="47"/>
      <c r="R840" s="7"/>
      <c r="S840" s="51"/>
      <c r="T840" s="51"/>
      <c r="U840" s="7"/>
      <c r="V840" s="57"/>
      <c r="W840" s="57"/>
      <c r="X840" s="57"/>
    </row>
    <row r="841" spans="1:24" ht="12.5" x14ac:dyDescent="0.25">
      <c r="A841" s="34"/>
      <c r="B841" s="7"/>
      <c r="C841" s="19"/>
      <c r="D841" s="7"/>
      <c r="E841" s="7"/>
      <c r="F841" s="7"/>
      <c r="G841" s="7"/>
      <c r="H841" s="6"/>
      <c r="I841" s="7"/>
      <c r="J841" s="7"/>
      <c r="K841" s="7"/>
      <c r="L841" s="7"/>
      <c r="M841" s="52"/>
      <c r="N841" s="7"/>
      <c r="O841" s="7"/>
      <c r="P841" s="47"/>
      <c r="Q841" s="47"/>
      <c r="R841" s="7"/>
      <c r="S841" s="51"/>
      <c r="T841" s="51"/>
      <c r="U841" s="7"/>
      <c r="V841" s="57"/>
      <c r="W841" s="57"/>
      <c r="X841" s="57"/>
    </row>
    <row r="842" spans="1:24" ht="12.5" x14ac:dyDescent="0.25">
      <c r="A842" s="34"/>
      <c r="B842" s="7"/>
      <c r="C842" s="19"/>
      <c r="D842" s="7"/>
      <c r="E842" s="7"/>
      <c r="F842" s="7"/>
      <c r="G842" s="7"/>
      <c r="H842" s="6"/>
      <c r="I842" s="7"/>
      <c r="J842" s="7"/>
      <c r="K842" s="7"/>
      <c r="L842" s="7"/>
      <c r="M842" s="52"/>
      <c r="N842" s="7"/>
      <c r="O842" s="7"/>
      <c r="P842" s="47"/>
      <c r="Q842" s="47"/>
      <c r="R842" s="7"/>
      <c r="S842" s="51"/>
      <c r="T842" s="51"/>
      <c r="U842" s="7"/>
      <c r="V842" s="57"/>
      <c r="W842" s="57"/>
      <c r="X842" s="57"/>
    </row>
    <row r="843" spans="1:24" ht="12.5" x14ac:dyDescent="0.25">
      <c r="A843" s="34"/>
      <c r="B843" s="7"/>
      <c r="C843" s="19"/>
      <c r="D843" s="7"/>
      <c r="E843" s="7"/>
      <c r="F843" s="7"/>
      <c r="G843" s="7"/>
      <c r="H843" s="6"/>
      <c r="I843" s="7"/>
      <c r="J843" s="7"/>
      <c r="K843" s="7"/>
      <c r="L843" s="7"/>
      <c r="M843" s="52"/>
      <c r="N843" s="7"/>
      <c r="O843" s="7"/>
      <c r="P843" s="47"/>
      <c r="Q843" s="47"/>
      <c r="R843" s="7"/>
      <c r="S843" s="51"/>
      <c r="T843" s="51"/>
      <c r="U843" s="7"/>
      <c r="V843" s="57"/>
      <c r="W843" s="57"/>
      <c r="X843" s="57"/>
    </row>
    <row r="844" spans="1:24" ht="12.5" x14ac:dyDescent="0.25">
      <c r="A844" s="34"/>
      <c r="B844" s="7"/>
      <c r="C844" s="19"/>
      <c r="D844" s="7"/>
      <c r="E844" s="7"/>
      <c r="F844" s="7"/>
      <c r="G844" s="7"/>
      <c r="H844" s="6"/>
      <c r="I844" s="7"/>
      <c r="J844" s="7"/>
      <c r="K844" s="7"/>
      <c r="L844" s="7"/>
      <c r="M844" s="52"/>
      <c r="N844" s="7"/>
      <c r="O844" s="7"/>
      <c r="P844" s="47"/>
      <c r="Q844" s="47"/>
      <c r="R844" s="7"/>
      <c r="S844" s="51"/>
      <c r="T844" s="51"/>
      <c r="U844" s="7"/>
      <c r="V844" s="57"/>
      <c r="W844" s="57"/>
      <c r="X844" s="57"/>
    </row>
    <row r="845" spans="1:24" ht="12.5" x14ac:dyDescent="0.25">
      <c r="A845" s="34"/>
      <c r="B845" s="7"/>
      <c r="C845" s="19"/>
      <c r="D845" s="7"/>
      <c r="E845" s="7"/>
      <c r="F845" s="7"/>
      <c r="G845" s="7"/>
      <c r="H845" s="6"/>
      <c r="I845" s="7"/>
      <c r="J845" s="7"/>
      <c r="K845" s="7"/>
      <c r="L845" s="7"/>
      <c r="M845" s="52"/>
      <c r="N845" s="7"/>
      <c r="O845" s="7"/>
      <c r="P845" s="47"/>
      <c r="Q845" s="47"/>
      <c r="R845" s="7"/>
      <c r="S845" s="51"/>
      <c r="T845" s="51"/>
      <c r="U845" s="7"/>
      <c r="V845" s="57"/>
      <c r="W845" s="57"/>
      <c r="X845" s="57"/>
    </row>
    <row r="846" spans="1:24" ht="12.5" x14ac:dyDescent="0.25">
      <c r="A846" s="34"/>
      <c r="B846" s="7"/>
      <c r="C846" s="19"/>
      <c r="D846" s="7"/>
      <c r="E846" s="7"/>
      <c r="F846" s="7"/>
      <c r="G846" s="7"/>
      <c r="H846" s="6"/>
      <c r="I846" s="7"/>
      <c r="J846" s="7"/>
      <c r="K846" s="7"/>
      <c r="L846" s="7"/>
      <c r="M846" s="52"/>
      <c r="N846" s="7"/>
      <c r="O846" s="7"/>
      <c r="P846" s="47"/>
      <c r="Q846" s="47"/>
      <c r="R846" s="7"/>
      <c r="S846" s="51"/>
      <c r="T846" s="51"/>
      <c r="U846" s="7"/>
      <c r="V846" s="57"/>
      <c r="W846" s="57"/>
      <c r="X846" s="57"/>
    </row>
    <row r="847" spans="1:24" ht="12.5" x14ac:dyDescent="0.25">
      <c r="A847" s="34"/>
      <c r="B847" s="7"/>
      <c r="C847" s="19"/>
      <c r="D847" s="7"/>
      <c r="E847" s="7"/>
      <c r="F847" s="7"/>
      <c r="G847" s="7"/>
      <c r="H847" s="6"/>
      <c r="I847" s="7"/>
      <c r="J847" s="7"/>
      <c r="K847" s="7"/>
      <c r="L847" s="7"/>
      <c r="M847" s="52"/>
      <c r="N847" s="7"/>
      <c r="O847" s="7"/>
      <c r="P847" s="47"/>
      <c r="Q847" s="47"/>
      <c r="R847" s="7"/>
      <c r="S847" s="51"/>
      <c r="T847" s="51"/>
      <c r="U847" s="7"/>
      <c r="V847" s="57"/>
      <c r="W847" s="57"/>
      <c r="X847" s="57"/>
    </row>
    <row r="848" spans="1:24" ht="12.5" x14ac:dyDescent="0.25">
      <c r="A848" s="34"/>
      <c r="B848" s="7"/>
      <c r="C848" s="19"/>
      <c r="D848" s="7"/>
      <c r="E848" s="7"/>
      <c r="F848" s="7"/>
      <c r="G848" s="7"/>
      <c r="H848" s="6"/>
      <c r="I848" s="7"/>
      <c r="J848" s="7"/>
      <c r="K848" s="7"/>
      <c r="L848" s="7"/>
      <c r="M848" s="52"/>
      <c r="N848" s="7"/>
      <c r="O848" s="7"/>
      <c r="P848" s="47"/>
      <c r="Q848" s="47"/>
      <c r="R848" s="7"/>
      <c r="S848" s="51"/>
      <c r="T848" s="51"/>
      <c r="U848" s="7"/>
      <c r="V848" s="57"/>
      <c r="W848" s="57"/>
      <c r="X848" s="57"/>
    </row>
    <row r="849" spans="1:24" ht="12.5" x14ac:dyDescent="0.25">
      <c r="A849" s="34"/>
      <c r="B849" s="7"/>
      <c r="C849" s="19"/>
      <c r="D849" s="7"/>
      <c r="E849" s="7"/>
      <c r="F849" s="7"/>
      <c r="G849" s="7"/>
      <c r="H849" s="6"/>
      <c r="I849" s="7"/>
      <c r="J849" s="7"/>
      <c r="K849" s="7"/>
      <c r="L849" s="7"/>
      <c r="M849" s="52"/>
      <c r="N849" s="7"/>
      <c r="O849" s="7"/>
      <c r="P849" s="47"/>
      <c r="Q849" s="47"/>
      <c r="R849" s="7"/>
      <c r="S849" s="51"/>
      <c r="T849" s="51"/>
      <c r="U849" s="7"/>
      <c r="V849" s="57"/>
      <c r="W849" s="57"/>
      <c r="X849" s="57"/>
    </row>
    <row r="850" spans="1:24" ht="12.5" x14ac:dyDescent="0.25">
      <c r="A850" s="34"/>
      <c r="B850" s="7"/>
      <c r="C850" s="19"/>
      <c r="D850" s="7"/>
      <c r="E850" s="7"/>
      <c r="F850" s="7"/>
      <c r="G850" s="7"/>
      <c r="H850" s="6"/>
      <c r="I850" s="7"/>
      <c r="J850" s="7"/>
      <c r="K850" s="7"/>
      <c r="L850" s="7"/>
      <c r="M850" s="52"/>
      <c r="N850" s="7"/>
      <c r="O850" s="7"/>
      <c r="P850" s="47"/>
      <c r="Q850" s="47"/>
      <c r="R850" s="7"/>
      <c r="S850" s="51"/>
      <c r="T850" s="51"/>
      <c r="U850" s="7"/>
      <c r="V850" s="57"/>
      <c r="W850" s="57"/>
      <c r="X850" s="57"/>
    </row>
    <row r="851" spans="1:24" ht="12.5" x14ac:dyDescent="0.25">
      <c r="A851" s="34"/>
      <c r="B851" s="7"/>
      <c r="C851" s="19"/>
      <c r="D851" s="7"/>
      <c r="E851" s="7"/>
      <c r="F851" s="7"/>
      <c r="G851" s="7"/>
      <c r="H851" s="6"/>
      <c r="I851" s="7"/>
      <c r="J851" s="7"/>
      <c r="K851" s="7"/>
      <c r="L851" s="7"/>
      <c r="M851" s="52"/>
      <c r="N851" s="7"/>
      <c r="O851" s="7"/>
      <c r="P851" s="47"/>
      <c r="Q851" s="47"/>
      <c r="R851" s="7"/>
      <c r="S851" s="51"/>
      <c r="T851" s="51"/>
      <c r="U851" s="7"/>
      <c r="V851" s="57"/>
      <c r="W851" s="57"/>
      <c r="X851" s="57"/>
    </row>
    <row r="852" spans="1:24" ht="12.5" x14ac:dyDescent="0.25">
      <c r="A852" s="34"/>
      <c r="B852" s="7"/>
      <c r="C852" s="19"/>
      <c r="D852" s="7"/>
      <c r="E852" s="7"/>
      <c r="F852" s="7"/>
      <c r="G852" s="7"/>
      <c r="H852" s="6"/>
      <c r="I852" s="7"/>
      <c r="J852" s="7"/>
      <c r="K852" s="7"/>
      <c r="L852" s="7"/>
      <c r="M852" s="52"/>
      <c r="N852" s="7"/>
      <c r="O852" s="7"/>
      <c r="P852" s="47"/>
      <c r="Q852" s="47"/>
      <c r="R852" s="7"/>
      <c r="S852" s="51"/>
      <c r="T852" s="51"/>
      <c r="U852" s="7"/>
      <c r="V852" s="57"/>
      <c r="W852" s="57"/>
      <c r="X852" s="57"/>
    </row>
    <row r="853" spans="1:24" ht="12.5" x14ac:dyDescent="0.25">
      <c r="A853" s="34"/>
      <c r="B853" s="7"/>
      <c r="C853" s="19"/>
      <c r="D853" s="7"/>
      <c r="E853" s="7"/>
      <c r="F853" s="7"/>
      <c r="G853" s="7"/>
      <c r="H853" s="6"/>
      <c r="I853" s="7"/>
      <c r="J853" s="7"/>
      <c r="K853" s="7"/>
      <c r="L853" s="7"/>
      <c r="M853" s="52"/>
      <c r="N853" s="7"/>
      <c r="O853" s="7"/>
      <c r="P853" s="47"/>
      <c r="Q853" s="47"/>
      <c r="R853" s="7"/>
      <c r="S853" s="51"/>
      <c r="T853" s="51"/>
      <c r="U853" s="7"/>
      <c r="V853" s="57"/>
      <c r="W853" s="57"/>
      <c r="X853" s="57"/>
    </row>
    <row r="854" spans="1:24" ht="12.5" x14ac:dyDescent="0.25">
      <c r="A854" s="34"/>
      <c r="B854" s="7"/>
      <c r="C854" s="19"/>
      <c r="D854" s="7"/>
      <c r="E854" s="7"/>
      <c r="F854" s="7"/>
      <c r="G854" s="7"/>
      <c r="H854" s="6"/>
      <c r="I854" s="7"/>
      <c r="J854" s="7"/>
      <c r="K854" s="7"/>
      <c r="L854" s="7"/>
      <c r="M854" s="52"/>
      <c r="N854" s="7"/>
      <c r="O854" s="7"/>
      <c r="P854" s="47"/>
      <c r="Q854" s="47"/>
      <c r="R854" s="7"/>
      <c r="S854" s="51"/>
      <c r="T854" s="51"/>
      <c r="U854" s="7"/>
      <c r="V854" s="57"/>
      <c r="W854" s="57"/>
      <c r="X854" s="57"/>
    </row>
    <row r="855" spans="1:24" ht="12.5" x14ac:dyDescent="0.25">
      <c r="A855" s="34"/>
      <c r="B855" s="7"/>
      <c r="C855" s="19"/>
      <c r="D855" s="7"/>
      <c r="E855" s="7"/>
      <c r="F855" s="7"/>
      <c r="G855" s="7"/>
      <c r="H855" s="6"/>
      <c r="I855" s="7"/>
      <c r="J855" s="7"/>
      <c r="K855" s="7"/>
      <c r="L855" s="7"/>
      <c r="M855" s="52"/>
      <c r="N855" s="7"/>
      <c r="O855" s="7"/>
      <c r="P855" s="47"/>
      <c r="Q855" s="47"/>
      <c r="R855" s="7"/>
      <c r="S855" s="51"/>
      <c r="T855" s="51"/>
      <c r="U855" s="7"/>
      <c r="V855" s="57"/>
      <c r="W855" s="57"/>
      <c r="X855" s="57"/>
    </row>
    <row r="856" spans="1:24" ht="12.5" x14ac:dyDescent="0.25">
      <c r="A856" s="34"/>
      <c r="B856" s="7"/>
      <c r="C856" s="19"/>
      <c r="D856" s="7"/>
      <c r="E856" s="7"/>
      <c r="F856" s="7"/>
      <c r="G856" s="7"/>
      <c r="H856" s="6"/>
      <c r="I856" s="7"/>
      <c r="J856" s="7"/>
      <c r="K856" s="7"/>
      <c r="L856" s="7"/>
      <c r="M856" s="52"/>
      <c r="N856" s="7"/>
      <c r="O856" s="7"/>
      <c r="P856" s="47"/>
      <c r="Q856" s="47"/>
      <c r="R856" s="7"/>
      <c r="S856" s="51"/>
      <c r="T856" s="51"/>
      <c r="U856" s="7"/>
      <c r="V856" s="57"/>
      <c r="W856" s="57"/>
      <c r="X856" s="57"/>
    </row>
    <row r="857" spans="1:24" ht="12.5" x14ac:dyDescent="0.25">
      <c r="A857" s="34"/>
      <c r="B857" s="7"/>
      <c r="C857" s="19"/>
      <c r="D857" s="7"/>
      <c r="E857" s="7"/>
      <c r="F857" s="7"/>
      <c r="G857" s="7"/>
      <c r="H857" s="6"/>
      <c r="I857" s="7"/>
      <c r="J857" s="7"/>
      <c r="K857" s="7"/>
      <c r="L857" s="7"/>
      <c r="M857" s="52"/>
      <c r="N857" s="7"/>
      <c r="O857" s="7"/>
      <c r="P857" s="47"/>
      <c r="Q857" s="47"/>
      <c r="R857" s="7"/>
      <c r="S857" s="51"/>
      <c r="T857" s="51"/>
      <c r="U857" s="7"/>
      <c r="V857" s="57"/>
      <c r="W857" s="57"/>
      <c r="X857" s="57"/>
    </row>
    <row r="858" spans="1:24" ht="12.5" x14ac:dyDescent="0.25">
      <c r="A858" s="34"/>
      <c r="B858" s="7"/>
      <c r="C858" s="19"/>
      <c r="D858" s="7"/>
      <c r="E858" s="7"/>
      <c r="F858" s="7"/>
      <c r="G858" s="7"/>
      <c r="H858" s="6"/>
      <c r="I858" s="7"/>
      <c r="J858" s="7"/>
      <c r="K858" s="7"/>
      <c r="L858" s="7"/>
      <c r="M858" s="52"/>
      <c r="N858" s="7"/>
      <c r="O858" s="7"/>
      <c r="P858" s="47"/>
      <c r="Q858" s="47"/>
      <c r="R858" s="7"/>
      <c r="S858" s="51"/>
      <c r="T858" s="51"/>
      <c r="U858" s="7"/>
      <c r="V858" s="57"/>
      <c r="W858" s="57"/>
      <c r="X858" s="57"/>
    </row>
    <row r="859" spans="1:24" ht="12.5" x14ac:dyDescent="0.25">
      <c r="A859" s="34"/>
      <c r="B859" s="7"/>
      <c r="C859" s="19"/>
      <c r="D859" s="7"/>
      <c r="E859" s="7"/>
      <c r="F859" s="7"/>
      <c r="G859" s="7"/>
      <c r="H859" s="6"/>
      <c r="I859" s="7"/>
      <c r="J859" s="7"/>
      <c r="K859" s="7"/>
      <c r="L859" s="7"/>
      <c r="M859" s="52"/>
      <c r="N859" s="7"/>
      <c r="O859" s="7"/>
      <c r="P859" s="47"/>
      <c r="Q859" s="47"/>
      <c r="R859" s="7"/>
      <c r="S859" s="51"/>
      <c r="T859" s="51"/>
      <c r="U859" s="7"/>
      <c r="V859" s="57"/>
      <c r="W859" s="57"/>
      <c r="X859" s="57"/>
    </row>
    <row r="860" spans="1:24" ht="12.5" x14ac:dyDescent="0.25">
      <c r="A860" s="34"/>
      <c r="B860" s="7"/>
      <c r="C860" s="19"/>
      <c r="D860" s="7"/>
      <c r="E860" s="7"/>
      <c r="F860" s="7"/>
      <c r="G860" s="7"/>
      <c r="H860" s="6"/>
      <c r="I860" s="7"/>
      <c r="J860" s="7"/>
      <c r="K860" s="7"/>
      <c r="L860" s="7"/>
      <c r="M860" s="52"/>
      <c r="N860" s="7"/>
      <c r="O860" s="7"/>
      <c r="P860" s="47"/>
      <c r="Q860" s="47"/>
      <c r="R860" s="7"/>
      <c r="S860" s="51"/>
      <c r="T860" s="51"/>
      <c r="U860" s="7"/>
      <c r="V860" s="57"/>
      <c r="W860" s="57"/>
      <c r="X860" s="57"/>
    </row>
    <row r="861" spans="1:24" ht="12.5" x14ac:dyDescent="0.25">
      <c r="A861" s="34"/>
      <c r="B861" s="7"/>
      <c r="C861" s="19"/>
      <c r="D861" s="7"/>
      <c r="E861" s="7"/>
      <c r="F861" s="7"/>
      <c r="G861" s="7"/>
      <c r="H861" s="6"/>
      <c r="I861" s="7"/>
      <c r="J861" s="7"/>
      <c r="K861" s="7"/>
      <c r="L861" s="7"/>
      <c r="M861" s="52"/>
      <c r="N861" s="7"/>
      <c r="O861" s="7"/>
      <c r="P861" s="47"/>
      <c r="Q861" s="47"/>
      <c r="R861" s="7"/>
      <c r="S861" s="51"/>
      <c r="T861" s="51"/>
      <c r="U861" s="7"/>
      <c r="V861" s="57"/>
      <c r="W861" s="57"/>
      <c r="X861" s="57"/>
    </row>
    <row r="862" spans="1:24" ht="12.5" x14ac:dyDescent="0.25">
      <c r="A862" s="34"/>
      <c r="B862" s="7"/>
      <c r="C862" s="19"/>
      <c r="D862" s="7"/>
      <c r="E862" s="7"/>
      <c r="F862" s="7"/>
      <c r="G862" s="7"/>
      <c r="H862" s="6"/>
      <c r="I862" s="7"/>
      <c r="J862" s="7"/>
      <c r="K862" s="7"/>
      <c r="L862" s="7"/>
      <c r="M862" s="52"/>
      <c r="N862" s="7"/>
      <c r="O862" s="7"/>
      <c r="P862" s="47"/>
      <c r="Q862" s="47"/>
      <c r="R862" s="7"/>
      <c r="S862" s="51"/>
      <c r="T862" s="51"/>
      <c r="U862" s="7"/>
      <c r="V862" s="57"/>
      <c r="W862" s="57"/>
      <c r="X862" s="57"/>
    </row>
    <row r="863" spans="1:24" ht="12.5" x14ac:dyDescent="0.25">
      <c r="A863" s="34"/>
      <c r="B863" s="7"/>
      <c r="C863" s="19"/>
      <c r="D863" s="7"/>
      <c r="E863" s="7"/>
      <c r="F863" s="7"/>
      <c r="G863" s="7"/>
      <c r="H863" s="6"/>
      <c r="I863" s="7"/>
      <c r="J863" s="7"/>
      <c r="K863" s="7"/>
      <c r="L863" s="7"/>
      <c r="M863" s="52"/>
      <c r="N863" s="7"/>
      <c r="O863" s="7"/>
      <c r="P863" s="47"/>
      <c r="Q863" s="47"/>
      <c r="R863" s="7"/>
      <c r="S863" s="51"/>
      <c r="T863" s="51"/>
      <c r="U863" s="7"/>
      <c r="V863" s="57"/>
      <c r="W863" s="57"/>
      <c r="X863" s="57"/>
    </row>
    <row r="864" spans="1:24" ht="12.5" x14ac:dyDescent="0.25">
      <c r="A864" s="34"/>
      <c r="B864" s="7"/>
      <c r="C864" s="19"/>
      <c r="D864" s="7"/>
      <c r="E864" s="7"/>
      <c r="F864" s="7"/>
      <c r="G864" s="7"/>
      <c r="H864" s="6"/>
      <c r="I864" s="7"/>
      <c r="J864" s="7"/>
      <c r="K864" s="7"/>
      <c r="L864" s="7"/>
      <c r="M864" s="52"/>
      <c r="N864" s="7"/>
      <c r="O864" s="7"/>
      <c r="P864" s="47"/>
      <c r="Q864" s="47"/>
      <c r="R864" s="7"/>
      <c r="S864" s="51"/>
      <c r="T864" s="51"/>
      <c r="U864" s="7"/>
      <c r="V864" s="57"/>
      <c r="W864" s="57"/>
      <c r="X864" s="57"/>
    </row>
    <row r="865" spans="1:24" ht="12.5" x14ac:dyDescent="0.25">
      <c r="A865" s="34"/>
      <c r="B865" s="7"/>
      <c r="C865" s="19"/>
      <c r="D865" s="7"/>
      <c r="E865" s="7"/>
      <c r="F865" s="7"/>
      <c r="G865" s="7"/>
      <c r="H865" s="6"/>
      <c r="I865" s="7"/>
      <c r="J865" s="7"/>
      <c r="K865" s="7"/>
      <c r="L865" s="7"/>
      <c r="M865" s="52"/>
      <c r="N865" s="7"/>
      <c r="O865" s="7"/>
      <c r="P865" s="47"/>
      <c r="Q865" s="47"/>
      <c r="R865" s="7"/>
      <c r="S865" s="51"/>
      <c r="T865" s="51"/>
      <c r="U865" s="7"/>
      <c r="V865" s="57"/>
      <c r="W865" s="57"/>
      <c r="X865" s="57"/>
    </row>
    <row r="866" spans="1:24" ht="12.5" x14ac:dyDescent="0.25">
      <c r="A866" s="34"/>
      <c r="B866" s="7"/>
      <c r="C866" s="19"/>
      <c r="D866" s="7"/>
      <c r="E866" s="7"/>
      <c r="F866" s="7"/>
      <c r="G866" s="7"/>
      <c r="H866" s="6"/>
      <c r="I866" s="7"/>
      <c r="J866" s="7"/>
      <c r="K866" s="7"/>
      <c r="L866" s="7"/>
      <c r="M866" s="52"/>
      <c r="N866" s="7"/>
      <c r="O866" s="7"/>
      <c r="P866" s="47"/>
      <c r="Q866" s="47"/>
      <c r="R866" s="7"/>
      <c r="S866" s="51"/>
      <c r="T866" s="51"/>
      <c r="U866" s="7"/>
      <c r="V866" s="57"/>
      <c r="W866" s="57"/>
      <c r="X866" s="57"/>
    </row>
    <row r="867" spans="1:24" ht="12.5" x14ac:dyDescent="0.25">
      <c r="A867" s="34"/>
      <c r="B867" s="7"/>
      <c r="C867" s="19"/>
      <c r="D867" s="7"/>
      <c r="E867" s="7"/>
      <c r="F867" s="7"/>
      <c r="G867" s="7"/>
      <c r="H867" s="6"/>
      <c r="I867" s="7"/>
      <c r="J867" s="7"/>
      <c r="K867" s="7"/>
      <c r="L867" s="7"/>
      <c r="M867" s="52"/>
      <c r="N867" s="7"/>
      <c r="O867" s="7"/>
      <c r="P867" s="47"/>
      <c r="Q867" s="47"/>
      <c r="R867" s="7"/>
      <c r="S867" s="51"/>
      <c r="T867" s="51"/>
      <c r="U867" s="7"/>
      <c r="V867" s="57"/>
      <c r="W867" s="57"/>
      <c r="X867" s="57"/>
    </row>
    <row r="868" spans="1:24" ht="12.5" x14ac:dyDescent="0.25">
      <c r="A868" s="34"/>
      <c r="B868" s="7"/>
      <c r="C868" s="19"/>
      <c r="D868" s="7"/>
      <c r="E868" s="7"/>
      <c r="F868" s="7"/>
      <c r="G868" s="7"/>
      <c r="H868" s="6"/>
      <c r="I868" s="7"/>
      <c r="J868" s="7"/>
      <c r="K868" s="7"/>
      <c r="L868" s="7"/>
      <c r="M868" s="52"/>
      <c r="N868" s="7"/>
      <c r="O868" s="7"/>
      <c r="P868" s="47"/>
      <c r="Q868" s="47"/>
      <c r="R868" s="7"/>
      <c r="S868" s="51"/>
      <c r="T868" s="51"/>
      <c r="U868" s="7"/>
      <c r="V868" s="57"/>
      <c r="W868" s="57"/>
      <c r="X868" s="57"/>
    </row>
    <row r="869" spans="1:24" ht="12.5" x14ac:dyDescent="0.25">
      <c r="A869" s="34"/>
      <c r="B869" s="7"/>
      <c r="C869" s="19"/>
      <c r="D869" s="7"/>
      <c r="E869" s="7"/>
      <c r="F869" s="7"/>
      <c r="G869" s="7"/>
      <c r="H869" s="6"/>
      <c r="I869" s="7"/>
      <c r="J869" s="7"/>
      <c r="K869" s="7"/>
      <c r="L869" s="7"/>
      <c r="M869" s="52"/>
      <c r="N869" s="7"/>
      <c r="O869" s="7"/>
      <c r="P869" s="47"/>
      <c r="Q869" s="47"/>
      <c r="R869" s="7"/>
      <c r="S869" s="51"/>
      <c r="T869" s="51"/>
      <c r="U869" s="7"/>
      <c r="V869" s="57"/>
      <c r="W869" s="57"/>
      <c r="X869" s="57"/>
    </row>
    <row r="870" spans="1:24" ht="12.5" x14ac:dyDescent="0.25">
      <c r="A870" s="34"/>
      <c r="B870" s="7"/>
      <c r="C870" s="19"/>
      <c r="D870" s="7"/>
      <c r="E870" s="7"/>
      <c r="F870" s="7"/>
      <c r="G870" s="7"/>
      <c r="H870" s="6"/>
      <c r="I870" s="7"/>
      <c r="J870" s="7"/>
      <c r="K870" s="7"/>
      <c r="L870" s="7"/>
      <c r="M870" s="52"/>
      <c r="N870" s="7"/>
      <c r="O870" s="7"/>
      <c r="P870" s="47"/>
      <c r="Q870" s="47"/>
      <c r="R870" s="7"/>
      <c r="S870" s="51"/>
      <c r="T870" s="51"/>
      <c r="U870" s="7"/>
      <c r="V870" s="57"/>
      <c r="W870" s="57"/>
      <c r="X870" s="57"/>
    </row>
    <row r="871" spans="1:24" ht="12.5" x14ac:dyDescent="0.25">
      <c r="A871" s="34"/>
      <c r="B871" s="7"/>
      <c r="C871" s="19"/>
      <c r="D871" s="7"/>
      <c r="E871" s="7"/>
      <c r="F871" s="7"/>
      <c r="G871" s="7"/>
      <c r="H871" s="6"/>
      <c r="I871" s="7"/>
      <c r="J871" s="7"/>
      <c r="K871" s="7"/>
      <c r="L871" s="7"/>
      <c r="M871" s="52"/>
      <c r="N871" s="7"/>
      <c r="O871" s="7"/>
      <c r="P871" s="47"/>
      <c r="Q871" s="47"/>
      <c r="R871" s="7"/>
      <c r="S871" s="51"/>
      <c r="T871" s="51"/>
      <c r="U871" s="7"/>
      <c r="V871" s="57"/>
      <c r="W871" s="57"/>
      <c r="X871" s="57"/>
    </row>
    <row r="872" spans="1:24" ht="12.5" x14ac:dyDescent="0.25">
      <c r="A872" s="34"/>
      <c r="B872" s="7"/>
      <c r="C872" s="19"/>
      <c r="D872" s="7"/>
      <c r="E872" s="7"/>
      <c r="F872" s="7"/>
      <c r="G872" s="7"/>
      <c r="H872" s="6"/>
      <c r="I872" s="7"/>
      <c r="J872" s="7"/>
      <c r="K872" s="7"/>
      <c r="L872" s="7"/>
      <c r="M872" s="52"/>
      <c r="N872" s="7"/>
      <c r="O872" s="7"/>
      <c r="P872" s="47"/>
      <c r="Q872" s="47"/>
      <c r="R872" s="7"/>
      <c r="S872" s="51"/>
      <c r="T872" s="51"/>
      <c r="U872" s="7"/>
      <c r="V872" s="57"/>
      <c r="W872" s="57"/>
      <c r="X872" s="57"/>
    </row>
    <row r="873" spans="1:24" ht="12.5" x14ac:dyDescent="0.25">
      <c r="A873" s="34"/>
      <c r="B873" s="7"/>
      <c r="C873" s="19"/>
      <c r="D873" s="7"/>
      <c r="E873" s="7"/>
      <c r="F873" s="7"/>
      <c r="G873" s="7"/>
      <c r="H873" s="6"/>
      <c r="I873" s="7"/>
      <c r="J873" s="7"/>
      <c r="K873" s="7"/>
      <c r="L873" s="7"/>
      <c r="M873" s="52"/>
      <c r="N873" s="7"/>
      <c r="O873" s="7"/>
      <c r="P873" s="47"/>
      <c r="Q873" s="47"/>
      <c r="R873" s="7"/>
      <c r="S873" s="51"/>
      <c r="T873" s="51"/>
      <c r="U873" s="7"/>
      <c r="V873" s="57"/>
      <c r="W873" s="57"/>
      <c r="X873" s="57"/>
    </row>
    <row r="874" spans="1:24" ht="12.5" x14ac:dyDescent="0.25">
      <c r="A874" s="34"/>
      <c r="B874" s="7"/>
      <c r="C874" s="19"/>
      <c r="D874" s="7"/>
      <c r="E874" s="7"/>
      <c r="F874" s="7"/>
      <c r="G874" s="7"/>
      <c r="H874" s="6"/>
      <c r="I874" s="7"/>
      <c r="J874" s="7"/>
      <c r="K874" s="7"/>
      <c r="L874" s="7"/>
      <c r="M874" s="52"/>
      <c r="N874" s="7"/>
      <c r="O874" s="7"/>
      <c r="P874" s="47"/>
      <c r="Q874" s="47"/>
      <c r="R874" s="7"/>
      <c r="S874" s="51"/>
      <c r="T874" s="51"/>
      <c r="U874" s="7"/>
      <c r="V874" s="57"/>
      <c r="W874" s="57"/>
      <c r="X874" s="57"/>
    </row>
    <row r="875" spans="1:24" ht="12.5" x14ac:dyDescent="0.25">
      <c r="A875" s="34"/>
      <c r="B875" s="7"/>
      <c r="C875" s="19"/>
      <c r="D875" s="7"/>
      <c r="E875" s="7"/>
      <c r="F875" s="7"/>
      <c r="G875" s="7"/>
      <c r="H875" s="6"/>
      <c r="I875" s="7"/>
      <c r="J875" s="7"/>
      <c r="K875" s="7"/>
      <c r="L875" s="7"/>
      <c r="M875" s="52"/>
      <c r="N875" s="7"/>
      <c r="O875" s="7"/>
      <c r="P875" s="47"/>
      <c r="Q875" s="47"/>
      <c r="R875" s="7"/>
      <c r="S875" s="51"/>
      <c r="T875" s="51"/>
      <c r="U875" s="7"/>
      <c r="V875" s="57"/>
      <c r="W875" s="57"/>
      <c r="X875" s="57"/>
    </row>
    <row r="876" spans="1:24" ht="12.5" x14ac:dyDescent="0.25">
      <c r="A876" s="34"/>
      <c r="B876" s="7"/>
      <c r="C876" s="19"/>
      <c r="D876" s="7"/>
      <c r="E876" s="7"/>
      <c r="F876" s="7"/>
      <c r="G876" s="7"/>
      <c r="H876" s="6"/>
      <c r="I876" s="7"/>
      <c r="J876" s="7"/>
      <c r="K876" s="7"/>
      <c r="L876" s="7"/>
      <c r="M876" s="52"/>
      <c r="N876" s="7"/>
      <c r="O876" s="7"/>
      <c r="P876" s="47"/>
      <c r="Q876" s="47"/>
      <c r="R876" s="7"/>
      <c r="S876" s="51"/>
      <c r="T876" s="51"/>
      <c r="U876" s="7"/>
      <c r="V876" s="57"/>
      <c r="W876" s="57"/>
      <c r="X876" s="57"/>
    </row>
    <row r="877" spans="1:24" ht="12.5" x14ac:dyDescent="0.25">
      <c r="A877" s="34"/>
      <c r="B877" s="7"/>
      <c r="C877" s="19"/>
      <c r="D877" s="7"/>
      <c r="E877" s="7"/>
      <c r="F877" s="7"/>
      <c r="G877" s="7"/>
      <c r="H877" s="6"/>
      <c r="I877" s="7"/>
      <c r="J877" s="7"/>
      <c r="K877" s="7"/>
      <c r="L877" s="7"/>
      <c r="M877" s="52"/>
      <c r="N877" s="7"/>
      <c r="O877" s="7"/>
      <c r="P877" s="47"/>
      <c r="Q877" s="47"/>
      <c r="R877" s="7"/>
      <c r="S877" s="51"/>
      <c r="T877" s="51"/>
      <c r="U877" s="7"/>
      <c r="V877" s="57"/>
      <c r="W877" s="57"/>
      <c r="X877" s="57"/>
    </row>
    <row r="878" spans="1:24" ht="12.5" x14ac:dyDescent="0.25">
      <c r="A878" s="34"/>
      <c r="B878" s="7"/>
      <c r="C878" s="19"/>
      <c r="D878" s="7"/>
      <c r="E878" s="7"/>
      <c r="F878" s="7"/>
      <c r="G878" s="7"/>
      <c r="H878" s="6"/>
      <c r="I878" s="7"/>
      <c r="J878" s="7"/>
      <c r="K878" s="7"/>
      <c r="L878" s="7"/>
      <c r="M878" s="52"/>
      <c r="N878" s="7"/>
      <c r="O878" s="7"/>
      <c r="P878" s="47"/>
      <c r="Q878" s="47"/>
      <c r="R878" s="7"/>
      <c r="S878" s="51"/>
      <c r="T878" s="51"/>
      <c r="U878" s="7"/>
      <c r="V878" s="57"/>
      <c r="W878" s="57"/>
      <c r="X878" s="57"/>
    </row>
    <row r="879" spans="1:24" ht="12.5" x14ac:dyDescent="0.25">
      <c r="A879" s="34"/>
      <c r="B879" s="7"/>
      <c r="C879" s="19"/>
      <c r="D879" s="7"/>
      <c r="E879" s="7"/>
      <c r="F879" s="7"/>
      <c r="G879" s="7"/>
      <c r="H879" s="6"/>
      <c r="I879" s="7"/>
      <c r="J879" s="7"/>
      <c r="K879" s="7"/>
      <c r="L879" s="7"/>
      <c r="M879" s="52"/>
      <c r="N879" s="7"/>
      <c r="O879" s="7"/>
      <c r="P879" s="47"/>
      <c r="Q879" s="47"/>
      <c r="R879" s="7"/>
      <c r="S879" s="51"/>
      <c r="T879" s="51"/>
      <c r="U879" s="7"/>
      <c r="V879" s="57"/>
      <c r="W879" s="57"/>
      <c r="X879" s="57"/>
    </row>
    <row r="880" spans="1:24" ht="12.5" x14ac:dyDescent="0.25">
      <c r="A880" s="34"/>
      <c r="B880" s="7"/>
      <c r="C880" s="19"/>
      <c r="D880" s="7"/>
      <c r="E880" s="7"/>
      <c r="F880" s="7"/>
      <c r="G880" s="7"/>
      <c r="H880" s="6"/>
      <c r="I880" s="7"/>
      <c r="J880" s="7"/>
      <c r="K880" s="7"/>
      <c r="L880" s="7"/>
      <c r="M880" s="52"/>
      <c r="N880" s="7"/>
      <c r="O880" s="7"/>
      <c r="P880" s="47"/>
      <c r="Q880" s="47"/>
      <c r="R880" s="7"/>
      <c r="S880" s="51"/>
      <c r="T880" s="51"/>
      <c r="U880" s="7"/>
      <c r="V880" s="57"/>
      <c r="W880" s="57"/>
      <c r="X880" s="57"/>
    </row>
    <row r="881" spans="1:24" ht="12.5" x14ac:dyDescent="0.25">
      <c r="A881" s="34"/>
      <c r="B881" s="7"/>
      <c r="C881" s="19"/>
      <c r="D881" s="7"/>
      <c r="E881" s="7"/>
      <c r="F881" s="7"/>
      <c r="G881" s="7"/>
      <c r="H881" s="6"/>
      <c r="I881" s="7"/>
      <c r="J881" s="7"/>
      <c r="K881" s="7"/>
      <c r="L881" s="7"/>
      <c r="M881" s="52"/>
      <c r="N881" s="7"/>
      <c r="O881" s="7"/>
      <c r="P881" s="47"/>
      <c r="Q881" s="47"/>
      <c r="R881" s="7"/>
      <c r="S881" s="51"/>
      <c r="T881" s="51"/>
      <c r="U881" s="7"/>
      <c r="V881" s="57"/>
      <c r="W881" s="57"/>
      <c r="X881" s="57"/>
    </row>
    <row r="882" spans="1:24" ht="12.5" x14ac:dyDescent="0.25">
      <c r="A882" s="34"/>
      <c r="B882" s="7"/>
      <c r="C882" s="19"/>
      <c r="D882" s="7"/>
      <c r="E882" s="7"/>
      <c r="F882" s="7"/>
      <c r="G882" s="7"/>
      <c r="H882" s="6"/>
      <c r="I882" s="7"/>
      <c r="J882" s="7"/>
      <c r="K882" s="7"/>
      <c r="L882" s="7"/>
      <c r="M882" s="52"/>
      <c r="N882" s="7"/>
      <c r="O882" s="7"/>
      <c r="P882" s="47"/>
      <c r="Q882" s="47"/>
      <c r="R882" s="7"/>
      <c r="S882" s="51"/>
      <c r="T882" s="51"/>
      <c r="U882" s="7"/>
      <c r="V882" s="57"/>
      <c r="W882" s="57"/>
      <c r="X882" s="57"/>
    </row>
    <row r="883" spans="1:24" ht="12.5" x14ac:dyDescent="0.25">
      <c r="A883" s="34"/>
      <c r="B883" s="7"/>
      <c r="C883" s="19"/>
      <c r="D883" s="7"/>
      <c r="E883" s="7"/>
      <c r="F883" s="7"/>
      <c r="G883" s="7"/>
      <c r="H883" s="6"/>
      <c r="I883" s="7"/>
      <c r="J883" s="7"/>
      <c r="K883" s="7"/>
      <c r="L883" s="7"/>
      <c r="M883" s="52"/>
      <c r="N883" s="7"/>
      <c r="O883" s="7"/>
      <c r="P883" s="47"/>
      <c r="Q883" s="47"/>
      <c r="R883" s="7"/>
      <c r="S883" s="51"/>
      <c r="T883" s="51"/>
      <c r="U883" s="7"/>
      <c r="V883" s="57"/>
      <c r="W883" s="57"/>
      <c r="X883" s="57"/>
    </row>
    <row r="884" spans="1:24" ht="12.5" x14ac:dyDescent="0.25">
      <c r="A884" s="34"/>
      <c r="B884" s="7"/>
      <c r="C884" s="19"/>
      <c r="D884" s="7"/>
      <c r="E884" s="7"/>
      <c r="F884" s="7"/>
      <c r="G884" s="7"/>
      <c r="H884" s="6"/>
      <c r="I884" s="7"/>
      <c r="J884" s="7"/>
      <c r="K884" s="7"/>
      <c r="L884" s="7"/>
      <c r="M884" s="52"/>
      <c r="N884" s="7"/>
      <c r="O884" s="7"/>
      <c r="P884" s="47"/>
      <c r="Q884" s="47"/>
      <c r="R884" s="7"/>
      <c r="S884" s="51"/>
      <c r="T884" s="51"/>
      <c r="U884" s="7"/>
      <c r="V884" s="57"/>
      <c r="W884" s="57"/>
      <c r="X884" s="57"/>
    </row>
    <row r="885" spans="1:24" ht="12.5" x14ac:dyDescent="0.25">
      <c r="A885" s="34"/>
      <c r="B885" s="7"/>
      <c r="C885" s="19"/>
      <c r="D885" s="7"/>
      <c r="E885" s="7"/>
      <c r="F885" s="7"/>
      <c r="G885" s="7"/>
      <c r="H885" s="6"/>
      <c r="I885" s="7"/>
      <c r="J885" s="7"/>
      <c r="K885" s="7"/>
      <c r="L885" s="7"/>
      <c r="M885" s="52"/>
      <c r="N885" s="7"/>
      <c r="O885" s="7"/>
      <c r="P885" s="47"/>
      <c r="Q885" s="47"/>
      <c r="R885" s="7"/>
      <c r="S885" s="51"/>
      <c r="T885" s="51"/>
      <c r="U885" s="7"/>
      <c r="V885" s="57"/>
      <c r="W885" s="57"/>
      <c r="X885" s="57"/>
    </row>
    <row r="886" spans="1:24" ht="12.5" x14ac:dyDescent="0.25">
      <c r="A886" s="34"/>
      <c r="B886" s="7"/>
      <c r="C886" s="19"/>
      <c r="D886" s="7"/>
      <c r="E886" s="7"/>
      <c r="F886" s="7"/>
      <c r="G886" s="7"/>
      <c r="H886" s="6"/>
      <c r="I886" s="7"/>
      <c r="J886" s="7"/>
      <c r="K886" s="7"/>
      <c r="L886" s="7"/>
      <c r="M886" s="52"/>
      <c r="N886" s="7"/>
      <c r="O886" s="7"/>
      <c r="P886" s="47"/>
      <c r="Q886" s="47"/>
      <c r="R886" s="7"/>
      <c r="S886" s="51"/>
      <c r="T886" s="51"/>
      <c r="U886" s="7"/>
      <c r="V886" s="57"/>
      <c r="W886" s="57"/>
      <c r="X886" s="57"/>
    </row>
    <row r="887" spans="1:24" ht="12.5" x14ac:dyDescent="0.25">
      <c r="A887" s="34"/>
      <c r="B887" s="7"/>
      <c r="C887" s="19"/>
      <c r="D887" s="7"/>
      <c r="E887" s="7"/>
      <c r="F887" s="7"/>
      <c r="G887" s="7"/>
      <c r="H887" s="6"/>
      <c r="I887" s="7"/>
      <c r="J887" s="7"/>
      <c r="K887" s="7"/>
      <c r="L887" s="7"/>
      <c r="M887" s="52"/>
      <c r="N887" s="7"/>
      <c r="O887" s="7"/>
      <c r="P887" s="47"/>
      <c r="Q887" s="47"/>
      <c r="R887" s="7"/>
      <c r="S887" s="51"/>
      <c r="T887" s="51"/>
      <c r="U887" s="7"/>
      <c r="V887" s="57"/>
      <c r="W887" s="57"/>
      <c r="X887" s="57"/>
    </row>
    <row r="888" spans="1:24" ht="12.5" x14ac:dyDescent="0.25">
      <c r="A888" s="34"/>
      <c r="B888" s="7"/>
      <c r="C888" s="19"/>
      <c r="D888" s="7"/>
      <c r="E888" s="7"/>
      <c r="F888" s="7"/>
      <c r="G888" s="7"/>
      <c r="H888" s="6"/>
      <c r="I888" s="7"/>
      <c r="J888" s="7"/>
      <c r="K888" s="7"/>
      <c r="L888" s="7"/>
      <c r="M888" s="52"/>
      <c r="N888" s="7"/>
      <c r="O888" s="7"/>
      <c r="P888" s="47"/>
      <c r="Q888" s="47"/>
      <c r="R888" s="7"/>
      <c r="S888" s="51"/>
      <c r="T888" s="51"/>
      <c r="U888" s="7"/>
      <c r="V888" s="57"/>
      <c r="W888" s="57"/>
      <c r="X888" s="57"/>
    </row>
    <row r="889" spans="1:24" ht="12.5" x14ac:dyDescent="0.25">
      <c r="A889" s="34"/>
      <c r="B889" s="7"/>
      <c r="C889" s="19"/>
      <c r="D889" s="7"/>
      <c r="E889" s="7"/>
      <c r="F889" s="7"/>
      <c r="G889" s="7"/>
      <c r="H889" s="6"/>
      <c r="I889" s="7"/>
      <c r="J889" s="7"/>
      <c r="K889" s="7"/>
      <c r="L889" s="7"/>
      <c r="M889" s="52"/>
      <c r="N889" s="7"/>
      <c r="O889" s="7"/>
      <c r="P889" s="47"/>
      <c r="Q889" s="47"/>
      <c r="R889" s="7"/>
      <c r="S889" s="51"/>
      <c r="T889" s="51"/>
      <c r="U889" s="7"/>
      <c r="V889" s="57"/>
      <c r="W889" s="57"/>
      <c r="X889" s="57"/>
    </row>
    <row r="890" spans="1:24" ht="12.5" x14ac:dyDescent="0.25">
      <c r="A890" s="34"/>
      <c r="B890" s="7"/>
      <c r="C890" s="19"/>
      <c r="D890" s="7"/>
      <c r="E890" s="7"/>
      <c r="F890" s="7"/>
      <c r="G890" s="7"/>
      <c r="H890" s="6"/>
      <c r="I890" s="7"/>
      <c r="J890" s="7"/>
      <c r="K890" s="7"/>
      <c r="L890" s="7"/>
      <c r="M890" s="52"/>
      <c r="N890" s="7"/>
      <c r="O890" s="7"/>
      <c r="P890" s="47"/>
      <c r="Q890" s="47"/>
      <c r="R890" s="7"/>
      <c r="S890" s="51"/>
      <c r="T890" s="51"/>
      <c r="U890" s="7"/>
      <c r="V890" s="57"/>
      <c r="W890" s="57"/>
      <c r="X890" s="57"/>
    </row>
    <row r="891" spans="1:24" ht="12.5" x14ac:dyDescent="0.25">
      <c r="A891" s="34"/>
      <c r="B891" s="7"/>
      <c r="C891" s="19"/>
      <c r="D891" s="7"/>
      <c r="E891" s="7"/>
      <c r="F891" s="7"/>
      <c r="G891" s="7"/>
      <c r="H891" s="6"/>
      <c r="I891" s="7"/>
      <c r="J891" s="7"/>
      <c r="K891" s="7"/>
      <c r="L891" s="7"/>
      <c r="M891" s="52"/>
      <c r="N891" s="7"/>
      <c r="O891" s="7"/>
      <c r="P891" s="47"/>
      <c r="Q891" s="47"/>
      <c r="R891" s="7"/>
      <c r="S891" s="51"/>
      <c r="T891" s="51"/>
      <c r="U891" s="7"/>
      <c r="V891" s="57"/>
      <c r="W891" s="57"/>
      <c r="X891" s="57"/>
    </row>
    <row r="892" spans="1:24" ht="12.5" x14ac:dyDescent="0.25">
      <c r="A892" s="34"/>
      <c r="B892" s="7"/>
      <c r="C892" s="19"/>
      <c r="D892" s="7"/>
      <c r="E892" s="7"/>
      <c r="F892" s="7"/>
      <c r="G892" s="7"/>
      <c r="H892" s="6"/>
      <c r="I892" s="7"/>
      <c r="J892" s="7"/>
      <c r="K892" s="7"/>
      <c r="L892" s="7"/>
      <c r="M892" s="52"/>
      <c r="N892" s="7"/>
      <c r="O892" s="7"/>
      <c r="P892" s="47"/>
      <c r="Q892" s="47"/>
      <c r="R892" s="7"/>
      <c r="S892" s="51"/>
      <c r="T892" s="51"/>
      <c r="U892" s="7"/>
      <c r="V892" s="57"/>
      <c r="W892" s="57"/>
      <c r="X892" s="57"/>
    </row>
    <row r="893" spans="1:24" ht="12.5" x14ac:dyDescent="0.25">
      <c r="A893" s="34"/>
      <c r="B893" s="7"/>
      <c r="C893" s="19"/>
      <c r="D893" s="7"/>
      <c r="E893" s="7"/>
      <c r="F893" s="7"/>
      <c r="G893" s="7"/>
      <c r="H893" s="6"/>
      <c r="I893" s="7"/>
      <c r="J893" s="7"/>
      <c r="K893" s="7"/>
      <c r="L893" s="7"/>
      <c r="M893" s="52"/>
      <c r="N893" s="7"/>
      <c r="O893" s="7"/>
      <c r="P893" s="47"/>
      <c r="Q893" s="47"/>
      <c r="R893" s="7"/>
      <c r="S893" s="51"/>
      <c r="T893" s="51"/>
      <c r="U893" s="7"/>
      <c r="V893" s="57"/>
      <c r="W893" s="57"/>
      <c r="X893" s="57"/>
    </row>
    <row r="894" spans="1:24" ht="12.5" x14ac:dyDescent="0.25">
      <c r="A894" s="34"/>
      <c r="B894" s="7"/>
      <c r="C894" s="19"/>
      <c r="D894" s="7"/>
      <c r="E894" s="7"/>
      <c r="F894" s="7"/>
      <c r="G894" s="7"/>
      <c r="H894" s="6"/>
      <c r="I894" s="7"/>
      <c r="J894" s="7"/>
      <c r="K894" s="7"/>
      <c r="L894" s="7"/>
      <c r="M894" s="52"/>
      <c r="N894" s="7"/>
      <c r="O894" s="7"/>
      <c r="P894" s="47"/>
      <c r="Q894" s="47"/>
      <c r="R894" s="7"/>
      <c r="S894" s="51"/>
      <c r="T894" s="51"/>
      <c r="U894" s="7"/>
      <c r="V894" s="57"/>
      <c r="W894" s="57"/>
      <c r="X894" s="57"/>
    </row>
    <row r="895" spans="1:24" ht="12.5" x14ac:dyDescent="0.25">
      <c r="A895" s="34"/>
      <c r="B895" s="7"/>
      <c r="C895" s="19"/>
      <c r="D895" s="7"/>
      <c r="E895" s="7"/>
      <c r="F895" s="7"/>
      <c r="G895" s="7"/>
      <c r="H895" s="6"/>
      <c r="I895" s="7"/>
      <c r="J895" s="7"/>
      <c r="K895" s="7"/>
      <c r="L895" s="7"/>
      <c r="M895" s="52"/>
      <c r="N895" s="7"/>
      <c r="O895" s="7"/>
      <c r="P895" s="47"/>
      <c r="Q895" s="47"/>
      <c r="R895" s="7"/>
      <c r="S895" s="51"/>
      <c r="T895" s="51"/>
      <c r="U895" s="7"/>
      <c r="V895" s="57"/>
      <c r="W895" s="57"/>
      <c r="X895" s="57"/>
    </row>
    <row r="896" spans="1:24" ht="12.5" x14ac:dyDescent="0.25">
      <c r="A896" s="34"/>
      <c r="B896" s="7"/>
      <c r="C896" s="19"/>
      <c r="D896" s="7"/>
      <c r="E896" s="7"/>
      <c r="F896" s="7"/>
      <c r="G896" s="7"/>
      <c r="H896" s="6"/>
      <c r="I896" s="7"/>
      <c r="J896" s="7"/>
      <c r="K896" s="7"/>
      <c r="L896" s="7"/>
      <c r="M896" s="52"/>
      <c r="N896" s="7"/>
      <c r="O896" s="7"/>
      <c r="P896" s="47"/>
      <c r="Q896" s="47"/>
      <c r="R896" s="7"/>
      <c r="S896" s="51"/>
      <c r="T896" s="51"/>
      <c r="U896" s="7"/>
      <c r="V896" s="57"/>
      <c r="W896" s="57"/>
      <c r="X896" s="57"/>
    </row>
    <row r="897" spans="1:24" ht="12.5" x14ac:dyDescent="0.25">
      <c r="A897" s="34"/>
      <c r="B897" s="7"/>
      <c r="C897" s="19"/>
      <c r="D897" s="7"/>
      <c r="E897" s="7"/>
      <c r="F897" s="7"/>
      <c r="G897" s="7"/>
      <c r="H897" s="6"/>
      <c r="I897" s="7"/>
      <c r="J897" s="7"/>
      <c r="K897" s="7"/>
      <c r="L897" s="7"/>
      <c r="M897" s="52"/>
      <c r="N897" s="7"/>
      <c r="O897" s="7"/>
      <c r="P897" s="47"/>
      <c r="Q897" s="47"/>
      <c r="R897" s="7"/>
      <c r="S897" s="51"/>
      <c r="T897" s="51"/>
      <c r="U897" s="7"/>
      <c r="V897" s="57"/>
      <c r="W897" s="57"/>
      <c r="X897" s="57"/>
    </row>
    <row r="898" spans="1:24" ht="12.5" x14ac:dyDescent="0.25">
      <c r="A898" s="34"/>
      <c r="B898" s="7"/>
      <c r="C898" s="19"/>
      <c r="D898" s="7"/>
      <c r="E898" s="7"/>
      <c r="F898" s="7"/>
      <c r="G898" s="7"/>
      <c r="H898" s="6"/>
      <c r="I898" s="7"/>
      <c r="J898" s="7"/>
      <c r="K898" s="7"/>
      <c r="L898" s="7"/>
      <c r="M898" s="52"/>
      <c r="N898" s="7"/>
      <c r="O898" s="7"/>
      <c r="P898" s="47"/>
      <c r="Q898" s="47"/>
      <c r="R898" s="7"/>
      <c r="S898" s="51"/>
      <c r="T898" s="51"/>
      <c r="U898" s="7"/>
      <c r="V898" s="57"/>
      <c r="W898" s="57"/>
      <c r="X898" s="57"/>
    </row>
    <row r="899" spans="1:24" ht="12.5" x14ac:dyDescent="0.25">
      <c r="A899" s="34"/>
      <c r="B899" s="7"/>
      <c r="C899" s="19"/>
      <c r="D899" s="7"/>
      <c r="E899" s="7"/>
      <c r="F899" s="7"/>
      <c r="G899" s="7"/>
      <c r="H899" s="6"/>
      <c r="I899" s="7"/>
      <c r="J899" s="7"/>
      <c r="K899" s="7"/>
      <c r="L899" s="7"/>
      <c r="M899" s="52"/>
      <c r="N899" s="7"/>
      <c r="O899" s="7"/>
      <c r="P899" s="47"/>
      <c r="Q899" s="47"/>
      <c r="R899" s="7"/>
      <c r="S899" s="51"/>
      <c r="T899" s="51"/>
      <c r="U899" s="7"/>
      <c r="V899" s="57"/>
      <c r="W899" s="57"/>
      <c r="X899" s="57"/>
    </row>
    <row r="900" spans="1:24" ht="12.5" x14ac:dyDescent="0.25">
      <c r="A900" s="34"/>
      <c r="B900" s="7"/>
      <c r="C900" s="19"/>
      <c r="D900" s="7"/>
      <c r="E900" s="7"/>
      <c r="F900" s="7"/>
      <c r="G900" s="7"/>
      <c r="H900" s="6"/>
      <c r="I900" s="7"/>
      <c r="J900" s="7"/>
      <c r="K900" s="7"/>
      <c r="L900" s="7"/>
      <c r="M900" s="52"/>
      <c r="N900" s="7"/>
      <c r="O900" s="7"/>
      <c r="P900" s="47"/>
      <c r="Q900" s="47"/>
      <c r="R900" s="7"/>
      <c r="S900" s="51"/>
      <c r="T900" s="51"/>
      <c r="U900" s="7"/>
      <c r="V900" s="57"/>
      <c r="W900" s="57"/>
      <c r="X900" s="57"/>
    </row>
    <row r="901" spans="1:24" ht="12.5" x14ac:dyDescent="0.25">
      <c r="A901" s="34"/>
      <c r="B901" s="7"/>
      <c r="C901" s="19"/>
      <c r="D901" s="7"/>
      <c r="E901" s="7"/>
      <c r="F901" s="7"/>
      <c r="G901" s="7"/>
      <c r="H901" s="6"/>
      <c r="I901" s="7"/>
      <c r="J901" s="7"/>
      <c r="K901" s="7"/>
      <c r="L901" s="7"/>
      <c r="M901" s="52"/>
      <c r="N901" s="7"/>
      <c r="O901" s="7"/>
      <c r="P901" s="47"/>
      <c r="Q901" s="47"/>
      <c r="R901" s="7"/>
      <c r="S901" s="51"/>
      <c r="T901" s="51"/>
      <c r="U901" s="7"/>
      <c r="V901" s="57"/>
      <c r="W901" s="57"/>
      <c r="X901" s="57"/>
    </row>
    <row r="902" spans="1:24" ht="12.5" x14ac:dyDescent="0.25">
      <c r="A902" s="34"/>
      <c r="B902" s="7"/>
      <c r="C902" s="19"/>
      <c r="D902" s="7"/>
      <c r="E902" s="7"/>
      <c r="F902" s="7"/>
      <c r="G902" s="7"/>
      <c r="H902" s="6"/>
      <c r="I902" s="7"/>
      <c r="J902" s="7"/>
      <c r="K902" s="7"/>
      <c r="L902" s="7"/>
      <c r="M902" s="52"/>
      <c r="N902" s="7"/>
      <c r="O902" s="7"/>
      <c r="P902" s="47"/>
      <c r="Q902" s="47"/>
      <c r="R902" s="7"/>
      <c r="S902" s="51"/>
      <c r="T902" s="51"/>
      <c r="U902" s="7"/>
      <c r="V902" s="57"/>
      <c r="W902" s="57"/>
      <c r="X902" s="57"/>
    </row>
    <row r="903" spans="1:24" ht="12.5" x14ac:dyDescent="0.25">
      <c r="A903" s="34"/>
      <c r="B903" s="7"/>
      <c r="C903" s="19"/>
      <c r="D903" s="7"/>
      <c r="E903" s="7"/>
      <c r="F903" s="7"/>
      <c r="G903" s="7"/>
      <c r="H903" s="6"/>
      <c r="I903" s="7"/>
      <c r="J903" s="7"/>
      <c r="K903" s="7"/>
      <c r="L903" s="7"/>
      <c r="M903" s="52"/>
      <c r="N903" s="7"/>
      <c r="O903" s="7"/>
      <c r="P903" s="47"/>
      <c r="Q903" s="47"/>
      <c r="R903" s="7"/>
      <c r="S903" s="51"/>
      <c r="T903" s="51"/>
      <c r="U903" s="7"/>
      <c r="V903" s="57"/>
      <c r="W903" s="57"/>
      <c r="X903" s="57"/>
    </row>
    <row r="904" spans="1:24" ht="12.5" x14ac:dyDescent="0.25">
      <c r="A904" s="34"/>
      <c r="B904" s="7"/>
      <c r="C904" s="19"/>
      <c r="D904" s="7"/>
      <c r="E904" s="7"/>
      <c r="F904" s="7"/>
      <c r="G904" s="7"/>
      <c r="H904" s="6"/>
      <c r="I904" s="7"/>
      <c r="J904" s="7"/>
      <c r="K904" s="7"/>
      <c r="L904" s="7"/>
      <c r="M904" s="52"/>
      <c r="N904" s="7"/>
      <c r="O904" s="7"/>
      <c r="P904" s="47"/>
      <c r="Q904" s="47"/>
      <c r="R904" s="7"/>
      <c r="S904" s="51"/>
      <c r="T904" s="51"/>
      <c r="U904" s="7"/>
      <c r="V904" s="57"/>
      <c r="W904" s="57"/>
      <c r="X904" s="57"/>
    </row>
    <row r="905" spans="1:24" ht="12.5" x14ac:dyDescent="0.25">
      <c r="A905" s="34"/>
      <c r="B905" s="7"/>
      <c r="C905" s="19"/>
      <c r="D905" s="7"/>
      <c r="E905" s="7"/>
      <c r="F905" s="7"/>
      <c r="G905" s="7"/>
      <c r="H905" s="6"/>
      <c r="I905" s="7"/>
      <c r="J905" s="7"/>
      <c r="K905" s="7"/>
      <c r="L905" s="7"/>
      <c r="M905" s="52"/>
      <c r="N905" s="7"/>
      <c r="O905" s="7"/>
      <c r="P905" s="47"/>
      <c r="Q905" s="47"/>
      <c r="R905" s="7"/>
      <c r="S905" s="51"/>
      <c r="T905" s="51"/>
      <c r="U905" s="7"/>
      <c r="V905" s="57"/>
      <c r="W905" s="57"/>
      <c r="X905" s="57"/>
    </row>
    <row r="906" spans="1:24" ht="12.5" x14ac:dyDescent="0.25">
      <c r="A906" s="34"/>
      <c r="B906" s="7"/>
      <c r="C906" s="19"/>
      <c r="D906" s="7"/>
      <c r="E906" s="7"/>
      <c r="F906" s="7"/>
      <c r="G906" s="7"/>
      <c r="H906" s="6"/>
      <c r="I906" s="7"/>
      <c r="J906" s="7"/>
      <c r="K906" s="7"/>
      <c r="L906" s="7"/>
      <c r="M906" s="52"/>
      <c r="N906" s="7"/>
      <c r="O906" s="7"/>
      <c r="P906" s="47"/>
      <c r="Q906" s="47"/>
      <c r="R906" s="7"/>
      <c r="S906" s="51"/>
      <c r="T906" s="51"/>
      <c r="U906" s="7"/>
      <c r="V906" s="57"/>
      <c r="W906" s="57"/>
      <c r="X906" s="57"/>
    </row>
    <row r="907" spans="1:24" ht="12.5" x14ac:dyDescent="0.25">
      <c r="A907" s="34"/>
      <c r="B907" s="7"/>
      <c r="C907" s="19"/>
      <c r="D907" s="7"/>
      <c r="E907" s="7"/>
      <c r="F907" s="7"/>
      <c r="G907" s="7"/>
      <c r="H907" s="6"/>
      <c r="I907" s="7"/>
      <c r="J907" s="7"/>
      <c r="K907" s="7"/>
      <c r="L907" s="7"/>
      <c r="M907" s="52"/>
      <c r="N907" s="7"/>
      <c r="O907" s="7"/>
      <c r="P907" s="47"/>
      <c r="Q907" s="47"/>
      <c r="R907" s="7"/>
      <c r="S907" s="51"/>
      <c r="T907" s="51"/>
      <c r="U907" s="7"/>
      <c r="V907" s="57"/>
      <c r="W907" s="57"/>
      <c r="X907" s="57"/>
    </row>
    <row r="908" spans="1:24" ht="12.5" x14ac:dyDescent="0.25">
      <c r="A908" s="34"/>
      <c r="B908" s="7"/>
      <c r="C908" s="19"/>
      <c r="D908" s="7"/>
      <c r="E908" s="7"/>
      <c r="F908" s="7"/>
      <c r="G908" s="7"/>
      <c r="H908" s="6"/>
      <c r="I908" s="7"/>
      <c r="J908" s="7"/>
      <c r="K908" s="7"/>
      <c r="L908" s="7"/>
      <c r="M908" s="52"/>
      <c r="N908" s="7"/>
      <c r="O908" s="7"/>
      <c r="P908" s="47"/>
      <c r="Q908" s="47"/>
      <c r="R908" s="7"/>
      <c r="S908" s="51"/>
      <c r="T908" s="51"/>
      <c r="U908" s="7"/>
      <c r="V908" s="57"/>
      <c r="W908" s="57"/>
      <c r="X908" s="57"/>
    </row>
    <row r="909" spans="1:24" ht="12.5" x14ac:dyDescent="0.25">
      <c r="A909" s="34"/>
      <c r="B909" s="7"/>
      <c r="C909" s="19"/>
      <c r="D909" s="7"/>
      <c r="E909" s="7"/>
      <c r="F909" s="7"/>
      <c r="G909" s="7"/>
      <c r="H909" s="6"/>
      <c r="I909" s="7"/>
      <c r="J909" s="7"/>
      <c r="K909" s="7"/>
      <c r="L909" s="7"/>
      <c r="M909" s="52"/>
      <c r="N909" s="7"/>
      <c r="O909" s="7"/>
      <c r="P909" s="47"/>
      <c r="Q909" s="47"/>
      <c r="R909" s="7"/>
      <c r="S909" s="51"/>
      <c r="T909" s="51"/>
      <c r="U909" s="7"/>
      <c r="V909" s="57"/>
      <c r="W909" s="57"/>
      <c r="X909" s="57"/>
    </row>
    <row r="910" spans="1:24" ht="12.5" x14ac:dyDescent="0.25">
      <c r="A910" s="34"/>
      <c r="B910" s="7"/>
      <c r="C910" s="19"/>
      <c r="D910" s="7"/>
      <c r="E910" s="7"/>
      <c r="F910" s="7"/>
      <c r="G910" s="7"/>
      <c r="H910" s="6"/>
      <c r="I910" s="7"/>
      <c r="J910" s="7"/>
      <c r="K910" s="7"/>
      <c r="L910" s="7"/>
      <c r="M910" s="52"/>
      <c r="N910" s="7"/>
      <c r="O910" s="7"/>
      <c r="P910" s="47"/>
      <c r="Q910" s="47"/>
      <c r="R910" s="7"/>
      <c r="S910" s="51"/>
      <c r="T910" s="51"/>
      <c r="U910" s="7"/>
      <c r="V910" s="57"/>
      <c r="W910" s="57"/>
      <c r="X910" s="57"/>
    </row>
    <row r="911" spans="1:24" ht="12.5" x14ac:dyDescent="0.25">
      <c r="A911" s="34"/>
      <c r="B911" s="7"/>
      <c r="C911" s="19"/>
      <c r="D911" s="7"/>
      <c r="E911" s="7"/>
      <c r="F911" s="7"/>
      <c r="G911" s="7"/>
      <c r="H911" s="6"/>
      <c r="I911" s="7"/>
      <c r="J911" s="7"/>
      <c r="K911" s="7"/>
      <c r="L911" s="7"/>
      <c r="M911" s="52"/>
      <c r="N911" s="7"/>
      <c r="O911" s="7"/>
      <c r="P911" s="47"/>
      <c r="Q911" s="47"/>
      <c r="R911" s="7"/>
      <c r="S911" s="51"/>
      <c r="T911" s="51"/>
      <c r="U911" s="7"/>
      <c r="V911" s="57"/>
      <c r="W911" s="57"/>
      <c r="X911" s="57"/>
    </row>
    <row r="912" spans="1:24" ht="12.5" x14ac:dyDescent="0.25">
      <c r="A912" s="34"/>
      <c r="B912" s="7"/>
      <c r="C912" s="19"/>
      <c r="D912" s="7"/>
      <c r="E912" s="7"/>
      <c r="F912" s="7"/>
      <c r="G912" s="7"/>
      <c r="H912" s="6"/>
      <c r="I912" s="7"/>
      <c r="J912" s="7"/>
      <c r="K912" s="7"/>
      <c r="L912" s="7"/>
      <c r="M912" s="52"/>
      <c r="N912" s="7"/>
      <c r="O912" s="7"/>
      <c r="P912" s="47"/>
      <c r="Q912" s="47"/>
      <c r="R912" s="7"/>
      <c r="S912" s="51"/>
      <c r="T912" s="51"/>
      <c r="U912" s="7"/>
      <c r="V912" s="57"/>
      <c r="W912" s="57"/>
      <c r="X912" s="57"/>
    </row>
    <row r="913" spans="1:24" ht="12.5" x14ac:dyDescent="0.25">
      <c r="A913" s="34"/>
      <c r="B913" s="7"/>
      <c r="C913" s="19"/>
      <c r="D913" s="7"/>
      <c r="E913" s="7"/>
      <c r="F913" s="7"/>
      <c r="G913" s="7"/>
      <c r="H913" s="6"/>
      <c r="I913" s="7"/>
      <c r="J913" s="7"/>
      <c r="K913" s="7"/>
      <c r="L913" s="7"/>
      <c r="M913" s="52"/>
      <c r="N913" s="7"/>
      <c r="O913" s="7"/>
      <c r="P913" s="47"/>
      <c r="Q913" s="47"/>
      <c r="R913" s="7"/>
      <c r="S913" s="51"/>
      <c r="T913" s="51"/>
      <c r="U913" s="7"/>
      <c r="V913" s="57"/>
      <c r="W913" s="57"/>
      <c r="X913" s="57"/>
    </row>
    <row r="914" spans="1:24" ht="12.5" x14ac:dyDescent="0.25">
      <c r="A914" s="34"/>
      <c r="B914" s="7"/>
      <c r="C914" s="19"/>
      <c r="D914" s="7"/>
      <c r="E914" s="7"/>
      <c r="F914" s="7"/>
      <c r="G914" s="7"/>
      <c r="H914" s="6"/>
      <c r="I914" s="7"/>
      <c r="J914" s="7"/>
      <c r="K914" s="7"/>
      <c r="L914" s="7"/>
      <c r="M914" s="52"/>
      <c r="N914" s="7"/>
      <c r="O914" s="7"/>
      <c r="P914" s="47"/>
      <c r="Q914" s="47"/>
      <c r="R914" s="7"/>
      <c r="S914" s="51"/>
      <c r="T914" s="51"/>
      <c r="U914" s="7"/>
      <c r="V914" s="57"/>
      <c r="W914" s="57"/>
      <c r="X914" s="57"/>
    </row>
    <row r="915" spans="1:24" ht="12.5" x14ac:dyDescent="0.25">
      <c r="A915" s="34"/>
      <c r="B915" s="7"/>
      <c r="C915" s="19"/>
      <c r="D915" s="7"/>
      <c r="E915" s="7"/>
      <c r="F915" s="7"/>
      <c r="G915" s="7"/>
      <c r="H915" s="6"/>
      <c r="I915" s="7"/>
      <c r="J915" s="7"/>
      <c r="K915" s="7"/>
      <c r="L915" s="7"/>
      <c r="M915" s="52"/>
      <c r="N915" s="7"/>
      <c r="O915" s="7"/>
      <c r="P915" s="47"/>
      <c r="Q915" s="47"/>
      <c r="R915" s="7"/>
      <c r="S915" s="51"/>
      <c r="T915" s="51"/>
      <c r="U915" s="7"/>
      <c r="V915" s="57"/>
      <c r="W915" s="57"/>
      <c r="X915" s="57"/>
    </row>
    <row r="916" spans="1:24" ht="12.5" x14ac:dyDescent="0.25">
      <c r="A916" s="34"/>
      <c r="B916" s="7"/>
      <c r="C916" s="19"/>
      <c r="D916" s="7"/>
      <c r="E916" s="7"/>
      <c r="F916" s="7"/>
      <c r="G916" s="7"/>
      <c r="H916" s="6"/>
      <c r="I916" s="7"/>
      <c r="J916" s="7"/>
      <c r="K916" s="7"/>
      <c r="L916" s="7"/>
      <c r="M916" s="52"/>
      <c r="N916" s="7"/>
      <c r="O916" s="7"/>
      <c r="P916" s="47"/>
      <c r="Q916" s="47"/>
      <c r="R916" s="7"/>
      <c r="S916" s="51"/>
      <c r="T916" s="51"/>
      <c r="U916" s="7"/>
      <c r="V916" s="57"/>
      <c r="W916" s="57"/>
      <c r="X916" s="57"/>
    </row>
    <row r="917" spans="1:24" ht="12.5" x14ac:dyDescent="0.25">
      <c r="A917" s="34"/>
      <c r="B917" s="7"/>
      <c r="C917" s="19"/>
      <c r="D917" s="7"/>
      <c r="E917" s="7"/>
      <c r="F917" s="7"/>
      <c r="G917" s="7"/>
      <c r="H917" s="6"/>
      <c r="I917" s="7"/>
      <c r="J917" s="7"/>
      <c r="K917" s="7"/>
      <c r="L917" s="7"/>
      <c r="M917" s="52"/>
      <c r="N917" s="7"/>
      <c r="O917" s="7"/>
      <c r="P917" s="47"/>
      <c r="Q917" s="47"/>
      <c r="R917" s="7"/>
      <c r="S917" s="51"/>
      <c r="T917" s="51"/>
      <c r="U917" s="7"/>
      <c r="V917" s="57"/>
      <c r="W917" s="57"/>
      <c r="X917" s="57"/>
    </row>
    <row r="918" spans="1:24" ht="12.5" x14ac:dyDescent="0.25">
      <c r="A918" s="34"/>
      <c r="B918" s="7"/>
      <c r="C918" s="19"/>
      <c r="D918" s="7"/>
      <c r="E918" s="7"/>
      <c r="F918" s="7"/>
      <c r="G918" s="7"/>
      <c r="H918" s="6"/>
      <c r="I918" s="7"/>
      <c r="J918" s="7"/>
      <c r="K918" s="7"/>
      <c r="L918" s="7"/>
      <c r="M918" s="52"/>
      <c r="N918" s="7"/>
      <c r="O918" s="7"/>
      <c r="P918" s="47"/>
      <c r="Q918" s="47"/>
      <c r="R918" s="7"/>
      <c r="S918" s="51"/>
      <c r="T918" s="51"/>
      <c r="U918" s="7"/>
      <c r="V918" s="57"/>
      <c r="W918" s="57"/>
      <c r="X918" s="57"/>
    </row>
    <row r="919" spans="1:24" ht="12.5" x14ac:dyDescent="0.25">
      <c r="A919" s="34"/>
      <c r="B919" s="7"/>
      <c r="C919" s="19"/>
      <c r="D919" s="7"/>
      <c r="E919" s="7"/>
      <c r="F919" s="7"/>
      <c r="G919" s="7"/>
      <c r="H919" s="6"/>
      <c r="I919" s="7"/>
      <c r="J919" s="7"/>
      <c r="K919" s="7"/>
      <c r="L919" s="7"/>
      <c r="M919" s="52"/>
      <c r="N919" s="7"/>
      <c r="O919" s="7"/>
      <c r="P919" s="47"/>
      <c r="Q919" s="47"/>
      <c r="R919" s="7"/>
      <c r="S919" s="51"/>
      <c r="T919" s="51"/>
      <c r="U919" s="7"/>
      <c r="V919" s="57"/>
      <c r="W919" s="57"/>
      <c r="X919" s="57"/>
    </row>
    <row r="920" spans="1:24" ht="12.5" x14ac:dyDescent="0.25">
      <c r="A920" s="34"/>
      <c r="B920" s="7"/>
      <c r="C920" s="19"/>
      <c r="D920" s="7"/>
      <c r="E920" s="7"/>
      <c r="F920" s="7"/>
      <c r="G920" s="7"/>
      <c r="H920" s="6"/>
      <c r="I920" s="7"/>
      <c r="J920" s="7"/>
      <c r="K920" s="7"/>
      <c r="L920" s="7"/>
      <c r="M920" s="52"/>
      <c r="N920" s="7"/>
      <c r="O920" s="7"/>
      <c r="P920" s="47"/>
      <c r="Q920" s="47"/>
      <c r="R920" s="7"/>
      <c r="S920" s="51"/>
      <c r="T920" s="51"/>
      <c r="U920" s="7"/>
      <c r="V920" s="57"/>
      <c r="W920" s="57"/>
      <c r="X920" s="57"/>
    </row>
    <row r="921" spans="1:24" ht="12.5" x14ac:dyDescent="0.25">
      <c r="A921" s="34"/>
      <c r="B921" s="7"/>
      <c r="C921" s="19"/>
      <c r="D921" s="7"/>
      <c r="E921" s="7"/>
      <c r="F921" s="7"/>
      <c r="G921" s="7"/>
      <c r="H921" s="6"/>
      <c r="I921" s="7"/>
      <c r="J921" s="7"/>
      <c r="K921" s="7"/>
      <c r="L921" s="7"/>
      <c r="M921" s="52"/>
      <c r="N921" s="7"/>
      <c r="O921" s="7"/>
      <c r="P921" s="47"/>
      <c r="Q921" s="47"/>
      <c r="R921" s="7"/>
      <c r="S921" s="51"/>
      <c r="T921" s="51"/>
      <c r="U921" s="7"/>
      <c r="V921" s="57"/>
      <c r="W921" s="57"/>
      <c r="X921" s="57"/>
    </row>
    <row r="922" spans="1:24" ht="12.5" x14ac:dyDescent="0.25">
      <c r="A922" s="34"/>
      <c r="B922" s="7"/>
      <c r="C922" s="19"/>
      <c r="D922" s="7"/>
      <c r="E922" s="7"/>
      <c r="F922" s="7"/>
      <c r="G922" s="7"/>
      <c r="H922" s="6"/>
      <c r="I922" s="7"/>
      <c r="J922" s="7"/>
      <c r="K922" s="7"/>
      <c r="L922" s="7"/>
      <c r="M922" s="52"/>
      <c r="N922" s="7"/>
      <c r="O922" s="7"/>
      <c r="P922" s="47"/>
      <c r="Q922" s="47"/>
      <c r="R922" s="7"/>
      <c r="S922" s="51"/>
      <c r="T922" s="51"/>
      <c r="U922" s="7"/>
      <c r="V922" s="57"/>
      <c r="W922" s="57"/>
      <c r="X922" s="57"/>
    </row>
    <row r="923" spans="1:24" ht="12.5" x14ac:dyDescent="0.25">
      <c r="A923" s="34"/>
      <c r="B923" s="7"/>
      <c r="C923" s="19"/>
      <c r="D923" s="7"/>
      <c r="E923" s="7"/>
      <c r="F923" s="7"/>
      <c r="G923" s="7"/>
      <c r="H923" s="6"/>
      <c r="I923" s="7"/>
      <c r="J923" s="7"/>
      <c r="K923" s="7"/>
      <c r="L923" s="7"/>
      <c r="M923" s="52"/>
      <c r="N923" s="7"/>
      <c r="O923" s="7"/>
      <c r="P923" s="47"/>
      <c r="Q923" s="47"/>
      <c r="R923" s="7"/>
      <c r="S923" s="51"/>
      <c r="T923" s="51"/>
      <c r="U923" s="7"/>
      <c r="V923" s="57"/>
      <c r="W923" s="57"/>
      <c r="X923" s="57"/>
    </row>
    <row r="924" spans="1:24" ht="12.5" x14ac:dyDescent="0.25">
      <c r="A924" s="34"/>
      <c r="B924" s="7"/>
      <c r="C924" s="19"/>
      <c r="D924" s="7"/>
      <c r="E924" s="7"/>
      <c r="F924" s="7"/>
      <c r="G924" s="7"/>
      <c r="H924" s="6"/>
      <c r="I924" s="7"/>
      <c r="J924" s="7"/>
      <c r="K924" s="7"/>
      <c r="L924" s="7"/>
      <c r="M924" s="52"/>
      <c r="N924" s="7"/>
      <c r="O924" s="7"/>
      <c r="P924" s="47"/>
      <c r="Q924" s="47"/>
      <c r="R924" s="7"/>
      <c r="S924" s="51"/>
      <c r="T924" s="51"/>
      <c r="U924" s="7"/>
      <c r="V924" s="57"/>
      <c r="W924" s="57"/>
      <c r="X924" s="57"/>
    </row>
    <row r="925" spans="1:24" ht="12.5" x14ac:dyDescent="0.25">
      <c r="A925" s="34"/>
      <c r="B925" s="7"/>
      <c r="C925" s="19"/>
      <c r="D925" s="7"/>
      <c r="E925" s="7"/>
      <c r="F925" s="7"/>
      <c r="G925" s="7"/>
      <c r="H925" s="6"/>
      <c r="I925" s="7"/>
      <c r="J925" s="7"/>
      <c r="K925" s="7"/>
      <c r="L925" s="7"/>
      <c r="M925" s="52"/>
      <c r="N925" s="7"/>
      <c r="O925" s="7"/>
      <c r="P925" s="47"/>
      <c r="Q925" s="47"/>
      <c r="R925" s="7"/>
      <c r="S925" s="51"/>
      <c r="T925" s="51"/>
      <c r="U925" s="7"/>
      <c r="V925" s="57"/>
      <c r="W925" s="57"/>
      <c r="X925" s="57"/>
    </row>
    <row r="926" spans="1:24" ht="12.5" x14ac:dyDescent="0.25">
      <c r="A926" s="34"/>
      <c r="B926" s="7"/>
      <c r="C926" s="19"/>
      <c r="D926" s="7"/>
      <c r="E926" s="7"/>
      <c r="F926" s="7"/>
      <c r="G926" s="7"/>
      <c r="H926" s="6"/>
      <c r="I926" s="7"/>
      <c r="J926" s="7"/>
      <c r="K926" s="7"/>
      <c r="L926" s="7"/>
      <c r="M926" s="52"/>
      <c r="N926" s="7"/>
      <c r="O926" s="7"/>
      <c r="P926" s="47"/>
      <c r="Q926" s="47"/>
      <c r="R926" s="7"/>
      <c r="S926" s="51"/>
      <c r="T926" s="51"/>
      <c r="U926" s="7"/>
      <c r="V926" s="57"/>
      <c r="W926" s="57"/>
      <c r="X926" s="57"/>
    </row>
    <row r="927" spans="1:24" ht="12.5" x14ac:dyDescent="0.25">
      <c r="A927" s="34"/>
      <c r="B927" s="7"/>
      <c r="C927" s="19"/>
      <c r="D927" s="7"/>
      <c r="E927" s="7"/>
      <c r="F927" s="7"/>
      <c r="G927" s="7"/>
      <c r="H927" s="6"/>
      <c r="I927" s="7"/>
      <c r="J927" s="7"/>
      <c r="K927" s="7"/>
      <c r="L927" s="7"/>
      <c r="M927" s="52"/>
      <c r="N927" s="7"/>
      <c r="O927" s="7"/>
      <c r="P927" s="47"/>
      <c r="Q927" s="47"/>
      <c r="R927" s="7"/>
      <c r="S927" s="51"/>
      <c r="T927" s="51"/>
      <c r="U927" s="7"/>
      <c r="V927" s="57"/>
      <c r="W927" s="57"/>
      <c r="X927" s="57"/>
    </row>
    <row r="928" spans="1:24" ht="12.5" x14ac:dyDescent="0.25">
      <c r="A928" s="34"/>
      <c r="B928" s="7"/>
      <c r="C928" s="19"/>
      <c r="D928" s="7"/>
      <c r="E928" s="7"/>
      <c r="F928" s="7"/>
      <c r="G928" s="7"/>
      <c r="H928" s="6"/>
      <c r="I928" s="7"/>
      <c r="J928" s="7"/>
      <c r="K928" s="7"/>
      <c r="L928" s="7"/>
      <c r="M928" s="52"/>
      <c r="N928" s="7"/>
      <c r="O928" s="7"/>
      <c r="P928" s="47"/>
      <c r="Q928" s="47"/>
      <c r="R928" s="7"/>
      <c r="S928" s="51"/>
      <c r="T928" s="51"/>
      <c r="U928" s="7"/>
      <c r="V928" s="57"/>
      <c r="W928" s="57"/>
      <c r="X928" s="57"/>
    </row>
    <row r="929" spans="1:24" ht="12.5" x14ac:dyDescent="0.25">
      <c r="A929" s="34"/>
      <c r="B929" s="7"/>
      <c r="C929" s="19"/>
      <c r="D929" s="7"/>
      <c r="E929" s="7"/>
      <c r="F929" s="7"/>
      <c r="G929" s="7"/>
      <c r="H929" s="6"/>
      <c r="I929" s="7"/>
      <c r="J929" s="7"/>
      <c r="K929" s="7"/>
      <c r="L929" s="7"/>
      <c r="M929" s="52"/>
      <c r="N929" s="7"/>
      <c r="O929" s="7"/>
      <c r="P929" s="47"/>
      <c r="Q929" s="47"/>
      <c r="R929" s="7"/>
      <c r="S929" s="51"/>
      <c r="T929" s="51"/>
      <c r="U929" s="7"/>
      <c r="V929" s="57"/>
      <c r="W929" s="57"/>
      <c r="X929" s="57"/>
    </row>
    <row r="930" spans="1:24" ht="12.5" x14ac:dyDescent="0.25">
      <c r="A930" s="34"/>
      <c r="B930" s="7"/>
      <c r="C930" s="19"/>
      <c r="D930" s="7"/>
      <c r="E930" s="7"/>
      <c r="F930" s="7"/>
      <c r="G930" s="7"/>
      <c r="H930" s="6"/>
      <c r="I930" s="7"/>
      <c r="J930" s="7"/>
      <c r="K930" s="7"/>
      <c r="L930" s="7"/>
      <c r="M930" s="52"/>
      <c r="N930" s="7"/>
      <c r="O930" s="7"/>
      <c r="P930" s="47"/>
      <c r="Q930" s="47"/>
      <c r="R930" s="7"/>
      <c r="S930" s="51"/>
      <c r="T930" s="51"/>
      <c r="U930" s="7"/>
      <c r="V930" s="57"/>
      <c r="W930" s="57"/>
      <c r="X930" s="57"/>
    </row>
    <row r="931" spans="1:24" ht="12.5" x14ac:dyDescent="0.25">
      <c r="A931" s="34"/>
      <c r="B931" s="7"/>
      <c r="C931" s="19"/>
      <c r="D931" s="7"/>
      <c r="E931" s="7"/>
      <c r="F931" s="7"/>
      <c r="G931" s="7"/>
      <c r="H931" s="6"/>
      <c r="I931" s="7"/>
      <c r="J931" s="7"/>
      <c r="K931" s="7"/>
      <c r="L931" s="7"/>
      <c r="M931" s="52"/>
      <c r="N931" s="7"/>
      <c r="O931" s="7"/>
      <c r="P931" s="47"/>
      <c r="Q931" s="47"/>
      <c r="R931" s="7"/>
      <c r="S931" s="51"/>
      <c r="T931" s="51"/>
      <c r="U931" s="7"/>
      <c r="V931" s="57"/>
      <c r="W931" s="57"/>
      <c r="X931" s="57"/>
    </row>
    <row r="932" spans="1:24" ht="12.5" x14ac:dyDescent="0.25">
      <c r="A932" s="34"/>
      <c r="B932" s="7"/>
      <c r="C932" s="19"/>
      <c r="D932" s="7"/>
      <c r="E932" s="7"/>
      <c r="F932" s="7"/>
      <c r="G932" s="7"/>
      <c r="H932" s="6"/>
      <c r="I932" s="7"/>
      <c r="J932" s="7"/>
      <c r="K932" s="7"/>
      <c r="L932" s="7"/>
      <c r="M932" s="52"/>
      <c r="N932" s="7"/>
      <c r="O932" s="7"/>
      <c r="P932" s="47"/>
      <c r="Q932" s="47"/>
      <c r="R932" s="7"/>
      <c r="S932" s="51"/>
      <c r="T932" s="51"/>
      <c r="U932" s="7"/>
      <c r="V932" s="57"/>
      <c r="W932" s="57"/>
      <c r="X932" s="57"/>
    </row>
    <row r="933" spans="1:24" ht="12.5" x14ac:dyDescent="0.25">
      <c r="A933" s="34"/>
      <c r="B933" s="7"/>
      <c r="C933" s="19"/>
      <c r="D933" s="7"/>
      <c r="E933" s="7"/>
      <c r="F933" s="7"/>
      <c r="G933" s="7"/>
      <c r="H933" s="6"/>
      <c r="I933" s="7"/>
      <c r="J933" s="7"/>
      <c r="K933" s="7"/>
      <c r="L933" s="7"/>
      <c r="M933" s="52"/>
      <c r="N933" s="7"/>
      <c r="O933" s="7"/>
      <c r="P933" s="47"/>
      <c r="Q933" s="47"/>
      <c r="R933" s="7"/>
      <c r="S933" s="51"/>
      <c r="T933" s="51"/>
      <c r="U933" s="7"/>
      <c r="V933" s="57"/>
      <c r="W933" s="57"/>
      <c r="X933" s="57"/>
    </row>
    <row r="934" spans="1:24" ht="12.5" x14ac:dyDescent="0.25">
      <c r="A934" s="34"/>
      <c r="B934" s="7"/>
      <c r="C934" s="19"/>
      <c r="D934" s="7"/>
      <c r="E934" s="7"/>
      <c r="F934" s="7"/>
      <c r="G934" s="7"/>
      <c r="H934" s="6"/>
      <c r="I934" s="7"/>
      <c r="J934" s="7"/>
      <c r="K934" s="7"/>
      <c r="L934" s="7"/>
      <c r="M934" s="52"/>
      <c r="N934" s="7"/>
      <c r="O934" s="7"/>
      <c r="P934" s="47"/>
      <c r="Q934" s="47"/>
      <c r="R934" s="7"/>
      <c r="S934" s="51"/>
      <c r="T934" s="51"/>
      <c r="U934" s="7"/>
      <c r="V934" s="57"/>
      <c r="W934" s="57"/>
      <c r="X934" s="57"/>
    </row>
    <row r="935" spans="1:24" ht="12.5" x14ac:dyDescent="0.25">
      <c r="A935" s="34"/>
      <c r="B935" s="7"/>
      <c r="C935" s="19"/>
      <c r="D935" s="7"/>
      <c r="E935" s="7"/>
      <c r="F935" s="7"/>
      <c r="G935" s="7"/>
      <c r="H935" s="6"/>
      <c r="I935" s="7"/>
      <c r="J935" s="7"/>
      <c r="K935" s="7"/>
      <c r="L935" s="7"/>
      <c r="M935" s="52"/>
      <c r="N935" s="7"/>
      <c r="O935" s="7"/>
      <c r="P935" s="47"/>
      <c r="Q935" s="47"/>
      <c r="R935" s="7"/>
      <c r="S935" s="51"/>
      <c r="T935" s="51"/>
      <c r="U935" s="7"/>
      <c r="V935" s="57"/>
      <c r="W935" s="57"/>
      <c r="X935" s="57"/>
    </row>
    <row r="936" spans="1:24" ht="12.5" x14ac:dyDescent="0.25">
      <c r="A936" s="34"/>
      <c r="B936" s="7"/>
      <c r="C936" s="19"/>
      <c r="D936" s="7"/>
      <c r="E936" s="7"/>
      <c r="F936" s="7"/>
      <c r="G936" s="7"/>
      <c r="H936" s="6"/>
      <c r="I936" s="7"/>
      <c r="J936" s="7"/>
      <c r="K936" s="7"/>
      <c r="L936" s="7"/>
      <c r="M936" s="52"/>
      <c r="N936" s="7"/>
      <c r="O936" s="7"/>
      <c r="P936" s="47"/>
      <c r="Q936" s="47"/>
      <c r="R936" s="7"/>
      <c r="S936" s="51"/>
      <c r="T936" s="51"/>
      <c r="U936" s="7"/>
      <c r="V936" s="57"/>
      <c r="W936" s="57"/>
      <c r="X936" s="57"/>
    </row>
    <row r="937" spans="1:24" ht="12.5" x14ac:dyDescent="0.25">
      <c r="A937" s="34"/>
      <c r="B937" s="7"/>
      <c r="C937" s="19"/>
      <c r="D937" s="7"/>
      <c r="E937" s="7"/>
      <c r="F937" s="7"/>
      <c r="G937" s="7"/>
      <c r="H937" s="6"/>
      <c r="I937" s="7"/>
      <c r="J937" s="7"/>
      <c r="K937" s="7"/>
      <c r="L937" s="7"/>
      <c r="M937" s="52"/>
      <c r="N937" s="7"/>
      <c r="O937" s="7"/>
      <c r="P937" s="47"/>
      <c r="Q937" s="47"/>
      <c r="R937" s="7"/>
      <c r="S937" s="51"/>
      <c r="T937" s="51"/>
      <c r="U937" s="7"/>
      <c r="V937" s="57"/>
      <c r="W937" s="57"/>
      <c r="X937" s="57"/>
    </row>
    <row r="938" spans="1:24" ht="12.5" x14ac:dyDescent="0.25">
      <c r="A938" s="34"/>
      <c r="B938" s="7"/>
      <c r="C938" s="19"/>
      <c r="D938" s="7"/>
      <c r="E938" s="7"/>
      <c r="F938" s="7"/>
      <c r="G938" s="7"/>
      <c r="H938" s="6"/>
      <c r="I938" s="7"/>
      <c r="J938" s="7"/>
      <c r="K938" s="7"/>
      <c r="L938" s="7"/>
      <c r="M938" s="52"/>
      <c r="N938" s="7"/>
      <c r="O938" s="7"/>
      <c r="P938" s="47"/>
      <c r="Q938" s="47"/>
      <c r="R938" s="7"/>
      <c r="S938" s="51"/>
      <c r="T938" s="51"/>
      <c r="U938" s="7"/>
      <c r="V938" s="57"/>
      <c r="W938" s="57"/>
      <c r="X938" s="57"/>
    </row>
    <row r="939" spans="1:24" ht="12.5" x14ac:dyDescent="0.25">
      <c r="A939" s="34"/>
      <c r="B939" s="7"/>
      <c r="C939" s="19"/>
      <c r="D939" s="7"/>
      <c r="E939" s="7"/>
      <c r="F939" s="7"/>
      <c r="G939" s="7"/>
      <c r="H939" s="6"/>
      <c r="I939" s="7"/>
      <c r="J939" s="7"/>
      <c r="K939" s="7"/>
      <c r="L939" s="7"/>
      <c r="M939" s="52"/>
      <c r="N939" s="7"/>
      <c r="O939" s="7"/>
      <c r="P939" s="47"/>
      <c r="Q939" s="47"/>
      <c r="R939" s="7"/>
      <c r="S939" s="51"/>
      <c r="T939" s="51"/>
      <c r="U939" s="7"/>
      <c r="V939" s="57"/>
      <c r="W939" s="57"/>
      <c r="X939" s="57"/>
    </row>
    <row r="940" spans="1:24" ht="12.5" x14ac:dyDescent="0.25">
      <c r="A940" s="34"/>
      <c r="B940" s="7"/>
      <c r="C940" s="19"/>
      <c r="D940" s="7"/>
      <c r="E940" s="7"/>
      <c r="F940" s="7"/>
      <c r="G940" s="7"/>
      <c r="H940" s="6"/>
      <c r="I940" s="7"/>
      <c r="J940" s="7"/>
      <c r="K940" s="7"/>
      <c r="L940" s="7"/>
      <c r="M940" s="52"/>
      <c r="N940" s="7"/>
      <c r="O940" s="7"/>
      <c r="P940" s="47"/>
      <c r="Q940" s="47"/>
      <c r="R940" s="7"/>
      <c r="S940" s="51"/>
      <c r="T940" s="51"/>
      <c r="U940" s="7"/>
      <c r="V940" s="57"/>
      <c r="W940" s="57"/>
      <c r="X940" s="57"/>
    </row>
    <row r="941" spans="1:24" ht="12.5" x14ac:dyDescent="0.25">
      <c r="A941" s="34"/>
      <c r="B941" s="7"/>
      <c r="C941" s="19"/>
      <c r="D941" s="7"/>
      <c r="E941" s="7"/>
      <c r="F941" s="7"/>
      <c r="G941" s="7"/>
      <c r="H941" s="6"/>
      <c r="I941" s="7"/>
      <c r="J941" s="7"/>
      <c r="K941" s="7"/>
      <c r="L941" s="7"/>
      <c r="M941" s="52"/>
      <c r="N941" s="7"/>
      <c r="O941" s="7"/>
      <c r="P941" s="47"/>
      <c r="Q941" s="47"/>
      <c r="R941" s="7"/>
      <c r="S941" s="51"/>
      <c r="T941" s="51"/>
      <c r="U941" s="7"/>
      <c r="V941" s="57"/>
      <c r="W941" s="57"/>
      <c r="X941" s="57"/>
    </row>
    <row r="942" spans="1:24" ht="12.5" x14ac:dyDescent="0.25">
      <c r="A942" s="34"/>
      <c r="B942" s="7"/>
      <c r="C942" s="19"/>
      <c r="D942" s="7"/>
      <c r="E942" s="7"/>
      <c r="F942" s="7"/>
      <c r="G942" s="7"/>
      <c r="H942" s="6"/>
      <c r="I942" s="7"/>
      <c r="J942" s="7"/>
      <c r="K942" s="7"/>
      <c r="L942" s="7"/>
      <c r="M942" s="52"/>
      <c r="N942" s="7"/>
      <c r="O942" s="7"/>
      <c r="P942" s="47"/>
      <c r="Q942" s="47"/>
      <c r="R942" s="7"/>
      <c r="S942" s="51"/>
      <c r="T942" s="51"/>
      <c r="U942" s="7"/>
      <c r="V942" s="57"/>
      <c r="W942" s="57"/>
      <c r="X942" s="57"/>
    </row>
    <row r="943" spans="1:24" ht="12.5" x14ac:dyDescent="0.25">
      <c r="A943" s="34"/>
      <c r="B943" s="7"/>
      <c r="C943" s="19"/>
      <c r="D943" s="7"/>
      <c r="E943" s="7"/>
      <c r="F943" s="7"/>
      <c r="G943" s="7"/>
      <c r="H943" s="6"/>
      <c r="I943" s="7"/>
      <c r="J943" s="7"/>
      <c r="K943" s="7"/>
      <c r="L943" s="7"/>
      <c r="M943" s="52"/>
      <c r="N943" s="7"/>
      <c r="O943" s="7"/>
      <c r="P943" s="47"/>
      <c r="Q943" s="47"/>
      <c r="R943" s="7"/>
      <c r="S943" s="51"/>
      <c r="T943" s="51"/>
      <c r="U943" s="7"/>
      <c r="V943" s="57"/>
      <c r="W943" s="57"/>
      <c r="X943" s="57"/>
    </row>
    <row r="944" spans="1:24" ht="12.5" x14ac:dyDescent="0.25">
      <c r="A944" s="34"/>
      <c r="B944" s="7"/>
      <c r="C944" s="19"/>
      <c r="D944" s="7"/>
      <c r="E944" s="7"/>
      <c r="F944" s="7"/>
      <c r="G944" s="7"/>
      <c r="H944" s="6"/>
      <c r="I944" s="7"/>
      <c r="J944" s="7"/>
      <c r="K944" s="7"/>
      <c r="L944" s="7"/>
      <c r="M944" s="52"/>
      <c r="N944" s="7"/>
      <c r="O944" s="7"/>
      <c r="P944" s="47"/>
      <c r="Q944" s="47"/>
      <c r="R944" s="7"/>
      <c r="S944" s="51"/>
      <c r="T944" s="51"/>
      <c r="U944" s="7"/>
      <c r="V944" s="57"/>
      <c r="W944" s="57"/>
      <c r="X944" s="57"/>
    </row>
    <row r="945" spans="1:24" ht="12.5" x14ac:dyDescent="0.25">
      <c r="A945" s="34"/>
      <c r="B945" s="7"/>
      <c r="C945" s="19"/>
      <c r="D945" s="7"/>
      <c r="E945" s="7"/>
      <c r="F945" s="7"/>
      <c r="G945" s="7"/>
      <c r="H945" s="6"/>
      <c r="I945" s="7"/>
      <c r="J945" s="7"/>
      <c r="K945" s="7"/>
      <c r="L945" s="7"/>
      <c r="M945" s="52"/>
      <c r="N945" s="7"/>
      <c r="O945" s="7"/>
      <c r="P945" s="47"/>
      <c r="Q945" s="47"/>
      <c r="R945" s="7"/>
      <c r="S945" s="51"/>
      <c r="T945" s="51"/>
      <c r="U945" s="7"/>
      <c r="V945" s="57"/>
      <c r="W945" s="57"/>
      <c r="X945" s="57"/>
    </row>
    <row r="946" spans="1:24" ht="12.5" x14ac:dyDescent="0.25">
      <c r="A946" s="34"/>
      <c r="B946" s="7"/>
      <c r="C946" s="19"/>
      <c r="D946" s="7"/>
      <c r="E946" s="7"/>
      <c r="F946" s="7"/>
      <c r="G946" s="7"/>
      <c r="H946" s="6"/>
      <c r="I946" s="7"/>
      <c r="J946" s="7"/>
      <c r="K946" s="7"/>
      <c r="L946" s="7"/>
      <c r="M946" s="52"/>
      <c r="N946" s="7"/>
      <c r="O946" s="7"/>
      <c r="P946" s="47"/>
      <c r="Q946" s="47"/>
      <c r="R946" s="7"/>
      <c r="S946" s="51"/>
      <c r="T946" s="51"/>
      <c r="U946" s="7"/>
      <c r="V946" s="57"/>
      <c r="W946" s="57"/>
      <c r="X946" s="57"/>
    </row>
    <row r="947" spans="1:24" ht="12.5" x14ac:dyDescent="0.25">
      <c r="A947" s="34"/>
      <c r="B947" s="7"/>
      <c r="C947" s="19"/>
      <c r="D947" s="7"/>
      <c r="E947" s="7"/>
      <c r="F947" s="7"/>
      <c r="G947" s="7"/>
      <c r="H947" s="6"/>
      <c r="I947" s="7"/>
      <c r="J947" s="7"/>
      <c r="K947" s="7"/>
      <c r="L947" s="7"/>
      <c r="M947" s="52"/>
      <c r="N947" s="7"/>
      <c r="O947" s="7"/>
      <c r="P947" s="47"/>
      <c r="Q947" s="47"/>
      <c r="R947" s="7"/>
      <c r="S947" s="51"/>
      <c r="T947" s="51"/>
      <c r="U947" s="7"/>
      <c r="V947" s="57"/>
      <c r="W947" s="57"/>
      <c r="X947" s="57"/>
    </row>
    <row r="948" spans="1:24" ht="12.5" x14ac:dyDescent="0.25">
      <c r="A948" s="34"/>
      <c r="B948" s="7"/>
      <c r="C948" s="19"/>
      <c r="D948" s="7"/>
      <c r="E948" s="7"/>
      <c r="F948" s="7"/>
      <c r="G948" s="7"/>
      <c r="H948" s="6"/>
      <c r="I948" s="7"/>
      <c r="J948" s="7"/>
      <c r="K948" s="7"/>
      <c r="L948" s="7"/>
      <c r="M948" s="52"/>
      <c r="N948" s="7"/>
      <c r="O948" s="7"/>
      <c r="P948" s="47"/>
      <c r="Q948" s="47"/>
      <c r="R948" s="7"/>
      <c r="S948" s="51"/>
      <c r="T948" s="51"/>
      <c r="U948" s="7"/>
      <c r="V948" s="57"/>
      <c r="W948" s="57"/>
      <c r="X948" s="57"/>
    </row>
    <row r="949" spans="1:24" ht="12.5" x14ac:dyDescent="0.25">
      <c r="A949" s="34"/>
      <c r="B949" s="7"/>
      <c r="C949" s="19"/>
      <c r="D949" s="7"/>
      <c r="E949" s="7"/>
      <c r="F949" s="7"/>
      <c r="G949" s="7"/>
      <c r="H949" s="6"/>
      <c r="I949" s="7"/>
      <c r="J949" s="7"/>
      <c r="K949" s="7"/>
      <c r="L949" s="7"/>
      <c r="M949" s="52"/>
      <c r="N949" s="7"/>
      <c r="O949" s="7"/>
      <c r="P949" s="47"/>
      <c r="Q949" s="47"/>
      <c r="R949" s="7"/>
      <c r="S949" s="51"/>
      <c r="T949" s="51"/>
      <c r="U949" s="7"/>
      <c r="V949" s="57"/>
      <c r="W949" s="57"/>
      <c r="X949" s="57"/>
    </row>
    <row r="950" spans="1:24" ht="12.5" x14ac:dyDescent="0.25">
      <c r="A950" s="34"/>
      <c r="B950" s="7"/>
      <c r="C950" s="19"/>
      <c r="D950" s="7"/>
      <c r="E950" s="7"/>
      <c r="F950" s="7"/>
      <c r="G950" s="7"/>
      <c r="H950" s="6"/>
      <c r="I950" s="7"/>
      <c r="J950" s="7"/>
      <c r="K950" s="7"/>
      <c r="L950" s="7"/>
      <c r="M950" s="52"/>
      <c r="N950" s="7"/>
      <c r="O950" s="7"/>
      <c r="P950" s="47"/>
      <c r="Q950" s="47"/>
      <c r="R950" s="7"/>
      <c r="S950" s="51"/>
      <c r="T950" s="51"/>
      <c r="U950" s="7"/>
      <c r="V950" s="57"/>
      <c r="W950" s="57"/>
      <c r="X950" s="57"/>
    </row>
    <row r="951" spans="1:24" ht="12.5" x14ac:dyDescent="0.25">
      <c r="A951" s="34"/>
      <c r="B951" s="7"/>
      <c r="C951" s="19"/>
      <c r="D951" s="7"/>
      <c r="E951" s="7"/>
      <c r="F951" s="7"/>
      <c r="G951" s="7"/>
      <c r="H951" s="6"/>
      <c r="I951" s="7"/>
      <c r="J951" s="7"/>
      <c r="K951" s="7"/>
      <c r="L951" s="7"/>
      <c r="M951" s="52"/>
      <c r="N951" s="7"/>
      <c r="O951" s="7"/>
      <c r="P951" s="47"/>
      <c r="Q951" s="47"/>
      <c r="R951" s="7"/>
      <c r="S951" s="51"/>
      <c r="T951" s="51"/>
      <c r="U951" s="7"/>
      <c r="V951" s="57"/>
      <c r="W951" s="57"/>
      <c r="X951" s="57"/>
    </row>
    <row r="952" spans="1:24" ht="12.5" x14ac:dyDescent="0.25">
      <c r="A952" s="34"/>
      <c r="B952" s="7"/>
      <c r="C952" s="19"/>
      <c r="D952" s="7"/>
      <c r="E952" s="7"/>
      <c r="F952" s="7"/>
      <c r="G952" s="7"/>
      <c r="H952" s="6"/>
      <c r="I952" s="7"/>
      <c r="J952" s="7"/>
      <c r="K952" s="7"/>
      <c r="L952" s="7"/>
      <c r="M952" s="52"/>
      <c r="N952" s="7"/>
      <c r="O952" s="7"/>
      <c r="P952" s="47"/>
      <c r="Q952" s="47"/>
      <c r="R952" s="7"/>
      <c r="S952" s="51"/>
      <c r="T952" s="51"/>
      <c r="U952" s="7"/>
      <c r="V952" s="57"/>
      <c r="W952" s="57"/>
      <c r="X952" s="57"/>
    </row>
    <row r="953" spans="1:24" ht="12.5" x14ac:dyDescent="0.25">
      <c r="A953" s="34"/>
      <c r="B953" s="7"/>
      <c r="C953" s="19"/>
      <c r="D953" s="7"/>
      <c r="E953" s="7"/>
      <c r="F953" s="7"/>
      <c r="G953" s="7"/>
      <c r="H953" s="6"/>
      <c r="I953" s="7"/>
      <c r="J953" s="7"/>
      <c r="K953" s="7"/>
      <c r="L953" s="7"/>
      <c r="M953" s="52"/>
      <c r="N953" s="7"/>
      <c r="O953" s="7"/>
      <c r="P953" s="47"/>
      <c r="Q953" s="47"/>
      <c r="R953" s="7"/>
      <c r="S953" s="51"/>
      <c r="T953" s="51"/>
      <c r="U953" s="7"/>
      <c r="V953" s="57"/>
      <c r="W953" s="57"/>
      <c r="X953" s="57"/>
    </row>
    <row r="954" spans="1:24" ht="12.5" x14ac:dyDescent="0.25">
      <c r="A954" s="34"/>
      <c r="B954" s="7"/>
      <c r="C954" s="19"/>
      <c r="D954" s="7"/>
      <c r="E954" s="7"/>
      <c r="F954" s="7"/>
      <c r="G954" s="7"/>
      <c r="H954" s="6"/>
      <c r="I954" s="7"/>
      <c r="J954" s="7"/>
      <c r="K954" s="7"/>
      <c r="L954" s="7"/>
      <c r="M954" s="52"/>
      <c r="N954" s="7"/>
      <c r="O954" s="7"/>
      <c r="P954" s="47"/>
      <c r="Q954" s="47"/>
      <c r="R954" s="7"/>
      <c r="S954" s="51"/>
      <c r="T954" s="51"/>
      <c r="U954" s="7"/>
      <c r="V954" s="57"/>
      <c r="W954" s="57"/>
      <c r="X954" s="57"/>
    </row>
    <row r="955" spans="1:24" ht="12.5" x14ac:dyDescent="0.25">
      <c r="A955" s="34"/>
      <c r="B955" s="7"/>
      <c r="C955" s="19"/>
      <c r="D955" s="7"/>
      <c r="E955" s="7"/>
      <c r="F955" s="7"/>
      <c r="G955" s="7"/>
      <c r="H955" s="6"/>
      <c r="I955" s="7"/>
      <c r="J955" s="7"/>
      <c r="K955" s="7"/>
      <c r="L955" s="7"/>
      <c r="M955" s="52"/>
      <c r="N955" s="7"/>
      <c r="O955" s="7"/>
      <c r="P955" s="47"/>
      <c r="Q955" s="47"/>
      <c r="R955" s="7"/>
      <c r="S955" s="51"/>
      <c r="T955" s="51"/>
      <c r="U955" s="7"/>
      <c r="V955" s="57"/>
      <c r="W955" s="57"/>
      <c r="X955" s="57"/>
    </row>
    <row r="956" spans="1:24" ht="12.5" x14ac:dyDescent="0.25">
      <c r="A956" s="34"/>
      <c r="B956" s="7"/>
      <c r="C956" s="19"/>
      <c r="D956" s="7"/>
      <c r="E956" s="7"/>
      <c r="F956" s="7"/>
      <c r="G956" s="7"/>
      <c r="H956" s="6"/>
      <c r="I956" s="7"/>
      <c r="J956" s="7"/>
      <c r="K956" s="7"/>
      <c r="L956" s="7"/>
      <c r="M956" s="52"/>
      <c r="N956" s="7"/>
      <c r="O956" s="7"/>
      <c r="P956" s="47"/>
      <c r="Q956" s="47"/>
      <c r="R956" s="7"/>
      <c r="S956" s="51"/>
      <c r="T956" s="51"/>
      <c r="U956" s="7"/>
      <c r="V956" s="57"/>
      <c r="W956" s="57"/>
      <c r="X956" s="57"/>
    </row>
    <row r="957" spans="1:24" ht="12.5" x14ac:dyDescent="0.25">
      <c r="A957" s="34"/>
      <c r="B957" s="7"/>
      <c r="C957" s="19"/>
      <c r="D957" s="7"/>
      <c r="E957" s="7"/>
      <c r="F957" s="7"/>
      <c r="G957" s="7"/>
      <c r="H957" s="6"/>
      <c r="I957" s="7"/>
      <c r="J957" s="7"/>
      <c r="K957" s="7"/>
      <c r="L957" s="7"/>
      <c r="M957" s="52"/>
      <c r="N957" s="7"/>
      <c r="O957" s="7"/>
      <c r="P957" s="47"/>
      <c r="Q957" s="47"/>
      <c r="R957" s="7"/>
      <c r="S957" s="51"/>
      <c r="T957" s="51"/>
      <c r="U957" s="7"/>
      <c r="V957" s="57"/>
      <c r="W957" s="57"/>
      <c r="X957" s="57"/>
    </row>
    <row r="958" spans="1:24" ht="12.5" x14ac:dyDescent="0.25">
      <c r="A958" s="34"/>
      <c r="B958" s="7"/>
      <c r="C958" s="19"/>
      <c r="D958" s="7"/>
      <c r="E958" s="7"/>
      <c r="F958" s="7"/>
      <c r="G958" s="7"/>
      <c r="H958" s="6"/>
      <c r="I958" s="7"/>
      <c r="J958" s="7"/>
      <c r="K958" s="7"/>
      <c r="L958" s="7"/>
      <c r="M958" s="52"/>
      <c r="N958" s="7"/>
      <c r="O958" s="7"/>
      <c r="P958" s="47"/>
      <c r="Q958" s="47"/>
      <c r="R958" s="7"/>
      <c r="S958" s="51"/>
      <c r="T958" s="51"/>
      <c r="U958" s="7"/>
      <c r="V958" s="57"/>
      <c r="W958" s="57"/>
      <c r="X958" s="57"/>
    </row>
    <row r="959" spans="1:24" ht="12.5" x14ac:dyDescent="0.25">
      <c r="A959" s="34"/>
      <c r="B959" s="7"/>
      <c r="C959" s="19"/>
      <c r="D959" s="7"/>
      <c r="E959" s="7"/>
      <c r="F959" s="7"/>
      <c r="G959" s="7"/>
      <c r="H959" s="6"/>
      <c r="I959" s="7"/>
      <c r="J959" s="7"/>
      <c r="K959" s="7"/>
      <c r="L959" s="7"/>
      <c r="M959" s="52"/>
      <c r="N959" s="7"/>
      <c r="O959" s="7"/>
      <c r="P959" s="47"/>
      <c r="Q959" s="47"/>
      <c r="R959" s="7"/>
      <c r="S959" s="51"/>
      <c r="T959" s="51"/>
      <c r="U959" s="7"/>
      <c r="V959" s="57"/>
      <c r="W959" s="57"/>
      <c r="X959" s="57"/>
    </row>
    <row r="960" spans="1:24" ht="12.5" x14ac:dyDescent="0.25">
      <c r="A960" s="34"/>
      <c r="B960" s="7"/>
      <c r="C960" s="19"/>
      <c r="D960" s="7"/>
      <c r="E960" s="7"/>
      <c r="F960" s="7"/>
      <c r="G960" s="7"/>
      <c r="H960" s="6"/>
      <c r="I960" s="7"/>
      <c r="J960" s="7"/>
      <c r="K960" s="7"/>
      <c r="L960" s="7"/>
      <c r="M960" s="52"/>
      <c r="N960" s="7"/>
      <c r="O960" s="7"/>
      <c r="P960" s="47"/>
      <c r="Q960" s="47"/>
      <c r="R960" s="7"/>
      <c r="S960" s="51"/>
      <c r="T960" s="51"/>
      <c r="U960" s="7"/>
      <c r="V960" s="57"/>
      <c r="W960" s="57"/>
      <c r="X960" s="57"/>
    </row>
    <row r="961" spans="1:24" ht="12.5" x14ac:dyDescent="0.25">
      <c r="A961" s="34"/>
      <c r="B961" s="7"/>
      <c r="C961" s="19"/>
      <c r="D961" s="7"/>
      <c r="E961" s="7"/>
      <c r="F961" s="7"/>
      <c r="G961" s="7"/>
      <c r="H961" s="6"/>
      <c r="I961" s="7"/>
      <c r="J961" s="7"/>
      <c r="K961" s="7"/>
      <c r="L961" s="7"/>
      <c r="M961" s="52"/>
      <c r="N961" s="7"/>
      <c r="O961" s="7"/>
      <c r="P961" s="47"/>
      <c r="Q961" s="47"/>
      <c r="R961" s="7"/>
      <c r="S961" s="51"/>
      <c r="T961" s="51"/>
      <c r="U961" s="7"/>
      <c r="V961" s="57"/>
      <c r="W961" s="57"/>
      <c r="X961" s="57"/>
    </row>
    <row r="962" spans="1:24" ht="12.5" x14ac:dyDescent="0.25">
      <c r="A962" s="34"/>
      <c r="B962" s="7"/>
      <c r="C962" s="19"/>
      <c r="D962" s="7"/>
      <c r="E962" s="7"/>
      <c r="F962" s="7"/>
      <c r="G962" s="7"/>
      <c r="H962" s="6"/>
      <c r="I962" s="7"/>
      <c r="J962" s="7"/>
      <c r="K962" s="7"/>
      <c r="L962" s="7"/>
      <c r="M962" s="52"/>
      <c r="N962" s="7"/>
      <c r="O962" s="7"/>
      <c r="P962" s="47"/>
      <c r="Q962" s="47"/>
      <c r="R962" s="7"/>
      <c r="S962" s="51"/>
      <c r="T962" s="51"/>
      <c r="U962" s="7"/>
      <c r="V962" s="57"/>
      <c r="W962" s="57"/>
      <c r="X962" s="57"/>
    </row>
    <row r="963" spans="1:24" ht="12.5" x14ac:dyDescent="0.25">
      <c r="A963" s="34"/>
      <c r="B963" s="7"/>
      <c r="C963" s="19"/>
      <c r="D963" s="7"/>
      <c r="E963" s="7"/>
      <c r="F963" s="7"/>
      <c r="G963" s="7"/>
      <c r="H963" s="6"/>
      <c r="I963" s="7"/>
      <c r="J963" s="7"/>
      <c r="K963" s="7"/>
      <c r="L963" s="7"/>
      <c r="M963" s="52"/>
      <c r="N963" s="7"/>
      <c r="O963" s="7"/>
      <c r="P963" s="47"/>
      <c r="Q963" s="47"/>
      <c r="R963" s="7"/>
      <c r="S963" s="51"/>
      <c r="T963" s="51"/>
      <c r="U963" s="7"/>
      <c r="V963" s="57"/>
      <c r="W963" s="57"/>
      <c r="X963" s="57"/>
    </row>
    <row r="964" spans="1:24" ht="12.5" x14ac:dyDescent="0.25">
      <c r="A964" s="34"/>
      <c r="B964" s="7"/>
      <c r="C964" s="19"/>
      <c r="D964" s="7"/>
      <c r="E964" s="7"/>
      <c r="F964" s="7"/>
      <c r="G964" s="7"/>
      <c r="H964" s="6"/>
      <c r="I964" s="7"/>
      <c r="J964" s="7"/>
      <c r="K964" s="7"/>
      <c r="L964" s="7"/>
      <c r="M964" s="52"/>
      <c r="N964" s="7"/>
      <c r="O964" s="7"/>
      <c r="P964" s="47"/>
      <c r="Q964" s="47"/>
      <c r="R964" s="7"/>
      <c r="S964" s="51"/>
      <c r="T964" s="51"/>
      <c r="U964" s="7"/>
      <c r="V964" s="57"/>
      <c r="W964" s="57"/>
      <c r="X964" s="57"/>
    </row>
    <row r="965" spans="1:24" ht="12.5" x14ac:dyDescent="0.25">
      <c r="A965" s="34"/>
      <c r="B965" s="7"/>
      <c r="C965" s="19"/>
      <c r="D965" s="7"/>
      <c r="E965" s="7"/>
      <c r="F965" s="7"/>
      <c r="G965" s="7"/>
      <c r="H965" s="6"/>
      <c r="I965" s="7"/>
      <c r="J965" s="7"/>
      <c r="K965" s="7"/>
      <c r="L965" s="7"/>
      <c r="M965" s="52"/>
      <c r="N965" s="7"/>
      <c r="O965" s="7"/>
      <c r="P965" s="47"/>
      <c r="Q965" s="47"/>
      <c r="R965" s="7"/>
      <c r="S965" s="51"/>
      <c r="T965" s="51"/>
      <c r="U965" s="7"/>
      <c r="V965" s="57"/>
      <c r="W965" s="57"/>
      <c r="X965" s="57"/>
    </row>
    <row r="966" spans="1:24" ht="12.5" x14ac:dyDescent="0.25">
      <c r="A966" s="34"/>
      <c r="B966" s="7"/>
      <c r="C966" s="19"/>
      <c r="D966" s="7"/>
      <c r="E966" s="7"/>
      <c r="F966" s="7"/>
      <c r="G966" s="7"/>
      <c r="H966" s="6"/>
      <c r="I966" s="7"/>
      <c r="J966" s="7"/>
      <c r="K966" s="7"/>
      <c r="L966" s="7"/>
      <c r="M966" s="52"/>
      <c r="N966" s="7"/>
      <c r="O966" s="7"/>
      <c r="P966" s="47"/>
      <c r="Q966" s="47"/>
      <c r="R966" s="7"/>
      <c r="S966" s="51"/>
      <c r="T966" s="51"/>
      <c r="U966" s="7"/>
      <c r="V966" s="57"/>
      <c r="W966" s="57"/>
      <c r="X966" s="57"/>
    </row>
    <row r="967" spans="1:24" ht="12.5" x14ac:dyDescent="0.25">
      <c r="A967" s="34"/>
      <c r="B967" s="7"/>
      <c r="C967" s="19"/>
      <c r="D967" s="7"/>
      <c r="E967" s="7"/>
      <c r="F967" s="7"/>
      <c r="G967" s="7"/>
      <c r="H967" s="6"/>
      <c r="I967" s="7"/>
      <c r="J967" s="7"/>
      <c r="K967" s="7"/>
      <c r="L967" s="7"/>
      <c r="M967" s="52"/>
      <c r="N967" s="7"/>
      <c r="O967" s="7"/>
      <c r="P967" s="47"/>
      <c r="Q967" s="47"/>
      <c r="R967" s="7"/>
      <c r="S967" s="51"/>
      <c r="T967" s="51"/>
      <c r="U967" s="7"/>
      <c r="V967" s="57"/>
      <c r="W967" s="57"/>
      <c r="X967" s="57"/>
    </row>
    <row r="968" spans="1:24" ht="12.5" x14ac:dyDescent="0.25">
      <c r="A968" s="34"/>
      <c r="B968" s="7"/>
      <c r="C968" s="19"/>
      <c r="D968" s="7"/>
      <c r="E968" s="7"/>
      <c r="F968" s="7"/>
      <c r="G968" s="7"/>
      <c r="H968" s="6"/>
      <c r="I968" s="7"/>
      <c r="J968" s="7"/>
      <c r="K968" s="7"/>
      <c r="L968" s="7"/>
      <c r="M968" s="52"/>
      <c r="N968" s="7"/>
      <c r="O968" s="7"/>
      <c r="P968" s="47"/>
      <c r="Q968" s="47"/>
      <c r="R968" s="7"/>
      <c r="S968" s="51"/>
      <c r="T968" s="51"/>
      <c r="U968" s="7"/>
      <c r="V968" s="57"/>
      <c r="W968" s="57"/>
      <c r="X968" s="57"/>
    </row>
    <row r="969" spans="1:24" ht="12.5" x14ac:dyDescent="0.25">
      <c r="A969" s="34"/>
      <c r="B969" s="7"/>
      <c r="C969" s="19"/>
      <c r="D969" s="7"/>
      <c r="E969" s="7"/>
      <c r="F969" s="7"/>
      <c r="G969" s="7"/>
      <c r="H969" s="6"/>
      <c r="I969" s="7"/>
      <c r="J969" s="7"/>
      <c r="K969" s="7"/>
      <c r="L969" s="7"/>
      <c r="M969" s="52"/>
      <c r="N969" s="7"/>
      <c r="O969" s="7"/>
      <c r="P969" s="47"/>
      <c r="Q969" s="47"/>
      <c r="R969" s="7"/>
      <c r="S969" s="51"/>
      <c r="T969" s="51"/>
      <c r="U969" s="7"/>
      <c r="V969" s="57"/>
      <c r="W969" s="57"/>
      <c r="X969" s="57"/>
    </row>
    <row r="970" spans="1:24" ht="12.5" x14ac:dyDescent="0.25">
      <c r="A970" s="34"/>
      <c r="B970" s="7"/>
      <c r="C970" s="19"/>
      <c r="D970" s="7"/>
      <c r="E970" s="7"/>
      <c r="F970" s="7"/>
      <c r="G970" s="7"/>
      <c r="H970" s="6"/>
      <c r="I970" s="7"/>
      <c r="J970" s="7"/>
      <c r="K970" s="7"/>
      <c r="L970" s="7"/>
      <c r="M970" s="52"/>
      <c r="N970" s="7"/>
      <c r="O970" s="7"/>
      <c r="P970" s="47"/>
      <c r="Q970" s="47"/>
      <c r="R970" s="7"/>
      <c r="S970" s="51"/>
      <c r="T970" s="51"/>
      <c r="U970" s="7"/>
      <c r="V970" s="57"/>
      <c r="W970" s="57"/>
      <c r="X970" s="57"/>
    </row>
    <row r="971" spans="1:24" ht="12.5" x14ac:dyDescent="0.25">
      <c r="A971" s="34"/>
      <c r="B971" s="7"/>
      <c r="C971" s="19"/>
      <c r="D971" s="7"/>
      <c r="E971" s="7"/>
      <c r="F971" s="7"/>
      <c r="G971" s="7"/>
      <c r="H971" s="6"/>
      <c r="I971" s="7"/>
      <c r="J971" s="7"/>
      <c r="K971" s="7"/>
      <c r="L971" s="7"/>
      <c r="M971" s="52"/>
      <c r="N971" s="7"/>
      <c r="O971" s="7"/>
      <c r="P971" s="47"/>
      <c r="Q971" s="47"/>
      <c r="R971" s="7"/>
      <c r="S971" s="51"/>
      <c r="T971" s="51"/>
      <c r="U971" s="7"/>
      <c r="V971" s="57"/>
      <c r="W971" s="57"/>
      <c r="X971" s="57"/>
    </row>
    <row r="972" spans="1:24" ht="12.5" x14ac:dyDescent="0.25">
      <c r="A972" s="34"/>
      <c r="B972" s="7"/>
      <c r="C972" s="19"/>
      <c r="D972" s="7"/>
      <c r="E972" s="7"/>
      <c r="F972" s="7"/>
      <c r="G972" s="7"/>
      <c r="H972" s="6"/>
      <c r="I972" s="7"/>
      <c r="J972" s="7"/>
      <c r="K972" s="7"/>
      <c r="L972" s="7"/>
      <c r="M972" s="52"/>
      <c r="N972" s="7"/>
      <c r="O972" s="7"/>
      <c r="P972" s="47"/>
      <c r="Q972" s="47"/>
      <c r="R972" s="7"/>
      <c r="S972" s="51"/>
      <c r="T972" s="51"/>
      <c r="U972" s="7"/>
      <c r="V972" s="57"/>
      <c r="W972" s="57"/>
      <c r="X972" s="57"/>
    </row>
    <row r="973" spans="1:24" ht="12.5" x14ac:dyDescent="0.25">
      <c r="A973" s="34"/>
      <c r="B973" s="7"/>
      <c r="C973" s="19"/>
      <c r="D973" s="7"/>
      <c r="E973" s="7"/>
      <c r="F973" s="7"/>
      <c r="G973" s="7"/>
      <c r="H973" s="6"/>
      <c r="I973" s="7"/>
      <c r="J973" s="7"/>
      <c r="K973" s="7"/>
      <c r="L973" s="7"/>
      <c r="M973" s="52"/>
      <c r="N973" s="7"/>
      <c r="O973" s="7"/>
      <c r="P973" s="47"/>
      <c r="Q973" s="47"/>
      <c r="R973" s="7"/>
      <c r="S973" s="51"/>
      <c r="T973" s="51"/>
      <c r="U973" s="7"/>
      <c r="V973" s="57"/>
      <c r="W973" s="57"/>
      <c r="X973" s="57"/>
    </row>
    <row r="974" spans="1:24" ht="12.5" x14ac:dyDescent="0.25">
      <c r="A974" s="34"/>
      <c r="B974" s="7"/>
      <c r="C974" s="19"/>
      <c r="D974" s="7"/>
      <c r="E974" s="7"/>
      <c r="F974" s="7"/>
      <c r="G974" s="7"/>
      <c r="H974" s="6"/>
      <c r="I974" s="7"/>
      <c r="J974" s="7"/>
      <c r="K974" s="7"/>
      <c r="L974" s="7"/>
      <c r="M974" s="52"/>
      <c r="N974" s="7"/>
      <c r="O974" s="7"/>
      <c r="P974" s="47"/>
      <c r="Q974" s="47"/>
      <c r="R974" s="7"/>
      <c r="S974" s="51"/>
      <c r="T974" s="51"/>
      <c r="U974" s="7"/>
      <c r="V974" s="57"/>
      <c r="W974" s="57"/>
      <c r="X974" s="57"/>
    </row>
    <row r="975" spans="1:24" ht="12.5" x14ac:dyDescent="0.25">
      <c r="A975" s="34"/>
      <c r="B975" s="7"/>
      <c r="C975" s="19"/>
      <c r="D975" s="7"/>
      <c r="E975" s="7"/>
      <c r="F975" s="7"/>
      <c r="G975" s="7"/>
      <c r="H975" s="6"/>
      <c r="I975" s="7"/>
      <c r="J975" s="7"/>
      <c r="K975" s="7"/>
      <c r="L975" s="7"/>
      <c r="M975" s="52"/>
      <c r="N975" s="7"/>
      <c r="O975" s="7"/>
      <c r="P975" s="47"/>
      <c r="Q975" s="47"/>
      <c r="R975" s="7"/>
      <c r="S975" s="51"/>
      <c r="T975" s="51"/>
      <c r="U975" s="7"/>
      <c r="V975" s="57"/>
      <c r="W975" s="57"/>
      <c r="X975" s="57"/>
    </row>
    <row r="976" spans="1:24" ht="12.5" x14ac:dyDescent="0.25">
      <c r="A976" s="34"/>
      <c r="B976" s="7"/>
      <c r="C976" s="19"/>
      <c r="D976" s="7"/>
      <c r="E976" s="7"/>
      <c r="F976" s="7"/>
      <c r="G976" s="7"/>
      <c r="H976" s="6"/>
      <c r="I976" s="7"/>
      <c r="J976" s="7"/>
      <c r="K976" s="7"/>
      <c r="L976" s="7"/>
      <c r="M976" s="52"/>
      <c r="N976" s="7"/>
      <c r="O976" s="7"/>
      <c r="P976" s="47"/>
      <c r="Q976" s="47"/>
      <c r="R976" s="7"/>
      <c r="S976" s="51"/>
      <c r="T976" s="51"/>
      <c r="U976" s="7"/>
      <c r="V976" s="57"/>
      <c r="W976" s="57"/>
      <c r="X976" s="57"/>
    </row>
    <row r="977" spans="1:24" ht="12.5" x14ac:dyDescent="0.25">
      <c r="A977" s="34"/>
      <c r="B977" s="7"/>
      <c r="C977" s="19"/>
      <c r="D977" s="7"/>
      <c r="E977" s="7"/>
      <c r="F977" s="7"/>
      <c r="G977" s="7"/>
      <c r="H977" s="6"/>
      <c r="I977" s="7"/>
      <c r="J977" s="7"/>
      <c r="K977" s="7"/>
      <c r="L977" s="7"/>
      <c r="M977" s="52"/>
      <c r="N977" s="7"/>
      <c r="O977" s="7"/>
      <c r="P977" s="47"/>
      <c r="Q977" s="47"/>
      <c r="R977" s="7"/>
      <c r="S977" s="51"/>
      <c r="T977" s="51"/>
      <c r="U977" s="7"/>
      <c r="V977" s="57"/>
      <c r="W977" s="57"/>
      <c r="X977" s="57"/>
    </row>
    <row r="978" spans="1:24" ht="12.5" x14ac:dyDescent="0.25">
      <c r="A978" s="34"/>
      <c r="B978" s="7"/>
      <c r="C978" s="19"/>
      <c r="D978" s="7"/>
      <c r="E978" s="7"/>
      <c r="F978" s="7"/>
      <c r="G978" s="7"/>
      <c r="H978" s="6"/>
      <c r="I978" s="7"/>
      <c r="J978" s="7"/>
      <c r="K978" s="7"/>
      <c r="L978" s="7"/>
      <c r="M978" s="52"/>
      <c r="N978" s="7"/>
      <c r="O978" s="7"/>
      <c r="P978" s="47"/>
      <c r="Q978" s="47"/>
      <c r="R978" s="7"/>
      <c r="S978" s="51"/>
      <c r="T978" s="51"/>
      <c r="U978" s="7"/>
      <c r="V978" s="57"/>
      <c r="W978" s="57"/>
      <c r="X978" s="57"/>
    </row>
    <row r="979" spans="1:24" ht="12.5" x14ac:dyDescent="0.25">
      <c r="A979" s="34"/>
      <c r="B979" s="7"/>
      <c r="C979" s="19"/>
      <c r="D979" s="7"/>
      <c r="E979" s="7"/>
      <c r="F979" s="7"/>
      <c r="G979" s="7"/>
      <c r="H979" s="6"/>
      <c r="I979" s="7"/>
      <c r="J979" s="7"/>
      <c r="K979" s="7"/>
      <c r="L979" s="7"/>
      <c r="M979" s="52"/>
      <c r="N979" s="7"/>
      <c r="O979" s="7"/>
      <c r="P979" s="47"/>
      <c r="Q979" s="47"/>
      <c r="R979" s="7"/>
      <c r="S979" s="51"/>
      <c r="T979" s="51"/>
      <c r="U979" s="7"/>
      <c r="V979" s="57"/>
      <c r="W979" s="57"/>
      <c r="X979" s="57"/>
    </row>
    <row r="980" spans="1:24" ht="12.5" x14ac:dyDescent="0.25">
      <c r="A980" s="34"/>
      <c r="B980" s="7"/>
      <c r="C980" s="19"/>
      <c r="D980" s="7"/>
      <c r="E980" s="7"/>
      <c r="F980" s="7"/>
      <c r="G980" s="7"/>
      <c r="H980" s="6"/>
      <c r="I980" s="7"/>
      <c r="J980" s="7"/>
      <c r="K980" s="7"/>
      <c r="L980" s="7"/>
      <c r="M980" s="52"/>
      <c r="N980" s="7"/>
      <c r="O980" s="7"/>
      <c r="P980" s="47"/>
      <c r="Q980" s="47"/>
      <c r="R980" s="7"/>
      <c r="S980" s="51"/>
      <c r="T980" s="51"/>
      <c r="U980" s="7"/>
      <c r="V980" s="57"/>
      <c r="W980" s="57"/>
      <c r="X980" s="57"/>
    </row>
    <row r="981" spans="1:24" ht="12.5" x14ac:dyDescent="0.25">
      <c r="A981" s="34"/>
      <c r="B981" s="7"/>
      <c r="C981" s="19"/>
      <c r="D981" s="7"/>
      <c r="E981" s="7"/>
      <c r="F981" s="7"/>
      <c r="G981" s="7"/>
      <c r="H981" s="6"/>
      <c r="I981" s="7"/>
      <c r="J981" s="7"/>
      <c r="K981" s="7"/>
      <c r="L981" s="7"/>
      <c r="M981" s="52"/>
      <c r="N981" s="7"/>
      <c r="O981" s="7"/>
      <c r="P981" s="47"/>
      <c r="Q981" s="47"/>
      <c r="R981" s="7"/>
      <c r="S981" s="51"/>
      <c r="T981" s="51"/>
      <c r="U981" s="7"/>
      <c r="V981" s="57"/>
      <c r="W981" s="57"/>
      <c r="X981" s="57"/>
    </row>
    <row r="982" spans="1:24" ht="12.5" x14ac:dyDescent="0.25">
      <c r="A982" s="34"/>
      <c r="B982" s="7"/>
      <c r="C982" s="19"/>
      <c r="D982" s="7"/>
      <c r="E982" s="7"/>
      <c r="F982" s="7"/>
      <c r="G982" s="7"/>
      <c r="H982" s="6"/>
      <c r="I982" s="7"/>
      <c r="J982" s="7"/>
      <c r="K982" s="7"/>
      <c r="L982" s="7"/>
      <c r="M982" s="52"/>
      <c r="N982" s="7"/>
      <c r="O982" s="7"/>
      <c r="P982" s="47"/>
      <c r="Q982" s="47"/>
      <c r="R982" s="7"/>
      <c r="S982" s="51"/>
      <c r="T982" s="51"/>
      <c r="U982" s="7"/>
      <c r="V982" s="57"/>
      <c r="W982" s="57"/>
      <c r="X982" s="57"/>
    </row>
    <row r="983" spans="1:24" ht="12.5" x14ac:dyDescent="0.25">
      <c r="A983" s="34"/>
      <c r="B983" s="7"/>
      <c r="C983" s="19"/>
      <c r="D983" s="7"/>
      <c r="E983" s="7"/>
      <c r="F983" s="7"/>
      <c r="G983" s="7"/>
      <c r="H983" s="6"/>
      <c r="I983" s="7"/>
      <c r="J983" s="7"/>
      <c r="K983" s="7"/>
      <c r="L983" s="7"/>
      <c r="M983" s="52"/>
      <c r="N983" s="7"/>
      <c r="O983" s="7"/>
      <c r="P983" s="47"/>
      <c r="Q983" s="47"/>
      <c r="R983" s="7"/>
      <c r="S983" s="51"/>
      <c r="T983" s="51"/>
      <c r="U983" s="7"/>
      <c r="V983" s="57"/>
      <c r="W983" s="57"/>
      <c r="X983" s="57"/>
    </row>
    <row r="984" spans="1:24" ht="12.5" x14ac:dyDescent="0.25">
      <c r="A984" s="34"/>
      <c r="B984" s="7"/>
      <c r="C984" s="19"/>
      <c r="D984" s="7"/>
      <c r="E984" s="7"/>
      <c r="F984" s="7"/>
      <c r="G984" s="7"/>
      <c r="H984" s="6"/>
      <c r="I984" s="7"/>
      <c r="J984" s="7"/>
      <c r="K984" s="7"/>
      <c r="L984" s="7"/>
      <c r="M984" s="52"/>
      <c r="N984" s="7"/>
      <c r="O984" s="7"/>
      <c r="P984" s="47"/>
      <c r="Q984" s="47"/>
      <c r="R984" s="7"/>
      <c r="S984" s="51"/>
      <c r="T984" s="51"/>
      <c r="U984" s="7"/>
      <c r="V984" s="57"/>
      <c r="W984" s="57"/>
      <c r="X984" s="57"/>
    </row>
    <row r="985" spans="1:24" ht="12.5" x14ac:dyDescent="0.25">
      <c r="A985" s="34"/>
      <c r="B985" s="7"/>
      <c r="C985" s="19"/>
      <c r="D985" s="7"/>
      <c r="E985" s="7"/>
      <c r="F985" s="7"/>
      <c r="G985" s="7"/>
      <c r="H985" s="6"/>
      <c r="I985" s="7"/>
      <c r="J985" s="7"/>
      <c r="K985" s="7"/>
      <c r="L985" s="7"/>
      <c r="M985" s="52"/>
      <c r="N985" s="7"/>
      <c r="O985" s="7"/>
      <c r="P985" s="47"/>
      <c r="Q985" s="47"/>
      <c r="R985" s="7"/>
      <c r="S985" s="51"/>
      <c r="T985" s="51"/>
      <c r="U985" s="7"/>
      <c r="V985" s="57"/>
      <c r="W985" s="57"/>
      <c r="X985" s="57"/>
    </row>
    <row r="986" spans="1:24" ht="12.5" x14ac:dyDescent="0.25">
      <c r="A986" s="34"/>
      <c r="B986" s="7"/>
      <c r="C986" s="19"/>
      <c r="D986" s="7"/>
      <c r="E986" s="7"/>
      <c r="F986" s="7"/>
      <c r="G986" s="7"/>
      <c r="H986" s="6"/>
      <c r="I986" s="7"/>
      <c r="J986" s="7"/>
      <c r="K986" s="7"/>
      <c r="L986" s="7"/>
      <c r="M986" s="52"/>
      <c r="N986" s="7"/>
      <c r="O986" s="7"/>
      <c r="P986" s="47"/>
      <c r="Q986" s="47"/>
      <c r="R986" s="7"/>
      <c r="S986" s="51"/>
      <c r="T986" s="51"/>
      <c r="U986" s="7"/>
      <c r="V986" s="57"/>
      <c r="W986" s="57"/>
      <c r="X986" s="57"/>
    </row>
    <row r="987" spans="1:24" ht="12.5" x14ac:dyDescent="0.25">
      <c r="A987" s="34"/>
      <c r="B987" s="7"/>
      <c r="C987" s="19"/>
      <c r="D987" s="7"/>
      <c r="E987" s="7"/>
      <c r="F987" s="7"/>
      <c r="G987" s="7"/>
      <c r="H987" s="6"/>
      <c r="I987" s="7"/>
      <c r="J987" s="7"/>
      <c r="K987" s="7"/>
      <c r="L987" s="7"/>
      <c r="M987" s="52"/>
      <c r="N987" s="7"/>
      <c r="O987" s="7"/>
      <c r="P987" s="47"/>
      <c r="Q987" s="47"/>
      <c r="R987" s="7"/>
      <c r="S987" s="51"/>
      <c r="T987" s="51"/>
      <c r="U987" s="7"/>
      <c r="V987" s="57"/>
      <c r="W987" s="57"/>
      <c r="X987" s="57"/>
    </row>
    <row r="988" spans="1:24" ht="12.5" x14ac:dyDescent="0.25">
      <c r="A988" s="34"/>
      <c r="B988" s="7"/>
      <c r="C988" s="19"/>
      <c r="D988" s="7"/>
      <c r="E988" s="7"/>
      <c r="F988" s="7"/>
      <c r="G988" s="7"/>
      <c r="H988" s="6"/>
      <c r="I988" s="7"/>
      <c r="J988" s="7"/>
      <c r="K988" s="7"/>
      <c r="L988" s="7"/>
      <c r="M988" s="52"/>
      <c r="N988" s="7"/>
      <c r="O988" s="7"/>
      <c r="P988" s="47"/>
      <c r="Q988" s="47"/>
      <c r="R988" s="7"/>
      <c r="S988" s="51"/>
      <c r="T988" s="51"/>
      <c r="U988" s="7"/>
      <c r="V988" s="57"/>
      <c r="W988" s="57"/>
      <c r="X988" s="57"/>
    </row>
    <row r="989" spans="1:24" ht="12.5" x14ac:dyDescent="0.25">
      <c r="A989" s="34"/>
      <c r="B989" s="7"/>
      <c r="C989" s="19"/>
      <c r="D989" s="7"/>
      <c r="E989" s="7"/>
      <c r="F989" s="7"/>
      <c r="G989" s="7"/>
      <c r="H989" s="6"/>
      <c r="I989" s="7"/>
      <c r="J989" s="7"/>
      <c r="K989" s="7"/>
      <c r="L989" s="7"/>
      <c r="M989" s="52"/>
      <c r="N989" s="7"/>
      <c r="O989" s="7"/>
      <c r="P989" s="47"/>
      <c r="Q989" s="47"/>
      <c r="R989" s="7"/>
      <c r="S989" s="51"/>
      <c r="T989" s="51"/>
      <c r="U989" s="7"/>
      <c r="V989" s="57"/>
      <c r="W989" s="57"/>
      <c r="X989" s="57"/>
    </row>
    <row r="990" spans="1:24" ht="12.5" x14ac:dyDescent="0.25">
      <c r="A990" s="34"/>
      <c r="B990" s="7"/>
      <c r="C990" s="19"/>
      <c r="D990" s="7"/>
      <c r="E990" s="7"/>
      <c r="F990" s="7"/>
      <c r="G990" s="7"/>
      <c r="H990" s="6"/>
      <c r="I990" s="7"/>
      <c r="J990" s="7"/>
      <c r="K990" s="7"/>
      <c r="L990" s="7"/>
      <c r="M990" s="52"/>
      <c r="N990" s="7"/>
      <c r="O990" s="7"/>
      <c r="P990" s="47"/>
      <c r="Q990" s="47"/>
      <c r="R990" s="7"/>
      <c r="S990" s="51"/>
      <c r="T990" s="51"/>
      <c r="U990" s="7"/>
      <c r="V990" s="57"/>
      <c r="W990" s="57"/>
      <c r="X990" s="57"/>
    </row>
    <row r="991" spans="1:24" ht="12.5" x14ac:dyDescent="0.25">
      <c r="A991" s="34"/>
      <c r="B991" s="7"/>
      <c r="C991" s="19"/>
      <c r="D991" s="7"/>
      <c r="E991" s="7"/>
      <c r="F991" s="7"/>
      <c r="G991" s="7"/>
      <c r="H991" s="6"/>
      <c r="I991" s="7"/>
      <c r="J991" s="7"/>
      <c r="K991" s="7"/>
      <c r="L991" s="7"/>
      <c r="M991" s="52"/>
      <c r="N991" s="7"/>
      <c r="O991" s="7"/>
      <c r="P991" s="47"/>
      <c r="Q991" s="47"/>
      <c r="R991" s="7"/>
      <c r="S991" s="51"/>
      <c r="T991" s="51"/>
      <c r="U991" s="7"/>
      <c r="V991" s="57"/>
      <c r="W991" s="57"/>
      <c r="X991" s="57"/>
    </row>
    <row r="992" spans="1:24" ht="12.5" x14ac:dyDescent="0.25">
      <c r="A992" s="34"/>
      <c r="B992" s="7"/>
      <c r="C992" s="19"/>
      <c r="D992" s="7"/>
      <c r="E992" s="7"/>
      <c r="F992" s="7"/>
      <c r="G992" s="7"/>
      <c r="H992" s="6"/>
      <c r="I992" s="7"/>
      <c r="J992" s="7"/>
      <c r="K992" s="7"/>
      <c r="L992" s="7"/>
      <c r="M992" s="52"/>
      <c r="N992" s="7"/>
      <c r="O992" s="7"/>
      <c r="P992" s="47"/>
      <c r="Q992" s="47"/>
      <c r="R992" s="7"/>
      <c r="S992" s="51"/>
      <c r="T992" s="51"/>
      <c r="U992" s="7"/>
      <c r="V992" s="57"/>
      <c r="W992" s="57"/>
      <c r="X992" s="57"/>
    </row>
    <row r="993" spans="1:24" ht="12.5" x14ac:dyDescent="0.25">
      <c r="A993" s="34"/>
      <c r="B993" s="7"/>
      <c r="C993" s="19"/>
      <c r="D993" s="7"/>
      <c r="E993" s="7"/>
      <c r="F993" s="7"/>
      <c r="G993" s="7"/>
      <c r="H993" s="6"/>
      <c r="I993" s="7"/>
      <c r="J993" s="7"/>
      <c r="K993" s="7"/>
      <c r="L993" s="7"/>
      <c r="M993" s="52"/>
      <c r="N993" s="7"/>
      <c r="O993" s="7"/>
      <c r="P993" s="47"/>
      <c r="Q993" s="47"/>
      <c r="R993" s="7"/>
      <c r="S993" s="51"/>
      <c r="T993" s="51"/>
      <c r="U993" s="7"/>
      <c r="V993" s="57"/>
      <c r="W993" s="57"/>
      <c r="X993" s="57"/>
    </row>
    <row r="994" spans="1:24" ht="12.5" x14ac:dyDescent="0.25">
      <c r="A994" s="34"/>
      <c r="B994" s="7"/>
      <c r="C994" s="19"/>
      <c r="D994" s="7"/>
      <c r="E994" s="7"/>
      <c r="F994" s="7"/>
      <c r="G994" s="7"/>
      <c r="H994" s="6"/>
      <c r="I994" s="7"/>
      <c r="J994" s="7"/>
      <c r="K994" s="7"/>
      <c r="L994" s="7"/>
      <c r="M994" s="52"/>
      <c r="N994" s="7"/>
      <c r="O994" s="7"/>
      <c r="P994" s="47"/>
      <c r="Q994" s="47"/>
      <c r="R994" s="7"/>
      <c r="S994" s="51"/>
      <c r="T994" s="51"/>
      <c r="U994" s="7"/>
      <c r="V994" s="57"/>
      <c r="W994" s="57"/>
      <c r="X994" s="57"/>
    </row>
    <row r="995" spans="1:24" ht="12.5" x14ac:dyDescent="0.25">
      <c r="A995" s="34"/>
      <c r="B995" s="7"/>
      <c r="C995" s="19"/>
      <c r="D995" s="7"/>
      <c r="E995" s="7"/>
      <c r="F995" s="7"/>
      <c r="G995" s="7"/>
      <c r="H995" s="6"/>
      <c r="I995" s="7"/>
      <c r="J995" s="7"/>
      <c r="K995" s="7"/>
      <c r="L995" s="7"/>
      <c r="M995" s="52"/>
      <c r="N995" s="7"/>
      <c r="O995" s="7"/>
      <c r="P995" s="47"/>
      <c r="Q995" s="47"/>
      <c r="R995" s="7"/>
      <c r="S995" s="51"/>
      <c r="T995" s="51"/>
      <c r="U995" s="7"/>
      <c r="V995" s="57"/>
      <c r="W995" s="57"/>
      <c r="X995" s="57"/>
    </row>
    <row r="996" spans="1:24" ht="12.5" x14ac:dyDescent="0.25">
      <c r="A996" s="34"/>
      <c r="B996" s="7"/>
      <c r="C996" s="19"/>
      <c r="D996" s="7"/>
      <c r="E996" s="7"/>
      <c r="F996" s="7"/>
      <c r="G996" s="7"/>
      <c r="H996" s="6"/>
      <c r="I996" s="7"/>
      <c r="J996" s="7"/>
      <c r="K996" s="7"/>
      <c r="L996" s="7"/>
      <c r="M996" s="52"/>
      <c r="N996" s="7"/>
      <c r="O996" s="7"/>
      <c r="P996" s="47"/>
      <c r="Q996" s="47"/>
      <c r="R996" s="7"/>
      <c r="S996" s="51"/>
      <c r="T996" s="51"/>
      <c r="U996" s="7"/>
      <c r="V996" s="57"/>
      <c r="W996" s="57"/>
      <c r="X996" s="57"/>
    </row>
    <row r="997" spans="1:24" ht="12.5" x14ac:dyDescent="0.25">
      <c r="A997" s="34"/>
      <c r="B997" s="7"/>
      <c r="C997" s="19"/>
      <c r="D997" s="7"/>
      <c r="E997" s="7"/>
      <c r="F997" s="7"/>
      <c r="G997" s="7"/>
      <c r="H997" s="6"/>
      <c r="I997" s="7"/>
      <c r="J997" s="7"/>
      <c r="K997" s="7"/>
      <c r="L997" s="7"/>
      <c r="M997" s="52"/>
      <c r="N997" s="7"/>
      <c r="O997" s="7"/>
      <c r="P997" s="47"/>
      <c r="Q997" s="47"/>
      <c r="R997" s="7"/>
      <c r="S997" s="51"/>
      <c r="T997" s="51"/>
      <c r="U997" s="7"/>
      <c r="V997" s="57"/>
      <c r="W997" s="57"/>
      <c r="X997" s="57"/>
    </row>
    <row r="998" spans="1:24" ht="12.5" x14ac:dyDescent="0.25">
      <c r="A998" s="34"/>
      <c r="B998" s="7"/>
      <c r="C998" s="19"/>
      <c r="D998" s="7"/>
      <c r="E998" s="7"/>
      <c r="F998" s="7"/>
      <c r="G998" s="7"/>
      <c r="H998" s="6"/>
      <c r="I998" s="7"/>
      <c r="J998" s="7"/>
      <c r="K998" s="7"/>
      <c r="L998" s="7"/>
      <c r="M998" s="52"/>
      <c r="N998" s="7"/>
      <c r="O998" s="7"/>
      <c r="P998" s="47"/>
      <c r="Q998" s="47"/>
      <c r="R998" s="7"/>
      <c r="S998" s="51"/>
      <c r="T998" s="51"/>
      <c r="U998" s="7"/>
      <c r="V998" s="57"/>
      <c r="W998" s="57"/>
      <c r="X998" s="57"/>
    </row>
    <row r="999" spans="1:24" ht="12.5" x14ac:dyDescent="0.25">
      <c r="A999" s="34"/>
      <c r="B999" s="7"/>
      <c r="C999" s="19"/>
      <c r="D999" s="7"/>
      <c r="E999" s="7"/>
      <c r="F999" s="7"/>
      <c r="G999" s="7"/>
      <c r="H999" s="6"/>
      <c r="I999" s="7"/>
      <c r="J999" s="7"/>
      <c r="K999" s="7"/>
      <c r="L999" s="7"/>
      <c r="M999" s="52"/>
      <c r="N999" s="7"/>
      <c r="O999" s="7"/>
      <c r="P999" s="47"/>
      <c r="Q999" s="47"/>
      <c r="R999" s="7"/>
      <c r="S999" s="51"/>
      <c r="T999" s="51"/>
      <c r="U999" s="7"/>
      <c r="V999" s="57"/>
      <c r="W999" s="57"/>
      <c r="X999" s="57"/>
    </row>
    <row r="1000" spans="1:24" ht="12.5" x14ac:dyDescent="0.25">
      <c r="A1000" s="34"/>
      <c r="B1000" s="7"/>
      <c r="C1000" s="19"/>
      <c r="D1000" s="7"/>
      <c r="E1000" s="7"/>
      <c r="F1000" s="7"/>
      <c r="G1000" s="7"/>
      <c r="H1000" s="6"/>
      <c r="I1000" s="7"/>
      <c r="J1000" s="7"/>
      <c r="K1000" s="7"/>
      <c r="L1000" s="7"/>
      <c r="M1000" s="52"/>
      <c r="N1000" s="7"/>
      <c r="O1000" s="7"/>
      <c r="P1000" s="47"/>
      <c r="Q1000" s="47"/>
      <c r="R1000" s="7"/>
      <c r="S1000" s="51"/>
      <c r="T1000" s="51"/>
      <c r="U1000" s="7"/>
      <c r="V1000" s="57"/>
      <c r="W1000" s="57"/>
      <c r="X1000" s="57"/>
    </row>
    <row r="1001" spans="1:24" ht="12.5" x14ac:dyDescent="0.25">
      <c r="A1001" s="34"/>
      <c r="B1001" s="7"/>
      <c r="C1001" s="19"/>
      <c r="D1001" s="7"/>
      <c r="E1001" s="7"/>
      <c r="F1001" s="7"/>
      <c r="G1001" s="7"/>
      <c r="H1001" s="6"/>
      <c r="I1001" s="7"/>
      <c r="J1001" s="7"/>
      <c r="K1001" s="7"/>
      <c r="L1001" s="7"/>
      <c r="M1001" s="52"/>
      <c r="N1001" s="7"/>
      <c r="O1001" s="7"/>
      <c r="P1001" s="47"/>
      <c r="Q1001" s="47"/>
      <c r="R1001" s="7"/>
      <c r="S1001" s="51"/>
      <c r="T1001" s="51"/>
      <c r="U1001" s="7"/>
      <c r="V1001" s="57"/>
      <c r="W1001" s="57"/>
      <c r="X1001" s="57"/>
    </row>
    <row r="1002" spans="1:24" ht="12.5" x14ac:dyDescent="0.25">
      <c r="A1002" s="34"/>
      <c r="B1002" s="7"/>
      <c r="C1002" s="19"/>
      <c r="D1002" s="7"/>
      <c r="E1002" s="7"/>
      <c r="F1002" s="7"/>
      <c r="G1002" s="7"/>
      <c r="H1002" s="6"/>
      <c r="I1002" s="7"/>
      <c r="J1002" s="7"/>
      <c r="K1002" s="7"/>
      <c r="L1002" s="7"/>
      <c r="M1002" s="52"/>
      <c r="N1002" s="7"/>
      <c r="O1002" s="7"/>
      <c r="P1002" s="47"/>
      <c r="Q1002" s="47"/>
      <c r="R1002" s="7"/>
      <c r="S1002" s="51"/>
      <c r="T1002" s="51"/>
      <c r="U1002" s="7"/>
      <c r="V1002" s="57"/>
      <c r="W1002" s="57"/>
      <c r="X1002" s="57"/>
    </row>
    <row r="1003" spans="1:24" ht="12.5" x14ac:dyDescent="0.25">
      <c r="A1003" s="34"/>
      <c r="B1003" s="7"/>
      <c r="C1003" s="19"/>
      <c r="D1003" s="7"/>
      <c r="E1003" s="7"/>
      <c r="F1003" s="7"/>
      <c r="G1003" s="7"/>
      <c r="H1003" s="6"/>
      <c r="I1003" s="7"/>
      <c r="J1003" s="7"/>
      <c r="K1003" s="7"/>
      <c r="L1003" s="7"/>
      <c r="M1003" s="52"/>
      <c r="N1003" s="7"/>
      <c r="O1003" s="7"/>
      <c r="P1003" s="47"/>
      <c r="Q1003" s="47"/>
      <c r="R1003" s="7"/>
      <c r="S1003" s="51"/>
      <c r="T1003" s="51"/>
      <c r="U1003" s="7"/>
      <c r="V1003" s="57"/>
      <c r="W1003" s="57"/>
      <c r="X1003" s="57"/>
    </row>
    <row r="1004" spans="1:24" ht="12.5" x14ac:dyDescent="0.25">
      <c r="A1004" s="34"/>
      <c r="B1004" s="7"/>
      <c r="C1004" s="19"/>
      <c r="D1004" s="7"/>
      <c r="E1004" s="7"/>
      <c r="F1004" s="7"/>
      <c r="G1004" s="7"/>
      <c r="H1004" s="6"/>
      <c r="I1004" s="7"/>
      <c r="J1004" s="7"/>
      <c r="K1004" s="7"/>
      <c r="L1004" s="7"/>
      <c r="M1004" s="52"/>
      <c r="N1004" s="7"/>
      <c r="O1004" s="7"/>
      <c r="P1004" s="47"/>
      <c r="Q1004" s="47"/>
      <c r="R1004" s="7"/>
      <c r="S1004" s="51"/>
      <c r="T1004" s="51"/>
      <c r="U1004" s="7"/>
      <c r="V1004" s="57"/>
      <c r="W1004" s="57"/>
      <c r="X1004" s="57"/>
    </row>
    <row r="1005" spans="1:24" ht="12.5" x14ac:dyDescent="0.25">
      <c r="A1005" s="34"/>
      <c r="B1005" s="7"/>
      <c r="C1005" s="19"/>
      <c r="D1005" s="7"/>
      <c r="E1005" s="7"/>
      <c r="F1005" s="7"/>
      <c r="G1005" s="7"/>
      <c r="H1005" s="6"/>
      <c r="I1005" s="7"/>
      <c r="J1005" s="7"/>
      <c r="K1005" s="7"/>
      <c r="L1005" s="7"/>
      <c r="M1005" s="52"/>
      <c r="N1005" s="7"/>
      <c r="O1005" s="7"/>
      <c r="P1005" s="47"/>
      <c r="Q1005" s="47"/>
      <c r="R1005" s="7"/>
      <c r="S1005" s="51"/>
      <c r="T1005" s="51"/>
      <c r="U1005" s="7"/>
      <c r="V1005" s="57"/>
      <c r="W1005" s="57"/>
      <c r="X1005" s="57"/>
    </row>
    <row r="1006" spans="1:24" ht="12.5" x14ac:dyDescent="0.25">
      <c r="A1006" s="34"/>
      <c r="B1006" s="7"/>
      <c r="C1006" s="19"/>
      <c r="D1006" s="7"/>
      <c r="E1006" s="7"/>
      <c r="F1006" s="7"/>
      <c r="G1006" s="7"/>
      <c r="H1006" s="6"/>
      <c r="I1006" s="7"/>
      <c r="J1006" s="7"/>
      <c r="K1006" s="7"/>
      <c r="L1006" s="7"/>
      <c r="M1006" s="52"/>
      <c r="N1006" s="7"/>
      <c r="O1006" s="7"/>
      <c r="P1006" s="47"/>
      <c r="Q1006" s="47"/>
      <c r="R1006" s="7"/>
      <c r="S1006" s="51"/>
      <c r="T1006" s="51"/>
      <c r="U1006" s="7"/>
      <c r="V1006" s="57"/>
      <c r="W1006" s="57"/>
      <c r="X1006" s="57"/>
    </row>
    <row r="1007" spans="1:24" ht="12.5" x14ac:dyDescent="0.25">
      <c r="A1007" s="34"/>
      <c r="B1007" s="7"/>
      <c r="C1007" s="19"/>
      <c r="D1007" s="7"/>
      <c r="E1007" s="7"/>
      <c r="F1007" s="7"/>
      <c r="G1007" s="7"/>
      <c r="H1007" s="6"/>
      <c r="I1007" s="7"/>
      <c r="J1007" s="7"/>
      <c r="K1007" s="7"/>
      <c r="L1007" s="7"/>
      <c r="M1007" s="52"/>
      <c r="N1007" s="7"/>
      <c r="O1007" s="7"/>
      <c r="P1007" s="47"/>
      <c r="Q1007" s="47"/>
      <c r="R1007" s="7"/>
      <c r="S1007" s="51"/>
      <c r="T1007" s="51"/>
      <c r="U1007" s="7"/>
      <c r="V1007" s="57"/>
      <c r="W1007" s="57"/>
      <c r="X1007" s="57"/>
    </row>
    <row r="1008" spans="1:24" ht="12.5" x14ac:dyDescent="0.25">
      <c r="A1008" s="34"/>
      <c r="B1008" s="7"/>
      <c r="C1008" s="19"/>
      <c r="D1008" s="7"/>
      <c r="E1008" s="7"/>
      <c r="F1008" s="7"/>
      <c r="G1008" s="7"/>
      <c r="H1008" s="6"/>
      <c r="I1008" s="7"/>
      <c r="J1008" s="7"/>
      <c r="K1008" s="7"/>
      <c r="L1008" s="7"/>
      <c r="M1008" s="52"/>
      <c r="N1008" s="7"/>
      <c r="O1008" s="7"/>
      <c r="P1008" s="47"/>
      <c r="Q1008" s="47"/>
      <c r="R1008" s="7"/>
      <c r="S1008" s="51"/>
      <c r="T1008" s="51"/>
      <c r="U1008" s="7"/>
      <c r="V1008" s="57"/>
      <c r="W1008" s="57"/>
      <c r="X1008" s="57"/>
    </row>
    <row r="1009" spans="1:24" ht="12.5" x14ac:dyDescent="0.25">
      <c r="A1009" s="34"/>
      <c r="B1009" s="7"/>
      <c r="C1009" s="19"/>
      <c r="D1009" s="7"/>
      <c r="E1009" s="7"/>
      <c r="F1009" s="7"/>
      <c r="G1009" s="7"/>
      <c r="H1009" s="6"/>
      <c r="I1009" s="7"/>
      <c r="J1009" s="7"/>
      <c r="K1009" s="7"/>
      <c r="L1009" s="7"/>
      <c r="M1009" s="52"/>
      <c r="N1009" s="7"/>
      <c r="O1009" s="7"/>
      <c r="P1009" s="47"/>
      <c r="Q1009" s="47"/>
      <c r="R1009" s="7"/>
      <c r="S1009" s="51"/>
      <c r="T1009" s="51"/>
      <c r="U1009" s="7"/>
      <c r="V1009" s="57"/>
      <c r="W1009" s="57"/>
      <c r="X1009" s="57"/>
    </row>
    <row r="1010" spans="1:24" ht="12.5" x14ac:dyDescent="0.25">
      <c r="A1010" s="34"/>
      <c r="B1010" s="7"/>
      <c r="C1010" s="19"/>
      <c r="D1010" s="7"/>
      <c r="E1010" s="7"/>
      <c r="F1010" s="7"/>
      <c r="G1010" s="7"/>
      <c r="H1010" s="6"/>
      <c r="I1010" s="7"/>
      <c r="J1010" s="7"/>
      <c r="K1010" s="7"/>
      <c r="L1010" s="7"/>
      <c r="M1010" s="52"/>
      <c r="N1010" s="7"/>
      <c r="O1010" s="7"/>
      <c r="P1010" s="47"/>
      <c r="Q1010" s="47"/>
      <c r="R1010" s="7"/>
      <c r="S1010" s="51"/>
      <c r="T1010" s="51"/>
      <c r="U1010" s="7"/>
      <c r="V1010" s="57"/>
      <c r="W1010" s="57"/>
      <c r="X1010" s="57"/>
    </row>
    <row r="1011" spans="1:24" ht="12.5" x14ac:dyDescent="0.25">
      <c r="A1011" s="34"/>
      <c r="B1011" s="7"/>
      <c r="C1011" s="19"/>
      <c r="D1011" s="7"/>
      <c r="E1011" s="7"/>
      <c r="F1011" s="7"/>
      <c r="G1011" s="7"/>
      <c r="H1011" s="6"/>
      <c r="I1011" s="7"/>
      <c r="J1011" s="7"/>
      <c r="K1011" s="7"/>
      <c r="L1011" s="7"/>
      <c r="M1011" s="52"/>
      <c r="N1011" s="7"/>
      <c r="O1011" s="7"/>
      <c r="P1011" s="47"/>
      <c r="Q1011" s="47"/>
      <c r="R1011" s="7"/>
      <c r="S1011" s="51"/>
      <c r="T1011" s="51"/>
      <c r="U1011" s="7"/>
      <c r="V1011" s="57"/>
      <c r="W1011" s="57"/>
      <c r="X1011" s="57"/>
    </row>
    <row r="1012" spans="1:24" ht="12.5" x14ac:dyDescent="0.25">
      <c r="A1012" s="34"/>
      <c r="B1012" s="7"/>
      <c r="C1012" s="19"/>
      <c r="D1012" s="7"/>
      <c r="E1012" s="7"/>
      <c r="F1012" s="7"/>
      <c r="G1012" s="7"/>
      <c r="H1012" s="6"/>
      <c r="I1012" s="7"/>
      <c r="J1012" s="7"/>
      <c r="K1012" s="7"/>
      <c r="L1012" s="7"/>
      <c r="M1012" s="52"/>
      <c r="N1012" s="7"/>
      <c r="O1012" s="7"/>
      <c r="P1012" s="47"/>
      <c r="Q1012" s="47"/>
      <c r="R1012" s="7"/>
      <c r="S1012" s="51"/>
      <c r="T1012" s="51"/>
      <c r="U1012" s="7"/>
      <c r="V1012" s="57"/>
      <c r="W1012" s="57"/>
      <c r="X1012" s="57"/>
    </row>
    <row r="1013" spans="1:24" ht="12.5" x14ac:dyDescent="0.25">
      <c r="A1013" s="34"/>
      <c r="B1013" s="7"/>
      <c r="C1013" s="19"/>
      <c r="D1013" s="7"/>
      <c r="E1013" s="7"/>
      <c r="F1013" s="7"/>
      <c r="G1013" s="7"/>
      <c r="H1013" s="6"/>
      <c r="I1013" s="7"/>
      <c r="J1013" s="7"/>
      <c r="K1013" s="7"/>
      <c r="L1013" s="7"/>
      <c r="M1013" s="52"/>
      <c r="N1013" s="7"/>
      <c r="O1013" s="7"/>
      <c r="P1013" s="47"/>
      <c r="Q1013" s="47"/>
      <c r="R1013" s="7"/>
      <c r="S1013" s="51"/>
      <c r="T1013" s="51"/>
      <c r="U1013" s="7"/>
      <c r="V1013" s="57"/>
      <c r="W1013" s="57"/>
      <c r="X1013" s="57"/>
    </row>
    <row r="1014" spans="1:24" ht="12.5" x14ac:dyDescent="0.25">
      <c r="A1014" s="34"/>
      <c r="B1014" s="7"/>
      <c r="C1014" s="19"/>
      <c r="D1014" s="7"/>
      <c r="E1014" s="7"/>
      <c r="F1014" s="7"/>
      <c r="G1014" s="7"/>
      <c r="H1014" s="6"/>
      <c r="I1014" s="7"/>
      <c r="J1014" s="7"/>
      <c r="K1014" s="7"/>
      <c r="L1014" s="7"/>
      <c r="M1014" s="52"/>
      <c r="N1014" s="7"/>
      <c r="O1014" s="7"/>
      <c r="P1014" s="47"/>
      <c r="Q1014" s="47"/>
      <c r="R1014" s="7"/>
      <c r="S1014" s="51"/>
      <c r="T1014" s="51"/>
      <c r="U1014" s="7"/>
      <c r="V1014" s="57"/>
      <c r="W1014" s="57"/>
      <c r="X1014" s="57"/>
    </row>
    <row r="1015" spans="1:24" ht="12.5" x14ac:dyDescent="0.25">
      <c r="A1015" s="34"/>
      <c r="B1015" s="7"/>
      <c r="C1015" s="19"/>
      <c r="D1015" s="7"/>
      <c r="E1015" s="7"/>
      <c r="F1015" s="7"/>
      <c r="G1015" s="7"/>
      <c r="H1015" s="6"/>
      <c r="I1015" s="7"/>
      <c r="J1015" s="7"/>
      <c r="K1015" s="7"/>
      <c r="L1015" s="7"/>
      <c r="M1015" s="52"/>
      <c r="N1015" s="7"/>
      <c r="O1015" s="7"/>
      <c r="P1015" s="47"/>
      <c r="Q1015" s="47"/>
      <c r="R1015" s="7"/>
      <c r="S1015" s="51"/>
      <c r="T1015" s="51"/>
      <c r="U1015" s="7"/>
      <c r="V1015" s="57"/>
      <c r="W1015" s="57"/>
      <c r="X1015" s="57"/>
    </row>
    <row r="1016" spans="1:24" ht="12.5" x14ac:dyDescent="0.25">
      <c r="A1016" s="34"/>
      <c r="B1016" s="7"/>
      <c r="C1016" s="19"/>
      <c r="D1016" s="7"/>
      <c r="E1016" s="7"/>
      <c r="F1016" s="7"/>
      <c r="G1016" s="7"/>
      <c r="H1016" s="6"/>
      <c r="I1016" s="7"/>
      <c r="J1016" s="7"/>
      <c r="K1016" s="7"/>
      <c r="L1016" s="7"/>
      <c r="M1016" s="52"/>
      <c r="N1016" s="7"/>
      <c r="O1016" s="7"/>
      <c r="P1016" s="47"/>
      <c r="Q1016" s="47"/>
      <c r="R1016" s="7"/>
      <c r="S1016" s="51"/>
      <c r="T1016" s="51"/>
      <c r="U1016" s="7"/>
      <c r="V1016" s="57"/>
      <c r="W1016" s="57"/>
      <c r="X1016" s="57"/>
    </row>
    <row r="1017" spans="1:24" ht="12.5" x14ac:dyDescent="0.25">
      <c r="A1017" s="34"/>
      <c r="B1017" s="7"/>
      <c r="C1017" s="19"/>
      <c r="D1017" s="7"/>
      <c r="E1017" s="7"/>
      <c r="F1017" s="7"/>
      <c r="G1017" s="7"/>
      <c r="H1017" s="6"/>
      <c r="I1017" s="7"/>
      <c r="J1017" s="7"/>
      <c r="K1017" s="7"/>
      <c r="L1017" s="7"/>
      <c r="M1017" s="52"/>
      <c r="N1017" s="7"/>
      <c r="O1017" s="7"/>
      <c r="P1017" s="47"/>
      <c r="Q1017" s="47"/>
      <c r="R1017" s="7"/>
      <c r="S1017" s="51"/>
      <c r="T1017" s="51"/>
      <c r="U1017" s="7"/>
      <c r="V1017" s="57"/>
      <c r="W1017" s="57"/>
      <c r="X1017" s="57"/>
    </row>
    <row r="1018" spans="1:24" ht="12.5" x14ac:dyDescent="0.25">
      <c r="A1018" s="34"/>
      <c r="B1018" s="7"/>
      <c r="C1018" s="19"/>
      <c r="D1018" s="7"/>
      <c r="E1018" s="7"/>
      <c r="F1018" s="7"/>
      <c r="G1018" s="7"/>
      <c r="H1018" s="6"/>
      <c r="I1018" s="7"/>
      <c r="J1018" s="7"/>
      <c r="K1018" s="7"/>
      <c r="L1018" s="7"/>
      <c r="M1018" s="52"/>
      <c r="N1018" s="7"/>
      <c r="O1018" s="7"/>
      <c r="P1018" s="47"/>
      <c r="Q1018" s="47"/>
      <c r="R1018" s="7"/>
      <c r="S1018" s="51"/>
      <c r="T1018" s="51"/>
      <c r="U1018" s="7"/>
      <c r="V1018" s="57"/>
      <c r="W1018" s="57"/>
      <c r="X1018" s="57"/>
    </row>
    <row r="1019" spans="1:24" ht="12.5" x14ac:dyDescent="0.25">
      <c r="A1019" s="34"/>
      <c r="B1019" s="7"/>
      <c r="C1019" s="19"/>
      <c r="D1019" s="7"/>
      <c r="E1019" s="7"/>
      <c r="F1019" s="7"/>
      <c r="G1019" s="7"/>
      <c r="H1019" s="6"/>
      <c r="I1019" s="7"/>
      <c r="J1019" s="7"/>
      <c r="K1019" s="7"/>
      <c r="L1019" s="7"/>
      <c r="M1019" s="52"/>
      <c r="N1019" s="7"/>
      <c r="O1019" s="7"/>
      <c r="P1019" s="47"/>
      <c r="Q1019" s="47"/>
      <c r="R1019" s="7"/>
      <c r="S1019" s="51"/>
      <c r="T1019" s="51"/>
      <c r="U1019" s="7"/>
      <c r="V1019" s="57"/>
      <c r="W1019" s="57"/>
      <c r="X1019" s="57"/>
    </row>
    <row r="1020" spans="1:24" ht="12.5" x14ac:dyDescent="0.25">
      <c r="A1020" s="34"/>
      <c r="B1020" s="7"/>
      <c r="C1020" s="19"/>
      <c r="D1020" s="7"/>
      <c r="E1020" s="7"/>
      <c r="F1020" s="7"/>
      <c r="G1020" s="7"/>
      <c r="H1020" s="6"/>
      <c r="I1020" s="7"/>
      <c r="J1020" s="7"/>
      <c r="K1020" s="7"/>
      <c r="L1020" s="7"/>
      <c r="M1020" s="52"/>
      <c r="N1020" s="7"/>
      <c r="O1020" s="7"/>
      <c r="P1020" s="47"/>
      <c r="Q1020" s="47"/>
      <c r="R1020" s="7"/>
      <c r="S1020" s="51"/>
      <c r="T1020" s="51"/>
      <c r="U1020" s="7"/>
      <c r="V1020" s="57"/>
      <c r="W1020" s="57"/>
      <c r="X1020" s="57"/>
    </row>
    <row r="1021" spans="1:24" ht="12.5" x14ac:dyDescent="0.25">
      <c r="A1021" s="34"/>
      <c r="B1021" s="7"/>
      <c r="C1021" s="19"/>
      <c r="D1021" s="7"/>
      <c r="E1021" s="7"/>
      <c r="F1021" s="7"/>
      <c r="G1021" s="7"/>
      <c r="H1021" s="6"/>
      <c r="I1021" s="7"/>
      <c r="J1021" s="7"/>
      <c r="K1021" s="7"/>
      <c r="L1021" s="7"/>
      <c r="M1021" s="52"/>
      <c r="N1021" s="7"/>
      <c r="O1021" s="7"/>
      <c r="P1021" s="47"/>
      <c r="Q1021" s="47"/>
      <c r="R1021" s="7"/>
      <c r="S1021" s="51"/>
      <c r="T1021" s="51"/>
      <c r="U1021" s="7"/>
      <c r="V1021" s="57"/>
      <c r="W1021" s="57"/>
      <c r="X1021" s="57"/>
    </row>
    <row r="1022" spans="1:24" ht="12.5" x14ac:dyDescent="0.25">
      <c r="A1022" s="34"/>
      <c r="B1022" s="7"/>
      <c r="C1022" s="19"/>
      <c r="D1022" s="7"/>
      <c r="E1022" s="7"/>
      <c r="F1022" s="7"/>
      <c r="G1022" s="7"/>
      <c r="H1022" s="6"/>
      <c r="I1022" s="7"/>
      <c r="J1022" s="7"/>
      <c r="K1022" s="7"/>
      <c r="L1022" s="7"/>
      <c r="M1022" s="52"/>
      <c r="N1022" s="7"/>
      <c r="O1022" s="7"/>
      <c r="P1022" s="47"/>
      <c r="Q1022" s="47"/>
      <c r="R1022" s="7"/>
      <c r="S1022" s="51"/>
      <c r="T1022" s="51"/>
      <c r="U1022" s="7"/>
      <c r="V1022" s="57"/>
      <c r="W1022" s="57"/>
      <c r="X1022" s="57"/>
    </row>
    <row r="1023" spans="1:24" ht="12.5" x14ac:dyDescent="0.25">
      <c r="A1023" s="34"/>
      <c r="B1023" s="7"/>
      <c r="C1023" s="19"/>
      <c r="D1023" s="7"/>
      <c r="E1023" s="7"/>
      <c r="F1023" s="7"/>
      <c r="G1023" s="7"/>
      <c r="H1023" s="6"/>
      <c r="I1023" s="7"/>
      <c r="J1023" s="7"/>
      <c r="K1023" s="7"/>
      <c r="L1023" s="7"/>
      <c r="M1023" s="52"/>
      <c r="N1023" s="7"/>
      <c r="O1023" s="7"/>
      <c r="P1023" s="47"/>
      <c r="Q1023" s="47"/>
      <c r="R1023" s="7"/>
      <c r="S1023" s="51"/>
      <c r="T1023" s="51"/>
      <c r="U1023" s="7"/>
      <c r="V1023" s="57"/>
      <c r="W1023" s="57"/>
      <c r="X1023" s="57"/>
    </row>
    <row r="1024" spans="1:24" ht="12.5" x14ac:dyDescent="0.25">
      <c r="A1024" s="34"/>
      <c r="B1024" s="7"/>
      <c r="C1024" s="19"/>
      <c r="D1024" s="7"/>
      <c r="E1024" s="7"/>
      <c r="F1024" s="7"/>
      <c r="G1024" s="7"/>
      <c r="H1024" s="6"/>
      <c r="I1024" s="7"/>
      <c r="J1024" s="7"/>
      <c r="K1024" s="7"/>
      <c r="L1024" s="7"/>
      <c r="M1024" s="52"/>
      <c r="N1024" s="7"/>
      <c r="O1024" s="7"/>
      <c r="P1024" s="47"/>
      <c r="Q1024" s="47"/>
      <c r="R1024" s="7"/>
      <c r="S1024" s="51"/>
      <c r="T1024" s="51"/>
      <c r="U1024" s="7"/>
      <c r="V1024" s="57"/>
      <c r="W1024" s="57"/>
      <c r="X1024" s="57"/>
    </row>
    <row r="1025" spans="1:24" ht="12.5" x14ac:dyDescent="0.25">
      <c r="A1025" s="34"/>
      <c r="B1025" s="7"/>
      <c r="C1025" s="19"/>
      <c r="D1025" s="7"/>
      <c r="E1025" s="7"/>
      <c r="F1025" s="7"/>
      <c r="G1025" s="7"/>
      <c r="H1025" s="6"/>
      <c r="I1025" s="7"/>
      <c r="J1025" s="7"/>
      <c r="K1025" s="7"/>
      <c r="L1025" s="7"/>
      <c r="M1025" s="52"/>
      <c r="N1025" s="7"/>
      <c r="O1025" s="7"/>
      <c r="P1025" s="47"/>
      <c r="Q1025" s="47"/>
      <c r="R1025" s="7"/>
      <c r="S1025" s="51"/>
      <c r="T1025" s="51"/>
      <c r="U1025" s="7"/>
      <c r="V1025" s="57"/>
      <c r="W1025" s="57"/>
      <c r="X1025" s="57"/>
    </row>
    <row r="1026" spans="1:24" ht="12.5" x14ac:dyDescent="0.25">
      <c r="A1026" s="34"/>
      <c r="B1026" s="7"/>
      <c r="C1026" s="19"/>
      <c r="D1026" s="7"/>
      <c r="E1026" s="7"/>
      <c r="F1026" s="7"/>
      <c r="G1026" s="7"/>
      <c r="H1026" s="6"/>
      <c r="I1026" s="7"/>
      <c r="J1026" s="7"/>
      <c r="K1026" s="7"/>
      <c r="L1026" s="7"/>
      <c r="M1026" s="52"/>
      <c r="N1026" s="7"/>
      <c r="O1026" s="7"/>
      <c r="P1026" s="47"/>
      <c r="Q1026" s="47"/>
      <c r="R1026" s="7"/>
      <c r="S1026" s="51"/>
      <c r="T1026" s="51"/>
      <c r="U1026" s="7"/>
      <c r="V1026" s="57"/>
      <c r="W1026" s="57"/>
      <c r="X1026" s="57"/>
    </row>
    <row r="1027" spans="1:24" ht="12.5" x14ac:dyDescent="0.25">
      <c r="A1027" s="34"/>
      <c r="B1027" s="7"/>
      <c r="C1027" s="19"/>
      <c r="D1027" s="7"/>
      <c r="E1027" s="7"/>
      <c r="F1027" s="7"/>
      <c r="G1027" s="7"/>
      <c r="H1027" s="6"/>
      <c r="I1027" s="7"/>
      <c r="J1027" s="7"/>
      <c r="K1027" s="7"/>
      <c r="L1027" s="7"/>
      <c r="M1027" s="52"/>
      <c r="N1027" s="7"/>
      <c r="O1027" s="7"/>
      <c r="P1027" s="47"/>
      <c r="Q1027" s="47"/>
      <c r="R1027" s="7"/>
      <c r="S1027" s="51"/>
      <c r="T1027" s="51"/>
      <c r="U1027" s="7"/>
      <c r="V1027" s="57"/>
      <c r="W1027" s="57"/>
      <c r="X1027" s="57"/>
    </row>
    <row r="1028" spans="1:24" ht="12.5" x14ac:dyDescent="0.25">
      <c r="A1028" s="34"/>
      <c r="B1028" s="7"/>
      <c r="C1028" s="19"/>
      <c r="D1028" s="7"/>
      <c r="E1028" s="7"/>
      <c r="F1028" s="7"/>
      <c r="G1028" s="7"/>
      <c r="H1028" s="6"/>
      <c r="I1028" s="7"/>
      <c r="J1028" s="7"/>
      <c r="K1028" s="7"/>
      <c r="L1028" s="7"/>
      <c r="M1028" s="52"/>
      <c r="N1028" s="7"/>
      <c r="O1028" s="7"/>
      <c r="P1028" s="47"/>
      <c r="Q1028" s="47"/>
      <c r="R1028" s="7"/>
      <c r="S1028" s="51"/>
      <c r="T1028" s="51"/>
      <c r="U1028" s="7"/>
      <c r="V1028" s="57"/>
      <c r="W1028" s="57"/>
      <c r="X1028" s="57"/>
    </row>
    <row r="1029" spans="1:24" ht="12.5" x14ac:dyDescent="0.25">
      <c r="A1029" s="34"/>
      <c r="B1029" s="7"/>
      <c r="C1029" s="19"/>
      <c r="D1029" s="7"/>
      <c r="E1029" s="7"/>
      <c r="F1029" s="7"/>
      <c r="G1029" s="7"/>
      <c r="H1029" s="6"/>
      <c r="I1029" s="7"/>
      <c r="J1029" s="7"/>
      <c r="K1029" s="7"/>
      <c r="L1029" s="7"/>
      <c r="M1029" s="52"/>
      <c r="N1029" s="7"/>
      <c r="O1029" s="7"/>
      <c r="P1029" s="47"/>
      <c r="Q1029" s="47"/>
      <c r="R1029" s="7"/>
      <c r="S1029" s="51"/>
      <c r="T1029" s="51"/>
      <c r="U1029" s="7"/>
      <c r="V1029" s="57"/>
      <c r="W1029" s="57"/>
      <c r="X1029" s="5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</sheetPr>
  <dimension ref="A1:AT2248"/>
  <sheetViews>
    <sheetView tabSelected="1" workbookViewId="0">
      <pane ySplit="1" topLeftCell="A1537" activePane="bottomLeft" state="frozen"/>
      <selection pane="bottomLeft" activeCell="C1300" sqref="C1300"/>
    </sheetView>
  </sheetViews>
  <sheetFormatPr defaultColWidth="12.54296875" defaultRowHeight="15.75" customHeight="1" outlineLevelCol="1" x14ac:dyDescent="0.25"/>
  <cols>
    <col min="1" max="1" width="18.1796875" bestFit="1" customWidth="1"/>
    <col min="2" max="2" width="18.81640625" hidden="1" customWidth="1"/>
    <col min="3" max="3" width="18.81640625" customWidth="1"/>
    <col min="4" max="4" width="25.453125" customWidth="1"/>
    <col min="5" max="5" width="22.1796875" customWidth="1"/>
    <col min="6" max="6" width="23" customWidth="1"/>
    <col min="7" max="7" width="29.54296875" customWidth="1"/>
    <col min="8" max="8" width="27.26953125" customWidth="1"/>
    <col min="9" max="9" width="18.54296875" customWidth="1"/>
    <col min="10" max="10" width="24.7265625" customWidth="1"/>
    <col min="11" max="11" width="21.453125" customWidth="1"/>
    <col min="12" max="12" width="29" customWidth="1"/>
    <col min="13" max="13" width="20.26953125" customWidth="1" collapsed="1"/>
    <col min="14" max="16" width="9.1796875" hidden="1" customWidth="1" outlineLevel="1"/>
    <col min="17" max="17" width="6.453125" hidden="1" customWidth="1" outlineLevel="1"/>
    <col min="18" max="18" width="14.453125" hidden="1" customWidth="1" outlineLevel="1"/>
    <col min="19" max="20" width="6.81640625" hidden="1" customWidth="1" outlineLevel="1"/>
    <col min="21" max="21" width="10.81640625" hidden="1" customWidth="1" outlineLevel="1"/>
    <col min="22" max="22" width="8.453125" hidden="1" customWidth="1" outlineLevel="1"/>
    <col min="23" max="23" width="11.54296875" hidden="1" customWidth="1" outlineLevel="1"/>
    <col min="24" max="24" width="12.1796875" hidden="1" customWidth="1" outlineLevel="1"/>
    <col min="25" max="25" width="17.7265625" hidden="1" customWidth="1" outlineLevel="1"/>
    <col min="26" max="26" width="13.7265625" hidden="1" customWidth="1" outlineLevel="1"/>
    <col min="27" max="27" width="16.81640625" hidden="1" customWidth="1" outlineLevel="1"/>
    <col min="28" max="28" width="17.26953125" hidden="1" customWidth="1" outlineLevel="1"/>
    <col min="29" max="29" width="18.1796875" hidden="1" customWidth="1" outlineLevel="1"/>
    <col min="30" max="30" width="14.7265625" hidden="1" customWidth="1" outlineLevel="1"/>
    <col min="31" max="31" width="17.81640625" hidden="1" customWidth="1" outlineLevel="1"/>
    <col min="32" max="32" width="18.453125" hidden="1" customWidth="1" outlineLevel="1"/>
    <col min="33" max="33" width="12.453125" hidden="1" customWidth="1" outlineLevel="1"/>
    <col min="34" max="34" width="10.81640625" hidden="1" customWidth="1" outlineLevel="1"/>
    <col min="35" max="35" width="14" hidden="1" customWidth="1" outlineLevel="1"/>
    <col min="36" max="36" width="14.453125" hidden="1" customWidth="1" outlineLevel="1"/>
    <col min="37" max="45" width="15.26953125" hidden="1" customWidth="1" outlineLevel="1"/>
    <col min="46" max="46" width="19.26953125" customWidth="1"/>
  </cols>
  <sheetData>
    <row r="1" spans="1:46" ht="44.25" customHeight="1" x14ac:dyDescent="0.25">
      <c r="A1" s="67" t="s">
        <v>90</v>
      </c>
      <c r="B1" s="67" t="s">
        <v>0</v>
      </c>
      <c r="C1" s="67" t="s">
        <v>1554</v>
      </c>
      <c r="D1" s="68" t="s">
        <v>91</v>
      </c>
      <c r="E1" s="68" t="s">
        <v>92</v>
      </c>
      <c r="F1" s="68" t="s">
        <v>93</v>
      </c>
      <c r="G1" s="68" t="s">
        <v>94</v>
      </c>
      <c r="H1" s="68" t="s">
        <v>95</v>
      </c>
      <c r="I1" s="68" t="s">
        <v>96</v>
      </c>
      <c r="J1" s="68" t="s">
        <v>97</v>
      </c>
      <c r="K1" s="68" t="s">
        <v>98</v>
      </c>
      <c r="L1" s="68" t="s">
        <v>99</v>
      </c>
      <c r="M1" s="69" t="s">
        <v>100</v>
      </c>
      <c r="N1" s="69" t="s">
        <v>101</v>
      </c>
      <c r="O1" s="69" t="s">
        <v>85</v>
      </c>
      <c r="P1" s="70" t="s">
        <v>102</v>
      </c>
      <c r="Q1" s="69" t="s">
        <v>30</v>
      </c>
      <c r="R1" s="69" t="s">
        <v>103</v>
      </c>
      <c r="S1" s="69" t="s">
        <v>104</v>
      </c>
      <c r="T1" s="69" t="s">
        <v>1</v>
      </c>
      <c r="U1" s="69" t="s">
        <v>2</v>
      </c>
      <c r="V1" s="71" t="s">
        <v>105</v>
      </c>
      <c r="W1" s="71" t="s">
        <v>106</v>
      </c>
      <c r="X1" s="72" t="s">
        <v>107</v>
      </c>
      <c r="Y1" s="72" t="s">
        <v>108</v>
      </c>
      <c r="Z1" s="71" t="s">
        <v>109</v>
      </c>
      <c r="AA1" s="71" t="s">
        <v>110</v>
      </c>
      <c r="AB1" s="72" t="s">
        <v>111</v>
      </c>
      <c r="AC1" s="72" t="s">
        <v>112</v>
      </c>
      <c r="AD1" s="71" t="s">
        <v>113</v>
      </c>
      <c r="AE1" s="71" t="s">
        <v>114</v>
      </c>
      <c r="AF1" s="72" t="s">
        <v>115</v>
      </c>
      <c r="AG1" s="72" t="s">
        <v>116</v>
      </c>
      <c r="AH1" s="71" t="s">
        <v>117</v>
      </c>
      <c r="AI1" s="71" t="s">
        <v>118</v>
      </c>
      <c r="AJ1" s="72" t="s">
        <v>119</v>
      </c>
      <c r="AK1" s="72" t="s">
        <v>120</v>
      </c>
      <c r="AL1" s="73" t="s">
        <v>121</v>
      </c>
      <c r="AM1" s="73" t="s">
        <v>122</v>
      </c>
      <c r="AN1" s="73" t="s">
        <v>123</v>
      </c>
      <c r="AO1" s="73" t="s">
        <v>124</v>
      </c>
      <c r="AP1" s="73" t="s">
        <v>125</v>
      </c>
      <c r="AQ1" s="73" t="s">
        <v>126</v>
      </c>
      <c r="AR1" s="73" t="s">
        <v>127</v>
      </c>
      <c r="AS1" s="73" t="s">
        <v>128</v>
      </c>
      <c r="AT1" s="74" t="s">
        <v>32</v>
      </c>
    </row>
    <row r="2" spans="1:46" ht="12.5" x14ac:dyDescent="0.25">
      <c r="A2" s="75">
        <v>44780.882739884255</v>
      </c>
      <c r="B2" s="1" t="s">
        <v>129</v>
      </c>
      <c r="C2" s="1" t="str">
        <f>INDEX(TBL_Name,MATCH(Table2[[#This Row],[Athlete Name]],listNames,0),2)</f>
        <v>Athlete 19</v>
      </c>
      <c r="D2" s="1" t="s">
        <v>130</v>
      </c>
      <c r="E2" s="1">
        <v>6</v>
      </c>
      <c r="F2" s="1">
        <v>6</v>
      </c>
      <c r="G2" s="1">
        <v>8</v>
      </c>
      <c r="H2" s="1" t="s">
        <v>131</v>
      </c>
      <c r="I2" s="1">
        <v>7</v>
      </c>
      <c r="J2" s="1"/>
      <c r="K2" s="1"/>
      <c r="L2" s="1"/>
      <c r="M2" s="1" t="s">
        <v>132</v>
      </c>
      <c r="N2" s="1">
        <v>33</v>
      </c>
      <c r="O2" s="1">
        <v>1</v>
      </c>
      <c r="P2" s="13">
        <v>44780</v>
      </c>
      <c r="Q2" s="1" t="s">
        <v>133</v>
      </c>
      <c r="R2" s="1" t="s">
        <v>64</v>
      </c>
      <c r="S2" s="1">
        <v>1</v>
      </c>
      <c r="T2" s="1"/>
      <c r="U2" s="1" t="s">
        <v>18</v>
      </c>
      <c r="V2" s="76">
        <v>6</v>
      </c>
      <c r="W2" s="76">
        <v>0</v>
      </c>
      <c r="X2" s="77">
        <v>0</v>
      </c>
      <c r="Y2" s="77">
        <v>3</v>
      </c>
      <c r="Z2" s="76">
        <v>6</v>
      </c>
      <c r="AA2" s="76">
        <v>0</v>
      </c>
      <c r="AB2" s="77">
        <v>0</v>
      </c>
      <c r="AC2" s="77">
        <v>3</v>
      </c>
      <c r="AD2" s="76">
        <v>8</v>
      </c>
      <c r="AE2" s="76">
        <v>0</v>
      </c>
      <c r="AF2" s="77">
        <v>0</v>
      </c>
      <c r="AG2" s="77">
        <v>3</v>
      </c>
      <c r="AH2" s="76">
        <v>7</v>
      </c>
      <c r="AI2" s="76">
        <v>0</v>
      </c>
      <c r="AJ2" s="77">
        <v>0</v>
      </c>
      <c r="AK2" s="77">
        <v>3</v>
      </c>
      <c r="AL2" s="76"/>
      <c r="AM2" s="76"/>
      <c r="AN2" s="77"/>
      <c r="AO2" s="77"/>
      <c r="AP2" s="76"/>
      <c r="AQ2" s="76"/>
      <c r="AR2" s="77"/>
      <c r="AS2" s="77"/>
      <c r="AT2" s="78">
        <v>0.75</v>
      </c>
    </row>
    <row r="3" spans="1:46" ht="12.5" x14ac:dyDescent="0.25">
      <c r="A3" s="75">
        <v>44780.90623980324</v>
      </c>
      <c r="B3" s="1" t="s">
        <v>19</v>
      </c>
      <c r="C3" s="1" t="str">
        <f>INDEX(TBL_Name,MATCH(Table2[[#This Row],[Athlete Name]],listNames,0),2)</f>
        <v>Athlete 11</v>
      </c>
      <c r="D3" s="1" t="s">
        <v>130</v>
      </c>
      <c r="E3" s="1">
        <v>6</v>
      </c>
      <c r="F3" s="1">
        <v>6</v>
      </c>
      <c r="G3" s="1">
        <v>6</v>
      </c>
      <c r="H3" s="1" t="s">
        <v>134</v>
      </c>
      <c r="I3" s="1">
        <v>3</v>
      </c>
      <c r="J3" s="1"/>
      <c r="K3" s="1"/>
      <c r="L3" s="1"/>
      <c r="M3" s="1" t="s">
        <v>135</v>
      </c>
      <c r="N3" s="1">
        <v>33</v>
      </c>
      <c r="O3" s="1">
        <v>1</v>
      </c>
      <c r="P3" s="13">
        <v>44780</v>
      </c>
      <c r="Q3" s="1" t="s">
        <v>133</v>
      </c>
      <c r="R3" s="1" t="s">
        <v>64</v>
      </c>
      <c r="S3" s="1">
        <v>1</v>
      </c>
      <c r="T3" s="1"/>
      <c r="U3" s="1" t="s">
        <v>18</v>
      </c>
      <c r="V3" s="76">
        <v>6</v>
      </c>
      <c r="W3" s="76">
        <v>0</v>
      </c>
      <c r="X3" s="77">
        <v>0</v>
      </c>
      <c r="Y3" s="77">
        <v>3</v>
      </c>
      <c r="Z3" s="76">
        <v>6</v>
      </c>
      <c r="AA3" s="76">
        <v>0</v>
      </c>
      <c r="AB3" s="77">
        <v>0</v>
      </c>
      <c r="AC3" s="77">
        <v>3</v>
      </c>
      <c r="AD3" s="76">
        <v>6</v>
      </c>
      <c r="AE3" s="76">
        <v>0</v>
      </c>
      <c r="AF3" s="77">
        <v>0</v>
      </c>
      <c r="AG3" s="77">
        <v>3</v>
      </c>
      <c r="AH3" s="76">
        <v>3</v>
      </c>
      <c r="AI3" s="76">
        <v>0</v>
      </c>
      <c r="AJ3" s="77">
        <v>0</v>
      </c>
      <c r="AK3" s="77">
        <v>3</v>
      </c>
      <c r="AL3" s="76"/>
      <c r="AM3" s="76"/>
      <c r="AN3" s="77"/>
      <c r="AO3" s="77"/>
      <c r="AP3" s="76"/>
      <c r="AQ3" s="76"/>
      <c r="AR3" s="77"/>
      <c r="AS3" s="77"/>
      <c r="AT3" s="78">
        <v>0.75</v>
      </c>
    </row>
    <row r="4" spans="1:46" ht="12.5" x14ac:dyDescent="0.25">
      <c r="A4" s="75">
        <v>44781.375197361107</v>
      </c>
      <c r="B4" s="1" t="s">
        <v>136</v>
      </c>
      <c r="C4" s="1" t="str">
        <f>INDEX(TBL_Name,MATCH(Table2[[#This Row],[Athlete Name]],listNames,0),2)</f>
        <v>Athlete 20</v>
      </c>
      <c r="D4" s="1" t="s">
        <v>130</v>
      </c>
      <c r="E4" s="1">
        <v>9</v>
      </c>
      <c r="F4" s="1">
        <v>5</v>
      </c>
      <c r="G4" s="1">
        <v>8</v>
      </c>
      <c r="H4" s="1" t="s">
        <v>137</v>
      </c>
      <c r="I4" s="1">
        <v>3</v>
      </c>
      <c r="J4" s="1"/>
      <c r="K4" s="1"/>
      <c r="L4" s="1"/>
      <c r="M4" s="1" t="s">
        <v>138</v>
      </c>
      <c r="N4" s="1">
        <v>33</v>
      </c>
      <c r="O4" s="1">
        <v>1</v>
      </c>
      <c r="P4" s="13">
        <v>44781</v>
      </c>
      <c r="Q4" s="1" t="s">
        <v>133</v>
      </c>
      <c r="R4" s="1" t="s">
        <v>64</v>
      </c>
      <c r="S4" s="1">
        <v>1</v>
      </c>
      <c r="T4" s="1"/>
      <c r="U4" s="1" t="s">
        <v>18</v>
      </c>
      <c r="V4" s="76">
        <v>9</v>
      </c>
      <c r="W4" s="76">
        <v>0</v>
      </c>
      <c r="X4" s="77">
        <v>0</v>
      </c>
      <c r="Y4" s="77">
        <v>3</v>
      </c>
      <c r="Z4" s="76">
        <v>5</v>
      </c>
      <c r="AA4" s="76">
        <v>0</v>
      </c>
      <c r="AB4" s="77">
        <v>0</v>
      </c>
      <c r="AC4" s="77">
        <v>3</v>
      </c>
      <c r="AD4" s="76">
        <v>8</v>
      </c>
      <c r="AE4" s="76">
        <v>0</v>
      </c>
      <c r="AF4" s="77">
        <v>0</v>
      </c>
      <c r="AG4" s="77">
        <v>3</v>
      </c>
      <c r="AH4" s="76">
        <v>3</v>
      </c>
      <c r="AI4" s="76">
        <v>0</v>
      </c>
      <c r="AJ4" s="77">
        <v>0</v>
      </c>
      <c r="AK4" s="77">
        <v>3</v>
      </c>
      <c r="AL4" s="76"/>
      <c r="AM4" s="76"/>
      <c r="AN4" s="77"/>
      <c r="AO4" s="77"/>
      <c r="AP4" s="76"/>
      <c r="AQ4" s="76"/>
      <c r="AR4" s="77"/>
      <c r="AS4" s="77"/>
      <c r="AT4" s="78">
        <v>0.75</v>
      </c>
    </row>
    <row r="5" spans="1:46" ht="12.5" x14ac:dyDescent="0.25">
      <c r="A5" s="75">
        <v>44781.390169560182</v>
      </c>
      <c r="B5" s="1" t="s">
        <v>13</v>
      </c>
      <c r="C5" s="1" t="str">
        <f>INDEX(TBL_Name,MATCH(Table2[[#This Row],[Athlete Name]],listNames,0),2)</f>
        <v>Athlete 7</v>
      </c>
      <c r="D5" s="1" t="s">
        <v>130</v>
      </c>
      <c r="E5" s="1">
        <v>5</v>
      </c>
      <c r="F5" s="1">
        <v>7</v>
      </c>
      <c r="G5" s="1">
        <v>8</v>
      </c>
      <c r="H5" s="1" t="s">
        <v>139</v>
      </c>
      <c r="I5" s="1">
        <v>3</v>
      </c>
      <c r="J5" s="1"/>
      <c r="K5" s="1"/>
      <c r="L5" s="1"/>
      <c r="M5" s="1" t="s">
        <v>140</v>
      </c>
      <c r="N5" s="1">
        <v>33</v>
      </c>
      <c r="O5" s="1">
        <v>1</v>
      </c>
      <c r="P5" s="13">
        <v>44781</v>
      </c>
      <c r="Q5" s="1" t="s">
        <v>133</v>
      </c>
      <c r="R5" s="1" t="s">
        <v>64</v>
      </c>
      <c r="S5" s="1">
        <v>1</v>
      </c>
      <c r="T5" s="1"/>
      <c r="U5" s="1" t="s">
        <v>14</v>
      </c>
      <c r="V5" s="76">
        <v>5</v>
      </c>
      <c r="W5" s="76">
        <v>0</v>
      </c>
      <c r="X5" s="77">
        <v>0</v>
      </c>
      <c r="Y5" s="77">
        <v>3</v>
      </c>
      <c r="Z5" s="76">
        <v>7</v>
      </c>
      <c r="AA5" s="76">
        <v>0</v>
      </c>
      <c r="AB5" s="77">
        <v>0</v>
      </c>
      <c r="AC5" s="77">
        <v>3</v>
      </c>
      <c r="AD5" s="76">
        <v>8</v>
      </c>
      <c r="AE5" s="76">
        <v>0</v>
      </c>
      <c r="AF5" s="77">
        <v>0</v>
      </c>
      <c r="AG5" s="77">
        <v>3</v>
      </c>
      <c r="AH5" s="76">
        <v>3</v>
      </c>
      <c r="AI5" s="76">
        <v>0</v>
      </c>
      <c r="AJ5" s="77">
        <v>0</v>
      </c>
      <c r="AK5" s="77">
        <v>3</v>
      </c>
      <c r="AL5" s="76"/>
      <c r="AM5" s="76"/>
      <c r="AN5" s="77"/>
      <c r="AO5" s="77"/>
      <c r="AP5" s="76"/>
      <c r="AQ5" s="76"/>
      <c r="AR5" s="77"/>
      <c r="AS5" s="77"/>
      <c r="AT5" s="78">
        <v>0.75</v>
      </c>
    </row>
    <row r="6" spans="1:46" ht="12.5" x14ac:dyDescent="0.25">
      <c r="A6" s="75">
        <v>44781.396650613431</v>
      </c>
      <c r="B6" s="1" t="s">
        <v>129</v>
      </c>
      <c r="C6" s="1" t="str">
        <f>INDEX(TBL_Name,MATCH(Table2[[#This Row],[Athlete Name]],listNames,0),2)</f>
        <v>Athlete 19</v>
      </c>
      <c r="D6" s="1" t="s">
        <v>130</v>
      </c>
      <c r="E6" s="1">
        <v>7</v>
      </c>
      <c r="F6" s="1">
        <v>8</v>
      </c>
      <c r="G6" s="1">
        <v>8</v>
      </c>
      <c r="H6" s="1" t="s">
        <v>131</v>
      </c>
      <c r="I6" s="1">
        <v>6</v>
      </c>
      <c r="J6" s="1"/>
      <c r="K6" s="1"/>
      <c r="L6" s="1"/>
      <c r="M6" s="1" t="s">
        <v>141</v>
      </c>
      <c r="N6" s="1">
        <v>33</v>
      </c>
      <c r="O6" s="1">
        <v>1</v>
      </c>
      <c r="P6" s="13">
        <v>44781</v>
      </c>
      <c r="Q6" s="1" t="s">
        <v>133</v>
      </c>
      <c r="R6" s="1" t="s">
        <v>64</v>
      </c>
      <c r="S6" s="1">
        <v>1</v>
      </c>
      <c r="T6" s="1"/>
      <c r="U6" s="1" t="s">
        <v>18</v>
      </c>
      <c r="V6" s="76">
        <v>6.5</v>
      </c>
      <c r="W6" s="76">
        <v>0.5</v>
      </c>
      <c r="X6" s="77">
        <v>1</v>
      </c>
      <c r="Y6" s="77">
        <v>4</v>
      </c>
      <c r="Z6" s="76">
        <v>7</v>
      </c>
      <c r="AA6" s="76">
        <v>1</v>
      </c>
      <c r="AB6" s="77">
        <v>1</v>
      </c>
      <c r="AC6" s="77">
        <v>4</v>
      </c>
      <c r="AD6" s="76">
        <v>8</v>
      </c>
      <c r="AE6" s="76">
        <v>0</v>
      </c>
      <c r="AF6" s="77">
        <v>0</v>
      </c>
      <c r="AG6" s="77">
        <v>3</v>
      </c>
      <c r="AH6" s="76">
        <v>6.5</v>
      </c>
      <c r="AI6" s="76">
        <v>0.5</v>
      </c>
      <c r="AJ6" s="77">
        <v>-1</v>
      </c>
      <c r="AK6" s="77">
        <v>1</v>
      </c>
      <c r="AL6" s="76"/>
      <c r="AM6" s="76"/>
      <c r="AN6" s="77"/>
      <c r="AO6" s="77"/>
      <c r="AP6" s="76"/>
      <c r="AQ6" s="76"/>
      <c r="AR6" s="77"/>
      <c r="AS6" s="77"/>
      <c r="AT6" s="78">
        <v>0.8125</v>
      </c>
    </row>
    <row r="7" spans="1:46" ht="12.5" x14ac:dyDescent="0.25">
      <c r="A7" s="75">
        <v>44781.396688680557</v>
      </c>
      <c r="B7" s="1" t="s">
        <v>142</v>
      </c>
      <c r="C7" s="1" t="str">
        <f>INDEX(TBL_Name,MATCH(Table2[[#This Row],[Athlete Name]],listNames,0),2)</f>
        <v>Athlete 21</v>
      </c>
      <c r="D7" s="1" t="s">
        <v>143</v>
      </c>
      <c r="E7" s="1">
        <v>7</v>
      </c>
      <c r="F7" s="1">
        <v>8</v>
      </c>
      <c r="G7" s="1">
        <v>9</v>
      </c>
      <c r="H7" s="1" t="s">
        <v>144</v>
      </c>
      <c r="I7" s="1">
        <v>7</v>
      </c>
      <c r="J7" s="1"/>
      <c r="K7" s="1"/>
      <c r="L7" s="1"/>
      <c r="M7" s="1" t="s">
        <v>145</v>
      </c>
      <c r="N7" s="1">
        <v>33</v>
      </c>
      <c r="O7" s="1">
        <v>1</v>
      </c>
      <c r="P7" s="13">
        <v>44781</v>
      </c>
      <c r="Q7" s="1" t="s">
        <v>133</v>
      </c>
      <c r="R7" s="1" t="s">
        <v>64</v>
      </c>
      <c r="S7" s="1">
        <v>2</v>
      </c>
      <c r="T7" s="1"/>
      <c r="U7" s="1" t="s">
        <v>18</v>
      </c>
      <c r="V7" s="76">
        <v>7</v>
      </c>
      <c r="W7" s="76">
        <v>0</v>
      </c>
      <c r="X7" s="77">
        <v>0</v>
      </c>
      <c r="Y7" s="77">
        <v>3</v>
      </c>
      <c r="Z7" s="76">
        <v>8</v>
      </c>
      <c r="AA7" s="76">
        <v>0</v>
      </c>
      <c r="AB7" s="77">
        <v>0</v>
      </c>
      <c r="AC7" s="77">
        <v>3</v>
      </c>
      <c r="AD7" s="76">
        <v>9</v>
      </c>
      <c r="AE7" s="76">
        <v>0</v>
      </c>
      <c r="AF7" s="77">
        <v>0</v>
      </c>
      <c r="AG7" s="77">
        <v>3</v>
      </c>
      <c r="AH7" s="76">
        <v>7</v>
      </c>
      <c r="AI7" s="76">
        <v>0</v>
      </c>
      <c r="AJ7" s="77">
        <v>0</v>
      </c>
      <c r="AK7" s="77">
        <v>3</v>
      </c>
      <c r="AL7" s="76"/>
      <c r="AM7" s="76"/>
      <c r="AN7" s="77"/>
      <c r="AO7" s="77"/>
      <c r="AP7" s="76"/>
      <c r="AQ7" s="76"/>
      <c r="AR7" s="77"/>
      <c r="AS7" s="77"/>
      <c r="AT7" s="78">
        <v>0.75</v>
      </c>
    </row>
    <row r="8" spans="1:46" ht="12.5" x14ac:dyDescent="0.25">
      <c r="A8" s="75">
        <v>44781.396729004628</v>
      </c>
      <c r="B8" s="1" t="s">
        <v>10</v>
      </c>
      <c r="C8" s="1" t="str">
        <f>INDEX(TBL_Name,MATCH(Table2[[#This Row],[Athlete Name]],listNames,0),2)</f>
        <v>Athlete 5</v>
      </c>
      <c r="D8" s="1" t="s">
        <v>130</v>
      </c>
      <c r="E8" s="1">
        <v>6</v>
      </c>
      <c r="F8" s="1">
        <v>8</v>
      </c>
      <c r="G8" s="1">
        <v>8</v>
      </c>
      <c r="H8" s="1" t="s">
        <v>134</v>
      </c>
      <c r="I8" s="1">
        <v>8</v>
      </c>
      <c r="J8" s="1"/>
      <c r="K8" s="1"/>
      <c r="L8" s="1"/>
      <c r="M8" s="1" t="s">
        <v>146</v>
      </c>
      <c r="N8" s="1">
        <v>33</v>
      </c>
      <c r="O8" s="1">
        <v>1</v>
      </c>
      <c r="P8" s="13">
        <v>44781</v>
      </c>
      <c r="Q8" s="1" t="s">
        <v>133</v>
      </c>
      <c r="R8" s="1" t="s">
        <v>64</v>
      </c>
      <c r="S8" s="1">
        <v>1</v>
      </c>
      <c r="T8" s="1"/>
      <c r="U8" s="1" t="s">
        <v>11</v>
      </c>
      <c r="V8" s="76">
        <v>6</v>
      </c>
      <c r="W8" s="76">
        <v>0</v>
      </c>
      <c r="X8" s="77">
        <v>0</v>
      </c>
      <c r="Y8" s="77">
        <v>3</v>
      </c>
      <c r="Z8" s="76">
        <v>8</v>
      </c>
      <c r="AA8" s="76">
        <v>0</v>
      </c>
      <c r="AB8" s="77">
        <v>0</v>
      </c>
      <c r="AC8" s="77">
        <v>3</v>
      </c>
      <c r="AD8" s="76">
        <v>8</v>
      </c>
      <c r="AE8" s="76">
        <v>0</v>
      </c>
      <c r="AF8" s="77">
        <v>0</v>
      </c>
      <c r="AG8" s="77">
        <v>3</v>
      </c>
      <c r="AH8" s="76">
        <v>8</v>
      </c>
      <c r="AI8" s="76">
        <v>0</v>
      </c>
      <c r="AJ8" s="77">
        <v>0</v>
      </c>
      <c r="AK8" s="77">
        <v>3</v>
      </c>
      <c r="AL8" s="76"/>
      <c r="AM8" s="76"/>
      <c r="AN8" s="77"/>
      <c r="AO8" s="77"/>
      <c r="AP8" s="76"/>
      <c r="AQ8" s="76"/>
      <c r="AR8" s="77"/>
      <c r="AS8" s="77"/>
      <c r="AT8" s="78">
        <v>0.75</v>
      </c>
    </row>
    <row r="9" spans="1:46" ht="12.5" x14ac:dyDescent="0.25">
      <c r="A9" s="75">
        <v>44781.39673375</v>
      </c>
      <c r="B9" s="1" t="s">
        <v>17</v>
      </c>
      <c r="C9" s="1" t="str">
        <f>INDEX(TBL_Name,MATCH(Table2[[#This Row],[Athlete Name]],listNames,0),2)</f>
        <v>Athlete 10</v>
      </c>
      <c r="D9" s="1" t="s">
        <v>143</v>
      </c>
      <c r="E9" s="1">
        <v>8</v>
      </c>
      <c r="F9" s="1">
        <v>6</v>
      </c>
      <c r="G9" s="1">
        <v>7</v>
      </c>
      <c r="H9" s="1" t="s">
        <v>71</v>
      </c>
      <c r="I9" s="1">
        <v>6</v>
      </c>
      <c r="J9" s="1"/>
      <c r="K9" s="1"/>
      <c r="L9" s="1"/>
      <c r="M9" s="1" t="s">
        <v>147</v>
      </c>
      <c r="N9" s="1">
        <v>33</v>
      </c>
      <c r="O9" s="1">
        <v>1</v>
      </c>
      <c r="P9" s="13">
        <v>44781</v>
      </c>
      <c r="Q9" s="1" t="s">
        <v>133</v>
      </c>
      <c r="R9" s="1" t="s">
        <v>64</v>
      </c>
      <c r="S9" s="1">
        <v>2</v>
      </c>
      <c r="T9" s="1"/>
      <c r="U9" s="1" t="s">
        <v>18</v>
      </c>
      <c r="V9" s="76">
        <v>8</v>
      </c>
      <c r="W9" s="76">
        <v>0</v>
      </c>
      <c r="X9" s="77">
        <v>0</v>
      </c>
      <c r="Y9" s="77">
        <v>3</v>
      </c>
      <c r="Z9" s="76">
        <v>6</v>
      </c>
      <c r="AA9" s="76">
        <v>0</v>
      </c>
      <c r="AB9" s="77">
        <v>0</v>
      </c>
      <c r="AC9" s="77">
        <v>3</v>
      </c>
      <c r="AD9" s="76">
        <v>7</v>
      </c>
      <c r="AE9" s="76">
        <v>0</v>
      </c>
      <c r="AF9" s="77">
        <v>0</v>
      </c>
      <c r="AG9" s="77">
        <v>3</v>
      </c>
      <c r="AH9" s="76">
        <v>6</v>
      </c>
      <c r="AI9" s="76">
        <v>0</v>
      </c>
      <c r="AJ9" s="77">
        <v>0</v>
      </c>
      <c r="AK9" s="77">
        <v>3</v>
      </c>
      <c r="AL9" s="76"/>
      <c r="AM9" s="76"/>
      <c r="AN9" s="77"/>
      <c r="AO9" s="77"/>
      <c r="AP9" s="76"/>
      <c r="AQ9" s="76"/>
      <c r="AR9" s="77"/>
      <c r="AS9" s="77"/>
      <c r="AT9" s="78">
        <v>0.75</v>
      </c>
    </row>
    <row r="10" spans="1:46" ht="12.5" x14ac:dyDescent="0.25">
      <c r="A10" s="75">
        <v>44781.396910115742</v>
      </c>
      <c r="B10" s="1" t="s">
        <v>148</v>
      </c>
      <c r="C10" s="1" t="str">
        <f>INDEX(TBL_Name,MATCH(Table2[[#This Row],[Athlete Name]],listNames,0),2)</f>
        <v>Athlete 22</v>
      </c>
      <c r="D10" s="1" t="s">
        <v>130</v>
      </c>
      <c r="E10" s="1">
        <v>10</v>
      </c>
      <c r="F10" s="1">
        <v>6</v>
      </c>
      <c r="G10" s="1">
        <v>8</v>
      </c>
      <c r="H10" s="1" t="s">
        <v>70</v>
      </c>
      <c r="I10" s="1">
        <v>7</v>
      </c>
      <c r="J10" s="1"/>
      <c r="K10" s="1"/>
      <c r="L10" s="1"/>
      <c r="M10" s="1" t="s">
        <v>149</v>
      </c>
      <c r="N10" s="1">
        <v>33</v>
      </c>
      <c r="O10" s="1">
        <v>1</v>
      </c>
      <c r="P10" s="13">
        <v>44781</v>
      </c>
      <c r="Q10" s="1" t="s">
        <v>133</v>
      </c>
      <c r="R10" s="1" t="s">
        <v>64</v>
      </c>
      <c r="S10" s="1">
        <v>1</v>
      </c>
      <c r="T10" s="1"/>
      <c r="U10" s="1" t="s">
        <v>11</v>
      </c>
      <c r="V10" s="76">
        <v>10</v>
      </c>
      <c r="W10" s="76">
        <v>0</v>
      </c>
      <c r="X10" s="77">
        <v>0</v>
      </c>
      <c r="Y10" s="77">
        <v>3</v>
      </c>
      <c r="Z10" s="76">
        <v>6</v>
      </c>
      <c r="AA10" s="76">
        <v>0</v>
      </c>
      <c r="AB10" s="77">
        <v>0</v>
      </c>
      <c r="AC10" s="77">
        <v>3</v>
      </c>
      <c r="AD10" s="76">
        <v>8</v>
      </c>
      <c r="AE10" s="76">
        <v>0</v>
      </c>
      <c r="AF10" s="77">
        <v>0</v>
      </c>
      <c r="AG10" s="77">
        <v>3</v>
      </c>
      <c r="AH10" s="76">
        <v>7</v>
      </c>
      <c r="AI10" s="76">
        <v>0</v>
      </c>
      <c r="AJ10" s="77">
        <v>0</v>
      </c>
      <c r="AK10" s="77">
        <v>3</v>
      </c>
      <c r="AL10" s="76"/>
      <c r="AM10" s="76"/>
      <c r="AN10" s="77"/>
      <c r="AO10" s="77"/>
      <c r="AP10" s="76"/>
      <c r="AQ10" s="76"/>
      <c r="AR10" s="77"/>
      <c r="AS10" s="77"/>
      <c r="AT10" s="78">
        <v>0.75</v>
      </c>
    </row>
    <row r="11" spans="1:46" ht="12.5" x14ac:dyDescent="0.25">
      <c r="A11" s="75">
        <v>44781.397048055558</v>
      </c>
      <c r="B11" s="1" t="s">
        <v>27</v>
      </c>
      <c r="C11" s="1" t="str">
        <f>INDEX(TBL_Name,MATCH(Table2[[#This Row],[Athlete Name]],listNames,0),2)</f>
        <v>Athlete 17</v>
      </c>
      <c r="D11" s="1" t="s">
        <v>150</v>
      </c>
      <c r="E11" s="1">
        <v>6</v>
      </c>
      <c r="F11" s="1">
        <v>6</v>
      </c>
      <c r="G11" s="1">
        <v>7</v>
      </c>
      <c r="H11" s="1" t="s">
        <v>151</v>
      </c>
      <c r="I11" s="1">
        <v>6</v>
      </c>
      <c r="J11" s="1"/>
      <c r="K11" s="1"/>
      <c r="L11" s="1"/>
      <c r="M11" s="1" t="s">
        <v>152</v>
      </c>
      <c r="N11" s="1">
        <v>33</v>
      </c>
      <c r="O11" s="1">
        <v>1</v>
      </c>
      <c r="P11" s="13">
        <v>44781</v>
      </c>
      <c r="Q11" s="1" t="s">
        <v>133</v>
      </c>
      <c r="R11" s="1" t="s">
        <v>64</v>
      </c>
      <c r="S11" s="1">
        <v>3</v>
      </c>
      <c r="T11" s="1"/>
      <c r="U11" s="1" t="s">
        <v>28</v>
      </c>
      <c r="V11" s="76">
        <v>6</v>
      </c>
      <c r="W11" s="76">
        <v>0</v>
      </c>
      <c r="X11" s="77">
        <v>0</v>
      </c>
      <c r="Y11" s="77">
        <v>3</v>
      </c>
      <c r="Z11" s="76">
        <v>6</v>
      </c>
      <c r="AA11" s="76">
        <v>0</v>
      </c>
      <c r="AB11" s="77">
        <v>0</v>
      </c>
      <c r="AC11" s="77">
        <v>3</v>
      </c>
      <c r="AD11" s="76">
        <v>7</v>
      </c>
      <c r="AE11" s="76">
        <v>0</v>
      </c>
      <c r="AF11" s="77">
        <v>0</v>
      </c>
      <c r="AG11" s="77">
        <v>3</v>
      </c>
      <c r="AH11" s="76">
        <v>6</v>
      </c>
      <c r="AI11" s="76">
        <v>0</v>
      </c>
      <c r="AJ11" s="77">
        <v>0</v>
      </c>
      <c r="AK11" s="77">
        <v>3</v>
      </c>
      <c r="AL11" s="76"/>
      <c r="AM11" s="76"/>
      <c r="AN11" s="77"/>
      <c r="AO11" s="77"/>
      <c r="AP11" s="76"/>
      <c r="AQ11" s="76"/>
      <c r="AR11" s="77"/>
      <c r="AS11" s="77"/>
      <c r="AT11" s="78">
        <v>0.75</v>
      </c>
    </row>
    <row r="12" spans="1:46" ht="12.5" x14ac:dyDescent="0.25">
      <c r="A12" s="75">
        <v>44781.397468460651</v>
      </c>
      <c r="B12" s="1" t="s">
        <v>25</v>
      </c>
      <c r="C12" s="1" t="str">
        <f>INDEX(TBL_Name,MATCH(Table2[[#This Row],[Athlete Name]],listNames,0),2)</f>
        <v>Athlete 23</v>
      </c>
      <c r="D12" s="1" t="s">
        <v>150</v>
      </c>
      <c r="E12" s="1">
        <v>6</v>
      </c>
      <c r="F12" s="1">
        <v>8</v>
      </c>
      <c r="G12" s="1">
        <v>8</v>
      </c>
      <c r="H12" s="1"/>
      <c r="I12" s="1">
        <v>2</v>
      </c>
      <c r="J12" s="1"/>
      <c r="K12" s="1"/>
      <c r="L12" s="1"/>
      <c r="M12" s="1" t="s">
        <v>153</v>
      </c>
      <c r="N12" s="1">
        <v>33</v>
      </c>
      <c r="O12" s="1">
        <v>1</v>
      </c>
      <c r="P12" s="13">
        <v>44781</v>
      </c>
      <c r="Q12" s="1" t="s">
        <v>133</v>
      </c>
      <c r="R12" s="1" t="s">
        <v>64</v>
      </c>
      <c r="S12" s="1">
        <v>3</v>
      </c>
      <c r="T12" s="1"/>
      <c r="U12" s="1" t="s">
        <v>26</v>
      </c>
      <c r="V12" s="76">
        <v>6</v>
      </c>
      <c r="W12" s="76">
        <v>0</v>
      </c>
      <c r="X12" s="77">
        <v>0</v>
      </c>
      <c r="Y12" s="77">
        <v>3</v>
      </c>
      <c r="Z12" s="76">
        <v>8</v>
      </c>
      <c r="AA12" s="76">
        <v>0</v>
      </c>
      <c r="AB12" s="77">
        <v>0</v>
      </c>
      <c r="AC12" s="77">
        <v>3</v>
      </c>
      <c r="AD12" s="76">
        <v>8</v>
      </c>
      <c r="AE12" s="76">
        <v>0</v>
      </c>
      <c r="AF12" s="77">
        <v>0</v>
      </c>
      <c r="AG12" s="77">
        <v>3</v>
      </c>
      <c r="AH12" s="76">
        <v>2</v>
      </c>
      <c r="AI12" s="76">
        <v>0</v>
      </c>
      <c r="AJ12" s="77">
        <v>0</v>
      </c>
      <c r="AK12" s="77">
        <v>3</v>
      </c>
      <c r="AL12" s="76"/>
      <c r="AM12" s="76"/>
      <c r="AN12" s="77"/>
      <c r="AO12" s="77"/>
      <c r="AP12" s="76"/>
      <c r="AQ12" s="76"/>
      <c r="AR12" s="77"/>
      <c r="AS12" s="77"/>
      <c r="AT12" s="78">
        <v>0.75</v>
      </c>
    </row>
    <row r="13" spans="1:46" ht="12.5" x14ac:dyDescent="0.25">
      <c r="A13" s="75">
        <v>44781.399082453703</v>
      </c>
      <c r="B13" s="1" t="s">
        <v>22</v>
      </c>
      <c r="C13" s="1" t="str">
        <f>INDEX(TBL_Name,MATCH(Table2[[#This Row],[Athlete Name]],listNames,0),2)</f>
        <v>Athlete 14</v>
      </c>
      <c r="D13" s="1" t="s">
        <v>130</v>
      </c>
      <c r="E13" s="1">
        <v>7</v>
      </c>
      <c r="F13" s="1">
        <v>6</v>
      </c>
      <c r="G13" s="1">
        <v>8</v>
      </c>
      <c r="H13" s="1" t="s">
        <v>154</v>
      </c>
      <c r="I13" s="1">
        <v>2</v>
      </c>
      <c r="J13" s="1"/>
      <c r="K13" s="1"/>
      <c r="L13" s="1"/>
      <c r="M13" s="1" t="s">
        <v>155</v>
      </c>
      <c r="N13" s="1">
        <v>33</v>
      </c>
      <c r="O13" s="1">
        <v>1</v>
      </c>
      <c r="P13" s="13">
        <v>44781</v>
      </c>
      <c r="Q13" s="1" t="s">
        <v>133</v>
      </c>
      <c r="R13" s="1" t="s">
        <v>64</v>
      </c>
      <c r="S13" s="1">
        <v>1</v>
      </c>
      <c r="T13" s="1"/>
      <c r="U13" s="1" t="s">
        <v>18</v>
      </c>
      <c r="V13" s="76">
        <v>7</v>
      </c>
      <c r="W13" s="76">
        <v>0</v>
      </c>
      <c r="X13" s="77">
        <v>0</v>
      </c>
      <c r="Y13" s="77">
        <v>3</v>
      </c>
      <c r="Z13" s="76">
        <v>6</v>
      </c>
      <c r="AA13" s="76">
        <v>0</v>
      </c>
      <c r="AB13" s="77">
        <v>0</v>
      </c>
      <c r="AC13" s="77">
        <v>3</v>
      </c>
      <c r="AD13" s="76">
        <v>8</v>
      </c>
      <c r="AE13" s="76">
        <v>0</v>
      </c>
      <c r="AF13" s="77">
        <v>0</v>
      </c>
      <c r="AG13" s="77">
        <v>3</v>
      </c>
      <c r="AH13" s="76">
        <v>2</v>
      </c>
      <c r="AI13" s="76">
        <v>0</v>
      </c>
      <c r="AJ13" s="77">
        <v>0</v>
      </c>
      <c r="AK13" s="77">
        <v>3</v>
      </c>
      <c r="AL13" s="76"/>
      <c r="AM13" s="76"/>
      <c r="AN13" s="77"/>
      <c r="AO13" s="77"/>
      <c r="AP13" s="76"/>
      <c r="AQ13" s="76"/>
      <c r="AR13" s="77"/>
      <c r="AS13" s="77"/>
      <c r="AT13" s="78">
        <v>0.75</v>
      </c>
    </row>
    <row r="14" spans="1:46" ht="12.5" x14ac:dyDescent="0.25">
      <c r="A14" s="75">
        <v>44781.399439814813</v>
      </c>
      <c r="B14" s="1" t="s">
        <v>156</v>
      </c>
      <c r="C14" s="1" t="str">
        <f>INDEX(TBL_Name,MATCH(Table2[[#This Row],[Athlete Name]],listNames,0),2)</f>
        <v>Athlete 24</v>
      </c>
      <c r="D14" s="1" t="s">
        <v>130</v>
      </c>
      <c r="E14" s="1">
        <v>5</v>
      </c>
      <c r="F14" s="1">
        <v>6</v>
      </c>
      <c r="G14" s="1">
        <v>8</v>
      </c>
      <c r="H14" s="1" t="s">
        <v>157</v>
      </c>
      <c r="I14" s="1">
        <v>6</v>
      </c>
      <c r="J14" s="1"/>
      <c r="K14" s="1"/>
      <c r="L14" s="1"/>
      <c r="M14" s="1" t="s">
        <v>158</v>
      </c>
      <c r="N14" s="1">
        <v>33</v>
      </c>
      <c r="O14" s="1">
        <v>1</v>
      </c>
      <c r="P14" s="13">
        <v>44781</v>
      </c>
      <c r="Q14" s="1" t="s">
        <v>133</v>
      </c>
      <c r="R14" s="1" t="s">
        <v>64</v>
      </c>
      <c r="S14" s="1">
        <v>1</v>
      </c>
      <c r="T14" s="1"/>
      <c r="U14" s="1" t="s">
        <v>11</v>
      </c>
      <c r="V14" s="76">
        <v>5</v>
      </c>
      <c r="W14" s="76">
        <v>0</v>
      </c>
      <c r="X14" s="77">
        <v>0</v>
      </c>
      <c r="Y14" s="77">
        <v>3</v>
      </c>
      <c r="Z14" s="76">
        <v>6</v>
      </c>
      <c r="AA14" s="76">
        <v>0</v>
      </c>
      <c r="AB14" s="77">
        <v>0</v>
      </c>
      <c r="AC14" s="77">
        <v>3</v>
      </c>
      <c r="AD14" s="76">
        <v>8</v>
      </c>
      <c r="AE14" s="76">
        <v>0</v>
      </c>
      <c r="AF14" s="77">
        <v>0</v>
      </c>
      <c r="AG14" s="77">
        <v>3</v>
      </c>
      <c r="AH14" s="76">
        <v>6</v>
      </c>
      <c r="AI14" s="76">
        <v>0</v>
      </c>
      <c r="AJ14" s="77">
        <v>0</v>
      </c>
      <c r="AK14" s="77">
        <v>3</v>
      </c>
      <c r="AL14" s="76"/>
      <c r="AM14" s="76"/>
      <c r="AN14" s="77"/>
      <c r="AO14" s="77"/>
      <c r="AP14" s="76"/>
      <c r="AQ14" s="76"/>
      <c r="AR14" s="77"/>
      <c r="AS14" s="77"/>
      <c r="AT14" s="78">
        <v>0.75</v>
      </c>
    </row>
    <row r="15" spans="1:46" ht="12.5" x14ac:dyDescent="0.25">
      <c r="A15" s="75">
        <v>44781.399835833334</v>
      </c>
      <c r="B15" s="1" t="s">
        <v>159</v>
      </c>
      <c r="C15" s="1" t="str">
        <f>INDEX(TBL_Name,MATCH(Table2[[#This Row],[Athlete Name]],listNames,0),2)</f>
        <v>Athlete 25</v>
      </c>
      <c r="D15" s="1" t="s">
        <v>130</v>
      </c>
      <c r="E15" s="1">
        <v>8</v>
      </c>
      <c r="F15" s="1">
        <v>8</v>
      </c>
      <c r="G15" s="1">
        <v>8</v>
      </c>
      <c r="H15" s="1" t="s">
        <v>160</v>
      </c>
      <c r="I15" s="1">
        <v>4</v>
      </c>
      <c r="J15" s="1"/>
      <c r="K15" s="1"/>
      <c r="L15" s="1"/>
      <c r="M15" s="1" t="s">
        <v>161</v>
      </c>
      <c r="N15" s="1">
        <v>33</v>
      </c>
      <c r="O15" s="1">
        <v>1</v>
      </c>
      <c r="P15" s="13">
        <v>44781</v>
      </c>
      <c r="Q15" s="1" t="s">
        <v>133</v>
      </c>
      <c r="R15" s="1" t="s">
        <v>64</v>
      </c>
      <c r="S15" s="1">
        <v>1</v>
      </c>
      <c r="T15" s="1"/>
      <c r="U15" s="1" t="s">
        <v>28</v>
      </c>
      <c r="V15" s="76">
        <v>8</v>
      </c>
      <c r="W15" s="76">
        <v>0</v>
      </c>
      <c r="X15" s="77">
        <v>0</v>
      </c>
      <c r="Y15" s="77">
        <v>3</v>
      </c>
      <c r="Z15" s="76">
        <v>8</v>
      </c>
      <c r="AA15" s="76">
        <v>0</v>
      </c>
      <c r="AB15" s="77">
        <v>0</v>
      </c>
      <c r="AC15" s="77">
        <v>3</v>
      </c>
      <c r="AD15" s="76">
        <v>8</v>
      </c>
      <c r="AE15" s="76">
        <v>0</v>
      </c>
      <c r="AF15" s="77">
        <v>0</v>
      </c>
      <c r="AG15" s="77">
        <v>3</v>
      </c>
      <c r="AH15" s="76">
        <v>4</v>
      </c>
      <c r="AI15" s="76">
        <v>0</v>
      </c>
      <c r="AJ15" s="77">
        <v>0</v>
      </c>
      <c r="AK15" s="77">
        <v>3</v>
      </c>
      <c r="AL15" s="76"/>
      <c r="AM15" s="76"/>
      <c r="AN15" s="77"/>
      <c r="AO15" s="77"/>
      <c r="AP15" s="76"/>
      <c r="AQ15" s="76"/>
      <c r="AR15" s="77"/>
      <c r="AS15" s="77"/>
      <c r="AT15" s="78">
        <v>0.75</v>
      </c>
    </row>
    <row r="16" spans="1:46" ht="12.5" x14ac:dyDescent="0.25">
      <c r="A16" s="75">
        <v>44781.401324085644</v>
      </c>
      <c r="B16" s="1" t="s">
        <v>15</v>
      </c>
      <c r="C16" s="1" t="str">
        <f>INDEX(TBL_Name,MATCH(Table2[[#This Row],[Athlete Name]],listNames,0),2)</f>
        <v>Athlete 8</v>
      </c>
      <c r="D16" s="1" t="s">
        <v>130</v>
      </c>
      <c r="E16" s="1">
        <v>8</v>
      </c>
      <c r="F16" s="1">
        <v>9</v>
      </c>
      <c r="G16" s="1">
        <v>9</v>
      </c>
      <c r="H16" s="1" t="s">
        <v>162</v>
      </c>
      <c r="I16" s="1">
        <v>5</v>
      </c>
      <c r="J16" s="1"/>
      <c r="K16" s="1"/>
      <c r="L16" s="1"/>
      <c r="M16" s="1" t="s">
        <v>163</v>
      </c>
      <c r="N16" s="1">
        <v>33</v>
      </c>
      <c r="O16" s="1">
        <v>1</v>
      </c>
      <c r="P16" s="13">
        <v>44781</v>
      </c>
      <c r="Q16" s="1" t="s">
        <v>133</v>
      </c>
      <c r="R16" s="1" t="s">
        <v>64</v>
      </c>
      <c r="S16" s="1">
        <v>1</v>
      </c>
      <c r="T16" s="1"/>
      <c r="U16" s="1" t="s">
        <v>14</v>
      </c>
      <c r="V16" s="76">
        <v>8</v>
      </c>
      <c r="W16" s="76">
        <v>0</v>
      </c>
      <c r="X16" s="77">
        <v>0</v>
      </c>
      <c r="Y16" s="77">
        <v>3</v>
      </c>
      <c r="Z16" s="76">
        <v>9</v>
      </c>
      <c r="AA16" s="76">
        <v>0</v>
      </c>
      <c r="AB16" s="77">
        <v>0</v>
      </c>
      <c r="AC16" s="77">
        <v>3</v>
      </c>
      <c r="AD16" s="76">
        <v>9</v>
      </c>
      <c r="AE16" s="76">
        <v>0</v>
      </c>
      <c r="AF16" s="77">
        <v>0</v>
      </c>
      <c r="AG16" s="77">
        <v>3</v>
      </c>
      <c r="AH16" s="76">
        <v>5</v>
      </c>
      <c r="AI16" s="76">
        <v>0</v>
      </c>
      <c r="AJ16" s="77">
        <v>0</v>
      </c>
      <c r="AK16" s="77">
        <v>3</v>
      </c>
      <c r="AL16" s="76"/>
      <c r="AM16" s="76"/>
      <c r="AN16" s="77"/>
      <c r="AO16" s="77"/>
      <c r="AP16" s="76"/>
      <c r="AQ16" s="76"/>
      <c r="AR16" s="77"/>
      <c r="AS16" s="77"/>
      <c r="AT16" s="78">
        <v>0.75</v>
      </c>
    </row>
    <row r="17" spans="1:46" ht="12.5" x14ac:dyDescent="0.25">
      <c r="A17" s="75">
        <v>44781.40144548611</v>
      </c>
      <c r="B17" s="1" t="s">
        <v>6</v>
      </c>
      <c r="C17" s="1" t="str">
        <f>INDEX(TBL_Name,MATCH(Table2[[#This Row],[Athlete Name]],listNames,0),2)</f>
        <v>Athlete 2</v>
      </c>
      <c r="D17" s="1" t="s">
        <v>130</v>
      </c>
      <c r="E17" s="1">
        <v>10</v>
      </c>
      <c r="F17" s="1">
        <v>5</v>
      </c>
      <c r="G17" s="1">
        <v>7</v>
      </c>
      <c r="H17" s="1" t="s">
        <v>164</v>
      </c>
      <c r="I17" s="1">
        <v>5</v>
      </c>
      <c r="J17" s="1"/>
      <c r="K17" s="1"/>
      <c r="L17" s="1"/>
      <c r="M17" s="1" t="s">
        <v>165</v>
      </c>
      <c r="N17" s="1">
        <v>33</v>
      </c>
      <c r="O17" s="1">
        <v>1</v>
      </c>
      <c r="P17" s="13">
        <v>44781</v>
      </c>
      <c r="Q17" s="1" t="s">
        <v>133</v>
      </c>
      <c r="R17" s="1" t="s">
        <v>64</v>
      </c>
      <c r="S17" s="1">
        <v>1</v>
      </c>
      <c r="T17" s="1"/>
      <c r="U17" s="1" t="s">
        <v>5</v>
      </c>
      <c r="V17" s="76">
        <v>10</v>
      </c>
      <c r="W17" s="76">
        <v>0</v>
      </c>
      <c r="X17" s="77">
        <v>0</v>
      </c>
      <c r="Y17" s="77">
        <v>3</v>
      </c>
      <c r="Z17" s="76">
        <v>5</v>
      </c>
      <c r="AA17" s="76">
        <v>0</v>
      </c>
      <c r="AB17" s="77">
        <v>0</v>
      </c>
      <c r="AC17" s="77">
        <v>3</v>
      </c>
      <c r="AD17" s="76">
        <v>7</v>
      </c>
      <c r="AE17" s="76">
        <v>0</v>
      </c>
      <c r="AF17" s="77">
        <v>0</v>
      </c>
      <c r="AG17" s="77">
        <v>3</v>
      </c>
      <c r="AH17" s="76">
        <v>5</v>
      </c>
      <c r="AI17" s="76">
        <v>0</v>
      </c>
      <c r="AJ17" s="77">
        <v>0</v>
      </c>
      <c r="AK17" s="77">
        <v>3</v>
      </c>
      <c r="AL17" s="76"/>
      <c r="AM17" s="76"/>
      <c r="AN17" s="77"/>
      <c r="AO17" s="77"/>
      <c r="AP17" s="76"/>
      <c r="AQ17" s="76"/>
      <c r="AR17" s="77"/>
      <c r="AS17" s="77"/>
      <c r="AT17" s="78">
        <v>0.75</v>
      </c>
    </row>
    <row r="18" spans="1:46" ht="12.5" x14ac:dyDescent="0.25">
      <c r="A18" s="75">
        <v>44781.401926493054</v>
      </c>
      <c r="B18" s="1" t="s">
        <v>12</v>
      </c>
      <c r="C18" s="1" t="str">
        <f>INDEX(TBL_Name,MATCH(Table2[[#This Row],[Athlete Name]],listNames,0),2)</f>
        <v>Athlete 6</v>
      </c>
      <c r="D18" s="1" t="s">
        <v>130</v>
      </c>
      <c r="E18" s="1">
        <v>9</v>
      </c>
      <c r="F18" s="1">
        <v>8</v>
      </c>
      <c r="G18" s="1">
        <v>9</v>
      </c>
      <c r="H18" s="1" t="s">
        <v>166</v>
      </c>
      <c r="I18" s="1">
        <v>3</v>
      </c>
      <c r="J18" s="1"/>
      <c r="K18" s="1"/>
      <c r="L18" s="1"/>
      <c r="M18" s="1" t="s">
        <v>167</v>
      </c>
      <c r="N18" s="1">
        <v>33</v>
      </c>
      <c r="O18" s="1">
        <v>1</v>
      </c>
      <c r="P18" s="13">
        <v>44781</v>
      </c>
      <c r="Q18" s="1" t="s">
        <v>133</v>
      </c>
      <c r="R18" s="1" t="s">
        <v>64</v>
      </c>
      <c r="S18" s="1">
        <v>1</v>
      </c>
      <c r="T18" s="1"/>
      <c r="U18" s="1" t="s">
        <v>11</v>
      </c>
      <c r="V18" s="76">
        <v>9</v>
      </c>
      <c r="W18" s="76">
        <v>0</v>
      </c>
      <c r="X18" s="77">
        <v>0</v>
      </c>
      <c r="Y18" s="77">
        <v>3</v>
      </c>
      <c r="Z18" s="76">
        <v>8</v>
      </c>
      <c r="AA18" s="76">
        <v>0</v>
      </c>
      <c r="AB18" s="77">
        <v>0</v>
      </c>
      <c r="AC18" s="77">
        <v>3</v>
      </c>
      <c r="AD18" s="76">
        <v>9</v>
      </c>
      <c r="AE18" s="76">
        <v>0</v>
      </c>
      <c r="AF18" s="77">
        <v>0</v>
      </c>
      <c r="AG18" s="77">
        <v>3</v>
      </c>
      <c r="AH18" s="76">
        <v>3</v>
      </c>
      <c r="AI18" s="76">
        <v>0</v>
      </c>
      <c r="AJ18" s="77">
        <v>0</v>
      </c>
      <c r="AK18" s="77">
        <v>3</v>
      </c>
      <c r="AL18" s="76"/>
      <c r="AM18" s="76"/>
      <c r="AN18" s="77"/>
      <c r="AO18" s="77"/>
      <c r="AP18" s="76"/>
      <c r="AQ18" s="76"/>
      <c r="AR18" s="77"/>
      <c r="AS18" s="77"/>
      <c r="AT18" s="78">
        <v>0.75</v>
      </c>
    </row>
    <row r="19" spans="1:46" ht="12.5" x14ac:dyDescent="0.25">
      <c r="A19" s="75">
        <v>44781.402220069445</v>
      </c>
      <c r="B19" s="1" t="s">
        <v>168</v>
      </c>
      <c r="C19" s="1" t="str">
        <f>INDEX(TBL_Name,MATCH(Table2[[#This Row],[Athlete Name]],listNames,0),2)</f>
        <v>Athlete 26</v>
      </c>
      <c r="D19" s="1" t="s">
        <v>130</v>
      </c>
      <c r="E19" s="1">
        <v>8</v>
      </c>
      <c r="F19" s="1">
        <v>8</v>
      </c>
      <c r="G19" s="1">
        <v>8</v>
      </c>
      <c r="H19" s="1" t="s">
        <v>169</v>
      </c>
      <c r="I19" s="1">
        <v>6</v>
      </c>
      <c r="J19" s="1"/>
      <c r="K19" s="1"/>
      <c r="L19" s="1"/>
      <c r="M19" s="1" t="s">
        <v>170</v>
      </c>
      <c r="N19" s="1">
        <v>33</v>
      </c>
      <c r="O19" s="1">
        <v>1</v>
      </c>
      <c r="P19" s="13">
        <v>44781</v>
      </c>
      <c r="Q19" s="1" t="s">
        <v>133</v>
      </c>
      <c r="R19" s="1" t="s">
        <v>64</v>
      </c>
      <c r="S19" s="1">
        <v>1</v>
      </c>
      <c r="T19" s="1"/>
      <c r="U19" s="1" t="s">
        <v>5</v>
      </c>
      <c r="V19" s="76">
        <v>8</v>
      </c>
      <c r="W19" s="76">
        <v>0</v>
      </c>
      <c r="X19" s="77">
        <v>0</v>
      </c>
      <c r="Y19" s="77">
        <v>3</v>
      </c>
      <c r="Z19" s="76">
        <v>8</v>
      </c>
      <c r="AA19" s="76">
        <v>0</v>
      </c>
      <c r="AB19" s="77">
        <v>0</v>
      </c>
      <c r="AC19" s="77">
        <v>3</v>
      </c>
      <c r="AD19" s="76">
        <v>8</v>
      </c>
      <c r="AE19" s="76">
        <v>0</v>
      </c>
      <c r="AF19" s="77">
        <v>0</v>
      </c>
      <c r="AG19" s="77">
        <v>3</v>
      </c>
      <c r="AH19" s="76">
        <v>6</v>
      </c>
      <c r="AI19" s="76">
        <v>0</v>
      </c>
      <c r="AJ19" s="77">
        <v>0</v>
      </c>
      <c r="AK19" s="77">
        <v>3</v>
      </c>
      <c r="AL19" s="76"/>
      <c r="AM19" s="76"/>
      <c r="AN19" s="77"/>
      <c r="AO19" s="77"/>
      <c r="AP19" s="76"/>
      <c r="AQ19" s="76"/>
      <c r="AR19" s="77"/>
      <c r="AS19" s="77"/>
      <c r="AT19" s="78">
        <v>0.75</v>
      </c>
    </row>
    <row r="20" spans="1:46" ht="12.5" x14ac:dyDescent="0.25">
      <c r="A20" s="75">
        <v>44781.402275682871</v>
      </c>
      <c r="B20" s="1" t="s">
        <v>171</v>
      </c>
      <c r="C20" s="1" t="str">
        <f>INDEX(TBL_Name,MATCH(Table2[[#This Row],[Athlete Name]],listNames,0),2)</f>
        <v>Athlete 27</v>
      </c>
      <c r="D20" s="1" t="s">
        <v>130</v>
      </c>
      <c r="E20" s="1">
        <v>8</v>
      </c>
      <c r="F20" s="1">
        <v>10</v>
      </c>
      <c r="G20" s="1">
        <v>9</v>
      </c>
      <c r="H20" s="1"/>
      <c r="I20" s="1">
        <v>6</v>
      </c>
      <c r="J20" s="1"/>
      <c r="K20" s="1"/>
      <c r="L20" s="1"/>
      <c r="M20" s="1" t="s">
        <v>172</v>
      </c>
      <c r="N20" s="1">
        <v>33</v>
      </c>
      <c r="O20" s="1">
        <v>1</v>
      </c>
      <c r="P20" s="13">
        <v>44781</v>
      </c>
      <c r="Q20" s="1" t="s">
        <v>133</v>
      </c>
      <c r="R20" s="1" t="s">
        <v>64</v>
      </c>
      <c r="S20" s="1">
        <v>1</v>
      </c>
      <c r="T20" s="1"/>
      <c r="U20" s="1" t="s">
        <v>8</v>
      </c>
      <c r="V20" s="76">
        <v>8</v>
      </c>
      <c r="W20" s="76">
        <v>0</v>
      </c>
      <c r="X20" s="77">
        <v>0</v>
      </c>
      <c r="Y20" s="77">
        <v>3</v>
      </c>
      <c r="Z20" s="76">
        <v>10</v>
      </c>
      <c r="AA20" s="76">
        <v>0</v>
      </c>
      <c r="AB20" s="77">
        <v>0</v>
      </c>
      <c r="AC20" s="77">
        <v>3</v>
      </c>
      <c r="AD20" s="76">
        <v>9</v>
      </c>
      <c r="AE20" s="76">
        <v>0</v>
      </c>
      <c r="AF20" s="77">
        <v>0</v>
      </c>
      <c r="AG20" s="77">
        <v>3</v>
      </c>
      <c r="AH20" s="76">
        <v>6</v>
      </c>
      <c r="AI20" s="76">
        <v>0</v>
      </c>
      <c r="AJ20" s="77">
        <v>0</v>
      </c>
      <c r="AK20" s="77">
        <v>3</v>
      </c>
      <c r="AL20" s="76"/>
      <c r="AM20" s="76"/>
      <c r="AN20" s="77"/>
      <c r="AO20" s="77"/>
      <c r="AP20" s="76"/>
      <c r="AQ20" s="76"/>
      <c r="AR20" s="77"/>
      <c r="AS20" s="77"/>
      <c r="AT20" s="78">
        <v>0.75</v>
      </c>
    </row>
    <row r="21" spans="1:46" ht="12.5" x14ac:dyDescent="0.25">
      <c r="A21" s="75">
        <v>44781.402388506947</v>
      </c>
      <c r="B21" s="1" t="s">
        <v>21</v>
      </c>
      <c r="C21" s="1" t="str">
        <f>INDEX(TBL_Name,MATCH(Table2[[#This Row],[Athlete Name]],listNames,0),2)</f>
        <v>Athlete 13</v>
      </c>
      <c r="D21" s="1" t="s">
        <v>130</v>
      </c>
      <c r="E21" s="1">
        <v>7</v>
      </c>
      <c r="F21" s="1">
        <v>8</v>
      </c>
      <c r="G21" s="1">
        <v>9</v>
      </c>
      <c r="H21" s="1" t="s">
        <v>173</v>
      </c>
      <c r="I21" s="1">
        <v>5</v>
      </c>
      <c r="J21" s="1"/>
      <c r="K21" s="1"/>
      <c r="L21" s="1"/>
      <c r="M21" s="1" t="s">
        <v>174</v>
      </c>
      <c r="N21" s="1">
        <v>33</v>
      </c>
      <c r="O21" s="1">
        <v>1</v>
      </c>
      <c r="P21" s="13">
        <v>44781</v>
      </c>
      <c r="Q21" s="1" t="s">
        <v>133</v>
      </c>
      <c r="R21" s="1" t="s">
        <v>64</v>
      </c>
      <c r="S21" s="1">
        <v>1</v>
      </c>
      <c r="T21" s="1"/>
      <c r="U21" s="1" t="s">
        <v>18</v>
      </c>
      <c r="V21" s="76">
        <v>7</v>
      </c>
      <c r="W21" s="76">
        <v>0</v>
      </c>
      <c r="X21" s="77">
        <v>0</v>
      </c>
      <c r="Y21" s="77">
        <v>3</v>
      </c>
      <c r="Z21" s="76">
        <v>8</v>
      </c>
      <c r="AA21" s="76">
        <v>0</v>
      </c>
      <c r="AB21" s="77">
        <v>0</v>
      </c>
      <c r="AC21" s="77">
        <v>3</v>
      </c>
      <c r="AD21" s="76">
        <v>9</v>
      </c>
      <c r="AE21" s="76">
        <v>0</v>
      </c>
      <c r="AF21" s="77">
        <v>0</v>
      </c>
      <c r="AG21" s="77">
        <v>3</v>
      </c>
      <c r="AH21" s="76">
        <v>5</v>
      </c>
      <c r="AI21" s="76">
        <v>0</v>
      </c>
      <c r="AJ21" s="77">
        <v>0</v>
      </c>
      <c r="AK21" s="77">
        <v>3</v>
      </c>
      <c r="AL21" s="76"/>
      <c r="AM21" s="76"/>
      <c r="AN21" s="77"/>
      <c r="AO21" s="77"/>
      <c r="AP21" s="76"/>
      <c r="AQ21" s="76"/>
      <c r="AR21" s="77"/>
      <c r="AS21" s="77"/>
      <c r="AT21" s="78">
        <v>0.75</v>
      </c>
    </row>
    <row r="22" spans="1:46" ht="12.5" x14ac:dyDescent="0.25">
      <c r="A22" s="75">
        <v>44781.402636747684</v>
      </c>
      <c r="B22" s="1" t="s">
        <v>20</v>
      </c>
      <c r="C22" s="1" t="str">
        <f>INDEX(TBL_Name,MATCH(Table2[[#This Row],[Athlete Name]],listNames,0),2)</f>
        <v>Athlete 12</v>
      </c>
      <c r="D22" s="1" t="s">
        <v>130</v>
      </c>
      <c r="E22" s="1">
        <v>8</v>
      </c>
      <c r="F22" s="1">
        <v>8</v>
      </c>
      <c r="G22" s="1">
        <v>9</v>
      </c>
      <c r="H22" s="1" t="s">
        <v>175</v>
      </c>
      <c r="I22" s="1">
        <v>5</v>
      </c>
      <c r="J22" s="1"/>
      <c r="K22" s="1"/>
      <c r="L22" s="1"/>
      <c r="M22" s="1" t="s">
        <v>176</v>
      </c>
      <c r="N22" s="1">
        <v>33</v>
      </c>
      <c r="O22" s="1">
        <v>1</v>
      </c>
      <c r="P22" s="13">
        <v>44781</v>
      </c>
      <c r="Q22" s="1" t="s">
        <v>133</v>
      </c>
      <c r="R22" s="1" t="s">
        <v>64</v>
      </c>
      <c r="S22" s="1">
        <v>1</v>
      </c>
      <c r="T22" s="1"/>
      <c r="U22" s="1" t="s">
        <v>18</v>
      </c>
      <c r="V22" s="76">
        <v>8</v>
      </c>
      <c r="W22" s="76">
        <v>0</v>
      </c>
      <c r="X22" s="77">
        <v>0</v>
      </c>
      <c r="Y22" s="77">
        <v>3</v>
      </c>
      <c r="Z22" s="76">
        <v>8</v>
      </c>
      <c r="AA22" s="76">
        <v>0</v>
      </c>
      <c r="AB22" s="77">
        <v>0</v>
      </c>
      <c r="AC22" s="77">
        <v>3</v>
      </c>
      <c r="AD22" s="76">
        <v>9</v>
      </c>
      <c r="AE22" s="76">
        <v>0</v>
      </c>
      <c r="AF22" s="77">
        <v>0</v>
      </c>
      <c r="AG22" s="77">
        <v>3</v>
      </c>
      <c r="AH22" s="76">
        <v>5</v>
      </c>
      <c r="AI22" s="76">
        <v>0</v>
      </c>
      <c r="AJ22" s="77">
        <v>0</v>
      </c>
      <c r="AK22" s="77">
        <v>3</v>
      </c>
      <c r="AL22" s="76"/>
      <c r="AM22" s="76"/>
      <c r="AN22" s="77"/>
      <c r="AO22" s="77"/>
      <c r="AP22" s="76"/>
      <c r="AQ22" s="76"/>
      <c r="AR22" s="77"/>
      <c r="AS22" s="77"/>
      <c r="AT22" s="78">
        <v>0.75</v>
      </c>
    </row>
    <row r="23" spans="1:46" ht="12.5" x14ac:dyDescent="0.25">
      <c r="A23" s="75">
        <v>44781.403569618051</v>
      </c>
      <c r="B23" s="1" t="s">
        <v>177</v>
      </c>
      <c r="C23" s="1" t="str">
        <f>INDEX(TBL_Name,MATCH(Table2[[#This Row],[Athlete Name]],listNames,0),2)</f>
        <v>Athlete 28</v>
      </c>
      <c r="D23" s="1" t="s">
        <v>130</v>
      </c>
      <c r="E23" s="1">
        <v>2</v>
      </c>
      <c r="F23" s="1">
        <v>2</v>
      </c>
      <c r="G23" s="1">
        <v>3</v>
      </c>
      <c r="H23" s="1" t="s">
        <v>178</v>
      </c>
      <c r="I23" s="1">
        <v>8</v>
      </c>
      <c r="J23" s="1"/>
      <c r="K23" s="1"/>
      <c r="L23" s="1"/>
      <c r="M23" s="1" t="s">
        <v>179</v>
      </c>
      <c r="N23" s="1">
        <v>33</v>
      </c>
      <c r="O23" s="1">
        <v>1</v>
      </c>
      <c r="P23" s="13">
        <v>44781</v>
      </c>
      <c r="Q23" s="1" t="s">
        <v>133</v>
      </c>
      <c r="R23" s="1" t="s">
        <v>64</v>
      </c>
      <c r="S23" s="1">
        <v>1</v>
      </c>
      <c r="T23" s="1"/>
      <c r="U23" s="1" t="s">
        <v>28</v>
      </c>
      <c r="V23" s="76">
        <v>2</v>
      </c>
      <c r="W23" s="76">
        <v>0</v>
      </c>
      <c r="X23" s="77">
        <v>0</v>
      </c>
      <c r="Y23" s="77">
        <v>3</v>
      </c>
      <c r="Z23" s="76">
        <v>2</v>
      </c>
      <c r="AA23" s="76">
        <v>0</v>
      </c>
      <c r="AB23" s="77">
        <v>0</v>
      </c>
      <c r="AC23" s="77">
        <v>3</v>
      </c>
      <c r="AD23" s="76">
        <v>3</v>
      </c>
      <c r="AE23" s="76">
        <v>0</v>
      </c>
      <c r="AF23" s="77">
        <v>0</v>
      </c>
      <c r="AG23" s="77">
        <v>3</v>
      </c>
      <c r="AH23" s="76">
        <v>8</v>
      </c>
      <c r="AI23" s="76">
        <v>0</v>
      </c>
      <c r="AJ23" s="77">
        <v>0</v>
      </c>
      <c r="AK23" s="77">
        <v>3</v>
      </c>
      <c r="AL23" s="76"/>
      <c r="AM23" s="76"/>
      <c r="AN23" s="77"/>
      <c r="AO23" s="77"/>
      <c r="AP23" s="76"/>
      <c r="AQ23" s="76"/>
      <c r="AR23" s="77"/>
      <c r="AS23" s="77"/>
      <c r="AT23" s="78">
        <v>0.75</v>
      </c>
    </row>
    <row r="24" spans="1:46" ht="12.5" x14ac:dyDescent="0.25">
      <c r="A24" s="75">
        <v>44781.405259733801</v>
      </c>
      <c r="B24" s="1" t="s">
        <v>180</v>
      </c>
      <c r="C24" s="1" t="str">
        <f>INDEX(TBL_Name,MATCH(Table2[[#This Row],[Athlete Name]],listNames,0),2)</f>
        <v>Athlete 29</v>
      </c>
      <c r="D24" s="1" t="s">
        <v>143</v>
      </c>
      <c r="E24" s="1">
        <v>9</v>
      </c>
      <c r="F24" s="1">
        <v>8</v>
      </c>
      <c r="G24" s="1">
        <v>8</v>
      </c>
      <c r="H24" s="1" t="s">
        <v>181</v>
      </c>
      <c r="I24" s="1">
        <v>5</v>
      </c>
      <c r="J24" s="1"/>
      <c r="K24" s="1"/>
      <c r="L24" s="1"/>
      <c r="M24" s="1" t="s">
        <v>182</v>
      </c>
      <c r="N24" s="1">
        <v>33</v>
      </c>
      <c r="O24" s="1">
        <v>1</v>
      </c>
      <c r="P24" s="13">
        <v>44781</v>
      </c>
      <c r="Q24" s="1" t="s">
        <v>133</v>
      </c>
      <c r="R24" s="1" t="s">
        <v>64</v>
      </c>
      <c r="S24" s="1">
        <v>2</v>
      </c>
      <c r="T24" s="1"/>
      <c r="U24" s="1" t="s">
        <v>5</v>
      </c>
      <c r="V24" s="76">
        <v>9</v>
      </c>
      <c r="W24" s="76">
        <v>0</v>
      </c>
      <c r="X24" s="77">
        <v>0</v>
      </c>
      <c r="Y24" s="77">
        <v>3</v>
      </c>
      <c r="Z24" s="76">
        <v>8</v>
      </c>
      <c r="AA24" s="76">
        <v>0</v>
      </c>
      <c r="AB24" s="77">
        <v>0</v>
      </c>
      <c r="AC24" s="77">
        <v>3</v>
      </c>
      <c r="AD24" s="76">
        <v>8</v>
      </c>
      <c r="AE24" s="76">
        <v>0</v>
      </c>
      <c r="AF24" s="77">
        <v>0</v>
      </c>
      <c r="AG24" s="77">
        <v>3</v>
      </c>
      <c r="AH24" s="76">
        <v>5</v>
      </c>
      <c r="AI24" s="76">
        <v>0</v>
      </c>
      <c r="AJ24" s="77">
        <v>0</v>
      </c>
      <c r="AK24" s="77">
        <v>3</v>
      </c>
      <c r="AL24" s="76"/>
      <c r="AM24" s="76"/>
      <c r="AN24" s="77"/>
      <c r="AO24" s="77"/>
      <c r="AP24" s="76"/>
      <c r="AQ24" s="76"/>
      <c r="AR24" s="77"/>
      <c r="AS24" s="77"/>
      <c r="AT24" s="78">
        <v>0.75</v>
      </c>
    </row>
    <row r="25" spans="1:46" ht="12.5" x14ac:dyDescent="0.25">
      <c r="A25" s="75">
        <v>44781.511934016205</v>
      </c>
      <c r="B25" s="1" t="s">
        <v>23</v>
      </c>
      <c r="C25" s="1" t="str">
        <f>INDEX(TBL_Name,MATCH(Table2[[#This Row],[Athlete Name]],listNames,0),2)</f>
        <v>Athlete 15</v>
      </c>
      <c r="D25" s="1" t="s">
        <v>130</v>
      </c>
      <c r="E25" s="1">
        <v>4</v>
      </c>
      <c r="F25" s="1">
        <v>7</v>
      </c>
      <c r="G25" s="1">
        <v>8</v>
      </c>
      <c r="H25" s="1" t="s">
        <v>183</v>
      </c>
      <c r="I25" s="1">
        <v>3</v>
      </c>
      <c r="J25" s="1"/>
      <c r="K25" s="1"/>
      <c r="L25" s="1"/>
      <c r="M25" s="1" t="s">
        <v>184</v>
      </c>
      <c r="N25" s="1">
        <v>33</v>
      </c>
      <c r="O25" s="1">
        <v>1</v>
      </c>
      <c r="P25" s="13">
        <v>44781</v>
      </c>
      <c r="Q25" s="1" t="s">
        <v>133</v>
      </c>
      <c r="R25" s="1" t="s">
        <v>64</v>
      </c>
      <c r="S25" s="1">
        <v>1</v>
      </c>
      <c r="T25" s="1"/>
      <c r="U25" s="1" t="s">
        <v>18</v>
      </c>
      <c r="V25" s="76">
        <v>4</v>
      </c>
      <c r="W25" s="76">
        <v>0</v>
      </c>
      <c r="X25" s="77">
        <v>0</v>
      </c>
      <c r="Y25" s="77">
        <v>3</v>
      </c>
      <c r="Z25" s="76">
        <v>7</v>
      </c>
      <c r="AA25" s="76">
        <v>0</v>
      </c>
      <c r="AB25" s="77">
        <v>0</v>
      </c>
      <c r="AC25" s="77">
        <v>3</v>
      </c>
      <c r="AD25" s="76">
        <v>8</v>
      </c>
      <c r="AE25" s="76">
        <v>0</v>
      </c>
      <c r="AF25" s="77">
        <v>0</v>
      </c>
      <c r="AG25" s="77">
        <v>3</v>
      </c>
      <c r="AH25" s="76">
        <v>3</v>
      </c>
      <c r="AI25" s="76">
        <v>0</v>
      </c>
      <c r="AJ25" s="77">
        <v>0</v>
      </c>
      <c r="AK25" s="77">
        <v>3</v>
      </c>
      <c r="AL25" s="76"/>
      <c r="AM25" s="76"/>
      <c r="AN25" s="77"/>
      <c r="AO25" s="77"/>
      <c r="AP25" s="76"/>
      <c r="AQ25" s="76"/>
      <c r="AR25" s="77"/>
      <c r="AS25" s="77"/>
      <c r="AT25" s="78">
        <v>0.75</v>
      </c>
    </row>
    <row r="26" spans="1:46" ht="12.5" x14ac:dyDescent="0.25">
      <c r="A26" s="75">
        <v>44781.517701574077</v>
      </c>
      <c r="B26" s="1" t="s">
        <v>185</v>
      </c>
      <c r="C26" s="1" t="str">
        <f>INDEX(TBL_Name,MATCH(Table2[[#This Row],[Athlete Name]],listNames,0),2)</f>
        <v>Athlete 30</v>
      </c>
      <c r="D26" s="1" t="s">
        <v>130</v>
      </c>
      <c r="E26" s="1">
        <v>9</v>
      </c>
      <c r="F26" s="1">
        <v>5</v>
      </c>
      <c r="G26" s="1">
        <v>7</v>
      </c>
      <c r="H26" s="1" t="s">
        <v>186</v>
      </c>
      <c r="I26" s="1">
        <v>5</v>
      </c>
      <c r="J26" s="1"/>
      <c r="K26" s="1"/>
      <c r="L26" s="1"/>
      <c r="M26" s="1" t="s">
        <v>187</v>
      </c>
      <c r="N26" s="1">
        <v>33</v>
      </c>
      <c r="O26" s="1">
        <v>1</v>
      </c>
      <c r="P26" s="13">
        <v>44781</v>
      </c>
      <c r="Q26" s="1" t="s">
        <v>133</v>
      </c>
      <c r="R26" s="1" t="s">
        <v>64</v>
      </c>
      <c r="S26" s="1">
        <v>1</v>
      </c>
      <c r="T26" s="1"/>
      <c r="U26" s="1" t="s">
        <v>26</v>
      </c>
      <c r="V26" s="76">
        <v>9</v>
      </c>
      <c r="W26" s="76">
        <v>0</v>
      </c>
      <c r="X26" s="77">
        <v>0</v>
      </c>
      <c r="Y26" s="77">
        <v>3</v>
      </c>
      <c r="Z26" s="76">
        <v>5</v>
      </c>
      <c r="AA26" s="76">
        <v>0</v>
      </c>
      <c r="AB26" s="77">
        <v>0</v>
      </c>
      <c r="AC26" s="77">
        <v>3</v>
      </c>
      <c r="AD26" s="76">
        <v>7</v>
      </c>
      <c r="AE26" s="76">
        <v>0</v>
      </c>
      <c r="AF26" s="77">
        <v>0</v>
      </c>
      <c r="AG26" s="77">
        <v>3</v>
      </c>
      <c r="AH26" s="76">
        <v>5</v>
      </c>
      <c r="AI26" s="76">
        <v>0</v>
      </c>
      <c r="AJ26" s="77">
        <v>0</v>
      </c>
      <c r="AK26" s="77">
        <v>3</v>
      </c>
      <c r="AL26" s="76"/>
      <c r="AM26" s="76"/>
      <c r="AN26" s="77"/>
      <c r="AO26" s="77"/>
      <c r="AP26" s="76"/>
      <c r="AQ26" s="76"/>
      <c r="AR26" s="77"/>
      <c r="AS26" s="77"/>
      <c r="AT26" s="78">
        <v>0.75</v>
      </c>
    </row>
    <row r="27" spans="1:46" ht="12.5" x14ac:dyDescent="0.25">
      <c r="A27" s="75">
        <v>44781.779842442134</v>
      </c>
      <c r="B27" s="1" t="s">
        <v>9</v>
      </c>
      <c r="C27" s="1" t="str">
        <f>INDEX(TBL_Name,MATCH(Table2[[#This Row],[Athlete Name]],listNames,0),2)</f>
        <v>Athlete 4</v>
      </c>
      <c r="D27" s="1" t="s">
        <v>130</v>
      </c>
      <c r="E27" s="1">
        <v>6</v>
      </c>
      <c r="F27" s="1">
        <v>8</v>
      </c>
      <c r="G27" s="1">
        <v>8</v>
      </c>
      <c r="H27" s="1" t="s">
        <v>188</v>
      </c>
      <c r="I27" s="1">
        <v>4</v>
      </c>
      <c r="J27" s="1"/>
      <c r="K27" s="1"/>
      <c r="L27" s="1"/>
      <c r="M27" s="1" t="s">
        <v>189</v>
      </c>
      <c r="N27" s="1">
        <v>33</v>
      </c>
      <c r="O27" s="1">
        <v>1</v>
      </c>
      <c r="P27" s="13">
        <v>44781</v>
      </c>
      <c r="Q27" s="1" t="s">
        <v>133</v>
      </c>
      <c r="R27" s="1" t="s">
        <v>64</v>
      </c>
      <c r="S27" s="1">
        <v>1</v>
      </c>
      <c r="T27" s="1"/>
      <c r="U27" s="1" t="s">
        <v>8</v>
      </c>
      <c r="V27" s="76">
        <v>6</v>
      </c>
      <c r="W27" s="76">
        <v>0</v>
      </c>
      <c r="X27" s="77">
        <v>0</v>
      </c>
      <c r="Y27" s="77">
        <v>3</v>
      </c>
      <c r="Z27" s="76">
        <v>8</v>
      </c>
      <c r="AA27" s="76">
        <v>0</v>
      </c>
      <c r="AB27" s="77">
        <v>0</v>
      </c>
      <c r="AC27" s="77">
        <v>3</v>
      </c>
      <c r="AD27" s="76">
        <v>8</v>
      </c>
      <c r="AE27" s="76">
        <v>0</v>
      </c>
      <c r="AF27" s="77">
        <v>0</v>
      </c>
      <c r="AG27" s="77">
        <v>3</v>
      </c>
      <c r="AH27" s="76">
        <v>4</v>
      </c>
      <c r="AI27" s="76">
        <v>0</v>
      </c>
      <c r="AJ27" s="77">
        <v>0</v>
      </c>
      <c r="AK27" s="77">
        <v>3</v>
      </c>
      <c r="AL27" s="76"/>
      <c r="AM27" s="76"/>
      <c r="AN27" s="77"/>
      <c r="AO27" s="77"/>
      <c r="AP27" s="76"/>
      <c r="AQ27" s="76"/>
      <c r="AR27" s="77"/>
      <c r="AS27" s="77"/>
      <c r="AT27" s="78">
        <v>0.75</v>
      </c>
    </row>
    <row r="28" spans="1:46" ht="12.5" x14ac:dyDescent="0.25">
      <c r="A28" s="79">
        <v>44782.264041574075</v>
      </c>
      <c r="B28" s="80" t="s">
        <v>185</v>
      </c>
      <c r="C28" s="80" t="str">
        <f>INDEX(TBL_Name,MATCH(Table2[[#This Row],[Athlete Name]],listNames,0),2)</f>
        <v>Athlete 30</v>
      </c>
      <c r="D28" s="80" t="s">
        <v>130</v>
      </c>
      <c r="E28" s="80">
        <v>9</v>
      </c>
      <c r="F28" s="80">
        <v>7</v>
      </c>
      <c r="G28" s="80">
        <v>7</v>
      </c>
      <c r="H28" s="80" t="s">
        <v>186</v>
      </c>
      <c r="I28" s="80">
        <v>4</v>
      </c>
      <c r="J28" s="80"/>
      <c r="K28" s="80"/>
      <c r="L28" s="80"/>
      <c r="M28" s="1" t="s">
        <v>190</v>
      </c>
      <c r="N28" s="1">
        <v>33</v>
      </c>
      <c r="O28" s="1">
        <v>1</v>
      </c>
      <c r="P28" s="13">
        <v>44782</v>
      </c>
      <c r="Q28" s="1" t="s">
        <v>133</v>
      </c>
      <c r="R28" s="1" t="s">
        <v>64</v>
      </c>
      <c r="S28" s="1">
        <v>1</v>
      </c>
      <c r="T28" s="1"/>
      <c r="U28" s="1" t="s">
        <v>26</v>
      </c>
      <c r="V28" s="76">
        <v>9</v>
      </c>
      <c r="W28" s="76">
        <v>0</v>
      </c>
      <c r="X28" s="77">
        <v>0</v>
      </c>
      <c r="Y28" s="77">
        <v>3</v>
      </c>
      <c r="Z28" s="76">
        <v>6</v>
      </c>
      <c r="AA28" s="76">
        <v>1</v>
      </c>
      <c r="AB28" s="77">
        <v>1</v>
      </c>
      <c r="AC28" s="77">
        <v>4</v>
      </c>
      <c r="AD28" s="76">
        <v>7</v>
      </c>
      <c r="AE28" s="76">
        <v>0</v>
      </c>
      <c r="AF28" s="77">
        <v>0</v>
      </c>
      <c r="AG28" s="77">
        <v>3</v>
      </c>
      <c r="AH28" s="76">
        <v>4.5</v>
      </c>
      <c r="AI28" s="76">
        <v>0.5</v>
      </c>
      <c r="AJ28" s="77">
        <v>-1</v>
      </c>
      <c r="AK28" s="77">
        <v>1</v>
      </c>
      <c r="AL28" s="76"/>
      <c r="AM28" s="76"/>
      <c r="AN28" s="77"/>
      <c r="AO28" s="77"/>
      <c r="AP28" s="76"/>
      <c r="AQ28" s="76"/>
      <c r="AR28" s="77"/>
      <c r="AS28" s="77"/>
      <c r="AT28" s="78">
        <v>0.75</v>
      </c>
    </row>
    <row r="29" spans="1:46" ht="12.5" x14ac:dyDescent="0.25">
      <c r="A29" s="79">
        <v>44782.268193101852</v>
      </c>
      <c r="B29" s="80" t="s">
        <v>13</v>
      </c>
      <c r="C29" s="80" t="str">
        <f>INDEX(TBL_Name,MATCH(Table2[[#This Row],[Athlete Name]],listNames,0),2)</f>
        <v>Athlete 7</v>
      </c>
      <c r="D29" s="80" t="s">
        <v>130</v>
      </c>
      <c r="E29" s="80">
        <v>7</v>
      </c>
      <c r="F29" s="80">
        <v>8</v>
      </c>
      <c r="G29" s="80">
        <v>8</v>
      </c>
      <c r="H29" s="80" t="s">
        <v>191</v>
      </c>
      <c r="I29" s="80">
        <v>2</v>
      </c>
      <c r="J29" s="80"/>
      <c r="K29" s="80"/>
      <c r="L29" s="80"/>
      <c r="M29" s="1" t="s">
        <v>192</v>
      </c>
      <c r="N29" s="1">
        <v>33</v>
      </c>
      <c r="O29" s="1">
        <v>1</v>
      </c>
      <c r="P29" s="13">
        <v>44782</v>
      </c>
      <c r="Q29" s="1" t="s">
        <v>133</v>
      </c>
      <c r="R29" s="1" t="s">
        <v>64</v>
      </c>
      <c r="S29" s="1">
        <v>1</v>
      </c>
      <c r="T29" s="1"/>
      <c r="U29" s="1" t="s">
        <v>14</v>
      </c>
      <c r="V29" s="76">
        <v>6</v>
      </c>
      <c r="W29" s="76">
        <v>1</v>
      </c>
      <c r="X29" s="77">
        <v>1</v>
      </c>
      <c r="Y29" s="77">
        <v>4</v>
      </c>
      <c r="Z29" s="76">
        <v>7.5</v>
      </c>
      <c r="AA29" s="76">
        <v>0.5</v>
      </c>
      <c r="AB29" s="77">
        <v>1</v>
      </c>
      <c r="AC29" s="77">
        <v>4</v>
      </c>
      <c r="AD29" s="76">
        <v>8</v>
      </c>
      <c r="AE29" s="76">
        <v>0</v>
      </c>
      <c r="AF29" s="77">
        <v>0</v>
      </c>
      <c r="AG29" s="77">
        <v>3</v>
      </c>
      <c r="AH29" s="76">
        <v>2.5</v>
      </c>
      <c r="AI29" s="76">
        <v>0.5</v>
      </c>
      <c r="AJ29" s="77">
        <v>-1</v>
      </c>
      <c r="AK29" s="77">
        <v>1</v>
      </c>
      <c r="AL29" s="76"/>
      <c r="AM29" s="76"/>
      <c r="AN29" s="77"/>
      <c r="AO29" s="77"/>
      <c r="AP29" s="76"/>
      <c r="AQ29" s="76"/>
      <c r="AR29" s="77"/>
      <c r="AS29" s="77"/>
      <c r="AT29" s="78">
        <v>0.8125</v>
      </c>
    </row>
    <row r="30" spans="1:46" ht="12.5" x14ac:dyDescent="0.25">
      <c r="A30" s="79">
        <v>44782.272259074074</v>
      </c>
      <c r="B30" s="80" t="s">
        <v>10</v>
      </c>
      <c r="C30" s="80" t="str">
        <f>INDEX(TBL_Name,MATCH(Table2[[#This Row],[Athlete Name]],listNames,0),2)</f>
        <v>Athlete 5</v>
      </c>
      <c r="D30" s="80" t="s">
        <v>130</v>
      </c>
      <c r="E30" s="80">
        <v>6</v>
      </c>
      <c r="F30" s="80">
        <v>8</v>
      </c>
      <c r="G30" s="80">
        <v>8</v>
      </c>
      <c r="H30" s="80" t="s">
        <v>193</v>
      </c>
      <c r="I30" s="80">
        <v>7</v>
      </c>
      <c r="J30" s="80"/>
      <c r="K30" s="80"/>
      <c r="L30" s="80"/>
      <c r="M30" s="1" t="s">
        <v>194</v>
      </c>
      <c r="N30" s="1">
        <v>33</v>
      </c>
      <c r="O30" s="1">
        <v>1</v>
      </c>
      <c r="P30" s="13">
        <v>44782</v>
      </c>
      <c r="Q30" s="1" t="s">
        <v>133</v>
      </c>
      <c r="R30" s="1" t="s">
        <v>64</v>
      </c>
      <c r="S30" s="1">
        <v>1</v>
      </c>
      <c r="T30" s="1"/>
      <c r="U30" s="1" t="s">
        <v>11</v>
      </c>
      <c r="V30" s="76">
        <v>6</v>
      </c>
      <c r="W30" s="76">
        <v>0</v>
      </c>
      <c r="X30" s="77">
        <v>0</v>
      </c>
      <c r="Y30" s="77">
        <v>3</v>
      </c>
      <c r="Z30" s="76">
        <v>8</v>
      </c>
      <c r="AA30" s="76">
        <v>0</v>
      </c>
      <c r="AB30" s="77">
        <v>0</v>
      </c>
      <c r="AC30" s="77">
        <v>3</v>
      </c>
      <c r="AD30" s="76">
        <v>8</v>
      </c>
      <c r="AE30" s="76">
        <v>0</v>
      </c>
      <c r="AF30" s="77">
        <v>0</v>
      </c>
      <c r="AG30" s="77">
        <v>3</v>
      </c>
      <c r="AH30" s="76">
        <v>7.5</v>
      </c>
      <c r="AI30" s="76">
        <v>0.5</v>
      </c>
      <c r="AJ30" s="77">
        <v>-1</v>
      </c>
      <c r="AK30" s="77">
        <v>1</v>
      </c>
      <c r="AL30" s="76"/>
      <c r="AM30" s="76"/>
      <c r="AN30" s="77"/>
      <c r="AO30" s="77"/>
      <c r="AP30" s="76"/>
      <c r="AQ30" s="76"/>
      <c r="AR30" s="77"/>
      <c r="AS30" s="77"/>
      <c r="AT30" s="78">
        <v>0.75</v>
      </c>
    </row>
    <row r="31" spans="1:46" ht="12.5" x14ac:dyDescent="0.25">
      <c r="A31" s="79">
        <v>44782.273869131939</v>
      </c>
      <c r="B31" s="80" t="s">
        <v>25</v>
      </c>
      <c r="C31" s="80" t="str">
        <f>INDEX(TBL_Name,MATCH(Table2[[#This Row],[Athlete Name]],listNames,0),2)</f>
        <v>Athlete 23</v>
      </c>
      <c r="D31" s="80" t="s">
        <v>150</v>
      </c>
      <c r="E31" s="80">
        <v>4</v>
      </c>
      <c r="F31" s="80">
        <v>8</v>
      </c>
      <c r="G31" s="80">
        <v>8</v>
      </c>
      <c r="H31" s="80"/>
      <c r="I31" s="80">
        <v>2</v>
      </c>
      <c r="J31" s="80"/>
      <c r="K31" s="80"/>
      <c r="L31" s="80"/>
      <c r="M31" s="1" t="s">
        <v>195</v>
      </c>
      <c r="N31" s="1">
        <v>33</v>
      </c>
      <c r="O31" s="1">
        <v>1</v>
      </c>
      <c r="P31" s="13">
        <v>44782</v>
      </c>
      <c r="Q31" s="1" t="s">
        <v>133</v>
      </c>
      <c r="R31" s="1" t="s">
        <v>64</v>
      </c>
      <c r="S31" s="1">
        <v>3</v>
      </c>
      <c r="T31" s="1"/>
      <c r="U31" s="1" t="s">
        <v>26</v>
      </c>
      <c r="V31" s="76">
        <v>5</v>
      </c>
      <c r="W31" s="76">
        <v>1</v>
      </c>
      <c r="X31" s="77">
        <v>-1</v>
      </c>
      <c r="Y31" s="77">
        <v>1</v>
      </c>
      <c r="Z31" s="76">
        <v>8</v>
      </c>
      <c r="AA31" s="76">
        <v>0</v>
      </c>
      <c r="AB31" s="77">
        <v>0</v>
      </c>
      <c r="AC31" s="77">
        <v>3</v>
      </c>
      <c r="AD31" s="76">
        <v>8</v>
      </c>
      <c r="AE31" s="76">
        <v>0</v>
      </c>
      <c r="AF31" s="77">
        <v>0</v>
      </c>
      <c r="AG31" s="77">
        <v>3</v>
      </c>
      <c r="AH31" s="76">
        <v>2</v>
      </c>
      <c r="AI31" s="76">
        <v>0</v>
      </c>
      <c r="AJ31" s="77">
        <v>0</v>
      </c>
      <c r="AK31" s="77">
        <v>3</v>
      </c>
      <c r="AL31" s="76"/>
      <c r="AM31" s="76"/>
      <c r="AN31" s="77"/>
      <c r="AO31" s="77"/>
      <c r="AP31" s="76"/>
      <c r="AQ31" s="76"/>
      <c r="AR31" s="77"/>
      <c r="AS31" s="77"/>
      <c r="AT31" s="78">
        <v>0.625</v>
      </c>
    </row>
    <row r="32" spans="1:46" ht="12.5" x14ac:dyDescent="0.25">
      <c r="A32" s="79">
        <v>44782.357574456022</v>
      </c>
      <c r="B32" s="80" t="s">
        <v>196</v>
      </c>
      <c r="C32" s="80" t="str">
        <f>INDEX(TBL_Name,MATCH(Table2[[#This Row],[Athlete Name]],listNames,0),2)</f>
        <v>Athlete 31</v>
      </c>
      <c r="D32" s="80" t="s">
        <v>130</v>
      </c>
      <c r="E32" s="80">
        <v>6</v>
      </c>
      <c r="F32" s="80">
        <v>9</v>
      </c>
      <c r="G32" s="80">
        <v>8</v>
      </c>
      <c r="H32" s="80" t="s">
        <v>197</v>
      </c>
      <c r="I32" s="80">
        <v>7</v>
      </c>
      <c r="J32" s="80"/>
      <c r="K32" s="80"/>
      <c r="L32" s="80"/>
      <c r="M32" s="1" t="s">
        <v>198</v>
      </c>
      <c r="N32" s="1">
        <v>33</v>
      </c>
      <c r="O32" s="1">
        <v>1</v>
      </c>
      <c r="P32" s="13">
        <v>44782</v>
      </c>
      <c r="Q32" s="1" t="s">
        <v>133</v>
      </c>
      <c r="R32" s="1" t="s">
        <v>64</v>
      </c>
      <c r="S32" s="1">
        <v>1</v>
      </c>
      <c r="T32" s="1"/>
      <c r="U32" s="1" t="s">
        <v>28</v>
      </c>
      <c r="V32" s="76">
        <v>6</v>
      </c>
      <c r="W32" s="76">
        <v>0</v>
      </c>
      <c r="X32" s="77">
        <v>0</v>
      </c>
      <c r="Y32" s="77">
        <v>3</v>
      </c>
      <c r="Z32" s="76">
        <v>9</v>
      </c>
      <c r="AA32" s="76">
        <v>0</v>
      </c>
      <c r="AB32" s="77">
        <v>0</v>
      </c>
      <c r="AC32" s="77">
        <v>3</v>
      </c>
      <c r="AD32" s="76">
        <v>8</v>
      </c>
      <c r="AE32" s="76">
        <v>0</v>
      </c>
      <c r="AF32" s="77">
        <v>0</v>
      </c>
      <c r="AG32" s="77">
        <v>3</v>
      </c>
      <c r="AH32" s="76">
        <v>7</v>
      </c>
      <c r="AI32" s="76">
        <v>0</v>
      </c>
      <c r="AJ32" s="77">
        <v>0</v>
      </c>
      <c r="AK32" s="77">
        <v>3</v>
      </c>
      <c r="AL32" s="76"/>
      <c r="AM32" s="76"/>
      <c r="AN32" s="77"/>
      <c r="AO32" s="77"/>
      <c r="AP32" s="76"/>
      <c r="AQ32" s="76"/>
      <c r="AR32" s="77"/>
      <c r="AS32" s="77"/>
      <c r="AT32" s="78">
        <v>0.75</v>
      </c>
    </row>
    <row r="33" spans="1:46" ht="12.5" x14ac:dyDescent="0.25">
      <c r="A33" s="79">
        <v>44782.357693391205</v>
      </c>
      <c r="B33" s="80" t="s">
        <v>177</v>
      </c>
      <c r="C33" s="80" t="str">
        <f>INDEX(TBL_Name,MATCH(Table2[[#This Row],[Athlete Name]],listNames,0),2)</f>
        <v>Athlete 28</v>
      </c>
      <c r="D33" s="80" t="s">
        <v>130</v>
      </c>
      <c r="E33" s="80">
        <v>2</v>
      </c>
      <c r="F33" s="80">
        <v>4</v>
      </c>
      <c r="G33" s="80">
        <v>7</v>
      </c>
      <c r="H33" s="80" t="s">
        <v>199</v>
      </c>
      <c r="I33" s="80">
        <v>1</v>
      </c>
      <c r="J33" s="80"/>
      <c r="K33" s="80"/>
      <c r="L33" s="80"/>
      <c r="M33" s="1" t="s">
        <v>200</v>
      </c>
      <c r="N33" s="1">
        <v>33</v>
      </c>
      <c r="O33" s="1">
        <v>1</v>
      </c>
      <c r="P33" s="13">
        <v>44782</v>
      </c>
      <c r="Q33" s="1" t="s">
        <v>133</v>
      </c>
      <c r="R33" s="1" t="s">
        <v>64</v>
      </c>
      <c r="S33" s="1">
        <v>1</v>
      </c>
      <c r="T33" s="1"/>
      <c r="U33" s="1" t="s">
        <v>28</v>
      </c>
      <c r="V33" s="76">
        <v>2</v>
      </c>
      <c r="W33" s="76">
        <v>0</v>
      </c>
      <c r="X33" s="77">
        <v>0</v>
      </c>
      <c r="Y33" s="77">
        <v>3</v>
      </c>
      <c r="Z33" s="76">
        <v>3</v>
      </c>
      <c r="AA33" s="76">
        <v>1</v>
      </c>
      <c r="AB33" s="77">
        <v>1</v>
      </c>
      <c r="AC33" s="77">
        <v>4</v>
      </c>
      <c r="AD33" s="76">
        <v>5</v>
      </c>
      <c r="AE33" s="76">
        <v>2</v>
      </c>
      <c r="AF33" s="77">
        <v>1</v>
      </c>
      <c r="AG33" s="77">
        <v>4</v>
      </c>
      <c r="AH33" s="76">
        <v>4.5</v>
      </c>
      <c r="AI33" s="76">
        <v>3.5</v>
      </c>
      <c r="AJ33" s="77">
        <v>-1</v>
      </c>
      <c r="AK33" s="77">
        <v>1</v>
      </c>
      <c r="AL33" s="76"/>
      <c r="AM33" s="76"/>
      <c r="AN33" s="77"/>
      <c r="AO33" s="77"/>
      <c r="AP33" s="76"/>
      <c r="AQ33" s="76"/>
      <c r="AR33" s="77"/>
      <c r="AS33" s="77"/>
      <c r="AT33" s="78">
        <v>0.75</v>
      </c>
    </row>
    <row r="34" spans="1:46" ht="12.5" x14ac:dyDescent="0.25">
      <c r="A34" s="79">
        <v>44782.359946180557</v>
      </c>
      <c r="B34" s="80" t="s">
        <v>159</v>
      </c>
      <c r="C34" s="80" t="str">
        <f>INDEX(TBL_Name,MATCH(Table2[[#This Row],[Athlete Name]],listNames,0),2)</f>
        <v>Athlete 25</v>
      </c>
      <c r="D34" s="80" t="s">
        <v>130</v>
      </c>
      <c r="E34" s="80">
        <v>8</v>
      </c>
      <c r="F34" s="80">
        <v>8</v>
      </c>
      <c r="G34" s="80">
        <v>8</v>
      </c>
      <c r="H34" s="80" t="s">
        <v>201</v>
      </c>
      <c r="I34" s="80">
        <v>3</v>
      </c>
      <c r="J34" s="80"/>
      <c r="K34" s="80"/>
      <c r="L34" s="80"/>
      <c r="M34" s="1" t="s">
        <v>202</v>
      </c>
      <c r="N34" s="1">
        <v>33</v>
      </c>
      <c r="O34" s="1">
        <v>1</v>
      </c>
      <c r="P34" s="13">
        <v>44782</v>
      </c>
      <c r="Q34" s="1" t="s">
        <v>133</v>
      </c>
      <c r="R34" s="1" t="s">
        <v>64</v>
      </c>
      <c r="S34" s="1">
        <v>1</v>
      </c>
      <c r="T34" s="1"/>
      <c r="U34" s="1" t="s">
        <v>28</v>
      </c>
      <c r="V34" s="76">
        <v>8</v>
      </c>
      <c r="W34" s="76">
        <v>0</v>
      </c>
      <c r="X34" s="77">
        <v>0</v>
      </c>
      <c r="Y34" s="77">
        <v>3</v>
      </c>
      <c r="Z34" s="76">
        <v>8</v>
      </c>
      <c r="AA34" s="76">
        <v>0</v>
      </c>
      <c r="AB34" s="77">
        <v>0</v>
      </c>
      <c r="AC34" s="77">
        <v>3</v>
      </c>
      <c r="AD34" s="76">
        <v>8</v>
      </c>
      <c r="AE34" s="76">
        <v>0</v>
      </c>
      <c r="AF34" s="77">
        <v>0</v>
      </c>
      <c r="AG34" s="77">
        <v>3</v>
      </c>
      <c r="AH34" s="76">
        <v>3.5</v>
      </c>
      <c r="AI34" s="76">
        <v>0.5</v>
      </c>
      <c r="AJ34" s="77">
        <v>-1</v>
      </c>
      <c r="AK34" s="77">
        <v>1</v>
      </c>
      <c r="AL34" s="76"/>
      <c r="AM34" s="76"/>
      <c r="AN34" s="77"/>
      <c r="AO34" s="77"/>
      <c r="AP34" s="76"/>
      <c r="AQ34" s="76"/>
      <c r="AR34" s="77"/>
      <c r="AS34" s="77"/>
      <c r="AT34" s="78">
        <v>0.75</v>
      </c>
    </row>
    <row r="35" spans="1:46" ht="12.5" x14ac:dyDescent="0.25">
      <c r="A35" s="79">
        <v>44782.368467326392</v>
      </c>
      <c r="B35" s="80" t="s">
        <v>180</v>
      </c>
      <c r="C35" s="80" t="str">
        <f>INDEX(TBL_Name,MATCH(Table2[[#This Row],[Athlete Name]],listNames,0),2)</f>
        <v>Athlete 29</v>
      </c>
      <c r="D35" s="80" t="s">
        <v>143</v>
      </c>
      <c r="E35" s="80">
        <v>9</v>
      </c>
      <c r="F35" s="80">
        <v>8</v>
      </c>
      <c r="G35" s="80">
        <v>8</v>
      </c>
      <c r="H35" s="80" t="s">
        <v>203</v>
      </c>
      <c r="I35" s="80">
        <v>5</v>
      </c>
      <c r="J35" s="80"/>
      <c r="K35" s="80"/>
      <c r="L35" s="80"/>
      <c r="M35" s="1" t="s">
        <v>204</v>
      </c>
      <c r="N35" s="1">
        <v>33</v>
      </c>
      <c r="O35" s="1">
        <v>1</v>
      </c>
      <c r="P35" s="13">
        <v>44782</v>
      </c>
      <c r="Q35" s="1" t="s">
        <v>133</v>
      </c>
      <c r="R35" s="1" t="s">
        <v>64</v>
      </c>
      <c r="S35" s="1">
        <v>2</v>
      </c>
      <c r="T35" s="1"/>
      <c r="U35" s="1" t="s">
        <v>5</v>
      </c>
      <c r="V35" s="76">
        <v>9</v>
      </c>
      <c r="W35" s="76">
        <v>0</v>
      </c>
      <c r="X35" s="77">
        <v>0</v>
      </c>
      <c r="Y35" s="77">
        <v>3</v>
      </c>
      <c r="Z35" s="76">
        <v>8</v>
      </c>
      <c r="AA35" s="76">
        <v>0</v>
      </c>
      <c r="AB35" s="77">
        <v>0</v>
      </c>
      <c r="AC35" s="77">
        <v>3</v>
      </c>
      <c r="AD35" s="76">
        <v>8</v>
      </c>
      <c r="AE35" s="76">
        <v>0</v>
      </c>
      <c r="AF35" s="77">
        <v>0</v>
      </c>
      <c r="AG35" s="77">
        <v>3</v>
      </c>
      <c r="AH35" s="76">
        <v>5</v>
      </c>
      <c r="AI35" s="76">
        <v>0</v>
      </c>
      <c r="AJ35" s="77">
        <v>0</v>
      </c>
      <c r="AK35" s="77">
        <v>3</v>
      </c>
      <c r="AL35" s="76"/>
      <c r="AM35" s="76"/>
      <c r="AN35" s="77"/>
      <c r="AO35" s="77"/>
      <c r="AP35" s="76"/>
      <c r="AQ35" s="76"/>
      <c r="AR35" s="77"/>
      <c r="AS35" s="77"/>
      <c r="AT35" s="78">
        <v>0.75</v>
      </c>
    </row>
    <row r="36" spans="1:46" ht="12.5" x14ac:dyDescent="0.25">
      <c r="A36" s="79">
        <v>44782.368816898146</v>
      </c>
      <c r="B36" s="80" t="s">
        <v>136</v>
      </c>
      <c r="C36" s="80" t="str">
        <f>INDEX(TBL_Name,MATCH(Table2[[#This Row],[Athlete Name]],listNames,0),2)</f>
        <v>Athlete 20</v>
      </c>
      <c r="D36" s="80" t="s">
        <v>130</v>
      </c>
      <c r="E36" s="80">
        <v>9</v>
      </c>
      <c r="F36" s="80">
        <v>10</v>
      </c>
      <c r="G36" s="80">
        <v>9</v>
      </c>
      <c r="H36" s="80" t="s">
        <v>205</v>
      </c>
      <c r="I36" s="80">
        <v>5</v>
      </c>
      <c r="J36" s="80"/>
      <c r="K36" s="80"/>
      <c r="L36" s="80"/>
      <c r="M36" s="1" t="s">
        <v>206</v>
      </c>
      <c r="N36" s="1">
        <v>33</v>
      </c>
      <c r="O36" s="1">
        <v>1</v>
      </c>
      <c r="P36" s="13">
        <v>44782</v>
      </c>
      <c r="Q36" s="1" t="s">
        <v>133</v>
      </c>
      <c r="R36" s="1" t="s">
        <v>64</v>
      </c>
      <c r="S36" s="1">
        <v>1</v>
      </c>
      <c r="T36" s="1"/>
      <c r="U36" s="1" t="s">
        <v>18</v>
      </c>
      <c r="V36" s="76">
        <v>9</v>
      </c>
      <c r="W36" s="76">
        <v>0</v>
      </c>
      <c r="X36" s="77">
        <v>0</v>
      </c>
      <c r="Y36" s="77">
        <v>3</v>
      </c>
      <c r="Z36" s="76">
        <v>7.5</v>
      </c>
      <c r="AA36" s="76">
        <v>2.5</v>
      </c>
      <c r="AB36" s="77">
        <v>1</v>
      </c>
      <c r="AC36" s="77">
        <v>4</v>
      </c>
      <c r="AD36" s="76">
        <v>8.5</v>
      </c>
      <c r="AE36" s="76">
        <v>0.5</v>
      </c>
      <c r="AF36" s="77">
        <v>1</v>
      </c>
      <c r="AG36" s="77">
        <v>4</v>
      </c>
      <c r="AH36" s="76">
        <v>4</v>
      </c>
      <c r="AI36" s="76">
        <v>1</v>
      </c>
      <c r="AJ36" s="77">
        <v>1</v>
      </c>
      <c r="AK36" s="77">
        <v>4</v>
      </c>
      <c r="AL36" s="76"/>
      <c r="AM36" s="76"/>
      <c r="AN36" s="77"/>
      <c r="AO36" s="77"/>
      <c r="AP36" s="76"/>
      <c r="AQ36" s="76"/>
      <c r="AR36" s="77"/>
      <c r="AS36" s="77"/>
      <c r="AT36" s="78">
        <v>0.75</v>
      </c>
    </row>
    <row r="37" spans="1:46" ht="12.5" x14ac:dyDescent="0.25">
      <c r="A37" s="79">
        <v>44782.37056549768</v>
      </c>
      <c r="B37" s="80" t="s">
        <v>168</v>
      </c>
      <c r="C37" s="80" t="str">
        <f>INDEX(TBL_Name,MATCH(Table2[[#This Row],[Athlete Name]],listNames,0),2)</f>
        <v>Athlete 26</v>
      </c>
      <c r="D37" s="80" t="s">
        <v>130</v>
      </c>
      <c r="E37" s="80">
        <v>8</v>
      </c>
      <c r="F37" s="80">
        <v>6</v>
      </c>
      <c r="G37" s="80">
        <v>8</v>
      </c>
      <c r="H37" s="80" t="s">
        <v>131</v>
      </c>
      <c r="I37" s="80">
        <v>6</v>
      </c>
      <c r="J37" s="80"/>
      <c r="K37" s="80"/>
      <c r="L37" s="80"/>
      <c r="M37" s="1" t="s">
        <v>207</v>
      </c>
      <c r="N37" s="1">
        <v>33</v>
      </c>
      <c r="O37" s="1">
        <v>1</v>
      </c>
      <c r="P37" s="13">
        <v>44782</v>
      </c>
      <c r="Q37" s="1" t="s">
        <v>133</v>
      </c>
      <c r="R37" s="1" t="s">
        <v>64</v>
      </c>
      <c r="S37" s="1">
        <v>1</v>
      </c>
      <c r="T37" s="1"/>
      <c r="U37" s="1" t="s">
        <v>5</v>
      </c>
      <c r="V37" s="76">
        <v>8</v>
      </c>
      <c r="W37" s="76">
        <v>0</v>
      </c>
      <c r="X37" s="77">
        <v>0</v>
      </c>
      <c r="Y37" s="77">
        <v>3</v>
      </c>
      <c r="Z37" s="76">
        <v>7</v>
      </c>
      <c r="AA37" s="76">
        <v>1</v>
      </c>
      <c r="AB37" s="77">
        <v>-1</v>
      </c>
      <c r="AC37" s="77">
        <v>1</v>
      </c>
      <c r="AD37" s="76">
        <v>8</v>
      </c>
      <c r="AE37" s="76">
        <v>0</v>
      </c>
      <c r="AF37" s="77">
        <v>0</v>
      </c>
      <c r="AG37" s="77">
        <v>3</v>
      </c>
      <c r="AH37" s="76">
        <v>6</v>
      </c>
      <c r="AI37" s="76">
        <v>0</v>
      </c>
      <c r="AJ37" s="77">
        <v>0</v>
      </c>
      <c r="AK37" s="77">
        <v>3</v>
      </c>
      <c r="AL37" s="76"/>
      <c r="AM37" s="76"/>
      <c r="AN37" s="77"/>
      <c r="AO37" s="77"/>
      <c r="AP37" s="76"/>
      <c r="AQ37" s="76"/>
      <c r="AR37" s="77"/>
      <c r="AS37" s="77"/>
      <c r="AT37" s="78">
        <v>0.75</v>
      </c>
    </row>
    <row r="38" spans="1:46" ht="12.5" x14ac:dyDescent="0.25">
      <c r="A38" s="79">
        <v>44782.370568067126</v>
      </c>
      <c r="B38" s="80" t="s">
        <v>6</v>
      </c>
      <c r="C38" s="80" t="str">
        <f>INDEX(TBL_Name,MATCH(Table2[[#This Row],[Athlete Name]],listNames,0),2)</f>
        <v>Athlete 2</v>
      </c>
      <c r="D38" s="80" t="s">
        <v>130</v>
      </c>
      <c r="E38" s="80">
        <v>9</v>
      </c>
      <c r="F38" s="80">
        <v>5</v>
      </c>
      <c r="G38" s="80">
        <v>6</v>
      </c>
      <c r="H38" s="80" t="s">
        <v>208</v>
      </c>
      <c r="I38" s="80">
        <v>5</v>
      </c>
      <c r="J38" s="80"/>
      <c r="K38" s="80"/>
      <c r="L38" s="80"/>
      <c r="M38" s="1" t="s">
        <v>209</v>
      </c>
      <c r="N38" s="1">
        <v>33</v>
      </c>
      <c r="O38" s="1">
        <v>1</v>
      </c>
      <c r="P38" s="13">
        <v>44782</v>
      </c>
      <c r="Q38" s="1" t="s">
        <v>133</v>
      </c>
      <c r="R38" s="1" t="s">
        <v>64</v>
      </c>
      <c r="S38" s="1">
        <v>1</v>
      </c>
      <c r="T38" s="1"/>
      <c r="U38" s="1" t="s">
        <v>5</v>
      </c>
      <c r="V38" s="76">
        <v>9.5</v>
      </c>
      <c r="W38" s="76">
        <v>0.5</v>
      </c>
      <c r="X38" s="77">
        <v>-1</v>
      </c>
      <c r="Y38" s="77">
        <v>1</v>
      </c>
      <c r="Z38" s="76">
        <v>5</v>
      </c>
      <c r="AA38" s="76">
        <v>0</v>
      </c>
      <c r="AB38" s="77">
        <v>0</v>
      </c>
      <c r="AC38" s="77">
        <v>3</v>
      </c>
      <c r="AD38" s="76">
        <v>6.5</v>
      </c>
      <c r="AE38" s="76">
        <v>0.5</v>
      </c>
      <c r="AF38" s="77">
        <v>-1</v>
      </c>
      <c r="AG38" s="77">
        <v>1</v>
      </c>
      <c r="AH38" s="76">
        <v>5</v>
      </c>
      <c r="AI38" s="76">
        <v>0</v>
      </c>
      <c r="AJ38" s="77">
        <v>0</v>
      </c>
      <c r="AK38" s="77">
        <v>3</v>
      </c>
      <c r="AL38" s="76"/>
      <c r="AM38" s="76"/>
      <c r="AN38" s="77"/>
      <c r="AO38" s="77"/>
      <c r="AP38" s="76"/>
      <c r="AQ38" s="76"/>
      <c r="AR38" s="77"/>
      <c r="AS38" s="77"/>
      <c r="AT38" s="78">
        <v>0.25</v>
      </c>
    </row>
    <row r="39" spans="1:46" ht="12.5" x14ac:dyDescent="0.25">
      <c r="A39" s="79">
        <v>44782.379816319444</v>
      </c>
      <c r="B39" s="80" t="s">
        <v>22</v>
      </c>
      <c r="C39" s="80" t="str">
        <f>INDEX(TBL_Name,MATCH(Table2[[#This Row],[Athlete Name]],listNames,0),2)</f>
        <v>Athlete 14</v>
      </c>
      <c r="D39" s="80" t="s">
        <v>130</v>
      </c>
      <c r="E39" s="80">
        <v>6</v>
      </c>
      <c r="F39" s="80">
        <v>6</v>
      </c>
      <c r="G39" s="80">
        <v>8</v>
      </c>
      <c r="H39" s="80" t="s">
        <v>210</v>
      </c>
      <c r="I39" s="80">
        <v>2</v>
      </c>
      <c r="J39" s="80"/>
      <c r="K39" s="80"/>
      <c r="L39" s="80"/>
      <c r="M39" s="1" t="s">
        <v>211</v>
      </c>
      <c r="N39" s="1">
        <v>33</v>
      </c>
      <c r="O39" s="1">
        <v>1</v>
      </c>
      <c r="P39" s="13">
        <v>44782</v>
      </c>
      <c r="Q39" s="1" t="s">
        <v>133</v>
      </c>
      <c r="R39" s="1" t="s">
        <v>64</v>
      </c>
      <c r="S39" s="1">
        <v>1</v>
      </c>
      <c r="T39" s="1"/>
      <c r="U39" s="1" t="s">
        <v>18</v>
      </c>
      <c r="V39" s="76">
        <v>6.5</v>
      </c>
      <c r="W39" s="76">
        <v>0.5</v>
      </c>
      <c r="X39" s="77">
        <v>-1</v>
      </c>
      <c r="Y39" s="77">
        <v>1</v>
      </c>
      <c r="Z39" s="76">
        <v>6</v>
      </c>
      <c r="AA39" s="76">
        <v>0</v>
      </c>
      <c r="AB39" s="77">
        <v>0</v>
      </c>
      <c r="AC39" s="77">
        <v>3</v>
      </c>
      <c r="AD39" s="76">
        <v>8</v>
      </c>
      <c r="AE39" s="76">
        <v>0</v>
      </c>
      <c r="AF39" s="77">
        <v>0</v>
      </c>
      <c r="AG39" s="77">
        <v>3</v>
      </c>
      <c r="AH39" s="76">
        <v>2</v>
      </c>
      <c r="AI39" s="76">
        <v>0</v>
      </c>
      <c r="AJ39" s="77">
        <v>0</v>
      </c>
      <c r="AK39" s="77">
        <v>3</v>
      </c>
      <c r="AL39" s="76"/>
      <c r="AM39" s="76"/>
      <c r="AN39" s="77"/>
      <c r="AO39" s="77"/>
      <c r="AP39" s="76"/>
      <c r="AQ39" s="76"/>
      <c r="AR39" s="77"/>
      <c r="AS39" s="77"/>
      <c r="AT39" s="78">
        <v>0.4375</v>
      </c>
    </row>
    <row r="40" spans="1:46" ht="12.5" x14ac:dyDescent="0.25">
      <c r="A40" s="79">
        <v>44782.38971152778</v>
      </c>
      <c r="B40" s="80" t="s">
        <v>129</v>
      </c>
      <c r="C40" s="80" t="str">
        <f>INDEX(TBL_Name,MATCH(Table2[[#This Row],[Athlete Name]],listNames,0),2)</f>
        <v>Athlete 19</v>
      </c>
      <c r="D40" s="80" t="s">
        <v>130</v>
      </c>
      <c r="E40" s="80">
        <v>6</v>
      </c>
      <c r="F40" s="80">
        <v>8</v>
      </c>
      <c r="G40" s="80">
        <v>8</v>
      </c>
      <c r="H40" s="80" t="s">
        <v>212</v>
      </c>
      <c r="I40" s="80">
        <v>7</v>
      </c>
      <c r="J40" s="80"/>
      <c r="K40" s="80"/>
      <c r="L40" s="80"/>
      <c r="M40" s="1" t="s">
        <v>213</v>
      </c>
      <c r="N40" s="1">
        <v>33</v>
      </c>
      <c r="O40" s="1">
        <v>1</v>
      </c>
      <c r="P40" s="13">
        <v>44782</v>
      </c>
      <c r="Q40" s="1" t="s">
        <v>133</v>
      </c>
      <c r="R40" s="1" t="s">
        <v>64</v>
      </c>
      <c r="S40" s="1">
        <v>1</v>
      </c>
      <c r="T40" s="1"/>
      <c r="U40" s="1" t="s">
        <v>18</v>
      </c>
      <c r="V40" s="76">
        <v>6.333333333333333</v>
      </c>
      <c r="W40" s="76">
        <v>0.47140452079103162</v>
      </c>
      <c r="X40" s="77">
        <v>-0.70710678118654702</v>
      </c>
      <c r="Y40" s="77">
        <v>2</v>
      </c>
      <c r="Z40" s="76">
        <v>7.333333333333333</v>
      </c>
      <c r="AA40" s="76">
        <v>0.94280904158206336</v>
      </c>
      <c r="AB40" s="77">
        <v>0.70710678118654779</v>
      </c>
      <c r="AC40" s="77">
        <v>3</v>
      </c>
      <c r="AD40" s="76">
        <v>8</v>
      </c>
      <c r="AE40" s="76">
        <v>0</v>
      </c>
      <c r="AF40" s="77">
        <v>0</v>
      </c>
      <c r="AG40" s="77">
        <v>3</v>
      </c>
      <c r="AH40" s="76">
        <v>6.666666666666667</v>
      </c>
      <c r="AI40" s="76">
        <v>0.47140452079103162</v>
      </c>
      <c r="AJ40" s="77">
        <v>0.70710678118654702</v>
      </c>
      <c r="AK40" s="77">
        <v>3</v>
      </c>
      <c r="AL40" s="76"/>
      <c r="AM40" s="76"/>
      <c r="AN40" s="77"/>
      <c r="AO40" s="77"/>
      <c r="AP40" s="76"/>
      <c r="AQ40" s="76"/>
      <c r="AR40" s="77"/>
      <c r="AS40" s="77"/>
      <c r="AT40" s="78">
        <v>0.875</v>
      </c>
    </row>
    <row r="41" spans="1:46" ht="12.5" x14ac:dyDescent="0.25">
      <c r="A41" s="79">
        <v>44782.395982499998</v>
      </c>
      <c r="B41" s="80" t="s">
        <v>19</v>
      </c>
      <c r="C41" s="80" t="str">
        <f>INDEX(TBL_Name,MATCH(Table2[[#This Row],[Athlete Name]],listNames,0),2)</f>
        <v>Athlete 11</v>
      </c>
      <c r="D41" s="80" t="s">
        <v>130</v>
      </c>
      <c r="E41" s="80">
        <v>6</v>
      </c>
      <c r="F41" s="80">
        <v>7</v>
      </c>
      <c r="G41" s="80">
        <v>7</v>
      </c>
      <c r="H41" s="80" t="s">
        <v>188</v>
      </c>
      <c r="I41" s="80">
        <v>3</v>
      </c>
      <c r="J41" s="80"/>
      <c r="K41" s="80"/>
      <c r="L41" s="80"/>
      <c r="M41" s="1" t="s">
        <v>214</v>
      </c>
      <c r="N41" s="1">
        <v>33</v>
      </c>
      <c r="O41" s="1">
        <v>1</v>
      </c>
      <c r="P41" s="13">
        <v>44782</v>
      </c>
      <c r="Q41" s="1" t="s">
        <v>133</v>
      </c>
      <c r="R41" s="1" t="s">
        <v>64</v>
      </c>
      <c r="S41" s="1">
        <v>1</v>
      </c>
      <c r="T41" s="1"/>
      <c r="U41" s="1" t="s">
        <v>18</v>
      </c>
      <c r="V41" s="76">
        <v>6</v>
      </c>
      <c r="W41" s="76">
        <v>0</v>
      </c>
      <c r="X41" s="77">
        <v>0</v>
      </c>
      <c r="Y41" s="77">
        <v>3</v>
      </c>
      <c r="Z41" s="76">
        <v>6.5</v>
      </c>
      <c r="AA41" s="76">
        <v>0.5</v>
      </c>
      <c r="AB41" s="77">
        <v>1</v>
      </c>
      <c r="AC41" s="77">
        <v>4</v>
      </c>
      <c r="AD41" s="76">
        <v>6.5</v>
      </c>
      <c r="AE41" s="76">
        <v>0.5</v>
      </c>
      <c r="AF41" s="77">
        <v>1</v>
      </c>
      <c r="AG41" s="77">
        <v>4</v>
      </c>
      <c r="AH41" s="76">
        <v>3</v>
      </c>
      <c r="AI41" s="76">
        <v>0</v>
      </c>
      <c r="AJ41" s="77">
        <v>0</v>
      </c>
      <c r="AK41" s="77">
        <v>3</v>
      </c>
      <c r="AL41" s="76"/>
      <c r="AM41" s="76"/>
      <c r="AN41" s="77"/>
      <c r="AO41" s="77"/>
      <c r="AP41" s="76"/>
      <c r="AQ41" s="76"/>
      <c r="AR41" s="77"/>
      <c r="AS41" s="77"/>
      <c r="AT41" s="78">
        <v>0.75</v>
      </c>
    </row>
    <row r="42" spans="1:46" ht="12.5" x14ac:dyDescent="0.25">
      <c r="A42" s="79">
        <v>44782.472976377314</v>
      </c>
      <c r="B42" s="80" t="s">
        <v>9</v>
      </c>
      <c r="C42" s="80" t="str">
        <f>INDEX(TBL_Name,MATCH(Table2[[#This Row],[Athlete Name]],listNames,0),2)</f>
        <v>Athlete 4</v>
      </c>
      <c r="D42" s="80" t="s">
        <v>130</v>
      </c>
      <c r="E42" s="80">
        <v>6</v>
      </c>
      <c r="F42" s="80">
        <v>8</v>
      </c>
      <c r="G42" s="80">
        <v>8</v>
      </c>
      <c r="H42" s="80" t="s">
        <v>215</v>
      </c>
      <c r="I42" s="80">
        <v>4</v>
      </c>
      <c r="J42" s="80"/>
      <c r="K42" s="80"/>
      <c r="L42" s="80"/>
      <c r="M42" s="1" t="s">
        <v>216</v>
      </c>
      <c r="N42" s="1">
        <v>33</v>
      </c>
      <c r="O42" s="1">
        <v>1</v>
      </c>
      <c r="P42" s="13">
        <v>44782</v>
      </c>
      <c r="Q42" s="1" t="s">
        <v>133</v>
      </c>
      <c r="R42" s="1" t="s">
        <v>64</v>
      </c>
      <c r="S42" s="1">
        <v>1</v>
      </c>
      <c r="T42" s="1"/>
      <c r="U42" s="1" t="s">
        <v>8</v>
      </c>
      <c r="V42" s="76">
        <v>6</v>
      </c>
      <c r="W42" s="76">
        <v>0</v>
      </c>
      <c r="X42" s="77">
        <v>0</v>
      </c>
      <c r="Y42" s="77">
        <v>3</v>
      </c>
      <c r="Z42" s="76">
        <v>8</v>
      </c>
      <c r="AA42" s="76">
        <v>0</v>
      </c>
      <c r="AB42" s="77">
        <v>0</v>
      </c>
      <c r="AC42" s="77">
        <v>3</v>
      </c>
      <c r="AD42" s="76">
        <v>8</v>
      </c>
      <c r="AE42" s="76">
        <v>0</v>
      </c>
      <c r="AF42" s="77">
        <v>0</v>
      </c>
      <c r="AG42" s="77">
        <v>3</v>
      </c>
      <c r="AH42" s="76">
        <v>4</v>
      </c>
      <c r="AI42" s="76">
        <v>0</v>
      </c>
      <c r="AJ42" s="77">
        <v>0</v>
      </c>
      <c r="AK42" s="77">
        <v>3</v>
      </c>
      <c r="AL42" s="76"/>
      <c r="AM42" s="76"/>
      <c r="AN42" s="77"/>
      <c r="AO42" s="77"/>
      <c r="AP42" s="76"/>
      <c r="AQ42" s="76"/>
      <c r="AR42" s="77"/>
      <c r="AS42" s="77"/>
      <c r="AT42" s="78">
        <v>0.75</v>
      </c>
    </row>
    <row r="43" spans="1:46" ht="12.5" x14ac:dyDescent="0.25">
      <c r="A43" s="79">
        <v>44782.502700937504</v>
      </c>
      <c r="B43" s="80" t="s">
        <v>15</v>
      </c>
      <c r="C43" s="80" t="str">
        <f>INDEX(TBL_Name,MATCH(Table2[[#This Row],[Athlete Name]],listNames,0),2)</f>
        <v>Athlete 8</v>
      </c>
      <c r="D43" s="80" t="s">
        <v>130</v>
      </c>
      <c r="E43" s="80">
        <v>10</v>
      </c>
      <c r="F43" s="80">
        <v>9</v>
      </c>
      <c r="G43" s="80">
        <v>9</v>
      </c>
      <c r="H43" s="80" t="s">
        <v>131</v>
      </c>
      <c r="I43" s="80">
        <v>3</v>
      </c>
      <c r="J43" s="80"/>
      <c r="K43" s="80"/>
      <c r="L43" s="80"/>
      <c r="M43" s="1" t="s">
        <v>217</v>
      </c>
      <c r="N43" s="1">
        <v>33</v>
      </c>
      <c r="O43" s="1">
        <v>1</v>
      </c>
      <c r="P43" s="13">
        <v>44782</v>
      </c>
      <c r="Q43" s="1" t="s">
        <v>133</v>
      </c>
      <c r="R43" s="1" t="s">
        <v>64</v>
      </c>
      <c r="S43" s="1">
        <v>1</v>
      </c>
      <c r="T43" s="1"/>
      <c r="U43" s="1" t="s">
        <v>14</v>
      </c>
      <c r="V43" s="76">
        <v>9</v>
      </c>
      <c r="W43" s="76">
        <v>1</v>
      </c>
      <c r="X43" s="77">
        <v>1</v>
      </c>
      <c r="Y43" s="77">
        <v>4</v>
      </c>
      <c r="Z43" s="76">
        <v>9</v>
      </c>
      <c r="AA43" s="76">
        <v>0</v>
      </c>
      <c r="AB43" s="77">
        <v>0</v>
      </c>
      <c r="AC43" s="77">
        <v>3</v>
      </c>
      <c r="AD43" s="76">
        <v>9</v>
      </c>
      <c r="AE43" s="76">
        <v>0</v>
      </c>
      <c r="AF43" s="77">
        <v>0</v>
      </c>
      <c r="AG43" s="77">
        <v>3</v>
      </c>
      <c r="AH43" s="76">
        <v>4</v>
      </c>
      <c r="AI43" s="76">
        <v>1</v>
      </c>
      <c r="AJ43" s="77">
        <v>-1</v>
      </c>
      <c r="AK43" s="77">
        <v>1</v>
      </c>
      <c r="AL43" s="76"/>
      <c r="AM43" s="76"/>
      <c r="AN43" s="77"/>
      <c r="AO43" s="77"/>
      <c r="AP43" s="76"/>
      <c r="AQ43" s="76"/>
      <c r="AR43" s="77"/>
      <c r="AS43" s="77"/>
      <c r="AT43" s="78">
        <v>0.6875</v>
      </c>
    </row>
    <row r="44" spans="1:46" ht="12.5" x14ac:dyDescent="0.25">
      <c r="A44" s="79">
        <v>44782.512406168986</v>
      </c>
      <c r="B44" s="80" t="s">
        <v>21</v>
      </c>
      <c r="C44" s="80" t="str">
        <f>INDEX(TBL_Name,MATCH(Table2[[#This Row],[Athlete Name]],listNames,0),2)</f>
        <v>Athlete 13</v>
      </c>
      <c r="D44" s="80" t="s">
        <v>130</v>
      </c>
      <c r="E44" s="80">
        <v>8</v>
      </c>
      <c r="F44" s="80">
        <v>8</v>
      </c>
      <c r="G44" s="80">
        <v>9</v>
      </c>
      <c r="H44" s="80" t="s">
        <v>218</v>
      </c>
      <c r="I44" s="80">
        <v>5</v>
      </c>
      <c r="J44" s="80"/>
      <c r="K44" s="80"/>
      <c r="L44" s="80"/>
      <c r="M44" s="1" t="s">
        <v>219</v>
      </c>
      <c r="N44" s="1">
        <v>33</v>
      </c>
      <c r="O44" s="1">
        <v>1</v>
      </c>
      <c r="P44" s="13">
        <v>44782</v>
      </c>
      <c r="Q44" s="1" t="s">
        <v>133</v>
      </c>
      <c r="R44" s="1" t="s">
        <v>64</v>
      </c>
      <c r="S44" s="1">
        <v>1</v>
      </c>
      <c r="T44" s="1"/>
      <c r="U44" s="1" t="s">
        <v>18</v>
      </c>
      <c r="V44" s="76">
        <v>7.5</v>
      </c>
      <c r="W44" s="76">
        <v>0.5</v>
      </c>
      <c r="X44" s="77">
        <v>1</v>
      </c>
      <c r="Y44" s="77">
        <v>4</v>
      </c>
      <c r="Z44" s="76">
        <v>8</v>
      </c>
      <c r="AA44" s="76">
        <v>0</v>
      </c>
      <c r="AB44" s="77">
        <v>0</v>
      </c>
      <c r="AC44" s="77">
        <v>3</v>
      </c>
      <c r="AD44" s="76">
        <v>9</v>
      </c>
      <c r="AE44" s="76">
        <v>0</v>
      </c>
      <c r="AF44" s="77">
        <v>0</v>
      </c>
      <c r="AG44" s="77">
        <v>3</v>
      </c>
      <c r="AH44" s="76">
        <v>5</v>
      </c>
      <c r="AI44" s="76">
        <v>0</v>
      </c>
      <c r="AJ44" s="77">
        <v>0</v>
      </c>
      <c r="AK44" s="77">
        <v>3</v>
      </c>
      <c r="AL44" s="76"/>
      <c r="AM44" s="76"/>
      <c r="AN44" s="77"/>
      <c r="AO44" s="77"/>
      <c r="AP44" s="76"/>
      <c r="AQ44" s="76"/>
      <c r="AR44" s="77"/>
      <c r="AS44" s="77"/>
      <c r="AT44" s="78">
        <v>0.8125</v>
      </c>
    </row>
    <row r="45" spans="1:46" ht="12.5" x14ac:dyDescent="0.25">
      <c r="A45" s="79">
        <v>44783.22605607639</v>
      </c>
      <c r="B45" s="80" t="s">
        <v>196</v>
      </c>
      <c r="C45" s="80" t="str">
        <f>INDEX(TBL_Name,MATCH(Table2[[#This Row],[Athlete Name]],listNames,0),2)</f>
        <v>Athlete 31</v>
      </c>
      <c r="D45" s="80" t="s">
        <v>130</v>
      </c>
      <c r="E45" s="80">
        <v>6</v>
      </c>
      <c r="F45" s="80">
        <v>7</v>
      </c>
      <c r="G45" s="80">
        <v>8</v>
      </c>
      <c r="H45" s="80" t="s">
        <v>197</v>
      </c>
      <c r="I45" s="80">
        <v>7</v>
      </c>
      <c r="J45" s="80"/>
      <c r="K45" s="80"/>
      <c r="L45" s="80"/>
      <c r="M45" s="1" t="s">
        <v>220</v>
      </c>
      <c r="N45" s="1">
        <v>33</v>
      </c>
      <c r="O45" s="1">
        <v>1</v>
      </c>
      <c r="P45" s="13">
        <v>44783</v>
      </c>
      <c r="Q45" s="1" t="s">
        <v>133</v>
      </c>
      <c r="R45" s="1" t="s">
        <v>64</v>
      </c>
      <c r="S45" s="1">
        <v>1</v>
      </c>
      <c r="T45" s="1"/>
      <c r="U45" s="1" t="s">
        <v>28</v>
      </c>
      <c r="V45" s="76">
        <v>6</v>
      </c>
      <c r="W45" s="76">
        <v>0</v>
      </c>
      <c r="X45" s="77">
        <v>0</v>
      </c>
      <c r="Y45" s="77">
        <v>3</v>
      </c>
      <c r="Z45" s="76">
        <v>8</v>
      </c>
      <c r="AA45" s="76">
        <v>1</v>
      </c>
      <c r="AB45" s="77">
        <v>-1</v>
      </c>
      <c r="AC45" s="77">
        <v>1</v>
      </c>
      <c r="AD45" s="76">
        <v>8</v>
      </c>
      <c r="AE45" s="76">
        <v>0</v>
      </c>
      <c r="AF45" s="77">
        <v>0</v>
      </c>
      <c r="AG45" s="77">
        <v>3</v>
      </c>
      <c r="AH45" s="76">
        <v>7</v>
      </c>
      <c r="AI45" s="76">
        <v>0</v>
      </c>
      <c r="AJ45" s="77">
        <v>0</v>
      </c>
      <c r="AK45" s="77">
        <v>3</v>
      </c>
      <c r="AL45" s="76"/>
      <c r="AM45" s="76"/>
      <c r="AN45" s="77"/>
      <c r="AO45" s="77"/>
      <c r="AP45" s="76"/>
      <c r="AQ45" s="76"/>
      <c r="AR45" s="77"/>
      <c r="AS45" s="77"/>
      <c r="AT45" s="78">
        <v>0.75</v>
      </c>
    </row>
    <row r="46" spans="1:46" ht="12.5" x14ac:dyDescent="0.25">
      <c r="A46" s="79">
        <v>44783.266595821755</v>
      </c>
      <c r="B46" s="80" t="s">
        <v>129</v>
      </c>
      <c r="C46" s="80" t="str">
        <f>INDEX(TBL_Name,MATCH(Table2[[#This Row],[Athlete Name]],listNames,0),2)</f>
        <v>Athlete 19</v>
      </c>
      <c r="D46" s="80" t="s">
        <v>130</v>
      </c>
      <c r="E46" s="80">
        <v>6</v>
      </c>
      <c r="F46" s="80">
        <v>7</v>
      </c>
      <c r="G46" s="80">
        <v>7</v>
      </c>
      <c r="H46" s="80" t="s">
        <v>188</v>
      </c>
      <c r="I46" s="80">
        <v>4</v>
      </c>
      <c r="J46" s="80"/>
      <c r="K46" s="80"/>
      <c r="L46" s="80"/>
      <c r="M46" s="1" t="s">
        <v>221</v>
      </c>
      <c r="N46" s="1">
        <v>33</v>
      </c>
      <c r="O46" s="1">
        <v>1</v>
      </c>
      <c r="P46" s="13">
        <v>44783</v>
      </c>
      <c r="Q46" s="1" t="s">
        <v>133</v>
      </c>
      <c r="R46" s="1" t="s">
        <v>64</v>
      </c>
      <c r="S46" s="1">
        <v>1</v>
      </c>
      <c r="T46" s="1"/>
      <c r="U46" s="1" t="s">
        <v>18</v>
      </c>
      <c r="V46" s="76">
        <v>6.25</v>
      </c>
      <c r="W46" s="76">
        <v>0.43301270189221924</v>
      </c>
      <c r="X46" s="77">
        <v>-0.57735026918962584</v>
      </c>
      <c r="Y46" s="77">
        <v>2</v>
      </c>
      <c r="Z46" s="76">
        <v>7.25</v>
      </c>
      <c r="AA46" s="76">
        <v>0.82915619758884995</v>
      </c>
      <c r="AB46" s="77">
        <v>-0.30151134457776363</v>
      </c>
      <c r="AC46" s="77">
        <v>2</v>
      </c>
      <c r="AD46" s="76">
        <v>7.75</v>
      </c>
      <c r="AE46" s="76">
        <v>0.4330127018922193</v>
      </c>
      <c r="AF46" s="77">
        <v>-1.7320508075688774</v>
      </c>
      <c r="AG46" s="77">
        <v>1</v>
      </c>
      <c r="AH46" s="76">
        <v>6</v>
      </c>
      <c r="AI46" s="76">
        <v>1.2247448713915889</v>
      </c>
      <c r="AJ46" s="77">
        <v>-1.6329931618554523</v>
      </c>
      <c r="AK46" s="77">
        <v>1</v>
      </c>
      <c r="AL46" s="76"/>
      <c r="AM46" s="76"/>
      <c r="AN46" s="77"/>
      <c r="AO46" s="77"/>
      <c r="AP46" s="76"/>
      <c r="AQ46" s="76"/>
      <c r="AR46" s="77"/>
      <c r="AS46" s="77"/>
      <c r="AT46" s="78">
        <v>0.6875</v>
      </c>
    </row>
    <row r="47" spans="1:46" ht="12.5" x14ac:dyDescent="0.25">
      <c r="A47" s="79">
        <v>44783.27178988426</v>
      </c>
      <c r="B47" s="80" t="s">
        <v>148</v>
      </c>
      <c r="C47" s="80" t="str">
        <f>INDEX(TBL_Name,MATCH(Table2[[#This Row],[Athlete Name]],listNames,0),2)</f>
        <v>Athlete 22</v>
      </c>
      <c r="D47" s="80" t="s">
        <v>130</v>
      </c>
      <c r="E47" s="80">
        <v>10</v>
      </c>
      <c r="F47" s="80">
        <v>9</v>
      </c>
      <c r="G47" s="80">
        <v>8</v>
      </c>
      <c r="H47" s="80" t="s">
        <v>203</v>
      </c>
      <c r="I47" s="80">
        <v>7</v>
      </c>
      <c r="J47" s="80"/>
      <c r="K47" s="80"/>
      <c r="L47" s="80"/>
      <c r="M47" s="1" t="s">
        <v>222</v>
      </c>
      <c r="N47" s="1">
        <v>33</v>
      </c>
      <c r="O47" s="1">
        <v>1</v>
      </c>
      <c r="P47" s="13">
        <v>44783</v>
      </c>
      <c r="Q47" s="1" t="s">
        <v>133</v>
      </c>
      <c r="R47" s="1" t="s">
        <v>64</v>
      </c>
      <c r="S47" s="1">
        <v>1</v>
      </c>
      <c r="T47" s="1"/>
      <c r="U47" s="1" t="s">
        <v>11</v>
      </c>
      <c r="V47" s="76">
        <v>10</v>
      </c>
      <c r="W47" s="76">
        <v>0</v>
      </c>
      <c r="X47" s="77">
        <v>0</v>
      </c>
      <c r="Y47" s="77">
        <v>3</v>
      </c>
      <c r="Z47" s="76">
        <v>7.5</v>
      </c>
      <c r="AA47" s="76">
        <v>1.5</v>
      </c>
      <c r="AB47" s="77">
        <v>1</v>
      </c>
      <c r="AC47" s="77">
        <v>4</v>
      </c>
      <c r="AD47" s="76">
        <v>8</v>
      </c>
      <c r="AE47" s="76">
        <v>0</v>
      </c>
      <c r="AF47" s="77">
        <v>0</v>
      </c>
      <c r="AG47" s="77">
        <v>3</v>
      </c>
      <c r="AH47" s="76">
        <v>7</v>
      </c>
      <c r="AI47" s="76">
        <v>0</v>
      </c>
      <c r="AJ47" s="77">
        <v>0</v>
      </c>
      <c r="AK47" s="77">
        <v>3</v>
      </c>
      <c r="AL47" s="76"/>
      <c r="AM47" s="76"/>
      <c r="AN47" s="77"/>
      <c r="AO47" s="77"/>
      <c r="AP47" s="76"/>
      <c r="AQ47" s="76"/>
      <c r="AR47" s="77"/>
      <c r="AS47" s="77"/>
      <c r="AT47" s="78">
        <v>0.75</v>
      </c>
    </row>
    <row r="48" spans="1:46" ht="12.5" x14ac:dyDescent="0.25">
      <c r="A48" s="79">
        <v>44783.276478252315</v>
      </c>
      <c r="B48" s="80" t="s">
        <v>185</v>
      </c>
      <c r="C48" s="80" t="str">
        <f>INDEX(TBL_Name,MATCH(Table2[[#This Row],[Athlete Name]],listNames,0),2)</f>
        <v>Athlete 30</v>
      </c>
      <c r="D48" s="80" t="s">
        <v>130</v>
      </c>
      <c r="E48" s="80">
        <v>10</v>
      </c>
      <c r="F48" s="80">
        <v>8</v>
      </c>
      <c r="G48" s="80">
        <v>8</v>
      </c>
      <c r="H48" s="80" t="s">
        <v>223</v>
      </c>
      <c r="I48" s="80">
        <v>4</v>
      </c>
      <c r="J48" s="80"/>
      <c r="K48" s="80"/>
      <c r="L48" s="80"/>
      <c r="M48" s="1" t="s">
        <v>224</v>
      </c>
      <c r="N48" s="1">
        <v>33</v>
      </c>
      <c r="O48" s="1">
        <v>1</v>
      </c>
      <c r="P48" s="13">
        <v>44783</v>
      </c>
      <c r="Q48" s="1" t="s">
        <v>133</v>
      </c>
      <c r="R48" s="1" t="s">
        <v>64</v>
      </c>
      <c r="S48" s="1">
        <v>1</v>
      </c>
      <c r="T48" s="1"/>
      <c r="U48" s="1" t="s">
        <v>26</v>
      </c>
      <c r="V48" s="76">
        <v>9.3333333333333339</v>
      </c>
      <c r="W48" s="76">
        <v>0.47140452079103146</v>
      </c>
      <c r="X48" s="77">
        <v>1.4142135623730945</v>
      </c>
      <c r="Y48" s="77">
        <v>4</v>
      </c>
      <c r="Z48" s="76">
        <v>6.666666666666667</v>
      </c>
      <c r="AA48" s="76">
        <v>1.247219128924647</v>
      </c>
      <c r="AB48" s="77">
        <v>1.0690449676496974</v>
      </c>
      <c r="AC48" s="77">
        <v>4</v>
      </c>
      <c r="AD48" s="76">
        <v>7.333333333333333</v>
      </c>
      <c r="AE48" s="76">
        <v>0.47140452079103179</v>
      </c>
      <c r="AF48" s="77">
        <v>1.4142135623730954</v>
      </c>
      <c r="AG48" s="77">
        <v>4</v>
      </c>
      <c r="AH48" s="76">
        <v>4.333333333333333</v>
      </c>
      <c r="AI48" s="76">
        <v>0.47140452079103162</v>
      </c>
      <c r="AJ48" s="77">
        <v>-0.70710678118654702</v>
      </c>
      <c r="AK48" s="77">
        <v>2</v>
      </c>
      <c r="AL48" s="76"/>
      <c r="AM48" s="76"/>
      <c r="AN48" s="77"/>
      <c r="AO48" s="77"/>
      <c r="AP48" s="76"/>
      <c r="AQ48" s="76"/>
      <c r="AR48" s="77"/>
      <c r="AS48" s="77"/>
      <c r="AT48" s="78">
        <v>0.4375</v>
      </c>
    </row>
    <row r="49" spans="1:46" ht="12.5" x14ac:dyDescent="0.25">
      <c r="A49" s="79">
        <v>44783.283618703703</v>
      </c>
      <c r="B49" s="80" t="s">
        <v>225</v>
      </c>
      <c r="C49" s="80" t="str">
        <f>INDEX(TBL_Name,MATCH(Table2[[#This Row],[Athlete Name]],listNames,0),2)</f>
        <v>Athlete 32</v>
      </c>
      <c r="D49" s="80" t="s">
        <v>130</v>
      </c>
      <c r="E49" s="80">
        <v>10</v>
      </c>
      <c r="F49" s="80">
        <v>10</v>
      </c>
      <c r="G49" s="80">
        <v>8</v>
      </c>
      <c r="H49" s="80" t="s">
        <v>226</v>
      </c>
      <c r="I49" s="80">
        <v>7</v>
      </c>
      <c r="J49" s="80"/>
      <c r="K49" s="80"/>
      <c r="L49" s="80"/>
      <c r="M49" s="1" t="s">
        <v>227</v>
      </c>
      <c r="N49" s="1">
        <v>33</v>
      </c>
      <c r="O49" s="1">
        <v>1</v>
      </c>
      <c r="P49" s="13">
        <v>44783</v>
      </c>
      <c r="Q49" s="1" t="s">
        <v>133</v>
      </c>
      <c r="R49" s="1" t="s">
        <v>64</v>
      </c>
      <c r="S49" s="1">
        <v>1</v>
      </c>
      <c r="T49" s="1"/>
      <c r="U49" s="1" t="s">
        <v>5</v>
      </c>
      <c r="V49" s="76">
        <v>10</v>
      </c>
      <c r="W49" s="76">
        <v>0</v>
      </c>
      <c r="X49" s="77">
        <v>0</v>
      </c>
      <c r="Y49" s="77">
        <v>3</v>
      </c>
      <c r="Z49" s="76">
        <v>10</v>
      </c>
      <c r="AA49" s="76">
        <v>0</v>
      </c>
      <c r="AB49" s="77">
        <v>0</v>
      </c>
      <c r="AC49" s="77">
        <v>3</v>
      </c>
      <c r="AD49" s="76">
        <v>8</v>
      </c>
      <c r="AE49" s="76">
        <v>0</v>
      </c>
      <c r="AF49" s="77">
        <v>0</v>
      </c>
      <c r="AG49" s="77">
        <v>3</v>
      </c>
      <c r="AH49" s="76">
        <v>7</v>
      </c>
      <c r="AI49" s="76">
        <v>0</v>
      </c>
      <c r="AJ49" s="77">
        <v>0</v>
      </c>
      <c r="AK49" s="77">
        <v>3</v>
      </c>
      <c r="AL49" s="76"/>
      <c r="AM49" s="76"/>
      <c r="AN49" s="77"/>
      <c r="AO49" s="77"/>
      <c r="AP49" s="76"/>
      <c r="AQ49" s="76"/>
      <c r="AR49" s="77"/>
      <c r="AS49" s="77"/>
      <c r="AT49" s="78">
        <v>0.75</v>
      </c>
    </row>
    <row r="50" spans="1:46" ht="12.5" x14ac:dyDescent="0.25">
      <c r="A50" s="79">
        <v>44783.285348530088</v>
      </c>
      <c r="B50" s="80" t="s">
        <v>171</v>
      </c>
      <c r="C50" s="80" t="str">
        <f>INDEX(TBL_Name,MATCH(Table2[[#This Row],[Athlete Name]],listNames,0),2)</f>
        <v>Athlete 27</v>
      </c>
      <c r="D50" s="80" t="s">
        <v>130</v>
      </c>
      <c r="E50" s="80">
        <v>10</v>
      </c>
      <c r="F50" s="80">
        <v>10</v>
      </c>
      <c r="G50" s="80">
        <v>9</v>
      </c>
      <c r="H50" s="80" t="s">
        <v>228</v>
      </c>
      <c r="I50" s="80">
        <v>7</v>
      </c>
      <c r="J50" s="80"/>
      <c r="K50" s="80"/>
      <c r="L50" s="80"/>
      <c r="M50" s="1" t="s">
        <v>229</v>
      </c>
      <c r="N50" s="1">
        <v>33</v>
      </c>
      <c r="O50" s="1">
        <v>1</v>
      </c>
      <c r="P50" s="13">
        <v>44783</v>
      </c>
      <c r="Q50" s="1" t="s">
        <v>133</v>
      </c>
      <c r="R50" s="1" t="s">
        <v>64</v>
      </c>
      <c r="S50" s="1">
        <v>1</v>
      </c>
      <c r="T50" s="1"/>
      <c r="U50" s="1" t="s">
        <v>8</v>
      </c>
      <c r="V50" s="76">
        <v>9</v>
      </c>
      <c r="W50" s="76">
        <v>1</v>
      </c>
      <c r="X50" s="77">
        <v>1</v>
      </c>
      <c r="Y50" s="77">
        <v>4</v>
      </c>
      <c r="Z50" s="76">
        <v>10</v>
      </c>
      <c r="AA50" s="76">
        <v>0</v>
      </c>
      <c r="AB50" s="77">
        <v>0</v>
      </c>
      <c r="AC50" s="77">
        <v>3</v>
      </c>
      <c r="AD50" s="76">
        <v>9</v>
      </c>
      <c r="AE50" s="76">
        <v>0</v>
      </c>
      <c r="AF50" s="77">
        <v>0</v>
      </c>
      <c r="AG50" s="77">
        <v>3</v>
      </c>
      <c r="AH50" s="76">
        <v>6.5</v>
      </c>
      <c r="AI50" s="76">
        <v>0.5</v>
      </c>
      <c r="AJ50" s="77">
        <v>1</v>
      </c>
      <c r="AK50" s="77">
        <v>4</v>
      </c>
      <c r="AL50" s="76"/>
      <c r="AM50" s="76"/>
      <c r="AN50" s="77"/>
      <c r="AO50" s="77"/>
      <c r="AP50" s="76"/>
      <c r="AQ50" s="76"/>
      <c r="AR50" s="77"/>
      <c r="AS50" s="77"/>
      <c r="AT50" s="78">
        <v>0.75</v>
      </c>
    </row>
    <row r="51" spans="1:46" ht="12.5" x14ac:dyDescent="0.25">
      <c r="A51" s="79">
        <v>44783.286875532409</v>
      </c>
      <c r="B51" s="80" t="s">
        <v>17</v>
      </c>
      <c r="C51" s="80" t="str">
        <f>INDEX(TBL_Name,MATCH(Table2[[#This Row],[Athlete Name]],listNames,0),2)</f>
        <v>Athlete 10</v>
      </c>
      <c r="D51" s="80" t="s">
        <v>143</v>
      </c>
      <c r="E51" s="80">
        <v>9</v>
      </c>
      <c r="F51" s="80">
        <v>10</v>
      </c>
      <c r="G51" s="80">
        <v>9</v>
      </c>
      <c r="H51" s="80" t="s">
        <v>131</v>
      </c>
      <c r="I51" s="80">
        <v>6</v>
      </c>
      <c r="J51" s="80"/>
      <c r="K51" s="80"/>
      <c r="L51" s="80"/>
      <c r="M51" s="1" t="s">
        <v>230</v>
      </c>
      <c r="N51" s="1">
        <v>33</v>
      </c>
      <c r="O51" s="1">
        <v>1</v>
      </c>
      <c r="P51" s="13">
        <v>44783</v>
      </c>
      <c r="Q51" s="1" t="s">
        <v>133</v>
      </c>
      <c r="R51" s="1" t="s">
        <v>64</v>
      </c>
      <c r="S51" s="1">
        <v>2</v>
      </c>
      <c r="T51" s="1"/>
      <c r="U51" s="1" t="s">
        <v>18</v>
      </c>
      <c r="V51" s="76">
        <v>8.5</v>
      </c>
      <c r="W51" s="76">
        <v>0.5</v>
      </c>
      <c r="X51" s="77">
        <v>1</v>
      </c>
      <c r="Y51" s="77">
        <v>4</v>
      </c>
      <c r="Z51" s="76">
        <v>8</v>
      </c>
      <c r="AA51" s="76">
        <v>2</v>
      </c>
      <c r="AB51" s="77">
        <v>1</v>
      </c>
      <c r="AC51" s="77">
        <v>4</v>
      </c>
      <c r="AD51" s="76">
        <v>8</v>
      </c>
      <c r="AE51" s="76">
        <v>1</v>
      </c>
      <c r="AF51" s="77">
        <v>1</v>
      </c>
      <c r="AG51" s="77">
        <v>4</v>
      </c>
      <c r="AH51" s="76">
        <v>6</v>
      </c>
      <c r="AI51" s="76">
        <v>0</v>
      </c>
      <c r="AJ51" s="77">
        <v>0</v>
      </c>
      <c r="AK51" s="77">
        <v>3</v>
      </c>
      <c r="AL51" s="76"/>
      <c r="AM51" s="76"/>
      <c r="AN51" s="77"/>
      <c r="AO51" s="77"/>
      <c r="AP51" s="76"/>
      <c r="AQ51" s="76"/>
      <c r="AR51" s="77"/>
      <c r="AS51" s="77"/>
      <c r="AT51" s="78">
        <v>0.8125</v>
      </c>
    </row>
    <row r="52" spans="1:46" ht="12.5" x14ac:dyDescent="0.25">
      <c r="A52" s="79">
        <v>44783.304303668978</v>
      </c>
      <c r="B52" s="80" t="s">
        <v>6</v>
      </c>
      <c r="C52" s="80" t="str">
        <f>INDEX(TBL_Name,MATCH(Table2[[#This Row],[Athlete Name]],listNames,0),2)</f>
        <v>Athlete 2</v>
      </c>
      <c r="D52" s="80" t="s">
        <v>130</v>
      </c>
      <c r="E52" s="80">
        <v>10</v>
      </c>
      <c r="F52" s="80">
        <v>8</v>
      </c>
      <c r="G52" s="80">
        <v>8</v>
      </c>
      <c r="H52" s="80" t="s">
        <v>231</v>
      </c>
      <c r="I52" s="80">
        <v>6</v>
      </c>
      <c r="J52" s="80"/>
      <c r="K52" s="80"/>
      <c r="L52" s="80"/>
      <c r="M52" s="1" t="s">
        <v>232</v>
      </c>
      <c r="N52" s="1">
        <v>33</v>
      </c>
      <c r="O52" s="1">
        <v>1</v>
      </c>
      <c r="P52" s="13">
        <v>44783</v>
      </c>
      <c r="Q52" s="1" t="s">
        <v>133</v>
      </c>
      <c r="R52" s="1" t="s">
        <v>64</v>
      </c>
      <c r="S52" s="1">
        <v>1</v>
      </c>
      <c r="T52" s="1"/>
      <c r="U52" s="1" t="s">
        <v>5</v>
      </c>
      <c r="V52" s="76">
        <v>9.6666666666666661</v>
      </c>
      <c r="W52" s="76">
        <v>0.47140452079103179</v>
      </c>
      <c r="X52" s="77">
        <v>0.70710678118654857</v>
      </c>
      <c r="Y52" s="77">
        <v>3</v>
      </c>
      <c r="Z52" s="76">
        <v>6</v>
      </c>
      <c r="AA52" s="76">
        <v>1.4142135623730951</v>
      </c>
      <c r="AB52" s="77">
        <v>1.4142135623730949</v>
      </c>
      <c r="AC52" s="77">
        <v>4</v>
      </c>
      <c r="AD52" s="76">
        <v>7</v>
      </c>
      <c r="AE52" s="76">
        <v>0.81649658092772603</v>
      </c>
      <c r="AF52" s="77">
        <v>1.2247448713915889</v>
      </c>
      <c r="AG52" s="77">
        <v>4</v>
      </c>
      <c r="AH52" s="76">
        <v>5.333333333333333</v>
      </c>
      <c r="AI52" s="76">
        <v>0.47140452079103179</v>
      </c>
      <c r="AJ52" s="77">
        <v>1.4142135623730954</v>
      </c>
      <c r="AK52" s="77">
        <v>4</v>
      </c>
      <c r="AL52" s="76"/>
      <c r="AM52" s="76"/>
      <c r="AN52" s="77"/>
      <c r="AO52" s="77"/>
      <c r="AP52" s="76"/>
      <c r="AQ52" s="76"/>
      <c r="AR52" s="77"/>
      <c r="AS52" s="77"/>
      <c r="AT52" s="78">
        <v>0.375</v>
      </c>
    </row>
    <row r="53" spans="1:46" ht="12.5" x14ac:dyDescent="0.25">
      <c r="A53" s="79">
        <v>44783.304428495372</v>
      </c>
      <c r="B53" s="80" t="s">
        <v>21</v>
      </c>
      <c r="C53" s="80" t="str">
        <f>INDEX(TBL_Name,MATCH(Table2[[#This Row],[Athlete Name]],listNames,0),2)</f>
        <v>Athlete 13</v>
      </c>
      <c r="D53" s="80" t="s">
        <v>130</v>
      </c>
      <c r="E53" s="80">
        <v>7</v>
      </c>
      <c r="F53" s="80">
        <v>7</v>
      </c>
      <c r="G53" s="80">
        <v>8</v>
      </c>
      <c r="H53" s="80" t="s">
        <v>233</v>
      </c>
      <c r="I53" s="80">
        <v>5</v>
      </c>
      <c r="J53" s="80"/>
      <c r="K53" s="80"/>
      <c r="L53" s="80"/>
      <c r="M53" s="1" t="s">
        <v>234</v>
      </c>
      <c r="N53" s="1">
        <v>33</v>
      </c>
      <c r="O53" s="1">
        <v>1</v>
      </c>
      <c r="P53" s="13">
        <v>44783</v>
      </c>
      <c r="Q53" s="1" t="s">
        <v>133</v>
      </c>
      <c r="R53" s="1" t="s">
        <v>64</v>
      </c>
      <c r="S53" s="1">
        <v>1</v>
      </c>
      <c r="T53" s="1"/>
      <c r="U53" s="1" t="s">
        <v>18</v>
      </c>
      <c r="V53" s="76">
        <v>7.333333333333333</v>
      </c>
      <c r="W53" s="76">
        <v>0.47140452079103162</v>
      </c>
      <c r="X53" s="77">
        <v>-0.70710678118654702</v>
      </c>
      <c r="Y53" s="77">
        <v>2</v>
      </c>
      <c r="Z53" s="76">
        <v>7.666666666666667</v>
      </c>
      <c r="AA53" s="76">
        <v>0.47140452079103179</v>
      </c>
      <c r="AB53" s="77">
        <v>-1.4142135623730954</v>
      </c>
      <c r="AC53" s="77">
        <v>1</v>
      </c>
      <c r="AD53" s="76">
        <v>8.6666666666666661</v>
      </c>
      <c r="AE53" s="76">
        <v>0.47140452079103146</v>
      </c>
      <c r="AF53" s="77">
        <v>-1.4142135623730945</v>
      </c>
      <c r="AG53" s="77">
        <v>1</v>
      </c>
      <c r="AH53" s="76">
        <v>5</v>
      </c>
      <c r="AI53" s="76">
        <v>0</v>
      </c>
      <c r="AJ53" s="77">
        <v>0</v>
      </c>
      <c r="AK53" s="77">
        <v>3</v>
      </c>
      <c r="AL53" s="76"/>
      <c r="AM53" s="76"/>
      <c r="AN53" s="77"/>
      <c r="AO53" s="77"/>
      <c r="AP53" s="76"/>
      <c r="AQ53" s="76"/>
      <c r="AR53" s="77"/>
      <c r="AS53" s="77"/>
      <c r="AT53" s="78">
        <v>0.5625</v>
      </c>
    </row>
    <row r="54" spans="1:46" ht="12.5" x14ac:dyDescent="0.25">
      <c r="A54" s="79">
        <v>44783.304790555558</v>
      </c>
      <c r="B54" s="80" t="s">
        <v>168</v>
      </c>
      <c r="C54" s="80" t="str">
        <f>INDEX(TBL_Name,MATCH(Table2[[#This Row],[Athlete Name]],listNames,0),2)</f>
        <v>Athlete 26</v>
      </c>
      <c r="D54" s="80" t="s">
        <v>130</v>
      </c>
      <c r="E54" s="80">
        <v>8</v>
      </c>
      <c r="F54" s="80">
        <v>7</v>
      </c>
      <c r="G54" s="80">
        <v>8</v>
      </c>
      <c r="H54" s="80" t="s">
        <v>178</v>
      </c>
      <c r="I54" s="80">
        <v>7</v>
      </c>
      <c r="J54" s="80"/>
      <c r="K54" s="80"/>
      <c r="L54" s="80"/>
      <c r="M54" s="1" t="s">
        <v>235</v>
      </c>
      <c r="N54" s="1">
        <v>33</v>
      </c>
      <c r="O54" s="1">
        <v>1</v>
      </c>
      <c r="P54" s="13">
        <v>44783</v>
      </c>
      <c r="Q54" s="1" t="s">
        <v>133</v>
      </c>
      <c r="R54" s="1" t="s">
        <v>64</v>
      </c>
      <c r="S54" s="1">
        <v>1</v>
      </c>
      <c r="T54" s="1"/>
      <c r="U54" s="1" t="s">
        <v>5</v>
      </c>
      <c r="V54" s="76">
        <v>8</v>
      </c>
      <c r="W54" s="76">
        <v>0</v>
      </c>
      <c r="X54" s="77">
        <v>0</v>
      </c>
      <c r="Y54" s="77">
        <v>3</v>
      </c>
      <c r="Z54" s="76">
        <v>7</v>
      </c>
      <c r="AA54" s="76">
        <v>0.81649658092772603</v>
      </c>
      <c r="AB54" s="77">
        <v>0</v>
      </c>
      <c r="AC54" s="77">
        <v>3</v>
      </c>
      <c r="AD54" s="76">
        <v>8</v>
      </c>
      <c r="AE54" s="76">
        <v>0</v>
      </c>
      <c r="AF54" s="77">
        <v>0</v>
      </c>
      <c r="AG54" s="77">
        <v>3</v>
      </c>
      <c r="AH54" s="76">
        <v>6.333333333333333</v>
      </c>
      <c r="AI54" s="76">
        <v>0.47140452079103179</v>
      </c>
      <c r="AJ54" s="77">
        <v>1.4142135623730954</v>
      </c>
      <c r="AK54" s="77">
        <v>4</v>
      </c>
      <c r="AL54" s="76"/>
      <c r="AM54" s="76"/>
      <c r="AN54" s="77"/>
      <c r="AO54" s="77"/>
      <c r="AP54" s="76"/>
      <c r="AQ54" s="76"/>
      <c r="AR54" s="77"/>
      <c r="AS54" s="77"/>
      <c r="AT54" s="78">
        <v>0.75</v>
      </c>
    </row>
    <row r="55" spans="1:46" ht="12.5" x14ac:dyDescent="0.25">
      <c r="A55" s="79">
        <v>44783.305018379629</v>
      </c>
      <c r="B55" s="80" t="s">
        <v>156</v>
      </c>
      <c r="C55" s="80" t="str">
        <f>INDEX(TBL_Name,MATCH(Table2[[#This Row],[Athlete Name]],listNames,0),2)</f>
        <v>Athlete 24</v>
      </c>
      <c r="D55" s="80" t="s">
        <v>130</v>
      </c>
      <c r="E55" s="80">
        <v>5</v>
      </c>
      <c r="F55" s="80">
        <v>7</v>
      </c>
      <c r="G55" s="80">
        <v>8</v>
      </c>
      <c r="H55" s="80" t="s">
        <v>236</v>
      </c>
      <c r="I55" s="80">
        <v>7</v>
      </c>
      <c r="J55" s="80"/>
      <c r="K55" s="80"/>
      <c r="L55" s="80"/>
      <c r="M55" s="1" t="s">
        <v>237</v>
      </c>
      <c r="N55" s="1">
        <v>33</v>
      </c>
      <c r="O55" s="1">
        <v>1</v>
      </c>
      <c r="P55" s="13">
        <v>44783</v>
      </c>
      <c r="Q55" s="1" t="s">
        <v>133</v>
      </c>
      <c r="R55" s="1" t="s">
        <v>64</v>
      </c>
      <c r="S55" s="1">
        <v>1</v>
      </c>
      <c r="T55" s="1"/>
      <c r="U55" s="1" t="s">
        <v>11</v>
      </c>
      <c r="V55" s="76">
        <v>5</v>
      </c>
      <c r="W55" s="76">
        <v>0</v>
      </c>
      <c r="X55" s="77">
        <v>0</v>
      </c>
      <c r="Y55" s="77">
        <v>3</v>
      </c>
      <c r="Z55" s="76">
        <v>6.5</v>
      </c>
      <c r="AA55" s="76">
        <v>0.5</v>
      </c>
      <c r="AB55" s="77">
        <v>1</v>
      </c>
      <c r="AC55" s="77">
        <v>4</v>
      </c>
      <c r="AD55" s="76">
        <v>8</v>
      </c>
      <c r="AE55" s="76">
        <v>0</v>
      </c>
      <c r="AF55" s="77">
        <v>0</v>
      </c>
      <c r="AG55" s="77">
        <v>3</v>
      </c>
      <c r="AH55" s="76">
        <v>6.5</v>
      </c>
      <c r="AI55" s="76">
        <v>0.5</v>
      </c>
      <c r="AJ55" s="77">
        <v>1</v>
      </c>
      <c r="AK55" s="77">
        <v>4</v>
      </c>
      <c r="AL55" s="76"/>
      <c r="AM55" s="76"/>
      <c r="AN55" s="77"/>
      <c r="AO55" s="77"/>
      <c r="AP55" s="76"/>
      <c r="AQ55" s="76"/>
      <c r="AR55" s="77"/>
      <c r="AS55" s="77"/>
      <c r="AT55" s="78">
        <v>0.75</v>
      </c>
    </row>
    <row r="56" spans="1:46" ht="12.5" x14ac:dyDescent="0.25">
      <c r="A56" s="79">
        <v>44783.305234421292</v>
      </c>
      <c r="B56" s="80" t="s">
        <v>13</v>
      </c>
      <c r="C56" s="80" t="str">
        <f>INDEX(TBL_Name,MATCH(Table2[[#This Row],[Athlete Name]],listNames,0),2)</f>
        <v>Athlete 7</v>
      </c>
      <c r="D56" s="80" t="s">
        <v>130</v>
      </c>
      <c r="E56" s="80">
        <v>8</v>
      </c>
      <c r="F56" s="80">
        <v>4</v>
      </c>
      <c r="G56" s="80">
        <v>7</v>
      </c>
      <c r="H56" s="80" t="s">
        <v>191</v>
      </c>
      <c r="I56" s="80">
        <v>5</v>
      </c>
      <c r="J56" s="80"/>
      <c r="K56" s="80"/>
      <c r="L56" s="80"/>
      <c r="M56" s="1" t="s">
        <v>238</v>
      </c>
      <c r="N56" s="1">
        <v>33</v>
      </c>
      <c r="O56" s="1">
        <v>1</v>
      </c>
      <c r="P56" s="13">
        <v>44783</v>
      </c>
      <c r="Q56" s="1" t="s">
        <v>133</v>
      </c>
      <c r="R56" s="1" t="s">
        <v>64</v>
      </c>
      <c r="S56" s="1">
        <v>1</v>
      </c>
      <c r="T56" s="1"/>
      <c r="U56" s="1" t="s">
        <v>14</v>
      </c>
      <c r="V56" s="76">
        <v>6.666666666666667</v>
      </c>
      <c r="W56" s="76">
        <v>1.247219128924647</v>
      </c>
      <c r="X56" s="77">
        <v>1.0690449676496974</v>
      </c>
      <c r="Y56" s="77">
        <v>4</v>
      </c>
      <c r="Z56" s="76">
        <v>6.333333333333333</v>
      </c>
      <c r="AA56" s="76">
        <v>1.699673171197595</v>
      </c>
      <c r="AB56" s="77">
        <v>-1.372812945967288</v>
      </c>
      <c r="AC56" s="77">
        <v>1</v>
      </c>
      <c r="AD56" s="76">
        <v>7.666666666666667</v>
      </c>
      <c r="AE56" s="76">
        <v>0.47140452079103179</v>
      </c>
      <c r="AF56" s="77">
        <v>-1.4142135623730954</v>
      </c>
      <c r="AG56" s="77">
        <v>1</v>
      </c>
      <c r="AH56" s="76">
        <v>3.3333333333333335</v>
      </c>
      <c r="AI56" s="76">
        <v>1.247219128924647</v>
      </c>
      <c r="AJ56" s="77">
        <v>1.3363062095621219</v>
      </c>
      <c r="AK56" s="77">
        <v>4</v>
      </c>
      <c r="AL56" s="76"/>
      <c r="AM56" s="76"/>
      <c r="AN56" s="77"/>
      <c r="AO56" s="77"/>
      <c r="AP56" s="76"/>
      <c r="AQ56" s="76"/>
      <c r="AR56" s="77"/>
      <c r="AS56" s="77"/>
      <c r="AT56" s="78">
        <v>0.5625</v>
      </c>
    </row>
    <row r="57" spans="1:46" ht="12.5" x14ac:dyDescent="0.25">
      <c r="A57" s="79">
        <v>44783.306959513888</v>
      </c>
      <c r="B57" s="80" t="s">
        <v>20</v>
      </c>
      <c r="C57" s="80" t="str">
        <f>INDEX(TBL_Name,MATCH(Table2[[#This Row],[Athlete Name]],listNames,0),2)</f>
        <v>Athlete 12</v>
      </c>
      <c r="D57" s="80" t="s">
        <v>130</v>
      </c>
      <c r="E57" s="80">
        <v>6</v>
      </c>
      <c r="F57" s="80">
        <v>7</v>
      </c>
      <c r="G57" s="80">
        <v>9</v>
      </c>
      <c r="H57" s="80" t="s">
        <v>239</v>
      </c>
      <c r="I57" s="80">
        <v>4</v>
      </c>
      <c r="J57" s="80"/>
      <c r="K57" s="80"/>
      <c r="L57" s="80"/>
      <c r="M57" s="1" t="s">
        <v>240</v>
      </c>
      <c r="N57" s="1">
        <v>33</v>
      </c>
      <c r="O57" s="1">
        <v>1</v>
      </c>
      <c r="P57" s="13">
        <v>44783</v>
      </c>
      <c r="Q57" s="1" t="s">
        <v>133</v>
      </c>
      <c r="R57" s="1" t="s">
        <v>64</v>
      </c>
      <c r="S57" s="1">
        <v>1</v>
      </c>
      <c r="T57" s="1"/>
      <c r="U57" s="1" t="s">
        <v>18</v>
      </c>
      <c r="V57" s="76">
        <v>7</v>
      </c>
      <c r="W57" s="76">
        <v>1</v>
      </c>
      <c r="X57" s="77">
        <v>-1</v>
      </c>
      <c r="Y57" s="77">
        <v>1</v>
      </c>
      <c r="Z57" s="76">
        <v>7.5</v>
      </c>
      <c r="AA57" s="76">
        <v>0.5</v>
      </c>
      <c r="AB57" s="77">
        <v>-1</v>
      </c>
      <c r="AC57" s="77">
        <v>1</v>
      </c>
      <c r="AD57" s="76">
        <v>9</v>
      </c>
      <c r="AE57" s="76">
        <v>0</v>
      </c>
      <c r="AF57" s="77">
        <v>0</v>
      </c>
      <c r="AG57" s="77">
        <v>3</v>
      </c>
      <c r="AH57" s="76">
        <v>4.5</v>
      </c>
      <c r="AI57" s="76">
        <v>0.5</v>
      </c>
      <c r="AJ57" s="77">
        <v>-1</v>
      </c>
      <c r="AK57" s="77">
        <v>1</v>
      </c>
      <c r="AL57" s="76"/>
      <c r="AM57" s="76"/>
      <c r="AN57" s="77"/>
      <c r="AO57" s="77"/>
      <c r="AP57" s="76"/>
      <c r="AQ57" s="76"/>
      <c r="AR57" s="77"/>
      <c r="AS57" s="77"/>
      <c r="AT57" s="78">
        <v>0.5625</v>
      </c>
    </row>
    <row r="58" spans="1:46" ht="12.5" x14ac:dyDescent="0.25">
      <c r="A58" s="79">
        <v>44783.307215729168</v>
      </c>
      <c r="B58" s="80" t="s">
        <v>136</v>
      </c>
      <c r="C58" s="80" t="str">
        <f>INDEX(TBL_Name,MATCH(Table2[[#This Row],[Athlete Name]],listNames,0),2)</f>
        <v>Athlete 20</v>
      </c>
      <c r="D58" s="80" t="s">
        <v>130</v>
      </c>
      <c r="E58" s="80">
        <v>8</v>
      </c>
      <c r="F58" s="80">
        <v>9</v>
      </c>
      <c r="G58" s="80">
        <v>9</v>
      </c>
      <c r="H58" s="80" t="s">
        <v>205</v>
      </c>
      <c r="I58" s="80">
        <v>4</v>
      </c>
      <c r="J58" s="80"/>
      <c r="K58" s="80"/>
      <c r="L58" s="80"/>
      <c r="M58" s="1" t="s">
        <v>241</v>
      </c>
      <c r="N58" s="1">
        <v>33</v>
      </c>
      <c r="O58" s="1">
        <v>1</v>
      </c>
      <c r="P58" s="13">
        <v>44783</v>
      </c>
      <c r="Q58" s="1" t="s">
        <v>133</v>
      </c>
      <c r="R58" s="1" t="s">
        <v>64</v>
      </c>
      <c r="S58" s="1">
        <v>1</v>
      </c>
      <c r="T58" s="1"/>
      <c r="U58" s="1" t="s">
        <v>18</v>
      </c>
      <c r="V58" s="76">
        <v>8.6666666666666661</v>
      </c>
      <c r="W58" s="76">
        <v>0.47140452079103146</v>
      </c>
      <c r="X58" s="77">
        <v>-1.4142135623730945</v>
      </c>
      <c r="Y58" s="77">
        <v>1</v>
      </c>
      <c r="Z58" s="76">
        <v>8</v>
      </c>
      <c r="AA58" s="76">
        <v>2.1602468994692869</v>
      </c>
      <c r="AB58" s="77">
        <v>0.46291004988627571</v>
      </c>
      <c r="AC58" s="77">
        <v>3</v>
      </c>
      <c r="AD58" s="76">
        <v>8.6666666666666661</v>
      </c>
      <c r="AE58" s="76">
        <v>0.47140452079103179</v>
      </c>
      <c r="AF58" s="77">
        <v>0.70710678118654857</v>
      </c>
      <c r="AG58" s="77">
        <v>3</v>
      </c>
      <c r="AH58" s="76">
        <v>4</v>
      </c>
      <c r="AI58" s="76">
        <v>0.81649658092772603</v>
      </c>
      <c r="AJ58" s="77">
        <v>0</v>
      </c>
      <c r="AK58" s="77">
        <v>3</v>
      </c>
      <c r="AL58" s="76"/>
      <c r="AM58" s="76"/>
      <c r="AN58" s="77"/>
      <c r="AO58" s="77"/>
      <c r="AP58" s="76"/>
      <c r="AQ58" s="76"/>
      <c r="AR58" s="77"/>
      <c r="AS58" s="77"/>
      <c r="AT58" s="78">
        <v>0.5</v>
      </c>
    </row>
    <row r="59" spans="1:46" ht="12.5" x14ac:dyDescent="0.25">
      <c r="A59" s="79">
        <v>44783.3136537963</v>
      </c>
      <c r="B59" s="80" t="s">
        <v>19</v>
      </c>
      <c r="C59" s="80" t="str">
        <f>INDEX(TBL_Name,MATCH(Table2[[#This Row],[Athlete Name]],listNames,0),2)</f>
        <v>Athlete 11</v>
      </c>
      <c r="D59" s="80" t="s">
        <v>130</v>
      </c>
      <c r="E59" s="80">
        <v>5</v>
      </c>
      <c r="F59" s="80">
        <v>7</v>
      </c>
      <c r="G59" s="80">
        <v>7</v>
      </c>
      <c r="H59" s="80" t="s">
        <v>188</v>
      </c>
      <c r="I59" s="80">
        <v>6</v>
      </c>
      <c r="J59" s="80"/>
      <c r="K59" s="80"/>
      <c r="L59" s="80"/>
      <c r="M59" s="1" t="s">
        <v>242</v>
      </c>
      <c r="N59" s="1">
        <v>33</v>
      </c>
      <c r="O59" s="1">
        <v>1</v>
      </c>
      <c r="P59" s="13">
        <v>44783</v>
      </c>
      <c r="Q59" s="1" t="s">
        <v>133</v>
      </c>
      <c r="R59" s="1" t="s">
        <v>64</v>
      </c>
      <c r="S59" s="1">
        <v>1</v>
      </c>
      <c r="T59" s="1"/>
      <c r="U59" s="1" t="s">
        <v>18</v>
      </c>
      <c r="V59" s="76">
        <v>5.666666666666667</v>
      </c>
      <c r="W59" s="76">
        <v>0.47140452079103179</v>
      </c>
      <c r="X59" s="77">
        <v>-1.4142135623730954</v>
      </c>
      <c r="Y59" s="77">
        <v>1</v>
      </c>
      <c r="Z59" s="76">
        <v>6.666666666666667</v>
      </c>
      <c r="AA59" s="76">
        <v>0.47140452079103162</v>
      </c>
      <c r="AB59" s="77">
        <v>0.70710678118654702</v>
      </c>
      <c r="AC59" s="77">
        <v>3</v>
      </c>
      <c r="AD59" s="76">
        <v>6.666666666666667</v>
      </c>
      <c r="AE59" s="76">
        <v>0.47140452079103162</v>
      </c>
      <c r="AF59" s="77">
        <v>0.70710678118654702</v>
      </c>
      <c r="AG59" s="77">
        <v>3</v>
      </c>
      <c r="AH59" s="76">
        <v>4</v>
      </c>
      <c r="AI59" s="76">
        <v>1.4142135623730951</v>
      </c>
      <c r="AJ59" s="77">
        <v>1.4142135623730949</v>
      </c>
      <c r="AK59" s="77">
        <v>4</v>
      </c>
      <c r="AL59" s="76"/>
      <c r="AM59" s="76"/>
      <c r="AN59" s="77"/>
      <c r="AO59" s="77"/>
      <c r="AP59" s="76"/>
      <c r="AQ59" s="76"/>
      <c r="AR59" s="77"/>
      <c r="AS59" s="77"/>
      <c r="AT59" s="78">
        <v>0.75</v>
      </c>
    </row>
    <row r="60" spans="1:46" ht="12.5" x14ac:dyDescent="0.25">
      <c r="A60" s="79">
        <v>44783.314696145833</v>
      </c>
      <c r="B60" s="80" t="s">
        <v>180</v>
      </c>
      <c r="C60" s="80" t="str">
        <f>INDEX(TBL_Name,MATCH(Table2[[#This Row],[Athlete Name]],listNames,0),2)</f>
        <v>Athlete 29</v>
      </c>
      <c r="D60" s="80" t="s">
        <v>143</v>
      </c>
      <c r="E60" s="80">
        <v>8</v>
      </c>
      <c r="F60" s="80">
        <v>6</v>
      </c>
      <c r="G60" s="80">
        <v>7</v>
      </c>
      <c r="H60" s="80" t="s">
        <v>181</v>
      </c>
      <c r="I60" s="80">
        <v>6</v>
      </c>
      <c r="J60" s="80"/>
      <c r="K60" s="80"/>
      <c r="L60" s="80"/>
      <c r="M60" s="1" t="s">
        <v>243</v>
      </c>
      <c r="N60" s="1">
        <v>33</v>
      </c>
      <c r="O60" s="1">
        <v>1</v>
      </c>
      <c r="P60" s="13">
        <v>44783</v>
      </c>
      <c r="Q60" s="1" t="s">
        <v>133</v>
      </c>
      <c r="R60" s="1" t="s">
        <v>64</v>
      </c>
      <c r="S60" s="1">
        <v>2</v>
      </c>
      <c r="T60" s="1"/>
      <c r="U60" s="1" t="s">
        <v>5</v>
      </c>
      <c r="V60" s="76">
        <v>8.6666666666666661</v>
      </c>
      <c r="W60" s="76">
        <v>0.47140452079103146</v>
      </c>
      <c r="X60" s="77">
        <v>-1.4142135623730945</v>
      </c>
      <c r="Y60" s="77">
        <v>1</v>
      </c>
      <c r="Z60" s="76">
        <v>7.333333333333333</v>
      </c>
      <c r="AA60" s="76">
        <v>0.94280904158206325</v>
      </c>
      <c r="AB60" s="77">
        <v>-1.4142135623730949</v>
      </c>
      <c r="AC60" s="77">
        <v>1</v>
      </c>
      <c r="AD60" s="76">
        <v>7.666666666666667</v>
      </c>
      <c r="AE60" s="76">
        <v>0.47140452079103179</v>
      </c>
      <c r="AF60" s="77">
        <v>-1.4142135623730954</v>
      </c>
      <c r="AG60" s="77">
        <v>1</v>
      </c>
      <c r="AH60" s="76">
        <v>5.333333333333333</v>
      </c>
      <c r="AI60" s="76">
        <v>0.47140452079103179</v>
      </c>
      <c r="AJ60" s="77">
        <v>1.4142135623730954</v>
      </c>
      <c r="AK60" s="77">
        <v>4</v>
      </c>
      <c r="AL60" s="76"/>
      <c r="AM60" s="76"/>
      <c r="AN60" s="77"/>
      <c r="AO60" s="77"/>
      <c r="AP60" s="76"/>
      <c r="AQ60" s="76"/>
      <c r="AR60" s="77"/>
      <c r="AS60" s="77"/>
      <c r="AT60" s="78">
        <v>0.25</v>
      </c>
    </row>
    <row r="61" spans="1:46" ht="12.5" x14ac:dyDescent="0.25">
      <c r="A61" s="79">
        <v>44783.319104675931</v>
      </c>
      <c r="B61" s="80" t="s">
        <v>12</v>
      </c>
      <c r="C61" s="80" t="str">
        <f>INDEX(TBL_Name,MATCH(Table2[[#This Row],[Athlete Name]],listNames,0),2)</f>
        <v>Athlete 6</v>
      </c>
      <c r="D61" s="80" t="s">
        <v>130</v>
      </c>
      <c r="E61" s="80">
        <v>10</v>
      </c>
      <c r="F61" s="80">
        <v>9</v>
      </c>
      <c r="G61" s="80">
        <v>9</v>
      </c>
      <c r="H61" s="80" t="s">
        <v>244</v>
      </c>
      <c r="I61" s="80">
        <v>2</v>
      </c>
      <c r="J61" s="80"/>
      <c r="K61" s="80"/>
      <c r="L61" s="80"/>
      <c r="M61" s="1" t="s">
        <v>245</v>
      </c>
      <c r="N61" s="1">
        <v>33</v>
      </c>
      <c r="O61" s="1">
        <v>1</v>
      </c>
      <c r="P61" s="13">
        <v>44783</v>
      </c>
      <c r="Q61" s="1" t="s">
        <v>133</v>
      </c>
      <c r="R61" s="1" t="s">
        <v>64</v>
      </c>
      <c r="S61" s="1">
        <v>1</v>
      </c>
      <c r="T61" s="1"/>
      <c r="U61" s="1" t="s">
        <v>11</v>
      </c>
      <c r="V61" s="76">
        <v>9.5</v>
      </c>
      <c r="W61" s="76">
        <v>0.5</v>
      </c>
      <c r="X61" s="77">
        <v>1</v>
      </c>
      <c r="Y61" s="77">
        <v>4</v>
      </c>
      <c r="Z61" s="76">
        <v>8.5</v>
      </c>
      <c r="AA61" s="76">
        <v>0.5</v>
      </c>
      <c r="AB61" s="77">
        <v>1</v>
      </c>
      <c r="AC61" s="77">
        <v>4</v>
      </c>
      <c r="AD61" s="76">
        <v>9</v>
      </c>
      <c r="AE61" s="76">
        <v>0</v>
      </c>
      <c r="AF61" s="77">
        <v>0</v>
      </c>
      <c r="AG61" s="77">
        <v>3</v>
      </c>
      <c r="AH61" s="76">
        <v>2.5</v>
      </c>
      <c r="AI61" s="76">
        <v>0.5</v>
      </c>
      <c r="AJ61" s="77">
        <v>-1</v>
      </c>
      <c r="AK61" s="77">
        <v>1</v>
      </c>
      <c r="AL61" s="76"/>
      <c r="AM61" s="76"/>
      <c r="AN61" s="77"/>
      <c r="AO61" s="77"/>
      <c r="AP61" s="76"/>
      <c r="AQ61" s="76"/>
      <c r="AR61" s="77"/>
      <c r="AS61" s="77"/>
      <c r="AT61" s="78">
        <v>0.4375</v>
      </c>
    </row>
    <row r="62" spans="1:46" ht="12.5" x14ac:dyDescent="0.25">
      <c r="A62" s="79">
        <v>44783.321829826389</v>
      </c>
      <c r="B62" s="80" t="s">
        <v>10</v>
      </c>
      <c r="C62" s="80" t="str">
        <f>INDEX(TBL_Name,MATCH(Table2[[#This Row],[Athlete Name]],listNames,0),2)</f>
        <v>Athlete 5</v>
      </c>
      <c r="D62" s="80" t="s">
        <v>130</v>
      </c>
      <c r="E62" s="80">
        <v>3</v>
      </c>
      <c r="F62" s="80">
        <v>9</v>
      </c>
      <c r="G62" s="80">
        <v>9</v>
      </c>
      <c r="H62" s="80" t="s">
        <v>231</v>
      </c>
      <c r="I62" s="80">
        <v>5</v>
      </c>
      <c r="J62" s="80"/>
      <c r="K62" s="80"/>
      <c r="L62" s="80"/>
      <c r="M62" s="1" t="s">
        <v>246</v>
      </c>
      <c r="N62" s="1">
        <v>33</v>
      </c>
      <c r="O62" s="1">
        <v>1</v>
      </c>
      <c r="P62" s="13">
        <v>44783</v>
      </c>
      <c r="Q62" s="1" t="s">
        <v>133</v>
      </c>
      <c r="R62" s="1" t="s">
        <v>64</v>
      </c>
      <c r="S62" s="1">
        <v>1</v>
      </c>
      <c r="T62" s="1"/>
      <c r="U62" s="1" t="s">
        <v>11</v>
      </c>
      <c r="V62" s="76">
        <v>5</v>
      </c>
      <c r="W62" s="76">
        <v>1.4142135623730951</v>
      </c>
      <c r="X62" s="77">
        <v>-1.4142135623730949</v>
      </c>
      <c r="Y62" s="77">
        <v>1</v>
      </c>
      <c r="Z62" s="76">
        <v>8.3333333333333339</v>
      </c>
      <c r="AA62" s="76">
        <v>0.47140452079103146</v>
      </c>
      <c r="AB62" s="77">
        <v>1.4142135623730945</v>
      </c>
      <c r="AC62" s="77">
        <v>4</v>
      </c>
      <c r="AD62" s="76">
        <v>8.3333333333333339</v>
      </c>
      <c r="AE62" s="76">
        <v>0.47140452079103146</v>
      </c>
      <c r="AF62" s="77">
        <v>1.4142135623730945</v>
      </c>
      <c r="AG62" s="77">
        <v>4</v>
      </c>
      <c r="AH62" s="76">
        <v>6.666666666666667</v>
      </c>
      <c r="AI62" s="76">
        <v>1.2472191289246473</v>
      </c>
      <c r="AJ62" s="77">
        <v>-1.3363062095621221</v>
      </c>
      <c r="AK62" s="77">
        <v>1</v>
      </c>
      <c r="AL62" s="76"/>
      <c r="AM62" s="76"/>
      <c r="AN62" s="77"/>
      <c r="AO62" s="77"/>
      <c r="AP62" s="76"/>
      <c r="AQ62" s="76"/>
      <c r="AR62" s="77"/>
      <c r="AS62" s="77"/>
      <c r="AT62" s="78">
        <v>0.75</v>
      </c>
    </row>
    <row r="63" spans="1:46" ht="12.5" x14ac:dyDescent="0.25">
      <c r="A63" s="79">
        <v>44783.323980127316</v>
      </c>
      <c r="B63" s="80" t="s">
        <v>22</v>
      </c>
      <c r="C63" s="80" t="str">
        <f>INDEX(TBL_Name,MATCH(Table2[[#This Row],[Athlete Name]],listNames,0),2)</f>
        <v>Athlete 14</v>
      </c>
      <c r="D63" s="80" t="s">
        <v>130</v>
      </c>
      <c r="E63" s="80">
        <v>7</v>
      </c>
      <c r="F63" s="80">
        <v>7</v>
      </c>
      <c r="G63" s="80">
        <v>9</v>
      </c>
      <c r="H63" s="80" t="s">
        <v>247</v>
      </c>
      <c r="I63" s="80">
        <v>2</v>
      </c>
      <c r="J63" s="80"/>
      <c r="K63" s="80"/>
      <c r="L63" s="80"/>
      <c r="M63" s="1" t="s">
        <v>248</v>
      </c>
      <c r="N63" s="1">
        <v>33</v>
      </c>
      <c r="O63" s="1">
        <v>1</v>
      </c>
      <c r="P63" s="13">
        <v>44783</v>
      </c>
      <c r="Q63" s="1" t="s">
        <v>133</v>
      </c>
      <c r="R63" s="1" t="s">
        <v>64</v>
      </c>
      <c r="S63" s="1">
        <v>1</v>
      </c>
      <c r="T63" s="1"/>
      <c r="U63" s="1" t="s">
        <v>18</v>
      </c>
      <c r="V63" s="76">
        <v>6.666666666666667</v>
      </c>
      <c r="W63" s="76">
        <v>0.47140452079103162</v>
      </c>
      <c r="X63" s="77">
        <v>0.70710678118654702</v>
      </c>
      <c r="Y63" s="77">
        <v>3</v>
      </c>
      <c r="Z63" s="76">
        <v>6.333333333333333</v>
      </c>
      <c r="AA63" s="76">
        <v>0.47140452079103179</v>
      </c>
      <c r="AB63" s="77">
        <v>1.4142135623730954</v>
      </c>
      <c r="AC63" s="77">
        <v>4</v>
      </c>
      <c r="AD63" s="76">
        <v>8.3333333333333339</v>
      </c>
      <c r="AE63" s="76">
        <v>0.47140452079103146</v>
      </c>
      <c r="AF63" s="77">
        <v>1.4142135623730945</v>
      </c>
      <c r="AG63" s="77">
        <v>4</v>
      </c>
      <c r="AH63" s="76">
        <v>2</v>
      </c>
      <c r="AI63" s="76">
        <v>0</v>
      </c>
      <c r="AJ63" s="77">
        <v>0</v>
      </c>
      <c r="AK63" s="77">
        <v>3</v>
      </c>
      <c r="AL63" s="76"/>
      <c r="AM63" s="76"/>
      <c r="AN63" s="77"/>
      <c r="AO63" s="77"/>
      <c r="AP63" s="76"/>
      <c r="AQ63" s="76"/>
      <c r="AR63" s="77"/>
      <c r="AS63" s="77"/>
      <c r="AT63" s="78">
        <v>0.6875</v>
      </c>
    </row>
    <row r="64" spans="1:46" ht="12.5" x14ac:dyDescent="0.25">
      <c r="A64" s="79">
        <v>44783.334284641205</v>
      </c>
      <c r="B64" s="80" t="s">
        <v>177</v>
      </c>
      <c r="C64" s="80" t="str">
        <f>INDEX(TBL_Name,MATCH(Table2[[#This Row],[Athlete Name]],listNames,0),2)</f>
        <v>Athlete 28</v>
      </c>
      <c r="D64" s="80" t="s">
        <v>130</v>
      </c>
      <c r="E64" s="80">
        <v>3</v>
      </c>
      <c r="F64" s="80">
        <v>8</v>
      </c>
      <c r="G64" s="80">
        <v>9</v>
      </c>
      <c r="H64" s="80" t="s">
        <v>249</v>
      </c>
      <c r="I64" s="80">
        <v>4</v>
      </c>
      <c r="J64" s="80"/>
      <c r="K64" s="80"/>
      <c r="L64" s="80"/>
      <c r="M64" s="1" t="s">
        <v>250</v>
      </c>
      <c r="N64" s="1">
        <v>33</v>
      </c>
      <c r="O64" s="1">
        <v>1</v>
      </c>
      <c r="P64" s="13">
        <v>44783</v>
      </c>
      <c r="Q64" s="1" t="s">
        <v>133</v>
      </c>
      <c r="R64" s="1" t="s">
        <v>64</v>
      </c>
      <c r="S64" s="1">
        <v>1</v>
      </c>
      <c r="T64" s="1"/>
      <c r="U64" s="1" t="s">
        <v>28</v>
      </c>
      <c r="V64" s="76">
        <v>2.3333333333333335</v>
      </c>
      <c r="W64" s="76">
        <v>0.47140452079103162</v>
      </c>
      <c r="X64" s="77">
        <v>1.4142135623730949</v>
      </c>
      <c r="Y64" s="77">
        <v>4</v>
      </c>
      <c r="Z64" s="76">
        <v>4.666666666666667</v>
      </c>
      <c r="AA64" s="76">
        <v>2.4944382578492941</v>
      </c>
      <c r="AB64" s="77">
        <v>1.3363062095621219</v>
      </c>
      <c r="AC64" s="77">
        <v>4</v>
      </c>
      <c r="AD64" s="76">
        <v>6.333333333333333</v>
      </c>
      <c r="AE64" s="76">
        <v>2.4944382578492941</v>
      </c>
      <c r="AF64" s="77">
        <v>1.0690449676496978</v>
      </c>
      <c r="AG64" s="77">
        <v>4</v>
      </c>
      <c r="AH64" s="76">
        <v>4.333333333333333</v>
      </c>
      <c r="AI64" s="76">
        <v>2.8674417556808756</v>
      </c>
      <c r="AJ64" s="77">
        <v>-0.11624763874381917</v>
      </c>
      <c r="AK64" s="77">
        <v>2</v>
      </c>
      <c r="AL64" s="76"/>
      <c r="AM64" s="76"/>
      <c r="AN64" s="77"/>
      <c r="AO64" s="77"/>
      <c r="AP64" s="76"/>
      <c r="AQ64" s="76"/>
      <c r="AR64" s="77"/>
      <c r="AS64" s="77"/>
      <c r="AT64" s="78">
        <v>1</v>
      </c>
    </row>
    <row r="65" spans="1:46" ht="12.5" x14ac:dyDescent="0.25">
      <c r="A65" s="79">
        <v>44783.335920798607</v>
      </c>
      <c r="B65" s="80" t="s">
        <v>23</v>
      </c>
      <c r="C65" s="80" t="str">
        <f>INDEX(TBL_Name,MATCH(Table2[[#This Row],[Athlete Name]],listNames,0),2)</f>
        <v>Athlete 15</v>
      </c>
      <c r="D65" s="80" t="s">
        <v>130</v>
      </c>
      <c r="E65" s="80">
        <v>4</v>
      </c>
      <c r="F65" s="80">
        <v>7</v>
      </c>
      <c r="G65" s="80">
        <v>8</v>
      </c>
      <c r="H65" s="80" t="s">
        <v>251</v>
      </c>
      <c r="I65" s="80">
        <v>3</v>
      </c>
      <c r="J65" s="80"/>
      <c r="K65" s="80"/>
      <c r="L65" s="80"/>
      <c r="M65" s="1" t="s">
        <v>252</v>
      </c>
      <c r="N65" s="1">
        <v>33</v>
      </c>
      <c r="O65" s="1">
        <v>1</v>
      </c>
      <c r="P65" s="13">
        <v>44783</v>
      </c>
      <c r="Q65" s="1" t="s">
        <v>133</v>
      </c>
      <c r="R65" s="1" t="s">
        <v>64</v>
      </c>
      <c r="S65" s="1">
        <v>1</v>
      </c>
      <c r="T65" s="1"/>
      <c r="U65" s="1" t="s">
        <v>18</v>
      </c>
      <c r="V65" s="76">
        <v>4</v>
      </c>
      <c r="W65" s="76">
        <v>0</v>
      </c>
      <c r="X65" s="77">
        <v>0</v>
      </c>
      <c r="Y65" s="77">
        <v>3</v>
      </c>
      <c r="Z65" s="76">
        <v>7</v>
      </c>
      <c r="AA65" s="76">
        <v>0</v>
      </c>
      <c r="AB65" s="77">
        <v>0</v>
      </c>
      <c r="AC65" s="77">
        <v>3</v>
      </c>
      <c r="AD65" s="76">
        <v>8</v>
      </c>
      <c r="AE65" s="76">
        <v>0</v>
      </c>
      <c r="AF65" s="77">
        <v>0</v>
      </c>
      <c r="AG65" s="77">
        <v>3</v>
      </c>
      <c r="AH65" s="76">
        <v>3</v>
      </c>
      <c r="AI65" s="76">
        <v>0</v>
      </c>
      <c r="AJ65" s="77">
        <v>0</v>
      </c>
      <c r="AK65" s="77">
        <v>3</v>
      </c>
      <c r="AL65" s="76"/>
      <c r="AM65" s="76"/>
      <c r="AN65" s="77"/>
      <c r="AO65" s="77"/>
      <c r="AP65" s="76"/>
      <c r="AQ65" s="76"/>
      <c r="AR65" s="77"/>
      <c r="AS65" s="77"/>
      <c r="AT65" s="78">
        <v>0.75</v>
      </c>
    </row>
    <row r="66" spans="1:46" ht="12.5" x14ac:dyDescent="0.25">
      <c r="A66" s="79">
        <v>44783.336646018521</v>
      </c>
      <c r="B66" s="80" t="s">
        <v>9</v>
      </c>
      <c r="C66" s="80" t="str">
        <f>INDEX(TBL_Name,MATCH(Table2[[#This Row],[Athlete Name]],listNames,0),2)</f>
        <v>Athlete 4</v>
      </c>
      <c r="D66" s="80" t="s">
        <v>130</v>
      </c>
      <c r="E66" s="80">
        <v>7</v>
      </c>
      <c r="F66" s="80">
        <v>7</v>
      </c>
      <c r="G66" s="80">
        <v>8</v>
      </c>
      <c r="H66" s="80" t="s">
        <v>253</v>
      </c>
      <c r="I66" s="80">
        <v>5</v>
      </c>
      <c r="J66" s="80"/>
      <c r="K66" s="80"/>
      <c r="L66" s="80"/>
      <c r="M66" s="1" t="s">
        <v>254</v>
      </c>
      <c r="N66" s="1">
        <v>33</v>
      </c>
      <c r="O66" s="1">
        <v>1</v>
      </c>
      <c r="P66" s="13">
        <v>44783</v>
      </c>
      <c r="Q66" s="1" t="s">
        <v>133</v>
      </c>
      <c r="R66" s="1" t="s">
        <v>64</v>
      </c>
      <c r="S66" s="1">
        <v>1</v>
      </c>
      <c r="T66" s="1"/>
      <c r="U66" s="1" t="s">
        <v>8</v>
      </c>
      <c r="V66" s="76">
        <v>6.333333333333333</v>
      </c>
      <c r="W66" s="76">
        <v>0.47140452079103179</v>
      </c>
      <c r="X66" s="77">
        <v>1.4142135623730954</v>
      </c>
      <c r="Y66" s="77">
        <v>4</v>
      </c>
      <c r="Z66" s="76">
        <v>7.666666666666667</v>
      </c>
      <c r="AA66" s="76">
        <v>0.47140452079103179</v>
      </c>
      <c r="AB66" s="77">
        <v>-1.4142135623730954</v>
      </c>
      <c r="AC66" s="77">
        <v>1</v>
      </c>
      <c r="AD66" s="76">
        <v>8</v>
      </c>
      <c r="AE66" s="76">
        <v>0</v>
      </c>
      <c r="AF66" s="77">
        <v>0</v>
      </c>
      <c r="AG66" s="77">
        <v>3</v>
      </c>
      <c r="AH66" s="76">
        <v>4.333333333333333</v>
      </c>
      <c r="AI66" s="76">
        <v>0.47140452079103179</v>
      </c>
      <c r="AJ66" s="77">
        <v>1.4142135623730954</v>
      </c>
      <c r="AK66" s="77">
        <v>4</v>
      </c>
      <c r="AL66" s="76"/>
      <c r="AM66" s="76"/>
      <c r="AN66" s="77"/>
      <c r="AO66" s="77"/>
      <c r="AP66" s="76"/>
      <c r="AQ66" s="76"/>
      <c r="AR66" s="77"/>
      <c r="AS66" s="77"/>
      <c r="AT66" s="78">
        <v>0.8125</v>
      </c>
    </row>
    <row r="67" spans="1:46" ht="12.5" x14ac:dyDescent="0.25">
      <c r="A67" s="79">
        <v>44783.346431099533</v>
      </c>
      <c r="B67" s="80" t="s">
        <v>142</v>
      </c>
      <c r="C67" s="80" t="str">
        <f>INDEX(TBL_Name,MATCH(Table2[[#This Row],[Athlete Name]],listNames,0),2)</f>
        <v>Athlete 21</v>
      </c>
      <c r="D67" s="80" t="s">
        <v>143</v>
      </c>
      <c r="E67" s="80">
        <v>5</v>
      </c>
      <c r="F67" s="80">
        <v>9</v>
      </c>
      <c r="G67" s="80">
        <v>9</v>
      </c>
      <c r="H67" s="80" t="s">
        <v>70</v>
      </c>
      <c r="I67" s="80">
        <v>5</v>
      </c>
      <c r="J67" s="80"/>
      <c r="K67" s="80"/>
      <c r="L67" s="80"/>
      <c r="M67" s="1" t="s">
        <v>255</v>
      </c>
      <c r="N67" s="1">
        <v>33</v>
      </c>
      <c r="O67" s="1">
        <v>1</v>
      </c>
      <c r="P67" s="13">
        <v>44783</v>
      </c>
      <c r="Q67" s="1" t="s">
        <v>133</v>
      </c>
      <c r="R67" s="1" t="s">
        <v>64</v>
      </c>
      <c r="S67" s="1">
        <v>2</v>
      </c>
      <c r="T67" s="1"/>
      <c r="U67" s="1" t="s">
        <v>18</v>
      </c>
      <c r="V67" s="76">
        <v>6</v>
      </c>
      <c r="W67" s="76">
        <v>1</v>
      </c>
      <c r="X67" s="77">
        <v>-1</v>
      </c>
      <c r="Y67" s="77">
        <v>1</v>
      </c>
      <c r="Z67" s="76">
        <v>8.5</v>
      </c>
      <c r="AA67" s="76">
        <v>0.5</v>
      </c>
      <c r="AB67" s="77">
        <v>1</v>
      </c>
      <c r="AC67" s="77">
        <v>4</v>
      </c>
      <c r="AD67" s="76">
        <v>9</v>
      </c>
      <c r="AE67" s="76">
        <v>0</v>
      </c>
      <c r="AF67" s="77">
        <v>0</v>
      </c>
      <c r="AG67" s="77">
        <v>3</v>
      </c>
      <c r="AH67" s="76">
        <v>6</v>
      </c>
      <c r="AI67" s="76">
        <v>1</v>
      </c>
      <c r="AJ67" s="77">
        <v>-1</v>
      </c>
      <c r="AK67" s="77">
        <v>1</v>
      </c>
      <c r="AL67" s="76"/>
      <c r="AM67" s="76"/>
      <c r="AN67" s="77"/>
      <c r="AO67" s="77"/>
      <c r="AP67" s="76"/>
      <c r="AQ67" s="76"/>
      <c r="AR67" s="77"/>
      <c r="AS67" s="77"/>
      <c r="AT67" s="78">
        <v>0.625</v>
      </c>
    </row>
    <row r="68" spans="1:46" ht="12.5" x14ac:dyDescent="0.25">
      <c r="A68" s="79">
        <v>44783.354786701384</v>
      </c>
      <c r="B68" s="80" t="s">
        <v>25</v>
      </c>
      <c r="C68" s="80" t="str">
        <f>INDEX(TBL_Name,MATCH(Table2[[#This Row],[Athlete Name]],listNames,0),2)</f>
        <v>Athlete 23</v>
      </c>
      <c r="D68" s="80" t="s">
        <v>150</v>
      </c>
      <c r="E68" s="80">
        <v>2</v>
      </c>
      <c r="F68" s="80">
        <v>8</v>
      </c>
      <c r="G68" s="80">
        <v>10</v>
      </c>
      <c r="H68" s="80"/>
      <c r="I68" s="80">
        <v>2</v>
      </c>
      <c r="J68" s="80"/>
      <c r="K68" s="80"/>
      <c r="L68" s="80"/>
      <c r="M68" s="1" t="s">
        <v>256</v>
      </c>
      <c r="N68" s="1">
        <v>33</v>
      </c>
      <c r="O68" s="1">
        <v>1</v>
      </c>
      <c r="P68" s="13">
        <v>44783</v>
      </c>
      <c r="Q68" s="1" t="s">
        <v>133</v>
      </c>
      <c r="R68" s="1" t="s">
        <v>64</v>
      </c>
      <c r="S68" s="1">
        <v>3</v>
      </c>
      <c r="T68" s="1"/>
      <c r="U68" s="1" t="s">
        <v>26</v>
      </c>
      <c r="V68" s="76">
        <v>4</v>
      </c>
      <c r="W68" s="76">
        <v>1.6329931618554521</v>
      </c>
      <c r="X68" s="77">
        <v>-1.2247448713915889</v>
      </c>
      <c r="Y68" s="77">
        <v>1</v>
      </c>
      <c r="Z68" s="76">
        <v>8</v>
      </c>
      <c r="AA68" s="76">
        <v>0</v>
      </c>
      <c r="AB68" s="77">
        <v>0</v>
      </c>
      <c r="AC68" s="77">
        <v>3</v>
      </c>
      <c r="AD68" s="76">
        <v>8.6666666666666661</v>
      </c>
      <c r="AE68" s="76">
        <v>0.94280904158206358</v>
      </c>
      <c r="AF68" s="77">
        <v>1.4142135623730954</v>
      </c>
      <c r="AG68" s="77">
        <v>4</v>
      </c>
      <c r="AH68" s="76">
        <v>2</v>
      </c>
      <c r="AI68" s="76">
        <v>0</v>
      </c>
      <c r="AJ68" s="77">
        <v>0</v>
      </c>
      <c r="AK68" s="77">
        <v>3</v>
      </c>
      <c r="AL68" s="76"/>
      <c r="AM68" s="76"/>
      <c r="AN68" s="77"/>
      <c r="AO68" s="77"/>
      <c r="AP68" s="76"/>
      <c r="AQ68" s="76"/>
      <c r="AR68" s="77"/>
      <c r="AS68" s="77"/>
      <c r="AT68" s="78">
        <v>0.625</v>
      </c>
    </row>
    <row r="69" spans="1:46" ht="12.5" x14ac:dyDescent="0.25">
      <c r="A69" s="79">
        <v>44783.368540752315</v>
      </c>
      <c r="B69" s="80" t="s">
        <v>27</v>
      </c>
      <c r="C69" s="80" t="str">
        <f>INDEX(TBL_Name,MATCH(Table2[[#This Row],[Athlete Name]],listNames,0),2)</f>
        <v>Athlete 17</v>
      </c>
      <c r="D69" s="80" t="s">
        <v>150</v>
      </c>
      <c r="E69" s="80">
        <v>6</v>
      </c>
      <c r="F69" s="80">
        <v>6</v>
      </c>
      <c r="G69" s="80">
        <v>9</v>
      </c>
      <c r="H69" s="80" t="s">
        <v>69</v>
      </c>
      <c r="I69" s="80">
        <v>5</v>
      </c>
      <c r="J69" s="80"/>
      <c r="K69" s="80"/>
      <c r="L69" s="80"/>
      <c r="M69" s="1" t="s">
        <v>257</v>
      </c>
      <c r="N69" s="1">
        <v>33</v>
      </c>
      <c r="O69" s="1">
        <v>1</v>
      </c>
      <c r="P69" s="13">
        <v>44783</v>
      </c>
      <c r="Q69" s="1" t="s">
        <v>133</v>
      </c>
      <c r="R69" s="1" t="s">
        <v>64</v>
      </c>
      <c r="S69" s="1">
        <v>3</v>
      </c>
      <c r="T69" s="1"/>
      <c r="U69" s="1" t="s">
        <v>28</v>
      </c>
      <c r="V69" s="76">
        <v>6</v>
      </c>
      <c r="W69" s="76">
        <v>0</v>
      </c>
      <c r="X69" s="77">
        <v>0</v>
      </c>
      <c r="Y69" s="77">
        <v>3</v>
      </c>
      <c r="Z69" s="76">
        <v>6</v>
      </c>
      <c r="AA69" s="76">
        <v>0</v>
      </c>
      <c r="AB69" s="77">
        <v>0</v>
      </c>
      <c r="AC69" s="77">
        <v>3</v>
      </c>
      <c r="AD69" s="76">
        <v>8</v>
      </c>
      <c r="AE69" s="76">
        <v>1</v>
      </c>
      <c r="AF69" s="77">
        <v>1</v>
      </c>
      <c r="AG69" s="77">
        <v>4</v>
      </c>
      <c r="AH69" s="76">
        <v>5.5</v>
      </c>
      <c r="AI69" s="76">
        <v>0.5</v>
      </c>
      <c r="AJ69" s="77">
        <v>-1</v>
      </c>
      <c r="AK69" s="77">
        <v>1</v>
      </c>
      <c r="AL69" s="76"/>
      <c r="AM69" s="76"/>
      <c r="AN69" s="77"/>
      <c r="AO69" s="77"/>
      <c r="AP69" s="76"/>
      <c r="AQ69" s="76"/>
      <c r="AR69" s="77"/>
      <c r="AS69" s="77"/>
      <c r="AT69" s="78">
        <v>0.75</v>
      </c>
    </row>
    <row r="70" spans="1:46" ht="12.5" x14ac:dyDescent="0.25">
      <c r="A70" s="79">
        <v>44783.410751018513</v>
      </c>
      <c r="B70" s="80" t="s">
        <v>15</v>
      </c>
      <c r="C70" s="80" t="str">
        <f>INDEX(TBL_Name,MATCH(Table2[[#This Row],[Athlete Name]],listNames,0),2)</f>
        <v>Athlete 8</v>
      </c>
      <c r="D70" s="80" t="s">
        <v>130</v>
      </c>
      <c r="E70" s="80">
        <v>10</v>
      </c>
      <c r="F70" s="80">
        <v>9</v>
      </c>
      <c r="G70" s="80">
        <v>10</v>
      </c>
      <c r="H70" s="80" t="s">
        <v>258</v>
      </c>
      <c r="I70" s="80">
        <v>5</v>
      </c>
      <c r="J70" s="80"/>
      <c r="K70" s="80"/>
      <c r="L70" s="80"/>
      <c r="M70" s="1" t="s">
        <v>259</v>
      </c>
      <c r="N70" s="1">
        <v>33</v>
      </c>
      <c r="O70" s="1">
        <v>1</v>
      </c>
      <c r="P70" s="13">
        <v>44783</v>
      </c>
      <c r="Q70" s="1" t="s">
        <v>133</v>
      </c>
      <c r="R70" s="1" t="s">
        <v>64</v>
      </c>
      <c r="S70" s="1">
        <v>1</v>
      </c>
      <c r="T70" s="1"/>
      <c r="U70" s="1" t="s">
        <v>14</v>
      </c>
      <c r="V70" s="76">
        <v>9.3333333333333339</v>
      </c>
      <c r="W70" s="76">
        <v>0.94280904158206325</v>
      </c>
      <c r="X70" s="77">
        <v>0.70710678118654702</v>
      </c>
      <c r="Y70" s="77">
        <v>3</v>
      </c>
      <c r="Z70" s="76">
        <v>9</v>
      </c>
      <c r="AA70" s="76">
        <v>0</v>
      </c>
      <c r="AB70" s="77">
        <v>0</v>
      </c>
      <c r="AC70" s="77">
        <v>3</v>
      </c>
      <c r="AD70" s="76">
        <v>9.3333333333333339</v>
      </c>
      <c r="AE70" s="76">
        <v>0.47140452079103146</v>
      </c>
      <c r="AF70" s="77">
        <v>1.4142135623730945</v>
      </c>
      <c r="AG70" s="77">
        <v>4</v>
      </c>
      <c r="AH70" s="76">
        <v>4.333333333333333</v>
      </c>
      <c r="AI70" s="76">
        <v>0.94280904158206336</v>
      </c>
      <c r="AJ70" s="77">
        <v>0.70710678118654779</v>
      </c>
      <c r="AK70" s="77">
        <v>3</v>
      </c>
      <c r="AL70" s="76"/>
      <c r="AM70" s="76"/>
      <c r="AN70" s="77"/>
      <c r="AO70" s="77"/>
      <c r="AP70" s="76"/>
      <c r="AQ70" s="76"/>
      <c r="AR70" s="77"/>
      <c r="AS70" s="77"/>
      <c r="AT70" s="78">
        <v>0.5625</v>
      </c>
    </row>
    <row r="71" spans="1:46" ht="12.5" x14ac:dyDescent="0.25">
      <c r="A71" s="79">
        <v>44783.43744966435</v>
      </c>
      <c r="B71" s="80" t="s">
        <v>159</v>
      </c>
      <c r="C71" s="80" t="str">
        <f>INDEX(TBL_Name,MATCH(Table2[[#This Row],[Athlete Name]],listNames,0),2)</f>
        <v>Athlete 25</v>
      </c>
      <c r="D71" s="80" t="s">
        <v>130</v>
      </c>
      <c r="E71" s="80">
        <v>8</v>
      </c>
      <c r="F71" s="80">
        <v>8</v>
      </c>
      <c r="G71" s="80">
        <v>7</v>
      </c>
      <c r="H71" s="80"/>
      <c r="I71" s="80">
        <v>5</v>
      </c>
      <c r="J71" s="80"/>
      <c r="K71" s="80"/>
      <c r="L71" s="80"/>
      <c r="M71" s="1" t="s">
        <v>260</v>
      </c>
      <c r="N71" s="1">
        <v>33</v>
      </c>
      <c r="O71" s="1">
        <v>1</v>
      </c>
      <c r="P71" s="13">
        <v>44783</v>
      </c>
      <c r="Q71" s="1" t="s">
        <v>133</v>
      </c>
      <c r="R71" s="1" t="s">
        <v>64</v>
      </c>
      <c r="S71" s="1">
        <v>1</v>
      </c>
      <c r="T71" s="1"/>
      <c r="U71" s="1" t="s">
        <v>28</v>
      </c>
      <c r="V71" s="76">
        <v>8</v>
      </c>
      <c r="W71" s="76">
        <v>0</v>
      </c>
      <c r="X71" s="77">
        <v>0</v>
      </c>
      <c r="Y71" s="77">
        <v>3</v>
      </c>
      <c r="Z71" s="76">
        <v>8</v>
      </c>
      <c r="AA71" s="76">
        <v>0</v>
      </c>
      <c r="AB71" s="77">
        <v>0</v>
      </c>
      <c r="AC71" s="77">
        <v>3</v>
      </c>
      <c r="AD71" s="76">
        <v>7.666666666666667</v>
      </c>
      <c r="AE71" s="76">
        <v>0.47140452079103179</v>
      </c>
      <c r="AF71" s="77">
        <v>-1.4142135623730954</v>
      </c>
      <c r="AG71" s="77">
        <v>1</v>
      </c>
      <c r="AH71" s="76">
        <v>4</v>
      </c>
      <c r="AI71" s="76">
        <v>0.81649658092772603</v>
      </c>
      <c r="AJ71" s="77">
        <v>1.2247448713915889</v>
      </c>
      <c r="AK71" s="77">
        <v>4</v>
      </c>
      <c r="AL71" s="76"/>
      <c r="AM71" s="76"/>
      <c r="AN71" s="77"/>
      <c r="AO71" s="77"/>
      <c r="AP71" s="76"/>
      <c r="AQ71" s="76"/>
      <c r="AR71" s="77"/>
      <c r="AS71" s="77"/>
      <c r="AT71" s="78">
        <v>0.75</v>
      </c>
    </row>
    <row r="72" spans="1:46" ht="12.5" x14ac:dyDescent="0.25">
      <c r="A72" s="79">
        <v>44783.453486782411</v>
      </c>
      <c r="B72" s="80" t="s">
        <v>16</v>
      </c>
      <c r="C72" s="80" t="str">
        <f>INDEX(TBL_Name,MATCH(Table2[[#This Row],[Athlete Name]],listNames,0),2)</f>
        <v>Athlete 9</v>
      </c>
      <c r="D72" s="80" t="s">
        <v>130</v>
      </c>
      <c r="E72" s="80">
        <v>6</v>
      </c>
      <c r="F72" s="80">
        <v>7</v>
      </c>
      <c r="G72" s="80">
        <v>8</v>
      </c>
      <c r="H72" s="80" t="s">
        <v>203</v>
      </c>
      <c r="I72" s="80">
        <v>4</v>
      </c>
      <c r="J72" s="80"/>
      <c r="K72" s="80"/>
      <c r="L72" s="80"/>
      <c r="M72" s="1" t="s">
        <v>261</v>
      </c>
      <c r="N72" s="1">
        <v>33</v>
      </c>
      <c r="O72" s="1">
        <v>1</v>
      </c>
      <c r="P72" s="13">
        <v>44783</v>
      </c>
      <c r="Q72" s="1" t="s">
        <v>133</v>
      </c>
      <c r="R72" s="1" t="s">
        <v>64</v>
      </c>
      <c r="S72" s="1">
        <v>1</v>
      </c>
      <c r="T72" s="1"/>
      <c r="U72" s="1" t="s">
        <v>14</v>
      </c>
      <c r="V72" s="76">
        <v>6</v>
      </c>
      <c r="W72" s="76">
        <v>0</v>
      </c>
      <c r="X72" s="77">
        <v>0</v>
      </c>
      <c r="Y72" s="77">
        <v>3</v>
      </c>
      <c r="Z72" s="76">
        <v>7</v>
      </c>
      <c r="AA72" s="76">
        <v>0</v>
      </c>
      <c r="AB72" s="77">
        <v>0</v>
      </c>
      <c r="AC72" s="77">
        <v>3</v>
      </c>
      <c r="AD72" s="76">
        <v>8</v>
      </c>
      <c r="AE72" s="76">
        <v>0</v>
      </c>
      <c r="AF72" s="77">
        <v>0</v>
      </c>
      <c r="AG72" s="77">
        <v>3</v>
      </c>
      <c r="AH72" s="76">
        <v>4</v>
      </c>
      <c r="AI72" s="76">
        <v>0</v>
      </c>
      <c r="AJ72" s="77">
        <v>0</v>
      </c>
      <c r="AK72" s="77">
        <v>3</v>
      </c>
      <c r="AL72" s="76"/>
      <c r="AM72" s="76"/>
      <c r="AN72" s="77"/>
      <c r="AO72" s="77"/>
      <c r="AP72" s="76"/>
      <c r="AQ72" s="76"/>
      <c r="AR72" s="77"/>
      <c r="AS72" s="77"/>
      <c r="AT72" s="78">
        <v>0.75</v>
      </c>
    </row>
    <row r="73" spans="1:46" ht="12.5" x14ac:dyDescent="0.25">
      <c r="A73" s="79">
        <v>44784.226478159719</v>
      </c>
      <c r="B73" s="80" t="s">
        <v>185</v>
      </c>
      <c r="C73" s="80" t="str">
        <f>INDEX(TBL_Name,MATCH(Table2[[#This Row],[Athlete Name]],listNames,0),2)</f>
        <v>Athlete 30</v>
      </c>
      <c r="D73" s="80" t="s">
        <v>130</v>
      </c>
      <c r="E73" s="80">
        <v>7</v>
      </c>
      <c r="F73" s="80">
        <v>4</v>
      </c>
      <c r="G73" s="80">
        <v>4</v>
      </c>
      <c r="H73" s="80" t="s">
        <v>262</v>
      </c>
      <c r="I73" s="80">
        <v>5</v>
      </c>
      <c r="J73" s="80"/>
      <c r="K73" s="80"/>
      <c r="L73" s="80"/>
      <c r="M73" s="1" t="s">
        <v>263</v>
      </c>
      <c r="N73" s="1">
        <v>33</v>
      </c>
      <c r="O73" s="1">
        <v>1</v>
      </c>
      <c r="P73" s="13">
        <v>44784</v>
      </c>
      <c r="Q73" s="1" t="s">
        <v>133</v>
      </c>
      <c r="R73" s="1" t="s">
        <v>64</v>
      </c>
      <c r="S73" s="1">
        <v>1</v>
      </c>
      <c r="T73" s="1"/>
      <c r="U73" s="1" t="s">
        <v>26</v>
      </c>
      <c r="V73" s="76">
        <v>8.75</v>
      </c>
      <c r="W73" s="76">
        <v>1.0897247358851685</v>
      </c>
      <c r="X73" s="77">
        <v>-1.6059101370939322</v>
      </c>
      <c r="Y73" s="77">
        <v>1</v>
      </c>
      <c r="Z73" s="76">
        <v>6</v>
      </c>
      <c r="AA73" s="76">
        <v>1.5811388300841898</v>
      </c>
      <c r="AB73" s="77">
        <v>-1.2649110640673518</v>
      </c>
      <c r="AC73" s="77">
        <v>1</v>
      </c>
      <c r="AD73" s="76">
        <v>6.5</v>
      </c>
      <c r="AE73" s="76">
        <v>1.5</v>
      </c>
      <c r="AF73" s="77">
        <v>-1.6666666666666667</v>
      </c>
      <c r="AG73" s="77">
        <v>1</v>
      </c>
      <c r="AH73" s="76">
        <v>4.5</v>
      </c>
      <c r="AI73" s="76">
        <v>0.5</v>
      </c>
      <c r="AJ73" s="77">
        <v>1</v>
      </c>
      <c r="AK73" s="77">
        <v>4</v>
      </c>
      <c r="AL73" s="76"/>
      <c r="AM73" s="76"/>
      <c r="AN73" s="77"/>
      <c r="AO73" s="77"/>
      <c r="AP73" s="76"/>
      <c r="AQ73" s="76"/>
      <c r="AR73" s="77"/>
      <c r="AS73" s="77"/>
      <c r="AT73" s="78">
        <v>0.25</v>
      </c>
    </row>
    <row r="74" spans="1:46" ht="12.5" x14ac:dyDescent="0.25">
      <c r="A74" s="79">
        <v>44784.245720555555</v>
      </c>
      <c r="B74" s="80" t="s">
        <v>129</v>
      </c>
      <c r="C74" s="80" t="str">
        <f>INDEX(TBL_Name,MATCH(Table2[[#This Row],[Athlete Name]],listNames,0),2)</f>
        <v>Athlete 19</v>
      </c>
      <c r="D74" s="80" t="s">
        <v>130</v>
      </c>
      <c r="E74" s="80">
        <v>7</v>
      </c>
      <c r="F74" s="80">
        <v>7</v>
      </c>
      <c r="G74" s="80">
        <v>8</v>
      </c>
      <c r="H74" s="80" t="s">
        <v>188</v>
      </c>
      <c r="I74" s="80">
        <v>5</v>
      </c>
      <c r="J74" s="80"/>
      <c r="K74" s="80"/>
      <c r="L74" s="80"/>
      <c r="M74" s="1" t="s">
        <v>264</v>
      </c>
      <c r="N74" s="1">
        <v>33</v>
      </c>
      <c r="O74" s="1">
        <v>1</v>
      </c>
      <c r="P74" s="13">
        <v>44784</v>
      </c>
      <c r="Q74" s="1" t="s">
        <v>133</v>
      </c>
      <c r="R74" s="1" t="s">
        <v>64</v>
      </c>
      <c r="S74" s="1">
        <v>1</v>
      </c>
      <c r="T74" s="1"/>
      <c r="U74" s="1" t="s">
        <v>18</v>
      </c>
      <c r="V74" s="76">
        <v>6.4</v>
      </c>
      <c r="W74" s="76">
        <v>0.48989794855663554</v>
      </c>
      <c r="X74" s="77">
        <v>1.2247448713915885</v>
      </c>
      <c r="Y74" s="77">
        <v>4</v>
      </c>
      <c r="Z74" s="76">
        <v>7.2</v>
      </c>
      <c r="AA74" s="76">
        <v>0.74833147735478822</v>
      </c>
      <c r="AB74" s="77">
        <v>-0.26726124191242462</v>
      </c>
      <c r="AC74" s="77">
        <v>2</v>
      </c>
      <c r="AD74" s="76">
        <v>7.8</v>
      </c>
      <c r="AE74" s="76">
        <v>0.4</v>
      </c>
      <c r="AF74" s="77">
        <v>0.50000000000000044</v>
      </c>
      <c r="AG74" s="77">
        <v>3</v>
      </c>
      <c r="AH74" s="76">
        <v>5.8</v>
      </c>
      <c r="AI74" s="76">
        <v>1.16619037896906</v>
      </c>
      <c r="AJ74" s="77">
        <v>-0.68599434057003528</v>
      </c>
      <c r="AK74" s="77">
        <v>2</v>
      </c>
      <c r="AL74" s="76"/>
      <c r="AM74" s="76"/>
      <c r="AN74" s="77"/>
      <c r="AO74" s="77"/>
      <c r="AP74" s="76"/>
      <c r="AQ74" s="76"/>
      <c r="AR74" s="77"/>
      <c r="AS74" s="77"/>
      <c r="AT74" s="78">
        <v>0.8125</v>
      </c>
    </row>
    <row r="75" spans="1:46" ht="12.5" x14ac:dyDescent="0.25">
      <c r="A75" s="79">
        <v>44784.260342835652</v>
      </c>
      <c r="B75" s="80" t="s">
        <v>21</v>
      </c>
      <c r="C75" s="80" t="str">
        <f>INDEX(TBL_Name,MATCH(Table2[[#This Row],[Athlete Name]],listNames,0),2)</f>
        <v>Athlete 13</v>
      </c>
      <c r="D75" s="80" t="s">
        <v>130</v>
      </c>
      <c r="E75" s="80">
        <v>6</v>
      </c>
      <c r="F75" s="80">
        <v>8</v>
      </c>
      <c r="G75" s="80">
        <v>10</v>
      </c>
      <c r="H75" s="80" t="s">
        <v>233</v>
      </c>
      <c r="I75" s="80">
        <v>5</v>
      </c>
      <c r="J75" s="80"/>
      <c r="K75" s="80"/>
      <c r="L75" s="80"/>
      <c r="M75" s="1" t="s">
        <v>265</v>
      </c>
      <c r="N75" s="1">
        <v>33</v>
      </c>
      <c r="O75" s="1">
        <v>1</v>
      </c>
      <c r="P75" s="13">
        <v>44784</v>
      </c>
      <c r="Q75" s="1" t="s">
        <v>133</v>
      </c>
      <c r="R75" s="1" t="s">
        <v>64</v>
      </c>
      <c r="S75" s="1">
        <v>1</v>
      </c>
      <c r="T75" s="1"/>
      <c r="U75" s="1" t="s">
        <v>18</v>
      </c>
      <c r="V75" s="76">
        <v>7</v>
      </c>
      <c r="W75" s="76">
        <v>0.70710678118654746</v>
      </c>
      <c r="X75" s="77">
        <v>-1.4142135623730951</v>
      </c>
      <c r="Y75" s="77">
        <v>1</v>
      </c>
      <c r="Z75" s="76">
        <v>7.75</v>
      </c>
      <c r="AA75" s="76">
        <v>0.43301270189221941</v>
      </c>
      <c r="AB75" s="77">
        <v>0.57735026918962562</v>
      </c>
      <c r="AC75" s="77">
        <v>3</v>
      </c>
      <c r="AD75" s="76">
        <v>9</v>
      </c>
      <c r="AE75" s="76">
        <v>0.70710678118654757</v>
      </c>
      <c r="AF75" s="77">
        <v>1.4142135623730949</v>
      </c>
      <c r="AG75" s="77">
        <v>4</v>
      </c>
      <c r="AH75" s="76">
        <v>5</v>
      </c>
      <c r="AI75" s="76">
        <v>0</v>
      </c>
      <c r="AJ75" s="77">
        <v>0</v>
      </c>
      <c r="AK75" s="77">
        <v>3</v>
      </c>
      <c r="AL75" s="76"/>
      <c r="AM75" s="76"/>
      <c r="AN75" s="77"/>
      <c r="AO75" s="77"/>
      <c r="AP75" s="76"/>
      <c r="AQ75" s="76"/>
      <c r="AR75" s="77"/>
      <c r="AS75" s="77"/>
      <c r="AT75" s="78">
        <v>0.625</v>
      </c>
    </row>
    <row r="76" spans="1:46" ht="12.5" x14ac:dyDescent="0.25">
      <c r="A76" s="79">
        <v>44784.263515763887</v>
      </c>
      <c r="B76" s="80" t="s">
        <v>10</v>
      </c>
      <c r="C76" s="80" t="str">
        <f>INDEX(TBL_Name,MATCH(Table2[[#This Row],[Athlete Name]],listNames,0),2)</f>
        <v>Athlete 5</v>
      </c>
      <c r="D76" s="80" t="s">
        <v>130</v>
      </c>
      <c r="E76" s="80">
        <v>5</v>
      </c>
      <c r="F76" s="80">
        <v>8</v>
      </c>
      <c r="G76" s="80">
        <v>8</v>
      </c>
      <c r="H76" s="80" t="s">
        <v>193</v>
      </c>
      <c r="I76" s="80">
        <v>5</v>
      </c>
      <c r="J76" s="80"/>
      <c r="K76" s="80"/>
      <c r="L76" s="80"/>
      <c r="M76" s="1" t="s">
        <v>266</v>
      </c>
      <c r="N76" s="1">
        <v>33</v>
      </c>
      <c r="O76" s="1">
        <v>1</v>
      </c>
      <c r="P76" s="13">
        <v>44784</v>
      </c>
      <c r="Q76" s="1" t="s">
        <v>133</v>
      </c>
      <c r="R76" s="1" t="s">
        <v>64</v>
      </c>
      <c r="S76" s="1">
        <v>1</v>
      </c>
      <c r="T76" s="1"/>
      <c r="U76" s="1" t="s">
        <v>11</v>
      </c>
      <c r="V76" s="76">
        <v>5</v>
      </c>
      <c r="W76" s="76">
        <v>1.2247448713915889</v>
      </c>
      <c r="X76" s="77">
        <v>0</v>
      </c>
      <c r="Y76" s="77">
        <v>3</v>
      </c>
      <c r="Z76" s="76">
        <v>8.25</v>
      </c>
      <c r="AA76" s="76">
        <v>0.43301270189221919</v>
      </c>
      <c r="AB76" s="77">
        <v>-0.57735026918962595</v>
      </c>
      <c r="AC76" s="77">
        <v>2</v>
      </c>
      <c r="AD76" s="76">
        <v>8.25</v>
      </c>
      <c r="AE76" s="76">
        <v>0.43301270189221919</v>
      </c>
      <c r="AF76" s="77">
        <v>-0.57735026918962595</v>
      </c>
      <c r="AG76" s="77">
        <v>2</v>
      </c>
      <c r="AH76" s="76">
        <v>6.25</v>
      </c>
      <c r="AI76" s="76">
        <v>1.2990381056766582</v>
      </c>
      <c r="AJ76" s="77">
        <v>-0.96225044864937603</v>
      </c>
      <c r="AK76" s="77">
        <v>2</v>
      </c>
      <c r="AL76" s="76"/>
      <c r="AM76" s="76"/>
      <c r="AN76" s="77"/>
      <c r="AO76" s="77"/>
      <c r="AP76" s="76"/>
      <c r="AQ76" s="76"/>
      <c r="AR76" s="77"/>
      <c r="AS76" s="77"/>
      <c r="AT76" s="78">
        <v>0.875</v>
      </c>
    </row>
    <row r="77" spans="1:46" ht="12.5" x14ac:dyDescent="0.25">
      <c r="A77" s="79">
        <v>44784.267451435182</v>
      </c>
      <c r="B77" s="80" t="s">
        <v>22</v>
      </c>
      <c r="C77" s="80" t="str">
        <f>INDEX(TBL_Name,MATCH(Table2[[#This Row],[Athlete Name]],listNames,0),2)</f>
        <v>Athlete 14</v>
      </c>
      <c r="D77" s="80" t="s">
        <v>130</v>
      </c>
      <c r="E77" s="80">
        <v>7</v>
      </c>
      <c r="F77" s="80">
        <v>4</v>
      </c>
      <c r="G77" s="80">
        <v>8</v>
      </c>
      <c r="H77" s="80" t="s">
        <v>267</v>
      </c>
      <c r="I77" s="80">
        <v>4</v>
      </c>
      <c r="J77" s="80"/>
      <c r="K77" s="80"/>
      <c r="L77" s="80"/>
      <c r="M77" s="1" t="s">
        <v>268</v>
      </c>
      <c r="N77" s="1">
        <v>33</v>
      </c>
      <c r="O77" s="1">
        <v>1</v>
      </c>
      <c r="P77" s="13">
        <v>44784</v>
      </c>
      <c r="Q77" s="1" t="s">
        <v>133</v>
      </c>
      <c r="R77" s="1" t="s">
        <v>64</v>
      </c>
      <c r="S77" s="1">
        <v>1</v>
      </c>
      <c r="T77" s="1"/>
      <c r="U77" s="1" t="s">
        <v>18</v>
      </c>
      <c r="V77" s="76">
        <v>6.75</v>
      </c>
      <c r="W77" s="76">
        <v>0.43301270189221924</v>
      </c>
      <c r="X77" s="77">
        <v>0.57735026918962584</v>
      </c>
      <c r="Y77" s="77">
        <v>3</v>
      </c>
      <c r="Z77" s="76">
        <v>5.75</v>
      </c>
      <c r="AA77" s="76">
        <v>1.0897247358851685</v>
      </c>
      <c r="AB77" s="77">
        <v>-1.6059101370939322</v>
      </c>
      <c r="AC77" s="77">
        <v>1</v>
      </c>
      <c r="AD77" s="76">
        <v>8.25</v>
      </c>
      <c r="AE77" s="76">
        <v>0.43301270189221919</v>
      </c>
      <c r="AF77" s="77">
        <v>-0.57735026918962595</v>
      </c>
      <c r="AG77" s="77">
        <v>2</v>
      </c>
      <c r="AH77" s="76">
        <v>2.5</v>
      </c>
      <c r="AI77" s="76">
        <v>0.8660254037844386</v>
      </c>
      <c r="AJ77" s="77">
        <v>1.7320508075688774</v>
      </c>
      <c r="AK77" s="77">
        <v>4</v>
      </c>
      <c r="AL77" s="76"/>
      <c r="AM77" s="76"/>
      <c r="AN77" s="77"/>
      <c r="AO77" s="77"/>
      <c r="AP77" s="76"/>
      <c r="AQ77" s="76"/>
      <c r="AR77" s="77"/>
      <c r="AS77" s="77"/>
      <c r="AT77" s="78">
        <v>0.5625</v>
      </c>
    </row>
    <row r="78" spans="1:46" ht="12.5" x14ac:dyDescent="0.25">
      <c r="A78" s="79">
        <v>44784.267879999999</v>
      </c>
      <c r="B78" s="80" t="s">
        <v>13</v>
      </c>
      <c r="C78" s="80" t="str">
        <f>INDEX(TBL_Name,MATCH(Table2[[#This Row],[Athlete Name]],listNames,0),2)</f>
        <v>Athlete 7</v>
      </c>
      <c r="D78" s="80" t="s">
        <v>130</v>
      </c>
      <c r="E78" s="80">
        <v>2</v>
      </c>
      <c r="F78" s="80">
        <v>4</v>
      </c>
      <c r="G78" s="80">
        <v>7</v>
      </c>
      <c r="H78" s="80" t="s">
        <v>269</v>
      </c>
      <c r="I78" s="80">
        <v>5</v>
      </c>
      <c r="J78" s="80"/>
      <c r="K78" s="80"/>
      <c r="L78" s="80"/>
      <c r="M78" s="1" t="s">
        <v>270</v>
      </c>
      <c r="N78" s="1">
        <v>33</v>
      </c>
      <c r="O78" s="1">
        <v>1</v>
      </c>
      <c r="P78" s="13">
        <v>44784</v>
      </c>
      <c r="Q78" s="1" t="s">
        <v>133</v>
      </c>
      <c r="R78" s="1" t="s">
        <v>64</v>
      </c>
      <c r="S78" s="1">
        <v>1</v>
      </c>
      <c r="T78" s="1"/>
      <c r="U78" s="1" t="s">
        <v>14</v>
      </c>
      <c r="V78" s="76">
        <v>5.5</v>
      </c>
      <c r="W78" s="76">
        <v>2.2912878474779199</v>
      </c>
      <c r="X78" s="77">
        <v>-1.5275252316519468</v>
      </c>
      <c r="Y78" s="77">
        <v>1</v>
      </c>
      <c r="Z78" s="76">
        <v>5.75</v>
      </c>
      <c r="AA78" s="76">
        <v>1.7853571071357126</v>
      </c>
      <c r="AB78" s="77">
        <v>-0.98019605881960681</v>
      </c>
      <c r="AC78" s="77">
        <v>2</v>
      </c>
      <c r="AD78" s="76">
        <v>7.5</v>
      </c>
      <c r="AE78" s="76">
        <v>0.50000000000000011</v>
      </c>
      <c r="AF78" s="77">
        <v>-0.99999999999999978</v>
      </c>
      <c r="AG78" s="77">
        <v>1</v>
      </c>
      <c r="AH78" s="76">
        <v>3.75</v>
      </c>
      <c r="AI78" s="76">
        <v>1.2990381056766578</v>
      </c>
      <c r="AJ78" s="77">
        <v>0.96225044864937637</v>
      </c>
      <c r="AK78" s="77">
        <v>3</v>
      </c>
      <c r="AL78" s="76"/>
      <c r="AM78" s="76"/>
      <c r="AN78" s="77"/>
      <c r="AO78" s="77"/>
      <c r="AP78" s="76"/>
      <c r="AQ78" s="76"/>
      <c r="AR78" s="77"/>
      <c r="AS78" s="77"/>
      <c r="AT78" s="78">
        <v>0.5</v>
      </c>
    </row>
    <row r="79" spans="1:46" ht="12.5" x14ac:dyDescent="0.25">
      <c r="A79" s="79">
        <v>44784.269491770829</v>
      </c>
      <c r="B79" s="80" t="s">
        <v>17</v>
      </c>
      <c r="C79" s="80" t="str">
        <f>INDEX(TBL_Name,MATCH(Table2[[#This Row],[Athlete Name]],listNames,0),2)</f>
        <v>Athlete 10</v>
      </c>
      <c r="D79" s="80" t="s">
        <v>143</v>
      </c>
      <c r="E79" s="80">
        <v>10</v>
      </c>
      <c r="F79" s="80">
        <v>9</v>
      </c>
      <c r="G79" s="80">
        <v>9</v>
      </c>
      <c r="H79" s="80" t="s">
        <v>131</v>
      </c>
      <c r="I79" s="80">
        <v>7</v>
      </c>
      <c r="J79" s="80"/>
      <c r="K79" s="80"/>
      <c r="L79" s="80"/>
      <c r="M79" s="1" t="s">
        <v>271</v>
      </c>
      <c r="N79" s="1">
        <v>33</v>
      </c>
      <c r="O79" s="1">
        <v>1</v>
      </c>
      <c r="P79" s="13">
        <v>44784</v>
      </c>
      <c r="Q79" s="1" t="s">
        <v>133</v>
      </c>
      <c r="R79" s="1" t="s">
        <v>64</v>
      </c>
      <c r="S79" s="1">
        <v>2</v>
      </c>
      <c r="T79" s="1"/>
      <c r="U79" s="1" t="s">
        <v>18</v>
      </c>
      <c r="V79" s="76">
        <v>9</v>
      </c>
      <c r="W79" s="76">
        <v>0.81649658092772603</v>
      </c>
      <c r="X79" s="77">
        <v>1.2247448713915889</v>
      </c>
      <c r="Y79" s="77">
        <v>4</v>
      </c>
      <c r="Z79" s="76">
        <v>8.3333333333333339</v>
      </c>
      <c r="AA79" s="76">
        <v>1.699673171197595</v>
      </c>
      <c r="AB79" s="77">
        <v>0.3922322702763677</v>
      </c>
      <c r="AC79" s="77">
        <v>3</v>
      </c>
      <c r="AD79" s="76">
        <v>8.3333333333333339</v>
      </c>
      <c r="AE79" s="76">
        <v>0.94280904158206325</v>
      </c>
      <c r="AF79" s="77">
        <v>0.70710678118654702</v>
      </c>
      <c r="AG79" s="77">
        <v>3</v>
      </c>
      <c r="AH79" s="76">
        <v>6.333333333333333</v>
      </c>
      <c r="AI79" s="76">
        <v>0.47140452079103179</v>
      </c>
      <c r="AJ79" s="77">
        <v>1.4142135623730954</v>
      </c>
      <c r="AK79" s="77">
        <v>4</v>
      </c>
      <c r="AL79" s="76"/>
      <c r="AM79" s="76"/>
      <c r="AN79" s="77"/>
      <c r="AO79" s="77"/>
      <c r="AP79" s="76"/>
      <c r="AQ79" s="76"/>
      <c r="AR79" s="77"/>
      <c r="AS79" s="77"/>
      <c r="AT79" s="78">
        <v>0.6875</v>
      </c>
    </row>
    <row r="80" spans="1:46" ht="12.5" x14ac:dyDescent="0.25">
      <c r="A80" s="79">
        <v>44784.271377268524</v>
      </c>
      <c r="B80" s="80" t="s">
        <v>225</v>
      </c>
      <c r="C80" s="80" t="str">
        <f>INDEX(TBL_Name,MATCH(Table2[[#This Row],[Athlete Name]],listNames,0),2)</f>
        <v>Athlete 32</v>
      </c>
      <c r="D80" s="80" t="s">
        <v>130</v>
      </c>
      <c r="E80" s="80">
        <v>10</v>
      </c>
      <c r="F80" s="80">
        <v>10</v>
      </c>
      <c r="G80" s="80">
        <v>8</v>
      </c>
      <c r="H80" s="80"/>
      <c r="I80" s="80">
        <v>9</v>
      </c>
      <c r="J80" s="80"/>
      <c r="K80" s="80"/>
      <c r="L80" s="80"/>
      <c r="M80" s="1" t="s">
        <v>272</v>
      </c>
      <c r="N80" s="1">
        <v>33</v>
      </c>
      <c r="O80" s="1">
        <v>1</v>
      </c>
      <c r="P80" s="13">
        <v>44784</v>
      </c>
      <c r="Q80" s="1" t="s">
        <v>133</v>
      </c>
      <c r="R80" s="1" t="s">
        <v>64</v>
      </c>
      <c r="S80" s="1">
        <v>1</v>
      </c>
      <c r="T80" s="1"/>
      <c r="U80" s="1" t="s">
        <v>5</v>
      </c>
      <c r="V80" s="76">
        <v>10</v>
      </c>
      <c r="W80" s="76">
        <v>0</v>
      </c>
      <c r="X80" s="77">
        <v>0</v>
      </c>
      <c r="Y80" s="77">
        <v>3</v>
      </c>
      <c r="Z80" s="76">
        <v>10</v>
      </c>
      <c r="AA80" s="76">
        <v>0</v>
      </c>
      <c r="AB80" s="77">
        <v>0</v>
      </c>
      <c r="AC80" s="77">
        <v>3</v>
      </c>
      <c r="AD80" s="76">
        <v>8</v>
      </c>
      <c r="AE80" s="76">
        <v>0</v>
      </c>
      <c r="AF80" s="77">
        <v>0</v>
      </c>
      <c r="AG80" s="77">
        <v>3</v>
      </c>
      <c r="AH80" s="76">
        <v>8</v>
      </c>
      <c r="AI80" s="76">
        <v>1</v>
      </c>
      <c r="AJ80" s="77">
        <v>1</v>
      </c>
      <c r="AK80" s="77">
        <v>4</v>
      </c>
      <c r="AL80" s="76"/>
      <c r="AM80" s="76"/>
      <c r="AN80" s="77"/>
      <c r="AO80" s="77"/>
      <c r="AP80" s="76"/>
      <c r="AQ80" s="76"/>
      <c r="AR80" s="77"/>
      <c r="AS80" s="77"/>
      <c r="AT80" s="78">
        <v>0.75</v>
      </c>
    </row>
    <row r="81" spans="1:46" ht="12.5" x14ac:dyDescent="0.25">
      <c r="A81" s="79">
        <v>44784.271671319446</v>
      </c>
      <c r="B81" s="80" t="s">
        <v>12</v>
      </c>
      <c r="C81" s="80" t="str">
        <f>INDEX(TBL_Name,MATCH(Table2[[#This Row],[Athlete Name]],listNames,0),2)</f>
        <v>Athlete 6</v>
      </c>
      <c r="D81" s="80" t="s">
        <v>130</v>
      </c>
      <c r="E81" s="80">
        <v>10</v>
      </c>
      <c r="F81" s="80">
        <v>4</v>
      </c>
      <c r="G81" s="80">
        <v>8</v>
      </c>
      <c r="H81" s="80" t="s">
        <v>247</v>
      </c>
      <c r="I81" s="80">
        <v>2</v>
      </c>
      <c r="J81" s="80"/>
      <c r="K81" s="80"/>
      <c r="L81" s="80"/>
      <c r="M81" s="1" t="s">
        <v>273</v>
      </c>
      <c r="N81" s="1">
        <v>33</v>
      </c>
      <c r="O81" s="1">
        <v>1</v>
      </c>
      <c r="P81" s="13">
        <v>44784</v>
      </c>
      <c r="Q81" s="1" t="s">
        <v>133</v>
      </c>
      <c r="R81" s="1" t="s">
        <v>64</v>
      </c>
      <c r="S81" s="1">
        <v>1</v>
      </c>
      <c r="T81" s="1"/>
      <c r="U81" s="1" t="s">
        <v>11</v>
      </c>
      <c r="V81" s="76">
        <v>9.6666666666666661</v>
      </c>
      <c r="W81" s="76">
        <v>0.47140452079103179</v>
      </c>
      <c r="X81" s="77">
        <v>0.70710678118654857</v>
      </c>
      <c r="Y81" s="77">
        <v>3</v>
      </c>
      <c r="Z81" s="76">
        <v>7</v>
      </c>
      <c r="AA81" s="76">
        <v>2.1602468994692869</v>
      </c>
      <c r="AB81" s="77">
        <v>-1.3887301496588271</v>
      </c>
      <c r="AC81" s="77">
        <v>1</v>
      </c>
      <c r="AD81" s="76">
        <v>8.6666666666666661</v>
      </c>
      <c r="AE81" s="76">
        <v>0.47140452079103146</v>
      </c>
      <c r="AF81" s="77">
        <v>-1.4142135623730945</v>
      </c>
      <c r="AG81" s="77">
        <v>1</v>
      </c>
      <c r="AH81" s="76">
        <v>2.3333333333333335</v>
      </c>
      <c r="AI81" s="76">
        <v>0.47140452079103168</v>
      </c>
      <c r="AJ81" s="77">
        <v>-0.70710678118654779</v>
      </c>
      <c r="AK81" s="77">
        <v>2</v>
      </c>
      <c r="AL81" s="76"/>
      <c r="AM81" s="76"/>
      <c r="AN81" s="77"/>
      <c r="AO81" s="77"/>
      <c r="AP81" s="76"/>
      <c r="AQ81" s="76"/>
      <c r="AR81" s="77"/>
      <c r="AS81" s="77"/>
      <c r="AT81" s="78">
        <v>0.375</v>
      </c>
    </row>
    <row r="82" spans="1:46" ht="12.5" x14ac:dyDescent="0.25">
      <c r="A82" s="79">
        <v>44784.272253495372</v>
      </c>
      <c r="B82" s="80" t="s">
        <v>25</v>
      </c>
      <c r="C82" s="80" t="str">
        <f>INDEX(TBL_Name,MATCH(Table2[[#This Row],[Athlete Name]],listNames,0),2)</f>
        <v>Athlete 23</v>
      </c>
      <c r="D82" s="80" t="s">
        <v>143</v>
      </c>
      <c r="E82" s="80">
        <v>9</v>
      </c>
      <c r="F82" s="80">
        <v>8</v>
      </c>
      <c r="G82" s="80">
        <v>9</v>
      </c>
      <c r="H82" s="80" t="s">
        <v>73</v>
      </c>
      <c r="I82" s="80">
        <v>8</v>
      </c>
      <c r="J82" s="80"/>
      <c r="K82" s="80"/>
      <c r="L82" s="80"/>
      <c r="M82" s="1" t="s">
        <v>274</v>
      </c>
      <c r="N82" s="1">
        <v>33</v>
      </c>
      <c r="O82" s="1">
        <v>1</v>
      </c>
      <c r="P82" s="13">
        <v>44784</v>
      </c>
      <c r="Q82" s="1" t="s">
        <v>133</v>
      </c>
      <c r="R82" s="1" t="s">
        <v>64</v>
      </c>
      <c r="S82" s="1">
        <v>2</v>
      </c>
      <c r="T82" s="1"/>
      <c r="U82" s="1" t="s">
        <v>26</v>
      </c>
      <c r="V82" s="76">
        <v>5.25</v>
      </c>
      <c r="W82" s="76">
        <v>2.5860201081971503</v>
      </c>
      <c r="X82" s="77">
        <v>1.4501047335684953</v>
      </c>
      <c r="Y82" s="77">
        <v>4</v>
      </c>
      <c r="Z82" s="76">
        <v>8</v>
      </c>
      <c r="AA82" s="76">
        <v>0</v>
      </c>
      <c r="AB82" s="77">
        <v>0</v>
      </c>
      <c r="AC82" s="77">
        <v>3</v>
      </c>
      <c r="AD82" s="76">
        <v>8.75</v>
      </c>
      <c r="AE82" s="76">
        <v>0.82915619758885017</v>
      </c>
      <c r="AF82" s="77">
        <v>0.30151134457776352</v>
      </c>
      <c r="AG82" s="77">
        <v>3</v>
      </c>
      <c r="AH82" s="76">
        <v>3.5</v>
      </c>
      <c r="AI82" s="76">
        <v>2.598076211353316</v>
      </c>
      <c r="AJ82" s="77">
        <v>1.7320508075688772</v>
      </c>
      <c r="AK82" s="77">
        <v>4</v>
      </c>
      <c r="AL82" s="76"/>
      <c r="AM82" s="76"/>
      <c r="AN82" s="77"/>
      <c r="AO82" s="77"/>
      <c r="AP82" s="76"/>
      <c r="AQ82" s="76"/>
      <c r="AR82" s="77"/>
      <c r="AS82" s="77"/>
      <c r="AT82" s="78">
        <v>1</v>
      </c>
    </row>
    <row r="83" spans="1:46" ht="12.5" x14ac:dyDescent="0.25">
      <c r="A83" s="79">
        <v>44784.272308171297</v>
      </c>
      <c r="B83" s="80" t="s">
        <v>156</v>
      </c>
      <c r="C83" s="80" t="str">
        <f>INDEX(TBL_Name,MATCH(Table2[[#This Row],[Athlete Name]],listNames,0),2)</f>
        <v>Athlete 24</v>
      </c>
      <c r="D83" s="80" t="s">
        <v>130</v>
      </c>
      <c r="E83" s="80">
        <v>6</v>
      </c>
      <c r="F83" s="80">
        <v>7</v>
      </c>
      <c r="G83" s="80">
        <v>8</v>
      </c>
      <c r="H83" s="80" t="s">
        <v>275</v>
      </c>
      <c r="I83" s="80">
        <v>7</v>
      </c>
      <c r="J83" s="80"/>
      <c r="K83" s="80"/>
      <c r="L83" s="80"/>
      <c r="M83" s="1" t="s">
        <v>276</v>
      </c>
      <c r="N83" s="1">
        <v>33</v>
      </c>
      <c r="O83" s="1">
        <v>1</v>
      </c>
      <c r="P83" s="13">
        <v>44784</v>
      </c>
      <c r="Q83" s="1" t="s">
        <v>133</v>
      </c>
      <c r="R83" s="1" t="s">
        <v>64</v>
      </c>
      <c r="S83" s="1">
        <v>1</v>
      </c>
      <c r="T83" s="1"/>
      <c r="U83" s="1" t="s">
        <v>11</v>
      </c>
      <c r="V83" s="76">
        <v>5.333333333333333</v>
      </c>
      <c r="W83" s="76">
        <v>0.47140452079103179</v>
      </c>
      <c r="X83" s="77">
        <v>1.4142135623730954</v>
      </c>
      <c r="Y83" s="77">
        <v>4</v>
      </c>
      <c r="Z83" s="76">
        <v>6.666666666666667</v>
      </c>
      <c r="AA83" s="76">
        <v>0.47140452079103162</v>
      </c>
      <c r="AB83" s="77">
        <v>0.70710678118654702</v>
      </c>
      <c r="AC83" s="77">
        <v>3</v>
      </c>
      <c r="AD83" s="76">
        <v>8</v>
      </c>
      <c r="AE83" s="76">
        <v>0</v>
      </c>
      <c r="AF83" s="77">
        <v>0</v>
      </c>
      <c r="AG83" s="77">
        <v>3</v>
      </c>
      <c r="AH83" s="76">
        <v>6.666666666666667</v>
      </c>
      <c r="AI83" s="76">
        <v>0.47140452079103162</v>
      </c>
      <c r="AJ83" s="77">
        <v>0.70710678118654702</v>
      </c>
      <c r="AK83" s="77">
        <v>3</v>
      </c>
      <c r="AL83" s="76"/>
      <c r="AM83" s="76"/>
      <c r="AN83" s="77"/>
      <c r="AO83" s="77"/>
      <c r="AP83" s="76"/>
      <c r="AQ83" s="76"/>
      <c r="AR83" s="77"/>
      <c r="AS83" s="77"/>
      <c r="AT83" s="78">
        <v>1</v>
      </c>
    </row>
    <row r="84" spans="1:46" ht="12.5" x14ac:dyDescent="0.25">
      <c r="A84" s="79">
        <v>44784.27246197917</v>
      </c>
      <c r="B84" s="80" t="s">
        <v>168</v>
      </c>
      <c r="C84" s="80" t="str">
        <f>INDEX(TBL_Name,MATCH(Table2[[#This Row],[Athlete Name]],listNames,0),2)</f>
        <v>Athlete 26</v>
      </c>
      <c r="D84" s="80" t="s">
        <v>130</v>
      </c>
      <c r="E84" s="80">
        <v>7</v>
      </c>
      <c r="F84" s="80">
        <v>5</v>
      </c>
      <c r="G84" s="80">
        <v>7</v>
      </c>
      <c r="H84" s="80" t="s">
        <v>178</v>
      </c>
      <c r="I84" s="80">
        <v>6</v>
      </c>
      <c r="J84" s="80"/>
      <c r="K84" s="80"/>
      <c r="L84" s="80"/>
      <c r="M84" s="1" t="s">
        <v>277</v>
      </c>
      <c r="N84" s="1">
        <v>33</v>
      </c>
      <c r="O84" s="1">
        <v>1</v>
      </c>
      <c r="P84" s="13">
        <v>44784</v>
      </c>
      <c r="Q84" s="1" t="s">
        <v>133</v>
      </c>
      <c r="R84" s="1" t="s">
        <v>64</v>
      </c>
      <c r="S84" s="1">
        <v>1</v>
      </c>
      <c r="T84" s="1"/>
      <c r="U84" s="1" t="s">
        <v>5</v>
      </c>
      <c r="V84" s="76">
        <v>7.75</v>
      </c>
      <c r="W84" s="76">
        <v>0.4330127018922193</v>
      </c>
      <c r="X84" s="77">
        <v>-1.7320508075688774</v>
      </c>
      <c r="Y84" s="77">
        <v>1</v>
      </c>
      <c r="Z84" s="76">
        <v>6.5</v>
      </c>
      <c r="AA84" s="76">
        <v>1.1180339887498949</v>
      </c>
      <c r="AB84" s="77">
        <v>-1.3416407864998738</v>
      </c>
      <c r="AC84" s="77">
        <v>1</v>
      </c>
      <c r="AD84" s="76">
        <v>7.75</v>
      </c>
      <c r="AE84" s="76">
        <v>0.4330127018922193</v>
      </c>
      <c r="AF84" s="77">
        <v>-1.7320508075688774</v>
      </c>
      <c r="AG84" s="77">
        <v>1</v>
      </c>
      <c r="AH84" s="76">
        <v>6.25</v>
      </c>
      <c r="AI84" s="76">
        <v>0.43301270189221941</v>
      </c>
      <c r="AJ84" s="77">
        <v>-0.57735026918962562</v>
      </c>
      <c r="AK84" s="77">
        <v>2</v>
      </c>
      <c r="AL84" s="76"/>
      <c r="AM84" s="76"/>
      <c r="AN84" s="77"/>
      <c r="AO84" s="77"/>
      <c r="AP84" s="76"/>
      <c r="AQ84" s="76"/>
      <c r="AR84" s="77"/>
      <c r="AS84" s="77"/>
      <c r="AT84" s="78">
        <v>0.25</v>
      </c>
    </row>
    <row r="85" spans="1:46" ht="12.5" x14ac:dyDescent="0.25">
      <c r="A85" s="79">
        <v>44784.273023229165</v>
      </c>
      <c r="B85" s="80" t="s">
        <v>19</v>
      </c>
      <c r="C85" s="80" t="str">
        <f>INDEX(TBL_Name,MATCH(Table2[[#This Row],[Athlete Name]],listNames,0),2)</f>
        <v>Athlete 11</v>
      </c>
      <c r="D85" s="80" t="s">
        <v>130</v>
      </c>
      <c r="E85" s="80">
        <v>4</v>
      </c>
      <c r="F85" s="80">
        <v>7</v>
      </c>
      <c r="G85" s="80">
        <v>7</v>
      </c>
      <c r="H85" s="80" t="s">
        <v>188</v>
      </c>
      <c r="I85" s="80">
        <v>3</v>
      </c>
      <c r="J85" s="80"/>
      <c r="K85" s="80"/>
      <c r="L85" s="80"/>
      <c r="M85" s="1" t="s">
        <v>278</v>
      </c>
      <c r="N85" s="1">
        <v>33</v>
      </c>
      <c r="O85" s="1">
        <v>1</v>
      </c>
      <c r="P85" s="13">
        <v>44784</v>
      </c>
      <c r="Q85" s="1" t="s">
        <v>133</v>
      </c>
      <c r="R85" s="1" t="s">
        <v>64</v>
      </c>
      <c r="S85" s="1">
        <v>1</v>
      </c>
      <c r="T85" s="1"/>
      <c r="U85" s="1" t="s">
        <v>18</v>
      </c>
      <c r="V85" s="76">
        <v>5.25</v>
      </c>
      <c r="W85" s="76">
        <v>0.82915619758885006</v>
      </c>
      <c r="X85" s="77">
        <v>-1.507556722888818</v>
      </c>
      <c r="Y85" s="77">
        <v>1</v>
      </c>
      <c r="Z85" s="76">
        <v>6.75</v>
      </c>
      <c r="AA85" s="76">
        <v>0.43301270189221924</v>
      </c>
      <c r="AB85" s="77">
        <v>0.57735026918962584</v>
      </c>
      <c r="AC85" s="77">
        <v>3</v>
      </c>
      <c r="AD85" s="76">
        <v>6.75</v>
      </c>
      <c r="AE85" s="76">
        <v>0.43301270189221924</v>
      </c>
      <c r="AF85" s="77">
        <v>0.57735026918962584</v>
      </c>
      <c r="AG85" s="77">
        <v>3</v>
      </c>
      <c r="AH85" s="76">
        <v>3.75</v>
      </c>
      <c r="AI85" s="76">
        <v>1.299038105676658</v>
      </c>
      <c r="AJ85" s="77">
        <v>-0.57735026918962573</v>
      </c>
      <c r="AK85" s="77">
        <v>2</v>
      </c>
      <c r="AL85" s="76"/>
      <c r="AM85" s="76"/>
      <c r="AN85" s="77"/>
      <c r="AO85" s="77"/>
      <c r="AP85" s="76"/>
      <c r="AQ85" s="76"/>
      <c r="AR85" s="77"/>
      <c r="AS85" s="77"/>
      <c r="AT85" s="78">
        <v>0.625</v>
      </c>
    </row>
    <row r="86" spans="1:46" ht="12.5" x14ac:dyDescent="0.25">
      <c r="A86" s="79">
        <v>44784.275249189814</v>
      </c>
      <c r="B86" s="80" t="s">
        <v>27</v>
      </c>
      <c r="C86" s="80" t="str">
        <f>INDEX(TBL_Name,MATCH(Table2[[#This Row],[Athlete Name]],listNames,0),2)</f>
        <v>Athlete 17</v>
      </c>
      <c r="D86" s="80" t="s">
        <v>150</v>
      </c>
      <c r="E86" s="80">
        <v>5</v>
      </c>
      <c r="F86" s="80">
        <v>6</v>
      </c>
      <c r="G86" s="80">
        <v>8</v>
      </c>
      <c r="H86" s="80" t="s">
        <v>69</v>
      </c>
      <c r="I86" s="80">
        <v>4</v>
      </c>
      <c r="J86" s="80"/>
      <c r="K86" s="80"/>
      <c r="L86" s="80"/>
      <c r="M86" s="1" t="s">
        <v>279</v>
      </c>
      <c r="N86" s="1">
        <v>33</v>
      </c>
      <c r="O86" s="1">
        <v>1</v>
      </c>
      <c r="P86" s="13">
        <v>44784</v>
      </c>
      <c r="Q86" s="1" t="s">
        <v>133</v>
      </c>
      <c r="R86" s="1" t="s">
        <v>64</v>
      </c>
      <c r="S86" s="1">
        <v>3</v>
      </c>
      <c r="T86" s="1"/>
      <c r="U86" s="1" t="s">
        <v>28</v>
      </c>
      <c r="V86" s="76">
        <v>5.666666666666667</v>
      </c>
      <c r="W86" s="76">
        <v>0.47140452079103179</v>
      </c>
      <c r="X86" s="77">
        <v>-1.4142135623730954</v>
      </c>
      <c r="Y86" s="77">
        <v>1</v>
      </c>
      <c r="Z86" s="76">
        <v>6</v>
      </c>
      <c r="AA86" s="76">
        <v>0</v>
      </c>
      <c r="AB86" s="77">
        <v>0</v>
      </c>
      <c r="AC86" s="77">
        <v>3</v>
      </c>
      <c r="AD86" s="76">
        <v>8</v>
      </c>
      <c r="AE86" s="76">
        <v>0.81649658092772603</v>
      </c>
      <c r="AF86" s="77">
        <v>0</v>
      </c>
      <c r="AG86" s="77">
        <v>3</v>
      </c>
      <c r="AH86" s="76">
        <v>5</v>
      </c>
      <c r="AI86" s="76">
        <v>0.81649658092772603</v>
      </c>
      <c r="AJ86" s="77">
        <v>-1.2247448713915889</v>
      </c>
      <c r="AK86" s="77">
        <v>1</v>
      </c>
      <c r="AL86" s="76"/>
      <c r="AM86" s="76"/>
      <c r="AN86" s="77"/>
      <c r="AO86" s="77"/>
      <c r="AP86" s="76"/>
      <c r="AQ86" s="76"/>
      <c r="AR86" s="77"/>
      <c r="AS86" s="77"/>
      <c r="AT86" s="78">
        <v>0.5625</v>
      </c>
    </row>
    <row r="87" spans="1:46" ht="12.5" x14ac:dyDescent="0.25">
      <c r="A87" s="79">
        <v>44784.275561712959</v>
      </c>
      <c r="B87" s="80" t="s">
        <v>180</v>
      </c>
      <c r="C87" s="80" t="str">
        <f>INDEX(TBL_Name,MATCH(Table2[[#This Row],[Athlete Name]],listNames,0),2)</f>
        <v>Athlete 29</v>
      </c>
      <c r="D87" s="80" t="s">
        <v>143</v>
      </c>
      <c r="E87" s="80">
        <v>9</v>
      </c>
      <c r="F87" s="80">
        <v>5</v>
      </c>
      <c r="G87" s="80">
        <v>6</v>
      </c>
      <c r="H87" s="80" t="s">
        <v>280</v>
      </c>
      <c r="I87" s="80">
        <v>4</v>
      </c>
      <c r="J87" s="80"/>
      <c r="K87" s="80"/>
      <c r="L87" s="80"/>
      <c r="M87" s="1" t="s">
        <v>281</v>
      </c>
      <c r="N87" s="1">
        <v>33</v>
      </c>
      <c r="O87" s="1">
        <v>1</v>
      </c>
      <c r="P87" s="13">
        <v>44784</v>
      </c>
      <c r="Q87" s="1" t="s">
        <v>133</v>
      </c>
      <c r="R87" s="1" t="s">
        <v>64</v>
      </c>
      <c r="S87" s="1">
        <v>2</v>
      </c>
      <c r="T87" s="1"/>
      <c r="U87" s="1" t="s">
        <v>5</v>
      </c>
      <c r="V87" s="76">
        <v>8.75</v>
      </c>
      <c r="W87" s="76">
        <v>0.43301270189221919</v>
      </c>
      <c r="X87" s="77">
        <v>0.57735026918962595</v>
      </c>
      <c r="Y87" s="77">
        <v>3</v>
      </c>
      <c r="Z87" s="76">
        <v>6.75</v>
      </c>
      <c r="AA87" s="76">
        <v>1.2990381056766578</v>
      </c>
      <c r="AB87" s="77">
        <v>-1.347150628109127</v>
      </c>
      <c r="AC87" s="77">
        <v>1</v>
      </c>
      <c r="AD87" s="76">
        <v>7.25</v>
      </c>
      <c r="AE87" s="76">
        <v>0.82915619758885006</v>
      </c>
      <c r="AF87" s="77">
        <v>-1.507556722888818</v>
      </c>
      <c r="AG87" s="77">
        <v>1</v>
      </c>
      <c r="AH87" s="76">
        <v>5</v>
      </c>
      <c r="AI87" s="76">
        <v>0.70710678118654757</v>
      </c>
      <c r="AJ87" s="77">
        <v>-1.4142135623730949</v>
      </c>
      <c r="AK87" s="77">
        <v>1</v>
      </c>
      <c r="AL87" s="76"/>
      <c r="AM87" s="76"/>
      <c r="AN87" s="77"/>
      <c r="AO87" s="77"/>
      <c r="AP87" s="76"/>
      <c r="AQ87" s="76"/>
      <c r="AR87" s="77"/>
      <c r="AS87" s="77"/>
      <c r="AT87" s="78">
        <v>0.375</v>
      </c>
    </row>
    <row r="88" spans="1:46" ht="12.5" x14ac:dyDescent="0.25">
      <c r="A88" s="79">
        <v>44784.278590000002</v>
      </c>
      <c r="B88" s="80" t="s">
        <v>282</v>
      </c>
      <c r="C88" s="80" t="str">
        <f>INDEX(TBL_Name,MATCH(Table2[[#This Row],[Athlete Name]],listNames,0),2)</f>
        <v>Athlete 33</v>
      </c>
      <c r="D88" s="80" t="s">
        <v>150</v>
      </c>
      <c r="E88" s="80">
        <v>3</v>
      </c>
      <c r="F88" s="80">
        <v>7</v>
      </c>
      <c r="G88" s="80">
        <v>8</v>
      </c>
      <c r="H88" s="80" t="s">
        <v>151</v>
      </c>
      <c r="I88" s="80">
        <v>7</v>
      </c>
      <c r="J88" s="80"/>
      <c r="K88" s="80"/>
      <c r="L88" s="80"/>
      <c r="M88" s="1" t="s">
        <v>283</v>
      </c>
      <c r="N88" s="1">
        <v>33</v>
      </c>
      <c r="O88" s="1">
        <v>1</v>
      </c>
      <c r="P88" s="13">
        <v>44784</v>
      </c>
      <c r="Q88" s="1" t="s">
        <v>133</v>
      </c>
      <c r="R88" s="1" t="s">
        <v>64</v>
      </c>
      <c r="S88" s="1">
        <v>3</v>
      </c>
      <c r="T88" s="1"/>
      <c r="U88" s="1" t="s">
        <v>26</v>
      </c>
      <c r="V88" s="76">
        <v>3</v>
      </c>
      <c r="W88" s="76">
        <v>0</v>
      </c>
      <c r="X88" s="77">
        <v>0</v>
      </c>
      <c r="Y88" s="77">
        <v>3</v>
      </c>
      <c r="Z88" s="76">
        <v>7</v>
      </c>
      <c r="AA88" s="76">
        <v>0</v>
      </c>
      <c r="AB88" s="77">
        <v>0</v>
      </c>
      <c r="AC88" s="77">
        <v>3</v>
      </c>
      <c r="AD88" s="76">
        <v>8</v>
      </c>
      <c r="AE88" s="76">
        <v>0</v>
      </c>
      <c r="AF88" s="77">
        <v>0</v>
      </c>
      <c r="AG88" s="77">
        <v>3</v>
      </c>
      <c r="AH88" s="76">
        <v>7</v>
      </c>
      <c r="AI88" s="76">
        <v>0</v>
      </c>
      <c r="AJ88" s="77">
        <v>0</v>
      </c>
      <c r="AK88" s="77">
        <v>3</v>
      </c>
      <c r="AL88" s="76"/>
      <c r="AM88" s="76"/>
      <c r="AN88" s="77"/>
      <c r="AO88" s="77"/>
      <c r="AP88" s="76"/>
      <c r="AQ88" s="76"/>
      <c r="AR88" s="77"/>
      <c r="AS88" s="77"/>
      <c r="AT88" s="78">
        <v>0.75</v>
      </c>
    </row>
    <row r="89" spans="1:46" ht="12.5" x14ac:dyDescent="0.25">
      <c r="A89" s="79">
        <v>44784.279875717591</v>
      </c>
      <c r="B89" s="80" t="s">
        <v>15</v>
      </c>
      <c r="C89" s="80" t="str">
        <f>INDEX(TBL_Name,MATCH(Table2[[#This Row],[Athlete Name]],listNames,0),2)</f>
        <v>Athlete 8</v>
      </c>
      <c r="D89" s="80" t="s">
        <v>130</v>
      </c>
      <c r="E89" s="80">
        <v>10</v>
      </c>
      <c r="F89" s="80">
        <v>9</v>
      </c>
      <c r="G89" s="80">
        <v>9</v>
      </c>
      <c r="H89" s="80" t="s">
        <v>193</v>
      </c>
      <c r="I89" s="80">
        <v>4</v>
      </c>
      <c r="J89" s="80"/>
      <c r="K89" s="80"/>
      <c r="L89" s="80"/>
      <c r="M89" s="1" t="s">
        <v>284</v>
      </c>
      <c r="N89" s="1">
        <v>33</v>
      </c>
      <c r="O89" s="1">
        <v>1</v>
      </c>
      <c r="P89" s="13">
        <v>44784</v>
      </c>
      <c r="Q89" s="1" t="s">
        <v>133</v>
      </c>
      <c r="R89" s="1" t="s">
        <v>64</v>
      </c>
      <c r="S89" s="1">
        <v>1</v>
      </c>
      <c r="T89" s="1"/>
      <c r="U89" s="1" t="s">
        <v>14</v>
      </c>
      <c r="V89" s="76">
        <v>9.5</v>
      </c>
      <c r="W89" s="76">
        <v>0.86602540378443849</v>
      </c>
      <c r="X89" s="77">
        <v>0.57735026918962584</v>
      </c>
      <c r="Y89" s="77">
        <v>3</v>
      </c>
      <c r="Z89" s="76">
        <v>9</v>
      </c>
      <c r="AA89" s="76">
        <v>0</v>
      </c>
      <c r="AB89" s="77">
        <v>0</v>
      </c>
      <c r="AC89" s="77">
        <v>3</v>
      </c>
      <c r="AD89" s="76">
        <v>9.25</v>
      </c>
      <c r="AE89" s="76">
        <v>0.43301270189221919</v>
      </c>
      <c r="AF89" s="77">
        <v>-0.57735026918962595</v>
      </c>
      <c r="AG89" s="77">
        <v>2</v>
      </c>
      <c r="AH89" s="76">
        <v>4.25</v>
      </c>
      <c r="AI89" s="76">
        <v>0.82915619758884995</v>
      </c>
      <c r="AJ89" s="77">
        <v>-0.30151134457776363</v>
      </c>
      <c r="AK89" s="77">
        <v>2</v>
      </c>
      <c r="AL89" s="76"/>
      <c r="AM89" s="76"/>
      <c r="AN89" s="77"/>
      <c r="AO89" s="77"/>
      <c r="AP89" s="76"/>
      <c r="AQ89" s="76"/>
      <c r="AR89" s="77"/>
      <c r="AS89" s="77"/>
      <c r="AT89" s="78">
        <v>0.5</v>
      </c>
    </row>
    <row r="90" spans="1:46" ht="12.5" x14ac:dyDescent="0.25">
      <c r="A90" s="79">
        <v>44784.368569675928</v>
      </c>
      <c r="B90" s="80" t="s">
        <v>16</v>
      </c>
      <c r="C90" s="80" t="str">
        <f>INDEX(TBL_Name,MATCH(Table2[[#This Row],[Athlete Name]],listNames,0),2)</f>
        <v>Athlete 9</v>
      </c>
      <c r="D90" s="80" t="s">
        <v>130</v>
      </c>
      <c r="E90" s="80">
        <v>6</v>
      </c>
      <c r="F90" s="80">
        <v>8</v>
      </c>
      <c r="G90" s="80">
        <v>7</v>
      </c>
      <c r="H90" s="80" t="s">
        <v>251</v>
      </c>
      <c r="I90" s="80">
        <v>4</v>
      </c>
      <c r="J90" s="80"/>
      <c r="K90" s="80"/>
      <c r="L90" s="80"/>
      <c r="M90" s="1" t="s">
        <v>285</v>
      </c>
      <c r="N90" s="1">
        <v>33</v>
      </c>
      <c r="O90" s="1">
        <v>1</v>
      </c>
      <c r="P90" s="13">
        <v>44784</v>
      </c>
      <c r="Q90" s="1" t="s">
        <v>133</v>
      </c>
      <c r="R90" s="1" t="s">
        <v>64</v>
      </c>
      <c r="S90" s="1">
        <v>1</v>
      </c>
      <c r="T90" s="1"/>
      <c r="U90" s="1" t="s">
        <v>14</v>
      </c>
      <c r="V90" s="76">
        <v>6</v>
      </c>
      <c r="W90" s="76">
        <v>0</v>
      </c>
      <c r="X90" s="77">
        <v>0</v>
      </c>
      <c r="Y90" s="77">
        <v>3</v>
      </c>
      <c r="Z90" s="76">
        <v>7.5</v>
      </c>
      <c r="AA90" s="76">
        <v>0.5</v>
      </c>
      <c r="AB90" s="77">
        <v>1</v>
      </c>
      <c r="AC90" s="77">
        <v>4</v>
      </c>
      <c r="AD90" s="76">
        <v>7.5</v>
      </c>
      <c r="AE90" s="76">
        <v>0.5</v>
      </c>
      <c r="AF90" s="77">
        <v>-1</v>
      </c>
      <c r="AG90" s="77">
        <v>1</v>
      </c>
      <c r="AH90" s="76">
        <v>4</v>
      </c>
      <c r="AI90" s="76">
        <v>0</v>
      </c>
      <c r="AJ90" s="77">
        <v>0</v>
      </c>
      <c r="AK90" s="77">
        <v>3</v>
      </c>
      <c r="AL90" s="76"/>
      <c r="AM90" s="76"/>
      <c r="AN90" s="77"/>
      <c r="AO90" s="77"/>
      <c r="AP90" s="76"/>
      <c r="AQ90" s="76"/>
      <c r="AR90" s="77"/>
      <c r="AS90" s="77"/>
      <c r="AT90" s="78">
        <v>0.75</v>
      </c>
    </row>
    <row r="91" spans="1:46" ht="12.5" x14ac:dyDescent="0.25">
      <c r="A91" s="79">
        <v>44784.371916469907</v>
      </c>
      <c r="B91" s="80" t="s">
        <v>171</v>
      </c>
      <c r="C91" s="80" t="str">
        <f>INDEX(TBL_Name,MATCH(Table2[[#This Row],[Athlete Name]],listNames,0),2)</f>
        <v>Athlete 27</v>
      </c>
      <c r="D91" s="80" t="s">
        <v>130</v>
      </c>
      <c r="E91" s="80">
        <v>9</v>
      </c>
      <c r="F91" s="80">
        <v>9</v>
      </c>
      <c r="G91" s="80">
        <v>9</v>
      </c>
      <c r="H91" s="80" t="s">
        <v>131</v>
      </c>
      <c r="I91" s="80">
        <v>4</v>
      </c>
      <c r="J91" s="80"/>
      <c r="K91" s="80"/>
      <c r="L91" s="80"/>
      <c r="M91" s="1" t="s">
        <v>286</v>
      </c>
      <c r="N91" s="1">
        <v>33</v>
      </c>
      <c r="O91" s="1">
        <v>1</v>
      </c>
      <c r="P91" s="13">
        <v>44784</v>
      </c>
      <c r="Q91" s="1" t="s">
        <v>133</v>
      </c>
      <c r="R91" s="1" t="s">
        <v>64</v>
      </c>
      <c r="S91" s="1">
        <v>1</v>
      </c>
      <c r="T91" s="1"/>
      <c r="U91" s="1" t="s">
        <v>8</v>
      </c>
      <c r="V91" s="76">
        <v>9</v>
      </c>
      <c r="W91" s="76">
        <v>0.81649658092772603</v>
      </c>
      <c r="X91" s="77">
        <v>0</v>
      </c>
      <c r="Y91" s="77">
        <v>3</v>
      </c>
      <c r="Z91" s="76">
        <v>9.6666666666666661</v>
      </c>
      <c r="AA91" s="76">
        <v>0.47140452079103146</v>
      </c>
      <c r="AB91" s="77">
        <v>-1.4142135623730945</v>
      </c>
      <c r="AC91" s="77">
        <v>1</v>
      </c>
      <c r="AD91" s="76">
        <v>9</v>
      </c>
      <c r="AE91" s="76">
        <v>0</v>
      </c>
      <c r="AF91" s="77">
        <v>0</v>
      </c>
      <c r="AG91" s="77">
        <v>3</v>
      </c>
      <c r="AH91" s="76">
        <v>5.666666666666667</v>
      </c>
      <c r="AI91" s="76">
        <v>1.2472191289246473</v>
      </c>
      <c r="AJ91" s="77">
        <v>-1.3363062095621221</v>
      </c>
      <c r="AK91" s="77">
        <v>1</v>
      </c>
      <c r="AL91" s="76"/>
      <c r="AM91" s="76"/>
      <c r="AN91" s="77"/>
      <c r="AO91" s="77"/>
      <c r="AP91" s="76"/>
      <c r="AQ91" s="76"/>
      <c r="AR91" s="77"/>
      <c r="AS91" s="77"/>
      <c r="AT91" s="78">
        <v>0.625</v>
      </c>
    </row>
    <row r="92" spans="1:46" ht="12.5" x14ac:dyDescent="0.25">
      <c r="A92" s="79">
        <v>44784.387447476853</v>
      </c>
      <c r="B92" s="80" t="s">
        <v>177</v>
      </c>
      <c r="C92" s="80" t="str">
        <f>INDEX(TBL_Name,MATCH(Table2[[#This Row],[Athlete Name]],listNames,0),2)</f>
        <v>Athlete 28</v>
      </c>
      <c r="D92" s="80" t="s">
        <v>143</v>
      </c>
      <c r="E92" s="80">
        <v>4</v>
      </c>
      <c r="F92" s="80">
        <v>8</v>
      </c>
      <c r="G92" s="80">
        <v>8</v>
      </c>
      <c r="H92" s="80" t="s">
        <v>287</v>
      </c>
      <c r="I92" s="80">
        <v>6</v>
      </c>
      <c r="J92" s="80"/>
      <c r="K92" s="80"/>
      <c r="L92" s="80"/>
      <c r="M92" s="1" t="s">
        <v>288</v>
      </c>
      <c r="N92" s="1">
        <v>33</v>
      </c>
      <c r="O92" s="1">
        <v>1</v>
      </c>
      <c r="P92" s="13">
        <v>44784</v>
      </c>
      <c r="Q92" s="1" t="s">
        <v>133</v>
      </c>
      <c r="R92" s="1" t="s">
        <v>64</v>
      </c>
      <c r="S92" s="1">
        <v>2</v>
      </c>
      <c r="T92" s="1"/>
      <c r="U92" s="1" t="s">
        <v>28</v>
      </c>
      <c r="V92" s="76">
        <v>2.75</v>
      </c>
      <c r="W92" s="76">
        <v>0.82915619758884984</v>
      </c>
      <c r="X92" s="77">
        <v>1.5075567228888183</v>
      </c>
      <c r="Y92" s="77">
        <v>4</v>
      </c>
      <c r="Z92" s="76">
        <v>5.5</v>
      </c>
      <c r="AA92" s="76">
        <v>2.5980762113533156</v>
      </c>
      <c r="AB92" s="77">
        <v>0.96225044864937637</v>
      </c>
      <c r="AC92" s="77">
        <v>3</v>
      </c>
      <c r="AD92" s="76">
        <v>6.75</v>
      </c>
      <c r="AE92" s="76">
        <v>2.2776083947860748</v>
      </c>
      <c r="AF92" s="77">
        <v>0.54882129994845175</v>
      </c>
      <c r="AG92" s="77">
        <v>3</v>
      </c>
      <c r="AH92" s="76">
        <v>4.75</v>
      </c>
      <c r="AI92" s="76">
        <v>2.5860201081971503</v>
      </c>
      <c r="AJ92" s="77">
        <v>0.48336824452283178</v>
      </c>
      <c r="AK92" s="77">
        <v>3</v>
      </c>
      <c r="AL92" s="76"/>
      <c r="AM92" s="76"/>
      <c r="AN92" s="77"/>
      <c r="AO92" s="77"/>
      <c r="AP92" s="76"/>
      <c r="AQ92" s="76"/>
      <c r="AR92" s="77"/>
      <c r="AS92" s="77"/>
      <c r="AT92" s="78">
        <v>1</v>
      </c>
    </row>
    <row r="93" spans="1:46" ht="12.5" x14ac:dyDescent="0.25">
      <c r="A93" s="79">
        <v>44784.400725763888</v>
      </c>
      <c r="B93" s="80" t="s">
        <v>196</v>
      </c>
      <c r="C93" s="80" t="str">
        <f>INDEX(TBL_Name,MATCH(Table2[[#This Row],[Athlete Name]],listNames,0),2)</f>
        <v>Athlete 31</v>
      </c>
      <c r="D93" s="80" t="s">
        <v>130</v>
      </c>
      <c r="E93" s="80">
        <v>6</v>
      </c>
      <c r="F93" s="80">
        <v>8</v>
      </c>
      <c r="G93" s="80">
        <v>7.5</v>
      </c>
      <c r="H93" s="80" t="s">
        <v>197</v>
      </c>
      <c r="I93" s="80">
        <v>6</v>
      </c>
      <c r="J93" s="80"/>
      <c r="K93" s="80"/>
      <c r="L93" s="80"/>
      <c r="M93" s="1" t="s">
        <v>289</v>
      </c>
      <c r="N93" s="1">
        <v>33</v>
      </c>
      <c r="O93" s="1">
        <v>1</v>
      </c>
      <c r="P93" s="13">
        <v>44784</v>
      </c>
      <c r="Q93" s="1" t="s">
        <v>133</v>
      </c>
      <c r="R93" s="1" t="s">
        <v>64</v>
      </c>
      <c r="S93" s="1">
        <v>1</v>
      </c>
      <c r="T93" s="1"/>
      <c r="U93" s="1" t="s">
        <v>28</v>
      </c>
      <c r="V93" s="76">
        <v>6</v>
      </c>
      <c r="W93" s="76">
        <v>0</v>
      </c>
      <c r="X93" s="77">
        <v>0</v>
      </c>
      <c r="Y93" s="77">
        <v>3</v>
      </c>
      <c r="Z93" s="76">
        <v>8</v>
      </c>
      <c r="AA93" s="76">
        <v>0.81649658092772603</v>
      </c>
      <c r="AB93" s="77">
        <v>0</v>
      </c>
      <c r="AC93" s="77">
        <v>3</v>
      </c>
      <c r="AD93" s="76">
        <v>7.833333333333333</v>
      </c>
      <c r="AE93" s="76">
        <v>0.23570226039551573</v>
      </c>
      <c r="AF93" s="77">
        <v>-1.4142135623730945</v>
      </c>
      <c r="AG93" s="77">
        <v>1</v>
      </c>
      <c r="AH93" s="76">
        <v>6.666666666666667</v>
      </c>
      <c r="AI93" s="76">
        <v>0.47140452079103179</v>
      </c>
      <c r="AJ93" s="77">
        <v>-1.4142135623730954</v>
      </c>
      <c r="AK93" s="77">
        <v>1</v>
      </c>
      <c r="AL93" s="76"/>
      <c r="AM93" s="76"/>
      <c r="AN93" s="77"/>
      <c r="AO93" s="77"/>
      <c r="AP93" s="76"/>
      <c r="AQ93" s="76"/>
      <c r="AR93" s="77"/>
      <c r="AS93" s="77"/>
      <c r="AT93" s="78">
        <v>0.75</v>
      </c>
    </row>
    <row r="94" spans="1:46" ht="12.5" x14ac:dyDescent="0.25">
      <c r="A94" s="79">
        <v>44784.718594930557</v>
      </c>
      <c r="B94" s="80" t="s">
        <v>6</v>
      </c>
      <c r="C94" s="80" t="str">
        <f>INDEX(TBL_Name,MATCH(Table2[[#This Row],[Athlete Name]],listNames,0),2)</f>
        <v>Athlete 2</v>
      </c>
      <c r="D94" s="80" t="s">
        <v>130</v>
      </c>
      <c r="E94" s="80">
        <v>10</v>
      </c>
      <c r="F94" s="80">
        <v>7</v>
      </c>
      <c r="G94" s="80">
        <v>8</v>
      </c>
      <c r="H94" s="80" t="s">
        <v>73</v>
      </c>
      <c r="I94" s="80">
        <v>6</v>
      </c>
      <c r="J94" s="80"/>
      <c r="K94" s="80"/>
      <c r="L94" s="80"/>
      <c r="M94" s="1" t="s">
        <v>290</v>
      </c>
      <c r="N94" s="1">
        <v>33</v>
      </c>
      <c r="O94" s="1">
        <v>1</v>
      </c>
      <c r="P94" s="13">
        <v>44784</v>
      </c>
      <c r="Q94" s="1" t="s">
        <v>133</v>
      </c>
      <c r="R94" s="1" t="s">
        <v>64</v>
      </c>
      <c r="S94" s="1">
        <v>1</v>
      </c>
      <c r="T94" s="1"/>
      <c r="U94" s="1" t="s">
        <v>5</v>
      </c>
      <c r="V94" s="76">
        <v>9.75</v>
      </c>
      <c r="W94" s="76">
        <v>0.43301270189221946</v>
      </c>
      <c r="X94" s="77">
        <v>0.57735026918962562</v>
      </c>
      <c r="Y94" s="77">
        <v>3</v>
      </c>
      <c r="Z94" s="76">
        <v>6.25</v>
      </c>
      <c r="AA94" s="76">
        <v>1.299038105676658</v>
      </c>
      <c r="AB94" s="77">
        <v>0.57735026918962573</v>
      </c>
      <c r="AC94" s="77">
        <v>3</v>
      </c>
      <c r="AD94" s="76">
        <v>7.25</v>
      </c>
      <c r="AE94" s="76">
        <v>0.82915619758884995</v>
      </c>
      <c r="AF94" s="77">
        <v>0.90453403373329089</v>
      </c>
      <c r="AG94" s="77">
        <v>3</v>
      </c>
      <c r="AH94" s="76">
        <v>5.5</v>
      </c>
      <c r="AI94" s="76">
        <v>0.50000000000000011</v>
      </c>
      <c r="AJ94" s="77">
        <v>0.99999999999999978</v>
      </c>
      <c r="AK94" s="77">
        <v>4</v>
      </c>
      <c r="AL94" s="76"/>
      <c r="AM94" s="76"/>
      <c r="AN94" s="77"/>
      <c r="AO94" s="77"/>
      <c r="AP94" s="76"/>
      <c r="AQ94" s="76"/>
      <c r="AR94" s="77"/>
      <c r="AS94" s="77"/>
      <c r="AT94" s="78">
        <v>0.375</v>
      </c>
    </row>
    <row r="95" spans="1:46" ht="12.5" x14ac:dyDescent="0.25">
      <c r="A95" s="79">
        <v>44784.736014872688</v>
      </c>
      <c r="B95" s="80" t="s">
        <v>9</v>
      </c>
      <c r="C95" s="80" t="str">
        <f>INDEX(TBL_Name,MATCH(Table2[[#This Row],[Athlete Name]],listNames,0),2)</f>
        <v>Athlete 4</v>
      </c>
      <c r="D95" s="80" t="s">
        <v>130</v>
      </c>
      <c r="E95" s="80">
        <v>7</v>
      </c>
      <c r="F95" s="80">
        <v>9</v>
      </c>
      <c r="G95" s="80">
        <v>8</v>
      </c>
      <c r="H95" s="80" t="s">
        <v>291</v>
      </c>
      <c r="I95" s="80">
        <v>6</v>
      </c>
      <c r="J95" s="80"/>
      <c r="K95" s="80"/>
      <c r="L95" s="80"/>
      <c r="M95" s="1" t="s">
        <v>292</v>
      </c>
      <c r="N95" s="1">
        <v>33</v>
      </c>
      <c r="O95" s="1">
        <v>1</v>
      </c>
      <c r="P95" s="13">
        <v>44784</v>
      </c>
      <c r="Q95" s="1" t="s">
        <v>133</v>
      </c>
      <c r="R95" s="1" t="s">
        <v>64</v>
      </c>
      <c r="S95" s="1">
        <v>1</v>
      </c>
      <c r="T95" s="1"/>
      <c r="U95" s="1" t="s">
        <v>8</v>
      </c>
      <c r="V95" s="76">
        <v>6.5</v>
      </c>
      <c r="W95" s="76">
        <v>0.50000000000000011</v>
      </c>
      <c r="X95" s="77">
        <v>0.99999999999999978</v>
      </c>
      <c r="Y95" s="77">
        <v>4</v>
      </c>
      <c r="Z95" s="76">
        <v>8</v>
      </c>
      <c r="AA95" s="76">
        <v>0.70710678118654757</v>
      </c>
      <c r="AB95" s="77">
        <v>1.4142135623730949</v>
      </c>
      <c r="AC95" s="77">
        <v>4</v>
      </c>
      <c r="AD95" s="76">
        <v>8</v>
      </c>
      <c r="AE95" s="76">
        <v>0</v>
      </c>
      <c r="AF95" s="77">
        <v>0</v>
      </c>
      <c r="AG95" s="77">
        <v>3</v>
      </c>
      <c r="AH95" s="76">
        <v>4.75</v>
      </c>
      <c r="AI95" s="76">
        <v>0.82915619758885006</v>
      </c>
      <c r="AJ95" s="77">
        <v>1.507556722888818</v>
      </c>
      <c r="AK95" s="77">
        <v>4</v>
      </c>
      <c r="AL95" s="76"/>
      <c r="AM95" s="76"/>
      <c r="AN95" s="77"/>
      <c r="AO95" s="77"/>
      <c r="AP95" s="76"/>
      <c r="AQ95" s="76"/>
      <c r="AR95" s="77"/>
      <c r="AS95" s="77"/>
      <c r="AT95" s="78">
        <v>0.8125</v>
      </c>
    </row>
    <row r="96" spans="1:46" ht="12.5" x14ac:dyDescent="0.25">
      <c r="A96" s="79">
        <v>44785.256230173611</v>
      </c>
      <c r="B96" s="80" t="s">
        <v>185</v>
      </c>
      <c r="C96" s="80" t="str">
        <f>INDEX(TBL_Name,MATCH(Table2[[#This Row],[Athlete Name]],listNames,0),2)</f>
        <v>Athlete 30</v>
      </c>
      <c r="D96" s="80" t="s">
        <v>130</v>
      </c>
      <c r="E96" s="80">
        <v>8</v>
      </c>
      <c r="F96" s="80">
        <v>5</v>
      </c>
      <c r="G96" s="80">
        <v>7</v>
      </c>
      <c r="H96" s="80" t="s">
        <v>262</v>
      </c>
      <c r="I96" s="80">
        <v>6</v>
      </c>
      <c r="J96" s="80"/>
      <c r="K96" s="80"/>
      <c r="L96" s="80"/>
      <c r="M96" s="1" t="s">
        <v>293</v>
      </c>
      <c r="N96" s="1">
        <v>33</v>
      </c>
      <c r="O96" s="1">
        <v>1</v>
      </c>
      <c r="P96" s="13">
        <v>44785</v>
      </c>
      <c r="Q96" s="1" t="s">
        <v>133</v>
      </c>
      <c r="R96" s="1" t="s">
        <v>64</v>
      </c>
      <c r="S96" s="1">
        <v>1</v>
      </c>
      <c r="T96" s="1"/>
      <c r="U96" s="1" t="s">
        <v>26</v>
      </c>
      <c r="V96" s="76">
        <v>8.6</v>
      </c>
      <c r="W96" s="76">
        <v>1.0198039027185568</v>
      </c>
      <c r="X96" s="77">
        <v>-0.5883484054145518</v>
      </c>
      <c r="Y96" s="77">
        <v>2</v>
      </c>
      <c r="Z96" s="76">
        <v>5.8</v>
      </c>
      <c r="AA96" s="76">
        <v>1.4696938456699069</v>
      </c>
      <c r="AB96" s="77">
        <v>-0.54433105395181725</v>
      </c>
      <c r="AC96" s="77">
        <v>2</v>
      </c>
      <c r="AD96" s="76">
        <v>6.6</v>
      </c>
      <c r="AE96" s="76">
        <v>1.3564659966250536</v>
      </c>
      <c r="AF96" s="77">
        <v>0.29488391230979455</v>
      </c>
      <c r="AG96" s="77">
        <v>3</v>
      </c>
      <c r="AH96" s="76">
        <v>4.8</v>
      </c>
      <c r="AI96" s="76">
        <v>0.74833147735478833</v>
      </c>
      <c r="AJ96" s="77">
        <v>1.6035674514745464</v>
      </c>
      <c r="AK96" s="77">
        <v>4</v>
      </c>
      <c r="AL96" s="76"/>
      <c r="AM96" s="76"/>
      <c r="AN96" s="77"/>
      <c r="AO96" s="77"/>
      <c r="AP96" s="76"/>
      <c r="AQ96" s="76"/>
      <c r="AR96" s="77"/>
      <c r="AS96" s="77"/>
      <c r="AT96" s="78">
        <v>0.3125</v>
      </c>
    </row>
    <row r="97" spans="1:46" ht="12.5" x14ac:dyDescent="0.25">
      <c r="A97" s="79">
        <v>44785.280291979172</v>
      </c>
      <c r="B97" s="80" t="s">
        <v>148</v>
      </c>
      <c r="C97" s="80" t="str">
        <f>INDEX(TBL_Name,MATCH(Table2[[#This Row],[Athlete Name]],listNames,0),2)</f>
        <v>Athlete 22</v>
      </c>
      <c r="D97" s="80" t="s">
        <v>130</v>
      </c>
      <c r="E97" s="80">
        <v>9</v>
      </c>
      <c r="F97" s="80">
        <v>9</v>
      </c>
      <c r="G97" s="80">
        <v>9</v>
      </c>
      <c r="H97" s="80" t="s">
        <v>74</v>
      </c>
      <c r="I97" s="80">
        <v>8</v>
      </c>
      <c r="J97" s="80"/>
      <c r="K97" s="80"/>
      <c r="L97" s="80"/>
      <c r="M97" s="1" t="s">
        <v>294</v>
      </c>
      <c r="N97" s="1">
        <v>33</v>
      </c>
      <c r="O97" s="1">
        <v>1</v>
      </c>
      <c r="P97" s="13">
        <v>44785</v>
      </c>
      <c r="Q97" s="1" t="s">
        <v>133</v>
      </c>
      <c r="R97" s="1" t="s">
        <v>64</v>
      </c>
      <c r="S97" s="1">
        <v>1</v>
      </c>
      <c r="T97" s="1"/>
      <c r="U97" s="1" t="s">
        <v>11</v>
      </c>
      <c r="V97" s="76">
        <v>9.6666666666666661</v>
      </c>
      <c r="W97" s="76">
        <v>0.47140452079103146</v>
      </c>
      <c r="X97" s="77">
        <v>-1.4142135623730945</v>
      </c>
      <c r="Y97" s="77">
        <v>1</v>
      </c>
      <c r="Z97" s="76">
        <v>8</v>
      </c>
      <c r="AA97" s="76">
        <v>1.4142135623730951</v>
      </c>
      <c r="AB97" s="77">
        <v>0.70710678118654746</v>
      </c>
      <c r="AC97" s="77">
        <v>3</v>
      </c>
      <c r="AD97" s="76">
        <v>8.3333333333333339</v>
      </c>
      <c r="AE97" s="76">
        <v>0.47140452079103146</v>
      </c>
      <c r="AF97" s="77">
        <v>1.4142135623730945</v>
      </c>
      <c r="AG97" s="77">
        <v>4</v>
      </c>
      <c r="AH97" s="76">
        <v>7.333333333333333</v>
      </c>
      <c r="AI97" s="76">
        <v>0.47140452079103179</v>
      </c>
      <c r="AJ97" s="77">
        <v>1.4142135623730954</v>
      </c>
      <c r="AK97" s="77">
        <v>4</v>
      </c>
      <c r="AL97" s="76"/>
      <c r="AM97" s="76"/>
      <c r="AN97" s="77"/>
      <c r="AO97" s="77"/>
      <c r="AP97" s="76"/>
      <c r="AQ97" s="76"/>
      <c r="AR97" s="77"/>
      <c r="AS97" s="77"/>
      <c r="AT97" s="78">
        <v>0.25</v>
      </c>
    </row>
    <row r="98" spans="1:46" ht="12.5" x14ac:dyDescent="0.25">
      <c r="A98" s="79">
        <v>44785.325374490742</v>
      </c>
      <c r="B98" s="80" t="s">
        <v>17</v>
      </c>
      <c r="C98" s="80" t="str">
        <f>INDEX(TBL_Name,MATCH(Table2[[#This Row],[Athlete Name]],listNames,0),2)</f>
        <v>Athlete 10</v>
      </c>
      <c r="D98" s="80" t="s">
        <v>143</v>
      </c>
      <c r="E98" s="80">
        <v>10</v>
      </c>
      <c r="F98" s="80">
        <v>8</v>
      </c>
      <c r="G98" s="80">
        <v>9</v>
      </c>
      <c r="H98" s="80" t="s">
        <v>131</v>
      </c>
      <c r="I98" s="80">
        <v>7</v>
      </c>
      <c r="J98" s="80"/>
      <c r="K98" s="80"/>
      <c r="L98" s="80"/>
      <c r="M98" s="1" t="s">
        <v>295</v>
      </c>
      <c r="N98" s="1">
        <v>33</v>
      </c>
      <c r="O98" s="1">
        <v>1</v>
      </c>
      <c r="P98" s="13">
        <v>44785</v>
      </c>
      <c r="Q98" s="1" t="s">
        <v>133</v>
      </c>
      <c r="R98" s="1" t="s">
        <v>64</v>
      </c>
      <c r="S98" s="1">
        <v>2</v>
      </c>
      <c r="T98" s="1"/>
      <c r="U98" s="1" t="s">
        <v>18</v>
      </c>
      <c r="V98" s="76">
        <v>9.25</v>
      </c>
      <c r="W98" s="76">
        <v>0.82915619758884995</v>
      </c>
      <c r="X98" s="77">
        <v>0.90453403373329089</v>
      </c>
      <c r="Y98" s="77">
        <v>3</v>
      </c>
      <c r="Z98" s="76">
        <v>8.25</v>
      </c>
      <c r="AA98" s="76">
        <v>1.479019945774904</v>
      </c>
      <c r="AB98" s="77">
        <v>-0.1690308509457033</v>
      </c>
      <c r="AC98" s="77">
        <v>2</v>
      </c>
      <c r="AD98" s="76">
        <v>8.5</v>
      </c>
      <c r="AE98" s="76">
        <v>0.86602540378443849</v>
      </c>
      <c r="AF98" s="77">
        <v>0.57735026918962584</v>
      </c>
      <c r="AG98" s="77">
        <v>3</v>
      </c>
      <c r="AH98" s="76">
        <v>6.5</v>
      </c>
      <c r="AI98" s="76">
        <v>0.50000000000000011</v>
      </c>
      <c r="AJ98" s="77">
        <v>0.99999999999999978</v>
      </c>
      <c r="AK98" s="77">
        <v>4</v>
      </c>
      <c r="AL98" s="76"/>
      <c r="AM98" s="76"/>
      <c r="AN98" s="77"/>
      <c r="AO98" s="77"/>
      <c r="AP98" s="76"/>
      <c r="AQ98" s="76"/>
      <c r="AR98" s="77"/>
      <c r="AS98" s="77"/>
      <c r="AT98" s="78">
        <v>0.4375</v>
      </c>
    </row>
    <row r="99" spans="1:46" ht="12.5" x14ac:dyDescent="0.25">
      <c r="A99" s="79">
        <v>44785.340344872689</v>
      </c>
      <c r="B99" s="80" t="s">
        <v>171</v>
      </c>
      <c r="C99" s="80" t="str">
        <f>INDEX(TBL_Name,MATCH(Table2[[#This Row],[Athlete Name]],listNames,0),2)</f>
        <v>Athlete 27</v>
      </c>
      <c r="D99" s="80" t="s">
        <v>130</v>
      </c>
      <c r="E99" s="80">
        <v>7</v>
      </c>
      <c r="F99" s="80">
        <v>10</v>
      </c>
      <c r="G99" s="80">
        <v>9</v>
      </c>
      <c r="H99" s="80" t="s">
        <v>296</v>
      </c>
      <c r="I99" s="80">
        <v>6</v>
      </c>
      <c r="J99" s="80"/>
      <c r="K99" s="80"/>
      <c r="L99" s="80"/>
      <c r="M99" s="1" t="s">
        <v>297</v>
      </c>
      <c r="N99" s="1">
        <v>33</v>
      </c>
      <c r="O99" s="1">
        <v>1</v>
      </c>
      <c r="P99" s="13">
        <v>44785</v>
      </c>
      <c r="Q99" s="1" t="s">
        <v>133</v>
      </c>
      <c r="R99" s="1" t="s">
        <v>64</v>
      </c>
      <c r="S99" s="1">
        <v>1</v>
      </c>
      <c r="T99" s="1"/>
      <c r="U99" s="1" t="s">
        <v>8</v>
      </c>
      <c r="V99" s="76">
        <v>8.5</v>
      </c>
      <c r="W99" s="76">
        <v>1.1180339887498949</v>
      </c>
      <c r="X99" s="77">
        <v>-1.3416407864998738</v>
      </c>
      <c r="Y99" s="77">
        <v>1</v>
      </c>
      <c r="Z99" s="76">
        <v>9.75</v>
      </c>
      <c r="AA99" s="76">
        <v>0.43301270189221919</v>
      </c>
      <c r="AB99" s="77">
        <v>0.57735026918962595</v>
      </c>
      <c r="AC99" s="77">
        <v>3</v>
      </c>
      <c r="AD99" s="76">
        <v>9</v>
      </c>
      <c r="AE99" s="76">
        <v>0</v>
      </c>
      <c r="AF99" s="77">
        <v>0</v>
      </c>
      <c r="AG99" s="77">
        <v>3</v>
      </c>
      <c r="AH99" s="76">
        <v>5.75</v>
      </c>
      <c r="AI99" s="76">
        <v>1.0897247358851685</v>
      </c>
      <c r="AJ99" s="77">
        <v>0.22941573387056174</v>
      </c>
      <c r="AK99" s="77">
        <v>3</v>
      </c>
      <c r="AL99" s="76"/>
      <c r="AM99" s="76"/>
      <c r="AN99" s="77"/>
      <c r="AO99" s="77"/>
      <c r="AP99" s="76"/>
      <c r="AQ99" s="76"/>
      <c r="AR99" s="77"/>
      <c r="AS99" s="77"/>
      <c r="AT99" s="78">
        <v>0.5625</v>
      </c>
    </row>
    <row r="100" spans="1:46" ht="12.5" x14ac:dyDescent="0.25">
      <c r="A100" s="79">
        <v>44785.35478819444</v>
      </c>
      <c r="B100" s="80" t="s">
        <v>21</v>
      </c>
      <c r="C100" s="80" t="str">
        <f>INDEX(TBL_Name,MATCH(Table2[[#This Row],[Athlete Name]],listNames,0),2)</f>
        <v>Athlete 13</v>
      </c>
      <c r="D100" s="80" t="s">
        <v>130</v>
      </c>
      <c r="E100" s="80">
        <v>5</v>
      </c>
      <c r="F100" s="80">
        <v>8</v>
      </c>
      <c r="G100" s="80">
        <v>9</v>
      </c>
      <c r="H100" s="80" t="s">
        <v>298</v>
      </c>
      <c r="I100" s="80">
        <v>5</v>
      </c>
      <c r="J100" s="80"/>
      <c r="K100" s="80"/>
      <c r="L100" s="80"/>
      <c r="M100" s="1" t="s">
        <v>299</v>
      </c>
      <c r="N100" s="1">
        <v>33</v>
      </c>
      <c r="O100" s="1">
        <v>1</v>
      </c>
      <c r="P100" s="13">
        <v>44785</v>
      </c>
      <c r="Q100" s="1" t="s">
        <v>133</v>
      </c>
      <c r="R100" s="1" t="s">
        <v>64</v>
      </c>
      <c r="S100" s="1">
        <v>1</v>
      </c>
      <c r="T100" s="1"/>
      <c r="U100" s="1" t="s">
        <v>18</v>
      </c>
      <c r="V100" s="76">
        <v>6.6</v>
      </c>
      <c r="W100" s="76">
        <v>1.0198039027185568</v>
      </c>
      <c r="X100" s="77">
        <v>-1.5689290811054721</v>
      </c>
      <c r="Y100" s="77">
        <v>1</v>
      </c>
      <c r="Z100" s="76">
        <v>7.8</v>
      </c>
      <c r="AA100" s="76">
        <v>0.40000000000000008</v>
      </c>
      <c r="AB100" s="77">
        <v>0.50000000000000033</v>
      </c>
      <c r="AC100" s="77">
        <v>3</v>
      </c>
      <c r="AD100" s="76">
        <v>9</v>
      </c>
      <c r="AE100" s="76">
        <v>0.63245553203367588</v>
      </c>
      <c r="AF100" s="77">
        <v>0</v>
      </c>
      <c r="AG100" s="77">
        <v>3</v>
      </c>
      <c r="AH100" s="76">
        <v>5</v>
      </c>
      <c r="AI100" s="76">
        <v>0</v>
      </c>
      <c r="AJ100" s="77">
        <v>0</v>
      </c>
      <c r="AK100" s="77">
        <v>3</v>
      </c>
      <c r="AL100" s="76"/>
      <c r="AM100" s="76"/>
      <c r="AN100" s="77"/>
      <c r="AO100" s="77"/>
      <c r="AP100" s="76"/>
      <c r="AQ100" s="76"/>
      <c r="AR100" s="77"/>
      <c r="AS100" s="77"/>
      <c r="AT100" s="78">
        <v>0.625</v>
      </c>
    </row>
    <row r="101" spans="1:46" ht="12.5" x14ac:dyDescent="0.25">
      <c r="A101" s="79">
        <v>44785.38500415509</v>
      </c>
      <c r="B101" s="80" t="s">
        <v>196</v>
      </c>
      <c r="C101" s="80" t="str">
        <f>INDEX(TBL_Name,MATCH(Table2[[#This Row],[Athlete Name]],listNames,0),2)</f>
        <v>Athlete 31</v>
      </c>
      <c r="D101" s="80" t="s">
        <v>130</v>
      </c>
      <c r="E101" s="80">
        <v>5</v>
      </c>
      <c r="F101" s="80">
        <v>8</v>
      </c>
      <c r="G101" s="80">
        <v>8</v>
      </c>
      <c r="H101" s="80" t="s">
        <v>208</v>
      </c>
      <c r="I101" s="80">
        <v>6</v>
      </c>
      <c r="J101" s="80"/>
      <c r="K101" s="80"/>
      <c r="L101" s="80"/>
      <c r="M101" s="1" t="s">
        <v>300</v>
      </c>
      <c r="N101" s="1">
        <v>33</v>
      </c>
      <c r="O101" s="1">
        <v>1</v>
      </c>
      <c r="P101" s="13">
        <v>44785</v>
      </c>
      <c r="Q101" s="1" t="s">
        <v>133</v>
      </c>
      <c r="R101" s="1" t="s">
        <v>64</v>
      </c>
      <c r="S101" s="1">
        <v>1</v>
      </c>
      <c r="T101" s="1"/>
      <c r="U101" s="1" t="s">
        <v>28</v>
      </c>
      <c r="V101" s="76">
        <v>5.75</v>
      </c>
      <c r="W101" s="76">
        <v>0.4330127018922193</v>
      </c>
      <c r="X101" s="77">
        <v>-1.7320508075688774</v>
      </c>
      <c r="Y101" s="77">
        <v>1</v>
      </c>
      <c r="Z101" s="76">
        <v>8</v>
      </c>
      <c r="AA101" s="76">
        <v>0.70710678118654757</v>
      </c>
      <c r="AB101" s="77">
        <v>0</v>
      </c>
      <c r="AC101" s="77">
        <v>3</v>
      </c>
      <c r="AD101" s="76">
        <v>7.875</v>
      </c>
      <c r="AE101" s="76">
        <v>0.21650635094610959</v>
      </c>
      <c r="AF101" s="77">
        <v>0.57735026918962595</v>
      </c>
      <c r="AG101" s="77">
        <v>3</v>
      </c>
      <c r="AH101" s="76">
        <v>6.5</v>
      </c>
      <c r="AI101" s="76">
        <v>0.50000000000000011</v>
      </c>
      <c r="AJ101" s="77">
        <v>-0.99999999999999978</v>
      </c>
      <c r="AK101" s="77">
        <v>1</v>
      </c>
      <c r="AL101" s="76"/>
      <c r="AM101" s="76"/>
      <c r="AN101" s="77"/>
      <c r="AO101" s="77"/>
      <c r="AP101" s="76"/>
      <c r="AQ101" s="76"/>
      <c r="AR101" s="77"/>
      <c r="AS101" s="77"/>
      <c r="AT101" s="78">
        <v>0.75</v>
      </c>
    </row>
    <row r="102" spans="1:46" ht="12.5" x14ac:dyDescent="0.25">
      <c r="A102" s="79">
        <v>44785.397244988431</v>
      </c>
      <c r="B102" s="80" t="s">
        <v>9</v>
      </c>
      <c r="C102" s="80" t="str">
        <f>INDEX(TBL_Name,MATCH(Table2[[#This Row],[Athlete Name]],listNames,0),2)</f>
        <v>Athlete 4</v>
      </c>
      <c r="D102" s="80" t="s">
        <v>130</v>
      </c>
      <c r="E102" s="80">
        <v>8</v>
      </c>
      <c r="F102" s="80">
        <v>9</v>
      </c>
      <c r="G102" s="80">
        <v>9</v>
      </c>
      <c r="H102" s="80" t="s">
        <v>301</v>
      </c>
      <c r="I102" s="80">
        <v>7</v>
      </c>
      <c r="J102" s="80"/>
      <c r="K102" s="80"/>
      <c r="L102" s="80"/>
      <c r="M102" s="1" t="s">
        <v>302</v>
      </c>
      <c r="N102" s="1">
        <v>33</v>
      </c>
      <c r="O102" s="1">
        <v>1</v>
      </c>
      <c r="P102" s="13">
        <v>44785</v>
      </c>
      <c r="Q102" s="1" t="s">
        <v>133</v>
      </c>
      <c r="R102" s="1" t="s">
        <v>64</v>
      </c>
      <c r="S102" s="1">
        <v>1</v>
      </c>
      <c r="T102" s="1"/>
      <c r="U102" s="1" t="s">
        <v>8</v>
      </c>
      <c r="V102" s="76">
        <v>6.8</v>
      </c>
      <c r="W102" s="76">
        <v>0.74833147735478833</v>
      </c>
      <c r="X102" s="77">
        <v>1.6035674514745464</v>
      </c>
      <c r="Y102" s="77">
        <v>4</v>
      </c>
      <c r="Z102" s="76">
        <v>8.1999999999999993</v>
      </c>
      <c r="AA102" s="76">
        <v>0.74833147735478833</v>
      </c>
      <c r="AB102" s="77">
        <v>1.0690449676496985</v>
      </c>
      <c r="AC102" s="77">
        <v>4</v>
      </c>
      <c r="AD102" s="76">
        <v>8.1999999999999993</v>
      </c>
      <c r="AE102" s="76">
        <v>0.40000000000000019</v>
      </c>
      <c r="AF102" s="77">
        <v>2.0000000000000009</v>
      </c>
      <c r="AG102" s="77">
        <v>4</v>
      </c>
      <c r="AH102" s="76">
        <v>5.2</v>
      </c>
      <c r="AI102" s="76">
        <v>1.1661903789690602</v>
      </c>
      <c r="AJ102" s="77">
        <v>1.5434872662825792</v>
      </c>
      <c r="AK102" s="77">
        <v>4</v>
      </c>
      <c r="AL102" s="76"/>
      <c r="AM102" s="76"/>
      <c r="AN102" s="77"/>
      <c r="AO102" s="77"/>
      <c r="AP102" s="76"/>
      <c r="AQ102" s="76"/>
      <c r="AR102" s="77"/>
      <c r="AS102" s="77"/>
      <c r="AT102" s="78">
        <v>0.9375</v>
      </c>
    </row>
    <row r="103" spans="1:46" ht="12.5" x14ac:dyDescent="0.25">
      <c r="A103" s="79">
        <v>44785.40082487269</v>
      </c>
      <c r="B103" s="80" t="s">
        <v>6</v>
      </c>
      <c r="C103" s="80" t="str">
        <f>INDEX(TBL_Name,MATCH(Table2[[#This Row],[Athlete Name]],listNames,0),2)</f>
        <v>Athlete 2</v>
      </c>
      <c r="D103" s="80" t="s">
        <v>130</v>
      </c>
      <c r="E103" s="80">
        <v>10</v>
      </c>
      <c r="F103" s="80">
        <v>8</v>
      </c>
      <c r="G103" s="80">
        <v>9</v>
      </c>
      <c r="H103" s="80" t="s">
        <v>231</v>
      </c>
      <c r="I103" s="80">
        <v>5</v>
      </c>
      <c r="J103" s="80"/>
      <c r="K103" s="80"/>
      <c r="L103" s="80"/>
      <c r="M103" s="1" t="s">
        <v>303</v>
      </c>
      <c r="N103" s="1">
        <v>33</v>
      </c>
      <c r="O103" s="1">
        <v>1</v>
      </c>
      <c r="P103" s="13">
        <v>44785</v>
      </c>
      <c r="Q103" s="1" t="s">
        <v>133</v>
      </c>
      <c r="R103" s="1" t="s">
        <v>64</v>
      </c>
      <c r="S103" s="1">
        <v>1</v>
      </c>
      <c r="T103" s="1"/>
      <c r="U103" s="1" t="s">
        <v>5</v>
      </c>
      <c r="V103" s="76">
        <v>9.8000000000000007</v>
      </c>
      <c r="W103" s="76">
        <v>0.40000000000000008</v>
      </c>
      <c r="X103" s="77">
        <v>0.49999999999999811</v>
      </c>
      <c r="Y103" s="77">
        <v>3</v>
      </c>
      <c r="Z103" s="76">
        <v>6.6</v>
      </c>
      <c r="AA103" s="76">
        <v>1.3564659966250538</v>
      </c>
      <c r="AB103" s="77">
        <v>1.0320936930842801</v>
      </c>
      <c r="AC103" s="77">
        <v>4</v>
      </c>
      <c r="AD103" s="76">
        <v>7.6</v>
      </c>
      <c r="AE103" s="76">
        <v>1.019803902718557</v>
      </c>
      <c r="AF103" s="77">
        <v>1.3728129459672884</v>
      </c>
      <c r="AG103" s="77">
        <v>4</v>
      </c>
      <c r="AH103" s="76">
        <v>5.4</v>
      </c>
      <c r="AI103" s="76">
        <v>0.48989794855663577</v>
      </c>
      <c r="AJ103" s="77">
        <v>-0.81649658092772648</v>
      </c>
      <c r="AK103" s="77">
        <v>2</v>
      </c>
      <c r="AL103" s="76"/>
      <c r="AM103" s="76"/>
      <c r="AN103" s="77"/>
      <c r="AO103" s="77"/>
      <c r="AP103" s="76"/>
      <c r="AQ103" s="76"/>
      <c r="AR103" s="77"/>
      <c r="AS103" s="77"/>
      <c r="AT103" s="78">
        <v>0.375</v>
      </c>
    </row>
    <row r="104" spans="1:46" ht="12.5" x14ac:dyDescent="0.25">
      <c r="A104" s="79">
        <v>44785.403179780093</v>
      </c>
      <c r="B104" s="80" t="s">
        <v>10</v>
      </c>
      <c r="C104" s="80" t="str">
        <f>INDEX(TBL_Name,MATCH(Table2[[#This Row],[Athlete Name]],listNames,0),2)</f>
        <v>Athlete 5</v>
      </c>
      <c r="D104" s="80" t="s">
        <v>130</v>
      </c>
      <c r="E104" s="80">
        <v>5</v>
      </c>
      <c r="F104" s="80">
        <v>10</v>
      </c>
      <c r="G104" s="80">
        <v>10</v>
      </c>
      <c r="H104" s="80" t="s">
        <v>231</v>
      </c>
      <c r="I104" s="80">
        <v>8</v>
      </c>
      <c r="J104" s="80"/>
      <c r="K104" s="80"/>
      <c r="L104" s="80"/>
      <c r="M104" s="1" t="s">
        <v>304</v>
      </c>
      <c r="N104" s="1">
        <v>33</v>
      </c>
      <c r="O104" s="1">
        <v>1</v>
      </c>
      <c r="P104" s="13">
        <v>44785</v>
      </c>
      <c r="Q104" s="1" t="s">
        <v>133</v>
      </c>
      <c r="R104" s="1" t="s">
        <v>64</v>
      </c>
      <c r="S104" s="1">
        <v>1</v>
      </c>
      <c r="T104" s="1"/>
      <c r="U104" s="1" t="s">
        <v>11</v>
      </c>
      <c r="V104" s="76">
        <v>5</v>
      </c>
      <c r="W104" s="76">
        <v>1.0954451150103321</v>
      </c>
      <c r="X104" s="77">
        <v>0</v>
      </c>
      <c r="Y104" s="77">
        <v>3</v>
      </c>
      <c r="Z104" s="76">
        <v>8.6</v>
      </c>
      <c r="AA104" s="76">
        <v>0.8</v>
      </c>
      <c r="AB104" s="77">
        <v>1.7500000000000004</v>
      </c>
      <c r="AC104" s="77">
        <v>4</v>
      </c>
      <c r="AD104" s="76">
        <v>8.6</v>
      </c>
      <c r="AE104" s="76">
        <v>0.8</v>
      </c>
      <c r="AF104" s="77">
        <v>1.7500000000000004</v>
      </c>
      <c r="AG104" s="77">
        <v>4</v>
      </c>
      <c r="AH104" s="76">
        <v>6.6</v>
      </c>
      <c r="AI104" s="76">
        <v>1.3564659966250538</v>
      </c>
      <c r="AJ104" s="77">
        <v>1.0320936930842801</v>
      </c>
      <c r="AK104" s="77">
        <v>4</v>
      </c>
      <c r="AL104" s="76"/>
      <c r="AM104" s="76"/>
      <c r="AN104" s="77"/>
      <c r="AO104" s="77"/>
      <c r="AP104" s="76"/>
      <c r="AQ104" s="76"/>
      <c r="AR104" s="77"/>
      <c r="AS104" s="77"/>
      <c r="AT104" s="78">
        <v>0.9375</v>
      </c>
    </row>
    <row r="105" spans="1:46" ht="12.5" x14ac:dyDescent="0.25">
      <c r="A105" s="79">
        <v>44785.444832916663</v>
      </c>
      <c r="B105" s="80" t="s">
        <v>168</v>
      </c>
      <c r="C105" s="80" t="str">
        <f>INDEX(TBL_Name,MATCH(Table2[[#This Row],[Athlete Name]],listNames,0),2)</f>
        <v>Athlete 26</v>
      </c>
      <c r="D105" s="80" t="s">
        <v>130</v>
      </c>
      <c r="E105" s="80">
        <v>7</v>
      </c>
      <c r="F105" s="80">
        <v>8</v>
      </c>
      <c r="G105" s="80">
        <v>8</v>
      </c>
      <c r="H105" s="80" t="s">
        <v>305</v>
      </c>
      <c r="I105" s="80">
        <v>5</v>
      </c>
      <c r="J105" s="80"/>
      <c r="K105" s="80"/>
      <c r="L105" s="80"/>
      <c r="M105" s="1" t="s">
        <v>306</v>
      </c>
      <c r="N105" s="1">
        <v>33</v>
      </c>
      <c r="O105" s="1">
        <v>1</v>
      </c>
      <c r="P105" s="13">
        <v>44785</v>
      </c>
      <c r="Q105" s="1" t="s">
        <v>133</v>
      </c>
      <c r="R105" s="1" t="s">
        <v>64</v>
      </c>
      <c r="S105" s="1">
        <v>1</v>
      </c>
      <c r="T105" s="1"/>
      <c r="U105" s="1" t="s">
        <v>5</v>
      </c>
      <c r="V105" s="76">
        <v>7.6</v>
      </c>
      <c r="W105" s="76">
        <v>0.48989794855663554</v>
      </c>
      <c r="X105" s="77">
        <v>-1.2247448713915885</v>
      </c>
      <c r="Y105" s="77">
        <v>1</v>
      </c>
      <c r="Z105" s="76">
        <v>6.8</v>
      </c>
      <c r="AA105" s="76">
        <v>1.1661903789690602</v>
      </c>
      <c r="AB105" s="77">
        <v>1.0289915108550531</v>
      </c>
      <c r="AC105" s="77">
        <v>4</v>
      </c>
      <c r="AD105" s="76">
        <v>7.8</v>
      </c>
      <c r="AE105" s="76">
        <v>0.4</v>
      </c>
      <c r="AF105" s="77">
        <v>0.50000000000000044</v>
      </c>
      <c r="AG105" s="77">
        <v>3</v>
      </c>
      <c r="AH105" s="76">
        <v>6</v>
      </c>
      <c r="AI105" s="76">
        <v>0.63245553203367588</v>
      </c>
      <c r="AJ105" s="77">
        <v>-1.5811388300841895</v>
      </c>
      <c r="AK105" s="77">
        <v>1</v>
      </c>
      <c r="AL105" s="76"/>
      <c r="AM105" s="76"/>
      <c r="AN105" s="77"/>
      <c r="AO105" s="77"/>
      <c r="AP105" s="76"/>
      <c r="AQ105" s="76"/>
      <c r="AR105" s="77"/>
      <c r="AS105" s="77"/>
      <c r="AT105" s="78">
        <v>0.5</v>
      </c>
    </row>
    <row r="106" spans="1:46" ht="12.5" x14ac:dyDescent="0.25">
      <c r="A106" s="79">
        <v>44785.617513148143</v>
      </c>
      <c r="B106" s="80" t="s">
        <v>22</v>
      </c>
      <c r="C106" s="80" t="str">
        <f>INDEX(TBL_Name,MATCH(Table2[[#This Row],[Athlete Name]],listNames,0),2)</f>
        <v>Athlete 14</v>
      </c>
      <c r="D106" s="80" t="s">
        <v>130</v>
      </c>
      <c r="E106" s="80">
        <v>5</v>
      </c>
      <c r="F106" s="80">
        <v>7</v>
      </c>
      <c r="G106" s="80">
        <v>9</v>
      </c>
      <c r="H106" s="80" t="s">
        <v>307</v>
      </c>
      <c r="I106" s="80">
        <v>6</v>
      </c>
      <c r="J106" s="80"/>
      <c r="K106" s="80"/>
      <c r="L106" s="80"/>
      <c r="M106" s="1" t="s">
        <v>308</v>
      </c>
      <c r="N106" s="1">
        <v>33</v>
      </c>
      <c r="O106" s="1">
        <v>1</v>
      </c>
      <c r="P106" s="13">
        <v>44785</v>
      </c>
      <c r="Q106" s="1" t="s">
        <v>133</v>
      </c>
      <c r="R106" s="1" t="s">
        <v>64</v>
      </c>
      <c r="S106" s="1">
        <v>1</v>
      </c>
      <c r="T106" s="1"/>
      <c r="U106" s="1" t="s">
        <v>18</v>
      </c>
      <c r="V106" s="76">
        <v>6.4</v>
      </c>
      <c r="W106" s="76">
        <v>0.8</v>
      </c>
      <c r="X106" s="77">
        <v>-1.7500000000000004</v>
      </c>
      <c r="Y106" s="77">
        <v>1</v>
      </c>
      <c r="Z106" s="76">
        <v>6</v>
      </c>
      <c r="AA106" s="76">
        <v>1.0954451150103321</v>
      </c>
      <c r="AB106" s="77">
        <v>0.9128709291752769</v>
      </c>
      <c r="AC106" s="77">
        <v>3</v>
      </c>
      <c r="AD106" s="76">
        <v>8.4</v>
      </c>
      <c r="AE106" s="76">
        <v>0.48989794855663549</v>
      </c>
      <c r="AF106" s="77">
        <v>1.2247448713915887</v>
      </c>
      <c r="AG106" s="77">
        <v>4</v>
      </c>
      <c r="AH106" s="76">
        <v>3.2</v>
      </c>
      <c r="AI106" s="76">
        <v>1.5999999999999999</v>
      </c>
      <c r="AJ106" s="77">
        <v>1.75</v>
      </c>
      <c r="AK106" s="77">
        <v>4</v>
      </c>
      <c r="AL106" s="76"/>
      <c r="AM106" s="76"/>
      <c r="AN106" s="77"/>
      <c r="AO106" s="77"/>
      <c r="AP106" s="76"/>
      <c r="AQ106" s="76"/>
      <c r="AR106" s="77"/>
      <c r="AS106" s="77"/>
      <c r="AT106" s="78">
        <v>0.625</v>
      </c>
    </row>
    <row r="107" spans="1:46" ht="12.5" x14ac:dyDescent="0.25">
      <c r="A107" s="79">
        <v>44785.643533969909</v>
      </c>
      <c r="B107" s="80" t="s">
        <v>27</v>
      </c>
      <c r="C107" s="80" t="str">
        <f>INDEX(TBL_Name,MATCH(Table2[[#This Row],[Athlete Name]],listNames,0),2)</f>
        <v>Athlete 17</v>
      </c>
      <c r="D107" s="80" t="s">
        <v>150</v>
      </c>
      <c r="E107" s="80">
        <v>6</v>
      </c>
      <c r="F107" s="80">
        <v>6</v>
      </c>
      <c r="G107" s="80">
        <v>8</v>
      </c>
      <c r="H107" s="80" t="s">
        <v>69</v>
      </c>
      <c r="I107" s="80">
        <v>6</v>
      </c>
      <c r="J107" s="80"/>
      <c r="K107" s="80"/>
      <c r="L107" s="80"/>
      <c r="M107" s="1" t="s">
        <v>309</v>
      </c>
      <c r="N107" s="1">
        <v>33</v>
      </c>
      <c r="O107" s="1">
        <v>1</v>
      </c>
      <c r="P107" s="13">
        <v>44785</v>
      </c>
      <c r="Q107" s="1" t="s">
        <v>133</v>
      </c>
      <c r="R107" s="1" t="s">
        <v>64</v>
      </c>
      <c r="S107" s="1">
        <v>3</v>
      </c>
      <c r="T107" s="1"/>
      <c r="U107" s="1" t="s">
        <v>28</v>
      </c>
      <c r="V107" s="76">
        <v>5.75</v>
      </c>
      <c r="W107" s="76">
        <v>0.43301270189221941</v>
      </c>
      <c r="X107" s="77">
        <v>0.57735026918962562</v>
      </c>
      <c r="Y107" s="77">
        <v>3</v>
      </c>
      <c r="Z107" s="76">
        <v>6</v>
      </c>
      <c r="AA107" s="76">
        <v>0</v>
      </c>
      <c r="AB107" s="77">
        <v>0</v>
      </c>
      <c r="AC107" s="77">
        <v>3</v>
      </c>
      <c r="AD107" s="76">
        <v>8</v>
      </c>
      <c r="AE107" s="76">
        <v>0.70710678118654757</v>
      </c>
      <c r="AF107" s="77">
        <v>0</v>
      </c>
      <c r="AG107" s="77">
        <v>3</v>
      </c>
      <c r="AH107" s="76">
        <v>5.25</v>
      </c>
      <c r="AI107" s="76">
        <v>0.82915619758884995</v>
      </c>
      <c r="AJ107" s="77">
        <v>0.90453403373329089</v>
      </c>
      <c r="AK107" s="77">
        <v>3</v>
      </c>
      <c r="AL107" s="76"/>
      <c r="AM107" s="76"/>
      <c r="AN107" s="77"/>
      <c r="AO107" s="77"/>
      <c r="AP107" s="76"/>
      <c r="AQ107" s="76"/>
      <c r="AR107" s="77"/>
      <c r="AS107" s="77"/>
      <c r="AT107" s="78">
        <v>0.8125</v>
      </c>
    </row>
    <row r="108" spans="1:46" ht="12.5" x14ac:dyDescent="0.25">
      <c r="A108" s="79">
        <v>44786.275796793983</v>
      </c>
      <c r="B108" s="80" t="s">
        <v>185</v>
      </c>
      <c r="C108" s="80" t="str">
        <f>INDEX(TBL_Name,MATCH(Table2[[#This Row],[Athlete Name]],listNames,0),2)</f>
        <v>Athlete 30</v>
      </c>
      <c r="D108" s="80" t="s">
        <v>130</v>
      </c>
      <c r="E108" s="80">
        <v>9</v>
      </c>
      <c r="F108" s="80">
        <v>5</v>
      </c>
      <c r="G108" s="80">
        <v>6</v>
      </c>
      <c r="H108" s="80" t="s">
        <v>186</v>
      </c>
      <c r="I108" s="80">
        <v>3</v>
      </c>
      <c r="J108" s="80"/>
      <c r="K108" s="80"/>
      <c r="L108" s="80"/>
      <c r="M108" s="1" t="s">
        <v>310</v>
      </c>
      <c r="N108" s="1">
        <v>33</v>
      </c>
      <c r="O108" s="1">
        <v>1</v>
      </c>
      <c r="P108" s="13">
        <v>44786</v>
      </c>
      <c r="Q108" s="1" t="s">
        <v>133</v>
      </c>
      <c r="R108" s="1" t="s">
        <v>64</v>
      </c>
      <c r="S108" s="1">
        <v>1</v>
      </c>
      <c r="T108" s="1"/>
      <c r="U108" s="1" t="s">
        <v>26</v>
      </c>
      <c r="V108" s="76">
        <v>8.6666666666666661</v>
      </c>
      <c r="W108" s="76">
        <v>0.94280904158206336</v>
      </c>
      <c r="X108" s="77">
        <v>0.3535533905932744</v>
      </c>
      <c r="Y108" s="77">
        <v>3</v>
      </c>
      <c r="Z108" s="76">
        <v>5.666666666666667</v>
      </c>
      <c r="AA108" s="76">
        <v>1.3743685418725535</v>
      </c>
      <c r="AB108" s="77">
        <v>-0.48507125007266616</v>
      </c>
      <c r="AC108" s="77">
        <v>2</v>
      </c>
      <c r="AD108" s="76">
        <v>6.5</v>
      </c>
      <c r="AE108" s="76">
        <v>1.2583057392117916</v>
      </c>
      <c r="AF108" s="77">
        <v>-0.39735970711951318</v>
      </c>
      <c r="AG108" s="77">
        <v>2</v>
      </c>
      <c r="AH108" s="76">
        <v>4.5</v>
      </c>
      <c r="AI108" s="76">
        <v>0.9574271077563381</v>
      </c>
      <c r="AJ108" s="77">
        <v>-1.5666989036012806</v>
      </c>
      <c r="AK108" s="77">
        <v>1</v>
      </c>
      <c r="AL108" s="76"/>
      <c r="AM108" s="76"/>
      <c r="AN108" s="77"/>
      <c r="AO108" s="77"/>
      <c r="AP108" s="76"/>
      <c r="AQ108" s="76"/>
      <c r="AR108" s="77"/>
      <c r="AS108" s="77"/>
      <c r="AT108" s="78">
        <v>0.375</v>
      </c>
    </row>
    <row r="109" spans="1:46" ht="12.5" x14ac:dyDescent="0.25">
      <c r="A109" s="79">
        <v>44786.323003715283</v>
      </c>
      <c r="B109" s="80" t="s">
        <v>21</v>
      </c>
      <c r="C109" s="80" t="str">
        <f>INDEX(TBL_Name,MATCH(Table2[[#This Row],[Athlete Name]],listNames,0),2)</f>
        <v>Athlete 13</v>
      </c>
      <c r="D109" s="80" t="s">
        <v>130</v>
      </c>
      <c r="E109" s="80">
        <v>6</v>
      </c>
      <c r="F109" s="80">
        <v>9</v>
      </c>
      <c r="G109" s="80">
        <v>8</v>
      </c>
      <c r="H109" s="80" t="s">
        <v>298</v>
      </c>
      <c r="I109" s="80">
        <v>4</v>
      </c>
      <c r="J109" s="80"/>
      <c r="K109" s="80"/>
      <c r="L109" s="80"/>
      <c r="M109" s="1" t="s">
        <v>311</v>
      </c>
      <c r="N109" s="1">
        <v>33</v>
      </c>
      <c r="O109" s="1">
        <v>1</v>
      </c>
      <c r="P109" s="13">
        <v>44786</v>
      </c>
      <c r="Q109" s="1" t="s">
        <v>133</v>
      </c>
      <c r="R109" s="1" t="s">
        <v>64</v>
      </c>
      <c r="S109" s="1">
        <v>1</v>
      </c>
      <c r="T109" s="1"/>
      <c r="U109" s="1" t="s">
        <v>18</v>
      </c>
      <c r="V109" s="76">
        <v>6.5</v>
      </c>
      <c r="W109" s="76">
        <v>0.95742710775633799</v>
      </c>
      <c r="X109" s="77">
        <v>-0.52223296786709361</v>
      </c>
      <c r="Y109" s="77">
        <v>2</v>
      </c>
      <c r="Z109" s="76">
        <v>8</v>
      </c>
      <c r="AA109" s="76">
        <v>0.57735026918962584</v>
      </c>
      <c r="AB109" s="77">
        <v>1.732050807568877</v>
      </c>
      <c r="AC109" s="77">
        <v>4</v>
      </c>
      <c r="AD109" s="76">
        <v>8.8333333333333339</v>
      </c>
      <c r="AE109" s="76">
        <v>0.68718427093627688</v>
      </c>
      <c r="AF109" s="77">
        <v>-1.2126781251816656</v>
      </c>
      <c r="AG109" s="77">
        <v>1</v>
      </c>
      <c r="AH109" s="76">
        <v>4.833333333333333</v>
      </c>
      <c r="AI109" s="76">
        <v>0.37267799624996489</v>
      </c>
      <c r="AJ109" s="77">
        <v>-2.2360679774997894</v>
      </c>
      <c r="AK109" s="77">
        <v>1</v>
      </c>
      <c r="AL109" s="76"/>
      <c r="AM109" s="76"/>
      <c r="AN109" s="77"/>
      <c r="AO109" s="77"/>
      <c r="AP109" s="76"/>
      <c r="AQ109" s="76"/>
      <c r="AR109" s="77"/>
      <c r="AS109" s="77"/>
      <c r="AT109" s="78">
        <v>0.6875</v>
      </c>
    </row>
    <row r="110" spans="1:46" ht="12.5" x14ac:dyDescent="0.25">
      <c r="A110" s="79">
        <v>44786.354713113426</v>
      </c>
      <c r="B110" s="80" t="s">
        <v>6</v>
      </c>
      <c r="C110" s="80" t="str">
        <f>INDEX(TBL_Name,MATCH(Table2[[#This Row],[Athlete Name]],listNames,0),2)</f>
        <v>Athlete 2</v>
      </c>
      <c r="D110" s="80" t="s">
        <v>130</v>
      </c>
      <c r="E110" s="80">
        <v>10</v>
      </c>
      <c r="F110" s="80">
        <v>8</v>
      </c>
      <c r="G110" s="80">
        <v>8</v>
      </c>
      <c r="H110" s="80" t="s">
        <v>312</v>
      </c>
      <c r="I110" s="80">
        <v>4</v>
      </c>
      <c r="J110" s="80"/>
      <c r="K110" s="80"/>
      <c r="L110" s="80"/>
      <c r="M110" s="1" t="s">
        <v>313</v>
      </c>
      <c r="N110" s="1">
        <v>33</v>
      </c>
      <c r="O110" s="1">
        <v>1</v>
      </c>
      <c r="P110" s="13">
        <v>44786</v>
      </c>
      <c r="Q110" s="1" t="s">
        <v>133</v>
      </c>
      <c r="R110" s="1" t="s">
        <v>64</v>
      </c>
      <c r="S110" s="1">
        <v>1</v>
      </c>
      <c r="T110" s="1"/>
      <c r="U110" s="1" t="s">
        <v>5</v>
      </c>
      <c r="V110" s="76">
        <v>9.8333333333333339</v>
      </c>
      <c r="W110" s="76">
        <v>0.37267799624996495</v>
      </c>
      <c r="X110" s="77">
        <v>0.44721359549995637</v>
      </c>
      <c r="Y110" s="77">
        <v>3</v>
      </c>
      <c r="Z110" s="76">
        <v>6.833333333333333</v>
      </c>
      <c r="AA110" s="76">
        <v>1.3437096247164251</v>
      </c>
      <c r="AB110" s="77">
        <v>0.8682431421244593</v>
      </c>
      <c r="AC110" s="77">
        <v>3</v>
      </c>
      <c r="AD110" s="76">
        <v>7.666666666666667</v>
      </c>
      <c r="AE110" s="76">
        <v>0.94280904158206347</v>
      </c>
      <c r="AF110" s="77">
        <v>0.3535533905932734</v>
      </c>
      <c r="AG110" s="77">
        <v>3</v>
      </c>
      <c r="AH110" s="76">
        <v>5.166666666666667</v>
      </c>
      <c r="AI110" s="76">
        <v>0.68718427093627699</v>
      </c>
      <c r="AJ110" s="77">
        <v>-1.6977493752543307</v>
      </c>
      <c r="AK110" s="77">
        <v>1</v>
      </c>
      <c r="AL110" s="76"/>
      <c r="AM110" s="76"/>
      <c r="AN110" s="77"/>
      <c r="AO110" s="77"/>
      <c r="AP110" s="76"/>
      <c r="AQ110" s="76"/>
      <c r="AR110" s="77"/>
      <c r="AS110" s="77"/>
      <c r="AT110" s="78">
        <v>0.375</v>
      </c>
    </row>
    <row r="111" spans="1:46" ht="12.5" x14ac:dyDescent="0.25">
      <c r="A111" s="79">
        <v>44786.355403043985</v>
      </c>
      <c r="B111" s="80" t="s">
        <v>129</v>
      </c>
      <c r="C111" s="80" t="str">
        <f>INDEX(TBL_Name,MATCH(Table2[[#This Row],[Athlete Name]],listNames,0),2)</f>
        <v>Athlete 19</v>
      </c>
      <c r="D111" s="80" t="s">
        <v>130</v>
      </c>
      <c r="E111" s="80">
        <v>8</v>
      </c>
      <c r="F111" s="80">
        <v>6</v>
      </c>
      <c r="G111" s="80">
        <v>7</v>
      </c>
      <c r="H111" s="80" t="s">
        <v>314</v>
      </c>
      <c r="I111" s="80">
        <v>3</v>
      </c>
      <c r="J111" s="80"/>
      <c r="K111" s="80"/>
      <c r="L111" s="80"/>
      <c r="M111" s="1" t="s">
        <v>315</v>
      </c>
      <c r="N111" s="1">
        <v>33</v>
      </c>
      <c r="O111" s="1">
        <v>1</v>
      </c>
      <c r="P111" s="13">
        <v>44786</v>
      </c>
      <c r="Q111" s="1" t="s">
        <v>133</v>
      </c>
      <c r="R111" s="1" t="s">
        <v>64</v>
      </c>
      <c r="S111" s="1">
        <v>1</v>
      </c>
      <c r="T111" s="1"/>
      <c r="U111" s="1" t="s">
        <v>18</v>
      </c>
      <c r="V111" s="76">
        <v>6.666666666666667</v>
      </c>
      <c r="W111" s="76">
        <v>0.74535599249992979</v>
      </c>
      <c r="X111" s="77">
        <v>1.7888543819998317</v>
      </c>
      <c r="Y111" s="77">
        <v>4</v>
      </c>
      <c r="Z111" s="76">
        <v>7</v>
      </c>
      <c r="AA111" s="76">
        <v>0.81649658092772603</v>
      </c>
      <c r="AB111" s="77">
        <v>-1.2247448713915889</v>
      </c>
      <c r="AC111" s="77">
        <v>1</v>
      </c>
      <c r="AD111" s="76">
        <v>7.666666666666667</v>
      </c>
      <c r="AE111" s="76">
        <v>0.47140452079103157</v>
      </c>
      <c r="AF111" s="77">
        <v>-1.414213562373096</v>
      </c>
      <c r="AG111" s="77">
        <v>1</v>
      </c>
      <c r="AH111" s="76">
        <v>5.333333333333333</v>
      </c>
      <c r="AI111" s="76">
        <v>1.4907119849998596</v>
      </c>
      <c r="AJ111" s="77">
        <v>-1.5652475842498528</v>
      </c>
      <c r="AK111" s="77">
        <v>1</v>
      </c>
      <c r="AL111" s="76"/>
      <c r="AM111" s="76"/>
      <c r="AN111" s="77"/>
      <c r="AO111" s="77"/>
      <c r="AP111" s="76"/>
      <c r="AQ111" s="76"/>
      <c r="AR111" s="77"/>
      <c r="AS111" s="77"/>
      <c r="AT111" s="78">
        <v>0.625</v>
      </c>
    </row>
    <row r="112" spans="1:46" ht="12.5" x14ac:dyDescent="0.25">
      <c r="A112" s="79">
        <v>44786.375207418983</v>
      </c>
      <c r="B112" s="80" t="s">
        <v>171</v>
      </c>
      <c r="C112" s="80" t="str">
        <f>INDEX(TBL_Name,MATCH(Table2[[#This Row],[Athlete Name]],listNames,0),2)</f>
        <v>Athlete 27</v>
      </c>
      <c r="D112" s="80" t="s">
        <v>130</v>
      </c>
      <c r="E112" s="80">
        <v>10</v>
      </c>
      <c r="F112" s="80">
        <v>10</v>
      </c>
      <c r="G112" s="80">
        <v>9</v>
      </c>
      <c r="H112" s="80" t="s">
        <v>228</v>
      </c>
      <c r="I112" s="80">
        <v>6</v>
      </c>
      <c r="J112" s="80"/>
      <c r="K112" s="80"/>
      <c r="L112" s="80"/>
      <c r="M112" s="1" t="s">
        <v>316</v>
      </c>
      <c r="N112" s="1">
        <v>33</v>
      </c>
      <c r="O112" s="1">
        <v>1</v>
      </c>
      <c r="P112" s="13">
        <v>44786</v>
      </c>
      <c r="Q112" s="1" t="s">
        <v>133</v>
      </c>
      <c r="R112" s="1" t="s">
        <v>64</v>
      </c>
      <c r="S112" s="1">
        <v>1</v>
      </c>
      <c r="T112" s="1"/>
      <c r="U112" s="1" t="s">
        <v>8</v>
      </c>
      <c r="V112" s="76">
        <v>8.8000000000000007</v>
      </c>
      <c r="W112" s="76">
        <v>1.16619037896906</v>
      </c>
      <c r="X112" s="77">
        <v>1.0289915108550525</v>
      </c>
      <c r="Y112" s="77">
        <v>4</v>
      </c>
      <c r="Z112" s="76">
        <v>9.8000000000000007</v>
      </c>
      <c r="AA112" s="76">
        <v>0.39999999999999986</v>
      </c>
      <c r="AB112" s="77">
        <v>0.49999999999999839</v>
      </c>
      <c r="AC112" s="77">
        <v>3</v>
      </c>
      <c r="AD112" s="76">
        <v>9</v>
      </c>
      <c r="AE112" s="76">
        <v>0</v>
      </c>
      <c r="AF112" s="77">
        <v>0</v>
      </c>
      <c r="AG112" s="77">
        <v>3</v>
      </c>
      <c r="AH112" s="76">
        <v>5.8</v>
      </c>
      <c r="AI112" s="76">
        <v>0.97979589711327131</v>
      </c>
      <c r="AJ112" s="77">
        <v>0.20412414523193168</v>
      </c>
      <c r="AK112" s="77">
        <v>3</v>
      </c>
      <c r="AL112" s="76"/>
      <c r="AM112" s="76"/>
      <c r="AN112" s="77"/>
      <c r="AO112" s="77"/>
      <c r="AP112" s="76"/>
      <c r="AQ112" s="76"/>
      <c r="AR112" s="77"/>
      <c r="AS112" s="77"/>
      <c r="AT112" s="78">
        <v>0.75</v>
      </c>
    </row>
    <row r="113" spans="1:46" ht="12.5" x14ac:dyDescent="0.25">
      <c r="A113" s="79">
        <v>44786.391497986115</v>
      </c>
      <c r="B113" s="80" t="s">
        <v>25</v>
      </c>
      <c r="C113" s="80" t="str">
        <f>INDEX(TBL_Name,MATCH(Table2[[#This Row],[Athlete Name]],listNames,0),2)</f>
        <v>Athlete 23</v>
      </c>
      <c r="D113" s="80" t="s">
        <v>143</v>
      </c>
      <c r="E113" s="80">
        <v>9</v>
      </c>
      <c r="F113" s="80">
        <v>8</v>
      </c>
      <c r="G113" s="80">
        <v>9</v>
      </c>
      <c r="H113" s="80"/>
      <c r="I113" s="80">
        <v>9</v>
      </c>
      <c r="J113" s="80"/>
      <c r="K113" s="80"/>
      <c r="L113" s="80"/>
      <c r="M113" s="1" t="s">
        <v>317</v>
      </c>
      <c r="N113" s="1">
        <v>33</v>
      </c>
      <c r="O113" s="1">
        <v>1</v>
      </c>
      <c r="P113" s="13">
        <v>44786</v>
      </c>
      <c r="Q113" s="1" t="s">
        <v>133</v>
      </c>
      <c r="R113" s="1" t="s">
        <v>64</v>
      </c>
      <c r="S113" s="1">
        <v>2</v>
      </c>
      <c r="T113" s="1"/>
      <c r="U113" s="1" t="s">
        <v>26</v>
      </c>
      <c r="V113" s="76">
        <v>6</v>
      </c>
      <c r="W113" s="76">
        <v>2.7568097504180442</v>
      </c>
      <c r="X113" s="77">
        <v>1.0882143751650175</v>
      </c>
      <c r="Y113" s="77">
        <v>4</v>
      </c>
      <c r="Z113" s="76">
        <v>8</v>
      </c>
      <c r="AA113" s="76">
        <v>0</v>
      </c>
      <c r="AB113" s="77">
        <v>0</v>
      </c>
      <c r="AC113" s="77">
        <v>3</v>
      </c>
      <c r="AD113" s="76">
        <v>8.8000000000000007</v>
      </c>
      <c r="AE113" s="76">
        <v>0.74833147735478844</v>
      </c>
      <c r="AF113" s="77">
        <v>0.2672612419124234</v>
      </c>
      <c r="AG113" s="77">
        <v>3</v>
      </c>
      <c r="AH113" s="76">
        <v>4.5999999999999996</v>
      </c>
      <c r="AI113" s="76">
        <v>3.2</v>
      </c>
      <c r="AJ113" s="77">
        <v>1.375</v>
      </c>
      <c r="AK113" s="77">
        <v>4</v>
      </c>
      <c r="AL113" s="76"/>
      <c r="AM113" s="76"/>
      <c r="AN113" s="77"/>
      <c r="AO113" s="77"/>
      <c r="AP113" s="76"/>
      <c r="AQ113" s="76"/>
      <c r="AR113" s="77"/>
      <c r="AS113" s="77"/>
      <c r="AT113" s="78">
        <v>0.9375</v>
      </c>
    </row>
    <row r="114" spans="1:46" ht="12.5" x14ac:dyDescent="0.25">
      <c r="A114" s="79">
        <v>44786.396241724535</v>
      </c>
      <c r="B114" s="80" t="s">
        <v>15</v>
      </c>
      <c r="C114" s="80" t="str">
        <f>INDEX(TBL_Name,MATCH(Table2[[#This Row],[Athlete Name]],listNames,0),2)</f>
        <v>Athlete 8</v>
      </c>
      <c r="D114" s="80" t="s">
        <v>130</v>
      </c>
      <c r="E114" s="80">
        <v>10</v>
      </c>
      <c r="F114" s="80">
        <v>10</v>
      </c>
      <c r="G114" s="80">
        <v>9</v>
      </c>
      <c r="H114" s="80" t="s">
        <v>193</v>
      </c>
      <c r="I114" s="80">
        <v>3</v>
      </c>
      <c r="J114" s="80"/>
      <c r="K114" s="80"/>
      <c r="L114" s="80"/>
      <c r="M114" s="1" t="s">
        <v>318</v>
      </c>
      <c r="N114" s="1">
        <v>33</v>
      </c>
      <c r="O114" s="1">
        <v>1</v>
      </c>
      <c r="P114" s="13">
        <v>44786</v>
      </c>
      <c r="Q114" s="1" t="s">
        <v>133</v>
      </c>
      <c r="R114" s="1" t="s">
        <v>64</v>
      </c>
      <c r="S114" s="1">
        <v>1</v>
      </c>
      <c r="T114" s="1"/>
      <c r="U114" s="1" t="s">
        <v>14</v>
      </c>
      <c r="V114" s="76">
        <v>9.6</v>
      </c>
      <c r="W114" s="76">
        <v>0.79999999999999993</v>
      </c>
      <c r="X114" s="77">
        <v>0.50000000000000044</v>
      </c>
      <c r="Y114" s="77">
        <v>3</v>
      </c>
      <c r="Z114" s="76">
        <v>9.1999999999999993</v>
      </c>
      <c r="AA114" s="76">
        <v>0.40000000000000019</v>
      </c>
      <c r="AB114" s="77">
        <v>2.0000000000000009</v>
      </c>
      <c r="AC114" s="77">
        <v>4</v>
      </c>
      <c r="AD114" s="76">
        <v>9.1999999999999993</v>
      </c>
      <c r="AE114" s="76">
        <v>0.39999999999999986</v>
      </c>
      <c r="AF114" s="77">
        <v>-0.49999999999999839</v>
      </c>
      <c r="AG114" s="77">
        <v>2</v>
      </c>
      <c r="AH114" s="76">
        <v>4</v>
      </c>
      <c r="AI114" s="76">
        <v>0.89442719099991586</v>
      </c>
      <c r="AJ114" s="77">
        <v>-1.1180339887498949</v>
      </c>
      <c r="AK114" s="77">
        <v>1</v>
      </c>
      <c r="AL114" s="76"/>
      <c r="AM114" s="76"/>
      <c r="AN114" s="77"/>
      <c r="AO114" s="77"/>
      <c r="AP114" s="76"/>
      <c r="AQ114" s="76"/>
      <c r="AR114" s="77"/>
      <c r="AS114" s="77"/>
      <c r="AT114" s="78">
        <v>0.5625</v>
      </c>
    </row>
    <row r="115" spans="1:46" ht="12.5" x14ac:dyDescent="0.25">
      <c r="A115" s="79">
        <v>44786.400746979169</v>
      </c>
      <c r="B115" s="80" t="s">
        <v>27</v>
      </c>
      <c r="C115" s="80" t="str">
        <f>INDEX(TBL_Name,MATCH(Table2[[#This Row],[Athlete Name]],listNames,0),2)</f>
        <v>Athlete 17</v>
      </c>
      <c r="D115" s="80" t="s">
        <v>150</v>
      </c>
      <c r="E115" s="80">
        <v>5</v>
      </c>
      <c r="F115" s="80">
        <v>6</v>
      </c>
      <c r="G115" s="80">
        <v>8</v>
      </c>
      <c r="H115" s="80" t="s">
        <v>69</v>
      </c>
      <c r="I115" s="80">
        <v>6</v>
      </c>
      <c r="J115" s="80"/>
      <c r="K115" s="80"/>
      <c r="L115" s="80"/>
      <c r="M115" s="1" t="s">
        <v>319</v>
      </c>
      <c r="N115" s="1">
        <v>33</v>
      </c>
      <c r="O115" s="1">
        <v>1</v>
      </c>
      <c r="P115" s="13">
        <v>44786</v>
      </c>
      <c r="Q115" s="1" t="s">
        <v>133</v>
      </c>
      <c r="R115" s="1" t="s">
        <v>64</v>
      </c>
      <c r="S115" s="1">
        <v>3</v>
      </c>
      <c r="T115" s="1"/>
      <c r="U115" s="1" t="s">
        <v>28</v>
      </c>
      <c r="V115" s="76">
        <v>5.6</v>
      </c>
      <c r="W115" s="76">
        <v>0.4898979485566356</v>
      </c>
      <c r="X115" s="77">
        <v>-1.2247448713915883</v>
      </c>
      <c r="Y115" s="77">
        <v>1</v>
      </c>
      <c r="Z115" s="76">
        <v>6</v>
      </c>
      <c r="AA115" s="76">
        <v>0</v>
      </c>
      <c r="AB115" s="77">
        <v>0</v>
      </c>
      <c r="AC115" s="77">
        <v>3</v>
      </c>
      <c r="AD115" s="76">
        <v>8</v>
      </c>
      <c r="AE115" s="76">
        <v>0.63245553203367588</v>
      </c>
      <c r="AF115" s="77">
        <v>0</v>
      </c>
      <c r="AG115" s="77">
        <v>3</v>
      </c>
      <c r="AH115" s="76">
        <v>5.4</v>
      </c>
      <c r="AI115" s="76">
        <v>0.79999999999999993</v>
      </c>
      <c r="AJ115" s="77">
        <v>0.74999999999999967</v>
      </c>
      <c r="AK115" s="77">
        <v>3</v>
      </c>
      <c r="AL115" s="76"/>
      <c r="AM115" s="76"/>
      <c r="AN115" s="77"/>
      <c r="AO115" s="77"/>
      <c r="AP115" s="76"/>
      <c r="AQ115" s="76"/>
      <c r="AR115" s="77"/>
      <c r="AS115" s="77"/>
      <c r="AT115" s="78">
        <v>0.6875</v>
      </c>
    </row>
    <row r="116" spans="1:46" ht="12.5" x14ac:dyDescent="0.25">
      <c r="A116" s="79">
        <v>44786.405062951388</v>
      </c>
      <c r="B116" s="80" t="s">
        <v>13</v>
      </c>
      <c r="C116" s="80" t="str">
        <f>INDEX(TBL_Name,MATCH(Table2[[#This Row],[Athlete Name]],listNames,0),2)</f>
        <v>Athlete 7</v>
      </c>
      <c r="D116" s="80" t="s">
        <v>130</v>
      </c>
      <c r="E116" s="80">
        <v>6</v>
      </c>
      <c r="F116" s="80">
        <v>7</v>
      </c>
      <c r="G116" s="80">
        <v>8</v>
      </c>
      <c r="H116" s="80" t="s">
        <v>215</v>
      </c>
      <c r="I116" s="80">
        <v>6</v>
      </c>
      <c r="J116" s="80"/>
      <c r="K116" s="80"/>
      <c r="L116" s="80"/>
      <c r="M116" s="1" t="s">
        <v>320</v>
      </c>
      <c r="N116" s="1">
        <v>33</v>
      </c>
      <c r="O116" s="1">
        <v>1</v>
      </c>
      <c r="P116" s="13">
        <v>44786</v>
      </c>
      <c r="Q116" s="1" t="s">
        <v>133</v>
      </c>
      <c r="R116" s="1" t="s">
        <v>64</v>
      </c>
      <c r="S116" s="1">
        <v>1</v>
      </c>
      <c r="T116" s="1"/>
      <c r="U116" s="1" t="s">
        <v>14</v>
      </c>
      <c r="V116" s="76">
        <v>5.6</v>
      </c>
      <c r="W116" s="76">
        <v>2.0591260281974</v>
      </c>
      <c r="X116" s="77">
        <v>0.19425717247145302</v>
      </c>
      <c r="Y116" s="77">
        <v>3</v>
      </c>
      <c r="Z116" s="76">
        <v>6</v>
      </c>
      <c r="AA116" s="76">
        <v>1.6733200530681511</v>
      </c>
      <c r="AB116" s="77">
        <v>0.59761430466719678</v>
      </c>
      <c r="AC116" s="77">
        <v>3</v>
      </c>
      <c r="AD116" s="76">
        <v>7.6</v>
      </c>
      <c r="AE116" s="76">
        <v>0.48989794855663577</v>
      </c>
      <c r="AF116" s="77">
        <v>0.81649658092772648</v>
      </c>
      <c r="AG116" s="77">
        <v>3</v>
      </c>
      <c r="AH116" s="76">
        <v>4.2</v>
      </c>
      <c r="AI116" s="76">
        <v>1.4696938456699067</v>
      </c>
      <c r="AJ116" s="77">
        <v>1.2247448713915892</v>
      </c>
      <c r="AK116" s="77">
        <v>4</v>
      </c>
      <c r="AL116" s="76"/>
      <c r="AM116" s="76"/>
      <c r="AN116" s="77"/>
      <c r="AO116" s="77"/>
      <c r="AP116" s="76"/>
      <c r="AQ116" s="76"/>
      <c r="AR116" s="77"/>
      <c r="AS116" s="77"/>
      <c r="AT116" s="78">
        <v>0.8125</v>
      </c>
    </row>
    <row r="117" spans="1:46" ht="12.5" x14ac:dyDescent="0.25">
      <c r="A117" s="79">
        <v>44786.405711712963</v>
      </c>
      <c r="B117" s="80" t="s">
        <v>10</v>
      </c>
      <c r="C117" s="80" t="str">
        <f>INDEX(TBL_Name,MATCH(Table2[[#This Row],[Athlete Name]],listNames,0),2)</f>
        <v>Athlete 5</v>
      </c>
      <c r="D117" s="80" t="s">
        <v>130</v>
      </c>
      <c r="E117" s="80">
        <v>9</v>
      </c>
      <c r="F117" s="80">
        <v>9</v>
      </c>
      <c r="G117" s="80">
        <v>9</v>
      </c>
      <c r="H117" s="80" t="s">
        <v>73</v>
      </c>
      <c r="I117" s="80">
        <v>6</v>
      </c>
      <c r="J117" s="80"/>
      <c r="K117" s="80"/>
      <c r="L117" s="80"/>
      <c r="M117" s="1" t="s">
        <v>321</v>
      </c>
      <c r="N117" s="1">
        <v>33</v>
      </c>
      <c r="O117" s="1">
        <v>1</v>
      </c>
      <c r="P117" s="13">
        <v>44786</v>
      </c>
      <c r="Q117" s="1" t="s">
        <v>133</v>
      </c>
      <c r="R117" s="1" t="s">
        <v>64</v>
      </c>
      <c r="S117" s="1">
        <v>1</v>
      </c>
      <c r="T117" s="1"/>
      <c r="U117" s="1" t="s">
        <v>11</v>
      </c>
      <c r="V117" s="76">
        <v>5.666666666666667</v>
      </c>
      <c r="W117" s="76">
        <v>1.7950549357115013</v>
      </c>
      <c r="X117" s="77">
        <v>1.8569533817705184</v>
      </c>
      <c r="Y117" s="77">
        <v>4</v>
      </c>
      <c r="Z117" s="76">
        <v>8.6666666666666661</v>
      </c>
      <c r="AA117" s="76">
        <v>0.74535599249993001</v>
      </c>
      <c r="AB117" s="77">
        <v>0.44721359549995865</v>
      </c>
      <c r="AC117" s="77">
        <v>3</v>
      </c>
      <c r="AD117" s="76">
        <v>8.6666666666666661</v>
      </c>
      <c r="AE117" s="76">
        <v>0.74535599249993001</v>
      </c>
      <c r="AF117" s="77">
        <v>0.44721359549995865</v>
      </c>
      <c r="AG117" s="77">
        <v>3</v>
      </c>
      <c r="AH117" s="76">
        <v>6.5</v>
      </c>
      <c r="AI117" s="76">
        <v>1.2583057392117918</v>
      </c>
      <c r="AJ117" s="77">
        <v>-0.39735970711951307</v>
      </c>
      <c r="AK117" s="77">
        <v>2</v>
      </c>
      <c r="AL117" s="76"/>
      <c r="AM117" s="76"/>
      <c r="AN117" s="77"/>
      <c r="AO117" s="77"/>
      <c r="AP117" s="76"/>
      <c r="AQ117" s="76"/>
      <c r="AR117" s="77"/>
      <c r="AS117" s="77"/>
      <c r="AT117" s="78">
        <v>0.9375</v>
      </c>
    </row>
    <row r="118" spans="1:46" ht="12.5" x14ac:dyDescent="0.25">
      <c r="A118" s="79">
        <v>44786.42825971065</v>
      </c>
      <c r="B118" s="80" t="s">
        <v>196</v>
      </c>
      <c r="C118" s="80" t="str">
        <f>INDEX(TBL_Name,MATCH(Table2[[#This Row],[Athlete Name]],listNames,0),2)</f>
        <v>Athlete 31</v>
      </c>
      <c r="D118" s="80" t="s">
        <v>130</v>
      </c>
      <c r="E118" s="80">
        <v>7</v>
      </c>
      <c r="F118" s="80">
        <v>7</v>
      </c>
      <c r="G118" s="80">
        <v>7</v>
      </c>
      <c r="H118" s="80" t="s">
        <v>69</v>
      </c>
      <c r="I118" s="80">
        <v>5</v>
      </c>
      <c r="J118" s="80"/>
      <c r="K118" s="80"/>
      <c r="L118" s="80"/>
      <c r="M118" s="1" t="s">
        <v>322</v>
      </c>
      <c r="N118" s="1">
        <v>33</v>
      </c>
      <c r="O118" s="1">
        <v>1</v>
      </c>
      <c r="P118" s="13">
        <v>44786</v>
      </c>
      <c r="Q118" s="1" t="s">
        <v>133</v>
      </c>
      <c r="R118" s="1" t="s">
        <v>64</v>
      </c>
      <c r="S118" s="1">
        <v>1</v>
      </c>
      <c r="T118" s="1"/>
      <c r="U118" s="1" t="s">
        <v>28</v>
      </c>
      <c r="V118" s="76">
        <v>6</v>
      </c>
      <c r="W118" s="76">
        <v>0.63245553203367588</v>
      </c>
      <c r="X118" s="77">
        <v>1.5811388300841895</v>
      </c>
      <c r="Y118" s="77">
        <v>4</v>
      </c>
      <c r="Z118" s="76">
        <v>7.8</v>
      </c>
      <c r="AA118" s="76">
        <v>0.74833147735478822</v>
      </c>
      <c r="AB118" s="77">
        <v>-1.0690449676496974</v>
      </c>
      <c r="AC118" s="77">
        <v>1</v>
      </c>
      <c r="AD118" s="76">
        <v>7.7</v>
      </c>
      <c r="AE118" s="76">
        <v>0.4</v>
      </c>
      <c r="AF118" s="77">
        <v>-1.7500000000000004</v>
      </c>
      <c r="AG118" s="77">
        <v>1</v>
      </c>
      <c r="AH118" s="76">
        <v>6.2</v>
      </c>
      <c r="AI118" s="76">
        <v>0.74833147735478833</v>
      </c>
      <c r="AJ118" s="77">
        <v>-1.6035674514745464</v>
      </c>
      <c r="AK118" s="77">
        <v>1</v>
      </c>
      <c r="AL118" s="76"/>
      <c r="AM118" s="76"/>
      <c r="AN118" s="77"/>
      <c r="AO118" s="77"/>
      <c r="AP118" s="76"/>
      <c r="AQ118" s="76"/>
      <c r="AR118" s="77"/>
      <c r="AS118" s="77"/>
      <c r="AT118" s="78">
        <v>0.8125</v>
      </c>
    </row>
    <row r="119" spans="1:46" ht="12.5" x14ac:dyDescent="0.25">
      <c r="A119" s="79">
        <v>44786.439043622682</v>
      </c>
      <c r="B119" s="80" t="s">
        <v>177</v>
      </c>
      <c r="C119" s="80" t="str">
        <f>INDEX(TBL_Name,MATCH(Table2[[#This Row],[Athlete Name]],listNames,0),2)</f>
        <v>Athlete 28</v>
      </c>
      <c r="D119" s="80" t="s">
        <v>143</v>
      </c>
      <c r="E119" s="80">
        <v>3</v>
      </c>
      <c r="F119" s="80">
        <v>6</v>
      </c>
      <c r="G119" s="80">
        <v>9</v>
      </c>
      <c r="H119" s="80" t="s">
        <v>191</v>
      </c>
      <c r="I119" s="80">
        <v>9</v>
      </c>
      <c r="J119" s="80"/>
      <c r="K119" s="80"/>
      <c r="L119" s="80"/>
      <c r="M119" s="1" t="s">
        <v>323</v>
      </c>
      <c r="N119" s="1">
        <v>33</v>
      </c>
      <c r="O119" s="1">
        <v>1</v>
      </c>
      <c r="P119" s="13">
        <v>44786</v>
      </c>
      <c r="Q119" s="1" t="s">
        <v>133</v>
      </c>
      <c r="R119" s="1" t="s">
        <v>64</v>
      </c>
      <c r="S119" s="1">
        <v>2</v>
      </c>
      <c r="T119" s="1"/>
      <c r="U119" s="1" t="s">
        <v>28</v>
      </c>
      <c r="V119" s="76">
        <v>2.8</v>
      </c>
      <c r="W119" s="76">
        <v>0.74833147735478822</v>
      </c>
      <c r="X119" s="77">
        <v>0.26726124191242462</v>
      </c>
      <c r="Y119" s="77">
        <v>3</v>
      </c>
      <c r="Z119" s="76">
        <v>5.6</v>
      </c>
      <c r="AA119" s="76">
        <v>2.3323807579381199</v>
      </c>
      <c r="AB119" s="77">
        <v>0.17149858514250901</v>
      </c>
      <c r="AC119" s="77">
        <v>3</v>
      </c>
      <c r="AD119" s="76">
        <v>7.2</v>
      </c>
      <c r="AE119" s="76">
        <v>2.2271057451320089</v>
      </c>
      <c r="AF119" s="77">
        <v>0.80822385912048689</v>
      </c>
      <c r="AG119" s="77">
        <v>3</v>
      </c>
      <c r="AH119" s="76">
        <v>5.6</v>
      </c>
      <c r="AI119" s="76">
        <v>2.8705400188814649</v>
      </c>
      <c r="AJ119" s="77">
        <v>1.18444612429575</v>
      </c>
      <c r="AK119" s="77">
        <v>4</v>
      </c>
      <c r="AL119" s="76"/>
      <c r="AM119" s="76"/>
      <c r="AN119" s="77"/>
      <c r="AO119" s="77"/>
      <c r="AP119" s="76"/>
      <c r="AQ119" s="76"/>
      <c r="AR119" s="77"/>
      <c r="AS119" s="77"/>
      <c r="AT119" s="78">
        <v>0.9375</v>
      </c>
    </row>
    <row r="120" spans="1:46" ht="12.5" x14ac:dyDescent="0.25">
      <c r="A120" s="79">
        <v>44786.445813020837</v>
      </c>
      <c r="B120" s="80" t="s">
        <v>9</v>
      </c>
      <c r="C120" s="80" t="str">
        <f>INDEX(TBL_Name,MATCH(Table2[[#This Row],[Athlete Name]],listNames,0),2)</f>
        <v>Athlete 4</v>
      </c>
      <c r="D120" s="80" t="s">
        <v>130</v>
      </c>
      <c r="E120" s="80">
        <v>8</v>
      </c>
      <c r="F120" s="80">
        <v>9</v>
      </c>
      <c r="G120" s="80">
        <v>8</v>
      </c>
      <c r="H120" s="80" t="s">
        <v>324</v>
      </c>
      <c r="I120" s="80">
        <v>6</v>
      </c>
      <c r="J120" s="80"/>
      <c r="K120" s="80"/>
      <c r="L120" s="80"/>
      <c r="M120" s="1" t="s">
        <v>325</v>
      </c>
      <c r="N120" s="1">
        <v>33</v>
      </c>
      <c r="O120" s="1">
        <v>1</v>
      </c>
      <c r="P120" s="13">
        <v>44786</v>
      </c>
      <c r="Q120" s="1" t="s">
        <v>133</v>
      </c>
      <c r="R120" s="1" t="s">
        <v>64</v>
      </c>
      <c r="S120" s="1">
        <v>1</v>
      </c>
      <c r="T120" s="1"/>
      <c r="U120" s="1" t="s">
        <v>8</v>
      </c>
      <c r="V120" s="76">
        <v>7</v>
      </c>
      <c r="W120" s="76">
        <v>0.81649658092772615</v>
      </c>
      <c r="X120" s="77">
        <v>1.2247448713915889</v>
      </c>
      <c r="Y120" s="77">
        <v>4</v>
      </c>
      <c r="Z120" s="76">
        <v>8.3333333333333339</v>
      </c>
      <c r="AA120" s="76">
        <v>0.74535599249993012</v>
      </c>
      <c r="AB120" s="77">
        <v>0.89442719099991486</v>
      </c>
      <c r="AC120" s="77">
        <v>3</v>
      </c>
      <c r="AD120" s="76">
        <v>8.1666666666666661</v>
      </c>
      <c r="AE120" s="76">
        <v>0.37267799624996506</v>
      </c>
      <c r="AF120" s="77">
        <v>-0.44721359549995621</v>
      </c>
      <c r="AG120" s="77">
        <v>2</v>
      </c>
      <c r="AH120" s="76">
        <v>5.333333333333333</v>
      </c>
      <c r="AI120" s="76">
        <v>1.1055415967851334</v>
      </c>
      <c r="AJ120" s="77">
        <v>0.60302268915552748</v>
      </c>
      <c r="AK120" s="77">
        <v>3</v>
      </c>
      <c r="AL120" s="76"/>
      <c r="AM120" s="76"/>
      <c r="AN120" s="77"/>
      <c r="AO120" s="77"/>
      <c r="AP120" s="76"/>
      <c r="AQ120" s="76"/>
      <c r="AR120" s="77"/>
      <c r="AS120" s="77"/>
      <c r="AT120" s="78">
        <v>0.8125</v>
      </c>
    </row>
    <row r="121" spans="1:46" ht="12.5" x14ac:dyDescent="0.25">
      <c r="A121" s="79">
        <v>44786.447924016204</v>
      </c>
      <c r="B121" s="80" t="s">
        <v>168</v>
      </c>
      <c r="C121" s="80" t="str">
        <f>INDEX(TBL_Name,MATCH(Table2[[#This Row],[Athlete Name]],listNames,0),2)</f>
        <v>Athlete 26</v>
      </c>
      <c r="D121" s="80" t="s">
        <v>130</v>
      </c>
      <c r="E121" s="80">
        <v>9</v>
      </c>
      <c r="F121" s="80">
        <v>8</v>
      </c>
      <c r="G121" s="80">
        <v>7</v>
      </c>
      <c r="H121" s="80" t="s">
        <v>326</v>
      </c>
      <c r="I121" s="80">
        <v>4</v>
      </c>
      <c r="J121" s="80"/>
      <c r="K121" s="80"/>
      <c r="L121" s="80"/>
      <c r="M121" s="1" t="s">
        <v>327</v>
      </c>
      <c r="N121" s="1">
        <v>33</v>
      </c>
      <c r="O121" s="1">
        <v>1</v>
      </c>
      <c r="P121" s="13">
        <v>44786</v>
      </c>
      <c r="Q121" s="1" t="s">
        <v>133</v>
      </c>
      <c r="R121" s="1" t="s">
        <v>64</v>
      </c>
      <c r="S121" s="1">
        <v>1</v>
      </c>
      <c r="T121" s="1"/>
      <c r="U121" s="1" t="s">
        <v>5</v>
      </c>
      <c r="V121" s="76">
        <v>7.833333333333333</v>
      </c>
      <c r="W121" s="76">
        <v>0.68718427093627688</v>
      </c>
      <c r="X121" s="77">
        <v>1.6977493752543309</v>
      </c>
      <c r="Y121" s="77">
        <v>4</v>
      </c>
      <c r="Z121" s="76">
        <v>7</v>
      </c>
      <c r="AA121" s="76">
        <v>1.1547005383792515</v>
      </c>
      <c r="AB121" s="77">
        <v>0.86602540378443871</v>
      </c>
      <c r="AC121" s="77">
        <v>3</v>
      </c>
      <c r="AD121" s="76">
        <v>7.666666666666667</v>
      </c>
      <c r="AE121" s="76">
        <v>0.47140452079103157</v>
      </c>
      <c r="AF121" s="77">
        <v>-1.414213562373096</v>
      </c>
      <c r="AG121" s="77">
        <v>1</v>
      </c>
      <c r="AH121" s="76">
        <v>5.666666666666667</v>
      </c>
      <c r="AI121" s="76">
        <v>0.94280904158206336</v>
      </c>
      <c r="AJ121" s="77">
        <v>-1.7677669529663691</v>
      </c>
      <c r="AK121" s="77">
        <v>1</v>
      </c>
      <c r="AL121" s="76"/>
      <c r="AM121" s="76"/>
      <c r="AN121" s="77"/>
      <c r="AO121" s="77"/>
      <c r="AP121" s="76"/>
      <c r="AQ121" s="76"/>
      <c r="AR121" s="77"/>
      <c r="AS121" s="77"/>
      <c r="AT121" s="78">
        <v>0.5625</v>
      </c>
    </row>
    <row r="122" spans="1:46" ht="12.5" x14ac:dyDescent="0.25">
      <c r="A122" s="79">
        <v>44786.584198657409</v>
      </c>
      <c r="B122" s="80" t="s">
        <v>142</v>
      </c>
      <c r="C122" s="80" t="str">
        <f>INDEX(TBL_Name,MATCH(Table2[[#This Row],[Athlete Name]],listNames,0),2)</f>
        <v>Athlete 21</v>
      </c>
      <c r="D122" s="80" t="s">
        <v>143</v>
      </c>
      <c r="E122" s="80">
        <v>5</v>
      </c>
      <c r="F122" s="80">
        <v>9</v>
      </c>
      <c r="G122" s="80">
        <v>9</v>
      </c>
      <c r="H122" s="80" t="s">
        <v>71</v>
      </c>
      <c r="I122" s="80">
        <v>5</v>
      </c>
      <c r="J122" s="80"/>
      <c r="K122" s="80"/>
      <c r="L122" s="80"/>
      <c r="M122" s="1" t="s">
        <v>328</v>
      </c>
      <c r="N122" s="1">
        <v>33</v>
      </c>
      <c r="O122" s="1">
        <v>1</v>
      </c>
      <c r="P122" s="13">
        <v>44786</v>
      </c>
      <c r="Q122" s="1" t="s">
        <v>133</v>
      </c>
      <c r="R122" s="1" t="s">
        <v>64</v>
      </c>
      <c r="S122" s="1">
        <v>2</v>
      </c>
      <c r="T122" s="1"/>
      <c r="U122" s="1" t="s">
        <v>18</v>
      </c>
      <c r="V122" s="76">
        <v>5.666666666666667</v>
      </c>
      <c r="W122" s="76">
        <v>0.94280904158206336</v>
      </c>
      <c r="X122" s="77">
        <v>-0.70710678118654779</v>
      </c>
      <c r="Y122" s="77">
        <v>2</v>
      </c>
      <c r="Z122" s="76">
        <v>8.6666666666666661</v>
      </c>
      <c r="AA122" s="76">
        <v>0.47140452079103179</v>
      </c>
      <c r="AB122" s="77">
        <v>0.70710678118654857</v>
      </c>
      <c r="AC122" s="77">
        <v>3</v>
      </c>
      <c r="AD122" s="76">
        <v>9</v>
      </c>
      <c r="AE122" s="76">
        <v>0</v>
      </c>
      <c r="AF122" s="77">
        <v>0</v>
      </c>
      <c r="AG122" s="77">
        <v>3</v>
      </c>
      <c r="AH122" s="76">
        <v>5.666666666666667</v>
      </c>
      <c r="AI122" s="76">
        <v>0.94280904158206336</v>
      </c>
      <c r="AJ122" s="77">
        <v>-0.70710678118654779</v>
      </c>
      <c r="AK122" s="77">
        <v>2</v>
      </c>
      <c r="AL122" s="76"/>
      <c r="AM122" s="76"/>
      <c r="AN122" s="77"/>
      <c r="AO122" s="77"/>
      <c r="AP122" s="76"/>
      <c r="AQ122" s="76"/>
      <c r="AR122" s="77"/>
      <c r="AS122" s="77"/>
      <c r="AT122" s="78">
        <v>0.75</v>
      </c>
    </row>
    <row r="123" spans="1:46" ht="12.5" x14ac:dyDescent="0.25">
      <c r="A123" s="79">
        <v>44786.751842337966</v>
      </c>
      <c r="B123" s="80" t="s">
        <v>22</v>
      </c>
      <c r="C123" s="80" t="str">
        <f>INDEX(TBL_Name,MATCH(Table2[[#This Row],[Athlete Name]],listNames,0),2)</f>
        <v>Athlete 14</v>
      </c>
      <c r="D123" s="80" t="s">
        <v>130</v>
      </c>
      <c r="E123" s="80">
        <v>7</v>
      </c>
      <c r="F123" s="80">
        <v>6</v>
      </c>
      <c r="G123" s="80">
        <v>9</v>
      </c>
      <c r="H123" s="80" t="s">
        <v>210</v>
      </c>
      <c r="I123" s="80">
        <v>3</v>
      </c>
      <c r="J123" s="80"/>
      <c r="K123" s="80"/>
      <c r="L123" s="80"/>
      <c r="M123" s="1" t="s">
        <v>329</v>
      </c>
      <c r="N123" s="1">
        <v>33</v>
      </c>
      <c r="O123" s="1">
        <v>1</v>
      </c>
      <c r="P123" s="13">
        <v>44786</v>
      </c>
      <c r="Q123" s="1" t="s">
        <v>133</v>
      </c>
      <c r="R123" s="1" t="s">
        <v>64</v>
      </c>
      <c r="S123" s="1">
        <v>1</v>
      </c>
      <c r="T123" s="1"/>
      <c r="U123" s="1" t="s">
        <v>18</v>
      </c>
      <c r="V123" s="76">
        <v>6.5</v>
      </c>
      <c r="W123" s="76">
        <v>0.76376261582597338</v>
      </c>
      <c r="X123" s="77">
        <v>0.65465367070797709</v>
      </c>
      <c r="Y123" s="77">
        <v>3</v>
      </c>
      <c r="Z123" s="76">
        <v>6</v>
      </c>
      <c r="AA123" s="76">
        <v>1</v>
      </c>
      <c r="AB123" s="77">
        <v>0</v>
      </c>
      <c r="AC123" s="77">
        <v>3</v>
      </c>
      <c r="AD123" s="76">
        <v>8.5</v>
      </c>
      <c r="AE123" s="76">
        <v>0.49999999999999983</v>
      </c>
      <c r="AF123" s="77">
        <v>1.0000000000000004</v>
      </c>
      <c r="AG123" s="77">
        <v>4</v>
      </c>
      <c r="AH123" s="76">
        <v>3.1666666666666665</v>
      </c>
      <c r="AI123" s="76">
        <v>1.4624940645653537</v>
      </c>
      <c r="AJ123" s="77">
        <v>-0.11396057645963785</v>
      </c>
      <c r="AK123" s="77">
        <v>2</v>
      </c>
      <c r="AL123" s="76"/>
      <c r="AM123" s="76"/>
      <c r="AN123" s="77"/>
      <c r="AO123" s="77"/>
      <c r="AP123" s="76"/>
      <c r="AQ123" s="76"/>
      <c r="AR123" s="77"/>
      <c r="AS123" s="77"/>
      <c r="AT123" s="78">
        <v>0.625</v>
      </c>
    </row>
    <row r="124" spans="1:46" ht="12.5" x14ac:dyDescent="0.25">
      <c r="A124" s="79">
        <v>44787.226857465277</v>
      </c>
      <c r="B124" s="80" t="s">
        <v>185</v>
      </c>
      <c r="C124" s="80" t="str">
        <f>INDEX(TBL_Name,MATCH(Table2[[#This Row],[Athlete Name]],listNames,0),2)</f>
        <v>Athlete 30</v>
      </c>
      <c r="D124" s="80" t="s">
        <v>130</v>
      </c>
      <c r="E124" s="80">
        <v>10</v>
      </c>
      <c r="F124" s="80">
        <v>7</v>
      </c>
      <c r="G124" s="80">
        <v>8</v>
      </c>
      <c r="H124" s="80" t="s">
        <v>262</v>
      </c>
      <c r="I124" s="80">
        <v>3</v>
      </c>
      <c r="J124" s="80"/>
      <c r="K124" s="80"/>
      <c r="L124" s="80"/>
      <c r="M124" s="1" t="s">
        <v>330</v>
      </c>
      <c r="N124" s="1">
        <v>34</v>
      </c>
      <c r="O124" s="1">
        <v>2</v>
      </c>
      <c r="P124" s="13">
        <v>44787</v>
      </c>
      <c r="Q124" s="1" t="s">
        <v>133</v>
      </c>
      <c r="R124" s="1" t="s">
        <v>64</v>
      </c>
      <c r="S124" s="1">
        <v>1</v>
      </c>
      <c r="T124" s="1"/>
      <c r="U124" s="1" t="s">
        <v>26</v>
      </c>
      <c r="V124" s="76">
        <v>8.8571428571428577</v>
      </c>
      <c r="W124" s="76">
        <v>0.98974331861078724</v>
      </c>
      <c r="X124" s="77">
        <v>1.1547005383792508</v>
      </c>
      <c r="Y124" s="77">
        <v>4</v>
      </c>
      <c r="Z124" s="76">
        <v>5.8571428571428568</v>
      </c>
      <c r="AA124" s="76">
        <v>1.3552618543578769</v>
      </c>
      <c r="AB124" s="77">
        <v>0.84327404271156803</v>
      </c>
      <c r="AC124" s="77">
        <v>3</v>
      </c>
      <c r="AD124" s="76">
        <v>6.7142857142857144</v>
      </c>
      <c r="AE124" s="76">
        <v>1.2777531299998799</v>
      </c>
      <c r="AF124" s="77">
        <v>1.0062305898749053</v>
      </c>
      <c r="AG124" s="77">
        <v>4</v>
      </c>
      <c r="AH124" s="76">
        <v>4.2857142857142856</v>
      </c>
      <c r="AI124" s="76">
        <v>1.0301575072754257</v>
      </c>
      <c r="AJ124" s="77">
        <v>-1.2480754415067652</v>
      </c>
      <c r="AK124" s="77">
        <v>1</v>
      </c>
      <c r="AL124" s="76"/>
      <c r="AM124" s="76"/>
      <c r="AN124" s="77"/>
      <c r="AO124" s="77"/>
      <c r="AP124" s="76"/>
      <c r="AQ124" s="76"/>
      <c r="AR124" s="77"/>
      <c r="AS124" s="77"/>
      <c r="AT124" s="78">
        <v>0.5</v>
      </c>
    </row>
    <row r="125" spans="1:46" ht="12.5" x14ac:dyDescent="0.25">
      <c r="A125" s="79">
        <v>44787.254521388888</v>
      </c>
      <c r="B125" s="80" t="s">
        <v>129</v>
      </c>
      <c r="C125" s="80" t="str">
        <f>INDEX(TBL_Name,MATCH(Table2[[#This Row],[Athlete Name]],listNames,0),2)</f>
        <v>Athlete 19</v>
      </c>
      <c r="D125" s="80" t="s">
        <v>130</v>
      </c>
      <c r="E125" s="80">
        <v>7</v>
      </c>
      <c r="F125" s="80">
        <v>7</v>
      </c>
      <c r="G125" s="80">
        <v>8</v>
      </c>
      <c r="H125" s="80" t="s">
        <v>280</v>
      </c>
      <c r="I125" s="80">
        <v>4</v>
      </c>
      <c r="J125" s="80"/>
      <c r="K125" s="80"/>
      <c r="L125" s="80"/>
      <c r="M125" s="1" t="s">
        <v>331</v>
      </c>
      <c r="N125" s="1">
        <v>34</v>
      </c>
      <c r="O125" s="1">
        <v>2</v>
      </c>
      <c r="P125" s="13">
        <v>44787</v>
      </c>
      <c r="Q125" s="1" t="s">
        <v>133</v>
      </c>
      <c r="R125" s="1" t="s">
        <v>64</v>
      </c>
      <c r="S125" s="1">
        <v>1</v>
      </c>
      <c r="T125" s="1"/>
      <c r="U125" s="1" t="s">
        <v>18</v>
      </c>
      <c r="V125" s="76">
        <v>6.833333333333333</v>
      </c>
      <c r="W125" s="76">
        <v>0.68718427093627676</v>
      </c>
      <c r="X125" s="77">
        <v>0.24253562503633341</v>
      </c>
      <c r="Y125" s="77">
        <v>3</v>
      </c>
      <c r="Z125" s="76">
        <v>7.166666666666667</v>
      </c>
      <c r="AA125" s="76">
        <v>0.68718427093627688</v>
      </c>
      <c r="AB125" s="77">
        <v>-0.24253562503633336</v>
      </c>
      <c r="AC125" s="77">
        <v>2</v>
      </c>
      <c r="AD125" s="76">
        <v>7.666666666666667</v>
      </c>
      <c r="AE125" s="76">
        <v>0.47140452079103173</v>
      </c>
      <c r="AF125" s="77">
        <v>0.7071067811865468</v>
      </c>
      <c r="AG125" s="77">
        <v>3</v>
      </c>
      <c r="AH125" s="76">
        <v>4.833333333333333</v>
      </c>
      <c r="AI125" s="76">
        <v>1.3437096247164251</v>
      </c>
      <c r="AJ125" s="77">
        <v>-0.62017367294604198</v>
      </c>
      <c r="AK125" s="77">
        <v>2</v>
      </c>
      <c r="AL125" s="76"/>
      <c r="AM125" s="76"/>
      <c r="AN125" s="77"/>
      <c r="AO125" s="77"/>
      <c r="AP125" s="76"/>
      <c r="AQ125" s="76"/>
      <c r="AR125" s="77"/>
      <c r="AS125" s="77"/>
      <c r="AT125" s="78">
        <v>0.6875</v>
      </c>
    </row>
    <row r="126" spans="1:46" ht="12.5" x14ac:dyDescent="0.25">
      <c r="A126" s="79">
        <v>44787.262820081014</v>
      </c>
      <c r="B126" s="80" t="s">
        <v>10</v>
      </c>
      <c r="C126" s="80" t="str">
        <f>INDEX(TBL_Name,MATCH(Table2[[#This Row],[Athlete Name]],listNames,0),2)</f>
        <v>Athlete 5</v>
      </c>
      <c r="D126" s="80" t="s">
        <v>130</v>
      </c>
      <c r="E126" s="80">
        <v>9</v>
      </c>
      <c r="F126" s="80">
        <v>8</v>
      </c>
      <c r="G126" s="80">
        <v>7.5</v>
      </c>
      <c r="H126" s="80" t="s">
        <v>258</v>
      </c>
      <c r="I126" s="80">
        <v>7</v>
      </c>
      <c r="J126" s="80"/>
      <c r="K126" s="80"/>
      <c r="L126" s="80"/>
      <c r="M126" s="1" t="s">
        <v>332</v>
      </c>
      <c r="N126" s="1">
        <v>34</v>
      </c>
      <c r="O126" s="1">
        <v>2</v>
      </c>
      <c r="P126" s="13">
        <v>44787</v>
      </c>
      <c r="Q126" s="1" t="s">
        <v>133</v>
      </c>
      <c r="R126" s="1" t="s">
        <v>64</v>
      </c>
      <c r="S126" s="1">
        <v>1</v>
      </c>
      <c r="T126" s="1"/>
      <c r="U126" s="1" t="s">
        <v>11</v>
      </c>
      <c r="V126" s="76">
        <v>6.1428571428571432</v>
      </c>
      <c r="W126" s="76">
        <v>2.0303814862216991</v>
      </c>
      <c r="X126" s="77">
        <v>1.4071950894605836</v>
      </c>
      <c r="Y126" s="77">
        <v>4</v>
      </c>
      <c r="Z126" s="76">
        <v>8.5714285714285712</v>
      </c>
      <c r="AA126" s="76">
        <v>0.72843135908468359</v>
      </c>
      <c r="AB126" s="77">
        <v>-0.78446454055273573</v>
      </c>
      <c r="AC126" s="77">
        <v>2</v>
      </c>
      <c r="AD126" s="76">
        <v>8.5</v>
      </c>
      <c r="AE126" s="76">
        <v>0.80178372573727319</v>
      </c>
      <c r="AF126" s="77">
        <v>-1.247219128924647</v>
      </c>
      <c r="AG126" s="77">
        <v>1</v>
      </c>
      <c r="AH126" s="76">
        <v>6.5714285714285712</v>
      </c>
      <c r="AI126" s="76">
        <v>1.1780301787479033</v>
      </c>
      <c r="AJ126" s="77">
        <v>0.36380343755449962</v>
      </c>
      <c r="AK126" s="77">
        <v>3</v>
      </c>
      <c r="AL126" s="76"/>
      <c r="AM126" s="76"/>
      <c r="AN126" s="77"/>
      <c r="AO126" s="77"/>
      <c r="AP126" s="76"/>
      <c r="AQ126" s="76"/>
      <c r="AR126" s="77"/>
      <c r="AS126" s="77"/>
      <c r="AT126" s="78">
        <v>0.8125</v>
      </c>
    </row>
    <row r="127" spans="1:46" ht="12.5" x14ac:dyDescent="0.25">
      <c r="A127" s="79">
        <v>44787.263455879627</v>
      </c>
      <c r="B127" s="80" t="s">
        <v>17</v>
      </c>
      <c r="C127" s="80" t="str">
        <f>INDEX(TBL_Name,MATCH(Table2[[#This Row],[Athlete Name]],listNames,0),2)</f>
        <v>Athlete 10</v>
      </c>
      <c r="D127" s="80" t="s">
        <v>143</v>
      </c>
      <c r="E127" s="80">
        <v>9</v>
      </c>
      <c r="F127" s="80">
        <v>6</v>
      </c>
      <c r="G127" s="80">
        <v>6</v>
      </c>
      <c r="H127" s="80" t="s">
        <v>71</v>
      </c>
      <c r="I127" s="80">
        <v>8</v>
      </c>
      <c r="J127" s="80"/>
      <c r="K127" s="80"/>
      <c r="L127" s="80"/>
      <c r="M127" s="1" t="s">
        <v>333</v>
      </c>
      <c r="N127" s="1">
        <v>34</v>
      </c>
      <c r="O127" s="1">
        <v>2</v>
      </c>
      <c r="P127" s="13">
        <v>44787</v>
      </c>
      <c r="Q127" s="1" t="s">
        <v>133</v>
      </c>
      <c r="R127" s="1" t="s">
        <v>64</v>
      </c>
      <c r="S127" s="1">
        <v>2</v>
      </c>
      <c r="T127" s="1"/>
      <c r="U127" s="1" t="s">
        <v>18</v>
      </c>
      <c r="V127" s="76">
        <v>9.1999999999999993</v>
      </c>
      <c r="W127" s="76">
        <v>0.74833147735478822</v>
      </c>
      <c r="X127" s="77">
        <v>-0.26726124191242345</v>
      </c>
      <c r="Y127" s="77">
        <v>2</v>
      </c>
      <c r="Z127" s="76">
        <v>7.8</v>
      </c>
      <c r="AA127" s="76">
        <v>1.6</v>
      </c>
      <c r="AB127" s="77">
        <v>-1.1249999999999998</v>
      </c>
      <c r="AC127" s="77">
        <v>1</v>
      </c>
      <c r="AD127" s="76">
        <v>8</v>
      </c>
      <c r="AE127" s="76">
        <v>1.2649110640673518</v>
      </c>
      <c r="AF127" s="77">
        <v>-1.5811388300841895</v>
      </c>
      <c r="AG127" s="77">
        <v>1</v>
      </c>
      <c r="AH127" s="76">
        <v>6.8</v>
      </c>
      <c r="AI127" s="76">
        <v>0.74833147735478833</v>
      </c>
      <c r="AJ127" s="77">
        <v>1.6035674514745464</v>
      </c>
      <c r="AK127" s="77">
        <v>4</v>
      </c>
      <c r="AL127" s="76"/>
      <c r="AM127" s="76"/>
      <c r="AN127" s="77"/>
      <c r="AO127" s="77"/>
      <c r="AP127" s="76"/>
      <c r="AQ127" s="76"/>
      <c r="AR127" s="77"/>
      <c r="AS127" s="77"/>
      <c r="AT127" s="78">
        <v>0.3125</v>
      </c>
    </row>
    <row r="128" spans="1:46" ht="12.5" x14ac:dyDescent="0.25">
      <c r="A128" s="79">
        <v>44787.267281678243</v>
      </c>
      <c r="B128" s="80" t="s">
        <v>159</v>
      </c>
      <c r="C128" s="80" t="str">
        <f>INDEX(TBL_Name,MATCH(Table2[[#This Row],[Athlete Name]],listNames,0),2)</f>
        <v>Athlete 25</v>
      </c>
      <c r="D128" s="80" t="s">
        <v>130</v>
      </c>
      <c r="E128" s="80">
        <v>7</v>
      </c>
      <c r="F128" s="80">
        <v>5</v>
      </c>
      <c r="G128" s="80">
        <v>7</v>
      </c>
      <c r="H128" s="80" t="s">
        <v>228</v>
      </c>
      <c r="I128" s="80">
        <v>7</v>
      </c>
      <c r="J128" s="80"/>
      <c r="K128" s="80"/>
      <c r="L128" s="80"/>
      <c r="M128" s="1" t="s">
        <v>334</v>
      </c>
      <c r="N128" s="1">
        <v>34</v>
      </c>
      <c r="O128" s="1">
        <v>2</v>
      </c>
      <c r="P128" s="13">
        <v>44787</v>
      </c>
      <c r="Q128" s="1" t="s">
        <v>133</v>
      </c>
      <c r="R128" s="1" t="s">
        <v>64</v>
      </c>
      <c r="S128" s="1">
        <v>1</v>
      </c>
      <c r="T128" s="1"/>
      <c r="U128" s="1" t="s">
        <v>28</v>
      </c>
      <c r="V128" s="76">
        <v>7.75</v>
      </c>
      <c r="W128" s="76">
        <v>0.4330127018922193</v>
      </c>
      <c r="X128" s="77">
        <v>-1.7320508075688774</v>
      </c>
      <c r="Y128" s="77">
        <v>1</v>
      </c>
      <c r="Z128" s="76">
        <v>7.25</v>
      </c>
      <c r="AA128" s="76">
        <v>1.299038105676658</v>
      </c>
      <c r="AB128" s="77">
        <v>-1.7320508075688772</v>
      </c>
      <c r="AC128" s="77">
        <v>1</v>
      </c>
      <c r="AD128" s="76">
        <v>7.5</v>
      </c>
      <c r="AE128" s="76">
        <v>0.50000000000000011</v>
      </c>
      <c r="AF128" s="77">
        <v>-0.99999999999999978</v>
      </c>
      <c r="AG128" s="77">
        <v>1</v>
      </c>
      <c r="AH128" s="76">
        <v>4.75</v>
      </c>
      <c r="AI128" s="76">
        <v>1.479019945774904</v>
      </c>
      <c r="AJ128" s="77">
        <v>1.5212776585113299</v>
      </c>
      <c r="AK128" s="77">
        <v>4</v>
      </c>
      <c r="AL128" s="76"/>
      <c r="AM128" s="76"/>
      <c r="AN128" s="77"/>
      <c r="AO128" s="77"/>
      <c r="AP128" s="76"/>
      <c r="AQ128" s="76"/>
      <c r="AR128" s="77"/>
      <c r="AS128" s="77"/>
      <c r="AT128" s="78">
        <v>0.25</v>
      </c>
    </row>
    <row r="129" spans="1:46" ht="12.5" x14ac:dyDescent="0.25">
      <c r="A129" s="79">
        <v>44787.271405914347</v>
      </c>
      <c r="B129" s="80" t="s">
        <v>15</v>
      </c>
      <c r="C129" s="80" t="str">
        <f>INDEX(TBL_Name,MATCH(Table2[[#This Row],[Athlete Name]],listNames,0),2)</f>
        <v>Athlete 8</v>
      </c>
      <c r="D129" s="80" t="s">
        <v>130</v>
      </c>
      <c r="E129" s="80">
        <v>10</v>
      </c>
      <c r="F129" s="80">
        <v>4</v>
      </c>
      <c r="G129" s="80">
        <v>7</v>
      </c>
      <c r="H129" s="80" t="s">
        <v>228</v>
      </c>
      <c r="I129" s="80">
        <v>5</v>
      </c>
      <c r="J129" s="80"/>
      <c r="K129" s="80"/>
      <c r="L129" s="80"/>
      <c r="M129" s="1" t="s">
        <v>335</v>
      </c>
      <c r="N129" s="1">
        <v>34</v>
      </c>
      <c r="O129" s="1">
        <v>2</v>
      </c>
      <c r="P129" s="13">
        <v>44787</v>
      </c>
      <c r="Q129" s="1" t="s">
        <v>133</v>
      </c>
      <c r="R129" s="1" t="s">
        <v>64</v>
      </c>
      <c r="S129" s="1">
        <v>1</v>
      </c>
      <c r="T129" s="1"/>
      <c r="U129" s="1" t="s">
        <v>14</v>
      </c>
      <c r="V129" s="76">
        <v>9.6666666666666661</v>
      </c>
      <c r="W129" s="76">
        <v>0.74535599249992979</v>
      </c>
      <c r="X129" s="77">
        <v>0.44721359549995882</v>
      </c>
      <c r="Y129" s="77">
        <v>3</v>
      </c>
      <c r="Z129" s="76">
        <v>8.3333333333333339</v>
      </c>
      <c r="AA129" s="76">
        <v>1.9720265943665383</v>
      </c>
      <c r="AB129" s="77">
        <v>-2.1974010622941438</v>
      </c>
      <c r="AC129" s="77">
        <v>1</v>
      </c>
      <c r="AD129" s="76">
        <v>8.8333333333333339</v>
      </c>
      <c r="AE129" s="76">
        <v>0.89752746785575022</v>
      </c>
      <c r="AF129" s="77">
        <v>-2.042648719947572</v>
      </c>
      <c r="AG129" s="77">
        <v>1</v>
      </c>
      <c r="AH129" s="76">
        <v>4.166666666666667</v>
      </c>
      <c r="AI129" s="76">
        <v>0.89752746785575066</v>
      </c>
      <c r="AJ129" s="77">
        <v>0.92847669088525897</v>
      </c>
      <c r="AK129" s="77">
        <v>3</v>
      </c>
      <c r="AL129" s="76"/>
      <c r="AM129" s="76"/>
      <c r="AN129" s="77"/>
      <c r="AO129" s="77"/>
      <c r="AP129" s="76"/>
      <c r="AQ129" s="76"/>
      <c r="AR129" s="77"/>
      <c r="AS129" s="77"/>
      <c r="AT129" s="78">
        <v>0.375</v>
      </c>
    </row>
    <row r="130" spans="1:46" ht="12.5" x14ac:dyDescent="0.25">
      <c r="A130" s="79">
        <v>44787.271468125</v>
      </c>
      <c r="B130" s="80" t="s">
        <v>225</v>
      </c>
      <c r="C130" s="80" t="str">
        <f>INDEX(TBL_Name,MATCH(Table2[[#This Row],[Athlete Name]],listNames,0),2)</f>
        <v>Athlete 32</v>
      </c>
      <c r="D130" s="80" t="s">
        <v>130</v>
      </c>
      <c r="E130" s="80">
        <v>10</v>
      </c>
      <c r="F130" s="80">
        <v>10</v>
      </c>
      <c r="G130" s="80">
        <v>7</v>
      </c>
      <c r="H130" s="80"/>
      <c r="I130" s="80">
        <v>9</v>
      </c>
      <c r="J130" s="80"/>
      <c r="K130" s="80"/>
      <c r="L130" s="80"/>
      <c r="M130" s="1" t="s">
        <v>336</v>
      </c>
      <c r="N130" s="1">
        <v>34</v>
      </c>
      <c r="O130" s="1">
        <v>2</v>
      </c>
      <c r="P130" s="13">
        <v>44787</v>
      </c>
      <c r="Q130" s="1" t="s">
        <v>133</v>
      </c>
      <c r="R130" s="1" t="s">
        <v>64</v>
      </c>
      <c r="S130" s="1">
        <v>1</v>
      </c>
      <c r="T130" s="1"/>
      <c r="U130" s="1" t="s">
        <v>5</v>
      </c>
      <c r="V130" s="76">
        <v>10</v>
      </c>
      <c r="W130" s="76">
        <v>0</v>
      </c>
      <c r="X130" s="77">
        <v>0</v>
      </c>
      <c r="Y130" s="77">
        <v>3</v>
      </c>
      <c r="Z130" s="76">
        <v>10</v>
      </c>
      <c r="AA130" s="76">
        <v>0</v>
      </c>
      <c r="AB130" s="77">
        <v>0</v>
      </c>
      <c r="AC130" s="77">
        <v>3</v>
      </c>
      <c r="AD130" s="76">
        <v>7.666666666666667</v>
      </c>
      <c r="AE130" s="76">
        <v>0.47140452079103179</v>
      </c>
      <c r="AF130" s="77">
        <v>-1.4142135623730954</v>
      </c>
      <c r="AG130" s="77">
        <v>1</v>
      </c>
      <c r="AH130" s="76">
        <v>8.3333333333333339</v>
      </c>
      <c r="AI130" s="76">
        <v>0.94280904158206325</v>
      </c>
      <c r="AJ130" s="77">
        <v>0.70710678118654702</v>
      </c>
      <c r="AK130" s="77">
        <v>3</v>
      </c>
      <c r="AL130" s="76"/>
      <c r="AM130" s="76"/>
      <c r="AN130" s="77"/>
      <c r="AO130" s="77"/>
      <c r="AP130" s="76"/>
      <c r="AQ130" s="76"/>
      <c r="AR130" s="77"/>
      <c r="AS130" s="77"/>
      <c r="AT130" s="78">
        <v>0.75</v>
      </c>
    </row>
    <row r="131" spans="1:46" ht="12.5" x14ac:dyDescent="0.25">
      <c r="A131" s="79">
        <v>44787.271500578703</v>
      </c>
      <c r="B131" s="80" t="s">
        <v>27</v>
      </c>
      <c r="C131" s="80" t="str">
        <f>INDEX(TBL_Name,MATCH(Table2[[#This Row],[Athlete Name]],listNames,0),2)</f>
        <v>Athlete 17</v>
      </c>
      <c r="D131" s="80" t="s">
        <v>150</v>
      </c>
      <c r="E131" s="80">
        <v>5</v>
      </c>
      <c r="F131" s="80">
        <v>7</v>
      </c>
      <c r="G131" s="80">
        <v>7</v>
      </c>
      <c r="H131" s="80" t="s">
        <v>69</v>
      </c>
      <c r="I131" s="80">
        <v>5</v>
      </c>
      <c r="J131" s="80"/>
      <c r="K131" s="80"/>
      <c r="L131" s="80"/>
      <c r="M131" s="1" t="s">
        <v>337</v>
      </c>
      <c r="N131" s="1">
        <v>34</v>
      </c>
      <c r="O131" s="1">
        <v>2</v>
      </c>
      <c r="P131" s="13">
        <v>44787</v>
      </c>
      <c r="Q131" s="1" t="s">
        <v>133</v>
      </c>
      <c r="R131" s="1" t="s">
        <v>64</v>
      </c>
      <c r="S131" s="1">
        <v>3</v>
      </c>
      <c r="T131" s="1"/>
      <c r="U131" s="1" t="s">
        <v>28</v>
      </c>
      <c r="V131" s="76">
        <v>5.5</v>
      </c>
      <c r="W131" s="76">
        <v>0.49999999999999994</v>
      </c>
      <c r="X131" s="77">
        <v>-1.0000000000000002</v>
      </c>
      <c r="Y131" s="77">
        <v>1</v>
      </c>
      <c r="Z131" s="76">
        <v>6.166666666666667</v>
      </c>
      <c r="AA131" s="76">
        <v>0.37267799624996489</v>
      </c>
      <c r="AB131" s="77">
        <v>2.2360679774997894</v>
      </c>
      <c r="AC131" s="77">
        <v>4</v>
      </c>
      <c r="AD131" s="76">
        <v>7.833333333333333</v>
      </c>
      <c r="AE131" s="76">
        <v>0.68718427093627676</v>
      </c>
      <c r="AF131" s="77">
        <v>-1.2126781251816645</v>
      </c>
      <c r="AG131" s="77">
        <v>1</v>
      </c>
      <c r="AH131" s="76">
        <v>5.333333333333333</v>
      </c>
      <c r="AI131" s="76">
        <v>0.7453559924999299</v>
      </c>
      <c r="AJ131" s="77">
        <v>-0.44721359549995754</v>
      </c>
      <c r="AK131" s="77">
        <v>2</v>
      </c>
      <c r="AL131" s="76"/>
      <c r="AM131" s="76"/>
      <c r="AN131" s="77"/>
      <c r="AO131" s="77"/>
      <c r="AP131" s="76"/>
      <c r="AQ131" s="76"/>
      <c r="AR131" s="77"/>
      <c r="AS131" s="77"/>
      <c r="AT131" s="78">
        <v>0.625</v>
      </c>
    </row>
    <row r="132" spans="1:46" ht="12.5" x14ac:dyDescent="0.25">
      <c r="A132" s="79">
        <v>44787.271981076388</v>
      </c>
      <c r="B132" s="80" t="s">
        <v>156</v>
      </c>
      <c r="C132" s="80" t="str">
        <f>INDEX(TBL_Name,MATCH(Table2[[#This Row],[Athlete Name]],listNames,0),2)</f>
        <v>Athlete 24</v>
      </c>
      <c r="D132" s="80" t="s">
        <v>130</v>
      </c>
      <c r="E132" s="80">
        <v>7</v>
      </c>
      <c r="F132" s="80">
        <v>4</v>
      </c>
      <c r="G132" s="80">
        <v>5</v>
      </c>
      <c r="H132" s="80" t="s">
        <v>73</v>
      </c>
      <c r="I132" s="80">
        <v>6</v>
      </c>
      <c r="J132" s="80"/>
      <c r="K132" s="80"/>
      <c r="L132" s="80"/>
      <c r="M132" s="1" t="s">
        <v>338</v>
      </c>
      <c r="N132" s="1">
        <v>34</v>
      </c>
      <c r="O132" s="1">
        <v>2</v>
      </c>
      <c r="P132" s="13">
        <v>44787</v>
      </c>
      <c r="Q132" s="1" t="s">
        <v>133</v>
      </c>
      <c r="R132" s="1" t="s">
        <v>64</v>
      </c>
      <c r="S132" s="1">
        <v>1</v>
      </c>
      <c r="T132" s="1"/>
      <c r="U132" s="1" t="s">
        <v>11</v>
      </c>
      <c r="V132" s="76">
        <v>5.75</v>
      </c>
      <c r="W132" s="76">
        <v>0.82915619758885006</v>
      </c>
      <c r="X132" s="77">
        <v>1.507556722888818</v>
      </c>
      <c r="Y132" s="77">
        <v>4</v>
      </c>
      <c r="Z132" s="76">
        <v>6</v>
      </c>
      <c r="AA132" s="76">
        <v>1.2247448713915889</v>
      </c>
      <c r="AB132" s="77">
        <v>-1.6329931618554523</v>
      </c>
      <c r="AC132" s="77">
        <v>1</v>
      </c>
      <c r="AD132" s="76">
        <v>7.25</v>
      </c>
      <c r="AE132" s="76">
        <v>1.299038105676658</v>
      </c>
      <c r="AF132" s="77">
        <v>-1.7320508075688772</v>
      </c>
      <c r="AG132" s="77">
        <v>1</v>
      </c>
      <c r="AH132" s="76">
        <v>6.5</v>
      </c>
      <c r="AI132" s="76">
        <v>0.5</v>
      </c>
      <c r="AJ132" s="77">
        <v>-1</v>
      </c>
      <c r="AK132" s="77">
        <v>1</v>
      </c>
      <c r="AL132" s="76"/>
      <c r="AM132" s="76"/>
      <c r="AN132" s="77"/>
      <c r="AO132" s="77"/>
      <c r="AP132" s="76"/>
      <c r="AQ132" s="76"/>
      <c r="AR132" s="77"/>
      <c r="AS132" s="77"/>
      <c r="AT132" s="78">
        <v>0.625</v>
      </c>
    </row>
    <row r="133" spans="1:46" ht="12.5" x14ac:dyDescent="0.25">
      <c r="A133" s="79">
        <v>44787.273716377313</v>
      </c>
      <c r="B133" s="80" t="s">
        <v>196</v>
      </c>
      <c r="C133" s="80" t="str">
        <f>INDEX(TBL_Name,MATCH(Table2[[#This Row],[Athlete Name]],listNames,0),2)</f>
        <v>Athlete 31</v>
      </c>
      <c r="D133" s="80" t="s">
        <v>130</v>
      </c>
      <c r="E133" s="80">
        <v>6</v>
      </c>
      <c r="F133" s="80">
        <v>6</v>
      </c>
      <c r="G133" s="80">
        <v>6</v>
      </c>
      <c r="H133" s="80" t="s">
        <v>197</v>
      </c>
      <c r="I133" s="80">
        <v>8</v>
      </c>
      <c r="J133" s="80"/>
      <c r="K133" s="80"/>
      <c r="L133" s="80"/>
      <c r="M133" s="1" t="s">
        <v>339</v>
      </c>
      <c r="N133" s="1">
        <v>34</v>
      </c>
      <c r="O133" s="1">
        <v>2</v>
      </c>
      <c r="P133" s="13">
        <v>44787</v>
      </c>
      <c r="Q133" s="1" t="s">
        <v>133</v>
      </c>
      <c r="R133" s="1" t="s">
        <v>64</v>
      </c>
      <c r="S133" s="1">
        <v>1</v>
      </c>
      <c r="T133" s="1"/>
      <c r="U133" s="1" t="s">
        <v>28</v>
      </c>
      <c r="V133" s="76">
        <v>6</v>
      </c>
      <c r="W133" s="76">
        <v>0.57735026918962573</v>
      </c>
      <c r="X133" s="77">
        <v>0</v>
      </c>
      <c r="Y133" s="77">
        <v>3</v>
      </c>
      <c r="Z133" s="76">
        <v>7.5</v>
      </c>
      <c r="AA133" s="76">
        <v>0.9574271077563381</v>
      </c>
      <c r="AB133" s="77">
        <v>-1.5666989036012806</v>
      </c>
      <c r="AC133" s="77">
        <v>1</v>
      </c>
      <c r="AD133" s="76">
        <v>7.416666666666667</v>
      </c>
      <c r="AE133" s="76">
        <v>0.73124703228267696</v>
      </c>
      <c r="AF133" s="77">
        <v>-1.9373297998138452</v>
      </c>
      <c r="AG133" s="77">
        <v>1</v>
      </c>
      <c r="AH133" s="76">
        <v>6.5</v>
      </c>
      <c r="AI133" s="76">
        <v>0.9574271077563381</v>
      </c>
      <c r="AJ133" s="77">
        <v>1.5666989036012806</v>
      </c>
      <c r="AK133" s="77">
        <v>4</v>
      </c>
      <c r="AL133" s="76"/>
      <c r="AM133" s="76"/>
      <c r="AN133" s="77"/>
      <c r="AO133" s="77"/>
      <c r="AP133" s="76"/>
      <c r="AQ133" s="76"/>
      <c r="AR133" s="77"/>
      <c r="AS133" s="77"/>
      <c r="AT133" s="78">
        <v>0.8125</v>
      </c>
    </row>
    <row r="134" spans="1:46" ht="12.5" x14ac:dyDescent="0.25">
      <c r="A134" s="79">
        <v>44787.276382557873</v>
      </c>
      <c r="B134" s="80" t="s">
        <v>21</v>
      </c>
      <c r="C134" s="80" t="str">
        <f>INDEX(TBL_Name,MATCH(Table2[[#This Row],[Athlete Name]],listNames,0),2)</f>
        <v>Athlete 13</v>
      </c>
      <c r="D134" s="80" t="s">
        <v>130</v>
      </c>
      <c r="E134" s="80">
        <v>4</v>
      </c>
      <c r="F134" s="80">
        <v>8</v>
      </c>
      <c r="G134" s="80">
        <v>9</v>
      </c>
      <c r="H134" s="80" t="s">
        <v>340</v>
      </c>
      <c r="I134" s="80">
        <v>4</v>
      </c>
      <c r="J134" s="80"/>
      <c r="K134" s="80"/>
      <c r="L134" s="80"/>
      <c r="M134" s="1" t="s">
        <v>341</v>
      </c>
      <c r="N134" s="1">
        <v>34</v>
      </c>
      <c r="O134" s="1">
        <v>2</v>
      </c>
      <c r="P134" s="13">
        <v>44787</v>
      </c>
      <c r="Q134" s="1" t="s">
        <v>133</v>
      </c>
      <c r="R134" s="1" t="s">
        <v>64</v>
      </c>
      <c r="S134" s="1">
        <v>1</v>
      </c>
      <c r="T134" s="1"/>
      <c r="U134" s="1" t="s">
        <v>18</v>
      </c>
      <c r="V134" s="76">
        <v>6.1428571428571432</v>
      </c>
      <c r="W134" s="76">
        <v>1.2453996981544782</v>
      </c>
      <c r="X134" s="77">
        <v>-1.7206180040292136</v>
      </c>
      <c r="Y134" s="77">
        <v>1</v>
      </c>
      <c r="Z134" s="76">
        <v>8</v>
      </c>
      <c r="AA134" s="76">
        <v>0.53452248382484879</v>
      </c>
      <c r="AB134" s="77">
        <v>0</v>
      </c>
      <c r="AC134" s="77">
        <v>3</v>
      </c>
      <c r="AD134" s="76">
        <v>8.8571428571428577</v>
      </c>
      <c r="AE134" s="76">
        <v>0.63887656499993994</v>
      </c>
      <c r="AF134" s="77">
        <v>0.22360679774997816</v>
      </c>
      <c r="AG134" s="77">
        <v>3</v>
      </c>
      <c r="AH134" s="76">
        <v>4.7142857142857144</v>
      </c>
      <c r="AI134" s="76">
        <v>0.45175395145262554</v>
      </c>
      <c r="AJ134" s="77">
        <v>-1.5811388300841902</v>
      </c>
      <c r="AK134" s="77">
        <v>1</v>
      </c>
      <c r="AL134" s="76"/>
      <c r="AM134" s="76"/>
      <c r="AN134" s="77"/>
      <c r="AO134" s="77"/>
      <c r="AP134" s="76"/>
      <c r="AQ134" s="76"/>
      <c r="AR134" s="77"/>
      <c r="AS134" s="77"/>
      <c r="AT134" s="78">
        <v>0.625</v>
      </c>
    </row>
    <row r="135" spans="1:46" ht="12.5" x14ac:dyDescent="0.25">
      <c r="A135" s="79">
        <v>44787.278972928238</v>
      </c>
      <c r="B135" s="80" t="s">
        <v>148</v>
      </c>
      <c r="C135" s="80" t="str">
        <f>INDEX(TBL_Name,MATCH(Table2[[#This Row],[Athlete Name]],listNames,0),2)</f>
        <v>Athlete 22</v>
      </c>
      <c r="D135" s="80" t="s">
        <v>130</v>
      </c>
      <c r="E135" s="80">
        <v>10</v>
      </c>
      <c r="F135" s="80">
        <v>6</v>
      </c>
      <c r="G135" s="80">
        <v>9</v>
      </c>
      <c r="H135" s="80" t="s">
        <v>342</v>
      </c>
      <c r="I135" s="80">
        <v>5</v>
      </c>
      <c r="J135" s="80"/>
      <c r="K135" s="80"/>
      <c r="L135" s="80"/>
      <c r="M135" s="1" t="s">
        <v>343</v>
      </c>
      <c r="N135" s="1">
        <v>34</v>
      </c>
      <c r="O135" s="1">
        <v>2</v>
      </c>
      <c r="P135" s="13">
        <v>44787</v>
      </c>
      <c r="Q135" s="1" t="s">
        <v>133</v>
      </c>
      <c r="R135" s="1" t="s">
        <v>64</v>
      </c>
      <c r="S135" s="1">
        <v>1</v>
      </c>
      <c r="T135" s="1"/>
      <c r="U135" s="1" t="s">
        <v>11</v>
      </c>
      <c r="V135" s="76">
        <v>9.8000000000000007</v>
      </c>
      <c r="W135" s="76">
        <v>0.39999999999999986</v>
      </c>
      <c r="X135" s="77">
        <v>0.49999999999999839</v>
      </c>
      <c r="Y135" s="77">
        <v>3</v>
      </c>
      <c r="Z135" s="76">
        <v>6.8</v>
      </c>
      <c r="AA135" s="76">
        <v>1.9390719429665315</v>
      </c>
      <c r="AB135" s="77">
        <v>-0.41256849850351729</v>
      </c>
      <c r="AC135" s="77">
        <v>2</v>
      </c>
      <c r="AD135" s="76">
        <v>8.6</v>
      </c>
      <c r="AE135" s="76">
        <v>0.48989794855663549</v>
      </c>
      <c r="AF135" s="77">
        <v>0.81649658092772703</v>
      </c>
      <c r="AG135" s="77">
        <v>3</v>
      </c>
      <c r="AH135" s="76">
        <v>6.2</v>
      </c>
      <c r="AI135" s="76">
        <v>1.4696938456699069</v>
      </c>
      <c r="AJ135" s="77">
        <v>-0.81649658092772615</v>
      </c>
      <c r="AK135" s="77">
        <v>2</v>
      </c>
      <c r="AL135" s="76"/>
      <c r="AM135" s="76"/>
      <c r="AN135" s="77"/>
      <c r="AO135" s="77"/>
      <c r="AP135" s="76"/>
      <c r="AQ135" s="76"/>
      <c r="AR135" s="77"/>
      <c r="AS135" s="77"/>
      <c r="AT135" s="78">
        <v>0.375</v>
      </c>
    </row>
    <row r="136" spans="1:46" ht="12.5" x14ac:dyDescent="0.25">
      <c r="A136" s="79">
        <v>44787.280793622689</v>
      </c>
      <c r="B136" s="80" t="s">
        <v>142</v>
      </c>
      <c r="C136" s="80" t="str">
        <f>INDEX(TBL_Name,MATCH(Table2[[#This Row],[Athlete Name]],listNames,0),2)</f>
        <v>Athlete 21</v>
      </c>
      <c r="D136" s="80" t="s">
        <v>143</v>
      </c>
      <c r="E136" s="80">
        <v>5</v>
      </c>
      <c r="F136" s="80">
        <v>8</v>
      </c>
      <c r="G136" s="80">
        <v>7</v>
      </c>
      <c r="H136" s="80" t="s">
        <v>231</v>
      </c>
      <c r="I136" s="80">
        <v>6</v>
      </c>
      <c r="J136" s="80"/>
      <c r="K136" s="80"/>
      <c r="L136" s="80"/>
      <c r="M136" s="1" t="s">
        <v>344</v>
      </c>
      <c r="N136" s="1">
        <v>34</v>
      </c>
      <c r="O136" s="1">
        <v>2</v>
      </c>
      <c r="P136" s="13">
        <v>44787</v>
      </c>
      <c r="Q136" s="1" t="s">
        <v>133</v>
      </c>
      <c r="R136" s="1" t="s">
        <v>64</v>
      </c>
      <c r="S136" s="1">
        <v>2</v>
      </c>
      <c r="T136" s="1"/>
      <c r="U136" s="1" t="s">
        <v>18</v>
      </c>
      <c r="V136" s="76">
        <v>5.5</v>
      </c>
      <c r="W136" s="76">
        <v>0.86602540378443871</v>
      </c>
      <c r="X136" s="77">
        <v>-0.57735026918962573</v>
      </c>
      <c r="Y136" s="77">
        <v>2</v>
      </c>
      <c r="Z136" s="76">
        <v>8.5</v>
      </c>
      <c r="AA136" s="76">
        <v>0.5</v>
      </c>
      <c r="AB136" s="77">
        <v>-1</v>
      </c>
      <c r="AC136" s="77">
        <v>1</v>
      </c>
      <c r="AD136" s="76">
        <v>8.5</v>
      </c>
      <c r="AE136" s="76">
        <v>0.8660254037844386</v>
      </c>
      <c r="AF136" s="77">
        <v>-1.7320508075688774</v>
      </c>
      <c r="AG136" s="77">
        <v>1</v>
      </c>
      <c r="AH136" s="76">
        <v>5.75</v>
      </c>
      <c r="AI136" s="76">
        <v>0.82915619758884995</v>
      </c>
      <c r="AJ136" s="77">
        <v>0.30151134457776363</v>
      </c>
      <c r="AK136" s="77">
        <v>3</v>
      </c>
      <c r="AL136" s="76"/>
      <c r="AM136" s="76"/>
      <c r="AN136" s="77"/>
      <c r="AO136" s="77"/>
      <c r="AP136" s="76"/>
      <c r="AQ136" s="76"/>
      <c r="AR136" s="77"/>
      <c r="AS136" s="77"/>
      <c r="AT136" s="78">
        <v>0.8125</v>
      </c>
    </row>
    <row r="137" spans="1:46" ht="12.5" x14ac:dyDescent="0.25">
      <c r="A137" s="79">
        <v>44787.360792245367</v>
      </c>
      <c r="B137" s="80" t="s">
        <v>148</v>
      </c>
      <c r="C137" s="80" t="str">
        <f>INDEX(TBL_Name,MATCH(Table2[[#This Row],[Athlete Name]],listNames,0),2)</f>
        <v>Athlete 22</v>
      </c>
      <c r="D137" s="80" t="s">
        <v>130</v>
      </c>
      <c r="E137" s="80">
        <v>10</v>
      </c>
      <c r="F137" s="80">
        <v>4</v>
      </c>
      <c r="G137" s="80">
        <v>9</v>
      </c>
      <c r="H137" s="80" t="s">
        <v>181</v>
      </c>
      <c r="I137" s="80">
        <v>4</v>
      </c>
      <c r="J137" s="80"/>
      <c r="K137" s="80"/>
      <c r="L137" s="80"/>
      <c r="M137" s="1" t="s">
        <v>343</v>
      </c>
      <c r="N137" s="1">
        <v>34</v>
      </c>
      <c r="O137" s="1">
        <v>2</v>
      </c>
      <c r="P137" s="13">
        <v>44787</v>
      </c>
      <c r="Q137" s="1" t="s">
        <v>133</v>
      </c>
      <c r="R137" s="1" t="s">
        <v>64</v>
      </c>
      <c r="S137" s="1">
        <v>1</v>
      </c>
      <c r="T137" s="1"/>
      <c r="U137" s="1" t="s">
        <v>11</v>
      </c>
      <c r="V137" s="76">
        <v>9.8000000000000007</v>
      </c>
      <c r="W137" s="76">
        <v>0.39999999999999986</v>
      </c>
      <c r="X137" s="77">
        <v>0.49999999999999839</v>
      </c>
      <c r="Y137" s="77">
        <v>3</v>
      </c>
      <c r="Z137" s="76">
        <v>6.8</v>
      </c>
      <c r="AA137" s="76">
        <v>1.9390719429665315</v>
      </c>
      <c r="AB137" s="77">
        <v>-1.4439897447623107</v>
      </c>
      <c r="AC137" s="77">
        <v>1</v>
      </c>
      <c r="AD137" s="76">
        <v>8.6</v>
      </c>
      <c r="AE137" s="76">
        <v>0.48989794855663549</v>
      </c>
      <c r="AF137" s="77">
        <v>0.81649658092772703</v>
      </c>
      <c r="AG137" s="77">
        <v>3</v>
      </c>
      <c r="AH137" s="76">
        <v>6.2</v>
      </c>
      <c r="AI137" s="76">
        <v>1.4696938456699069</v>
      </c>
      <c r="AJ137" s="77">
        <v>-1.4969103983674978</v>
      </c>
      <c r="AK137" s="77">
        <v>1</v>
      </c>
      <c r="AL137" s="76"/>
      <c r="AM137" s="76"/>
      <c r="AN137" s="77"/>
      <c r="AO137" s="77"/>
      <c r="AP137" s="76"/>
      <c r="AQ137" s="76"/>
      <c r="AR137" s="77"/>
      <c r="AS137" s="77"/>
      <c r="AT137" s="78">
        <v>0.375</v>
      </c>
    </row>
    <row r="138" spans="1:46" ht="12.5" x14ac:dyDescent="0.25">
      <c r="A138" s="79">
        <v>44787.363016099538</v>
      </c>
      <c r="B138" s="80" t="s">
        <v>6</v>
      </c>
      <c r="C138" s="80" t="str">
        <f>INDEX(TBL_Name,MATCH(Table2[[#This Row],[Athlete Name]],listNames,0),2)</f>
        <v>Athlete 2</v>
      </c>
      <c r="D138" s="80" t="s">
        <v>130</v>
      </c>
      <c r="E138" s="80">
        <v>10</v>
      </c>
      <c r="F138" s="80">
        <v>7</v>
      </c>
      <c r="G138" s="80">
        <v>8</v>
      </c>
      <c r="H138" s="80" t="s">
        <v>231</v>
      </c>
      <c r="I138" s="80">
        <v>5</v>
      </c>
      <c r="J138" s="80"/>
      <c r="K138" s="80"/>
      <c r="L138" s="80"/>
      <c r="M138" s="1" t="s">
        <v>345</v>
      </c>
      <c r="N138" s="1">
        <v>34</v>
      </c>
      <c r="O138" s="1">
        <v>2</v>
      </c>
      <c r="P138" s="13">
        <v>44787</v>
      </c>
      <c r="Q138" s="1" t="s">
        <v>133</v>
      </c>
      <c r="R138" s="1" t="s">
        <v>64</v>
      </c>
      <c r="S138" s="1">
        <v>1</v>
      </c>
      <c r="T138" s="1"/>
      <c r="U138" s="1" t="s">
        <v>5</v>
      </c>
      <c r="V138" s="76">
        <v>9.8571428571428577</v>
      </c>
      <c r="W138" s="76">
        <v>0.34992710611188255</v>
      </c>
      <c r="X138" s="77">
        <v>0.40824829046386163</v>
      </c>
      <c r="Y138" s="77">
        <v>3</v>
      </c>
      <c r="Z138" s="76">
        <v>6.8571428571428568</v>
      </c>
      <c r="AA138" s="76">
        <v>1.2453996981544784</v>
      </c>
      <c r="AB138" s="77">
        <v>0.11470786693528116</v>
      </c>
      <c r="AC138" s="77">
        <v>3</v>
      </c>
      <c r="AD138" s="76">
        <v>7.7142857142857144</v>
      </c>
      <c r="AE138" s="76">
        <v>0.8806305718527111</v>
      </c>
      <c r="AF138" s="77">
        <v>0.32444284226152487</v>
      </c>
      <c r="AG138" s="77">
        <v>3</v>
      </c>
      <c r="AH138" s="76">
        <v>5.1428571428571432</v>
      </c>
      <c r="AI138" s="76">
        <v>0.63887656499994006</v>
      </c>
      <c r="AJ138" s="77">
        <v>-0.22360679774997952</v>
      </c>
      <c r="AK138" s="77">
        <v>2</v>
      </c>
      <c r="AL138" s="76"/>
      <c r="AM138" s="76"/>
      <c r="AN138" s="77"/>
      <c r="AO138" s="77"/>
      <c r="AP138" s="76"/>
      <c r="AQ138" s="76"/>
      <c r="AR138" s="77"/>
      <c r="AS138" s="77"/>
      <c r="AT138" s="78">
        <v>0.375</v>
      </c>
    </row>
    <row r="139" spans="1:46" ht="12.5" x14ac:dyDescent="0.25">
      <c r="A139" s="79">
        <v>44787.368478668985</v>
      </c>
      <c r="B139" s="80" t="s">
        <v>25</v>
      </c>
      <c r="C139" s="80" t="str">
        <f>INDEX(TBL_Name,MATCH(Table2[[#This Row],[Athlete Name]],listNames,0),2)</f>
        <v>Athlete 23</v>
      </c>
      <c r="D139" s="80" t="s">
        <v>143</v>
      </c>
      <c r="E139" s="80">
        <v>9</v>
      </c>
      <c r="F139" s="80">
        <v>8</v>
      </c>
      <c r="G139" s="80">
        <v>8</v>
      </c>
      <c r="H139" s="80"/>
      <c r="I139" s="80">
        <v>9</v>
      </c>
      <c r="J139" s="80"/>
      <c r="K139" s="80"/>
      <c r="L139" s="80"/>
      <c r="M139" s="1" t="s">
        <v>346</v>
      </c>
      <c r="N139" s="1">
        <v>34</v>
      </c>
      <c r="O139" s="1">
        <v>2</v>
      </c>
      <c r="P139" s="13">
        <v>44787</v>
      </c>
      <c r="Q139" s="1" t="s">
        <v>133</v>
      </c>
      <c r="R139" s="1" t="s">
        <v>64</v>
      </c>
      <c r="S139" s="1">
        <v>2</v>
      </c>
      <c r="T139" s="1"/>
      <c r="U139" s="1" t="s">
        <v>26</v>
      </c>
      <c r="V139" s="76">
        <v>6.5</v>
      </c>
      <c r="W139" s="76">
        <v>2.753785273643051</v>
      </c>
      <c r="X139" s="77">
        <v>0.90784129900320365</v>
      </c>
      <c r="Y139" s="77">
        <v>3</v>
      </c>
      <c r="Z139" s="76">
        <v>8</v>
      </c>
      <c r="AA139" s="76">
        <v>0</v>
      </c>
      <c r="AB139" s="77">
        <v>0</v>
      </c>
      <c r="AC139" s="77">
        <v>3</v>
      </c>
      <c r="AD139" s="76">
        <v>8.6666666666666661</v>
      </c>
      <c r="AE139" s="76">
        <v>0.74535599249993012</v>
      </c>
      <c r="AF139" s="77">
        <v>-0.89442719099991486</v>
      </c>
      <c r="AG139" s="77">
        <v>2</v>
      </c>
      <c r="AH139" s="76">
        <v>5.333333333333333</v>
      </c>
      <c r="AI139" s="76">
        <v>3.3499585403736303</v>
      </c>
      <c r="AJ139" s="77">
        <v>1.0945409092309881</v>
      </c>
      <c r="AK139" s="77">
        <v>4</v>
      </c>
      <c r="AL139" s="76"/>
      <c r="AM139" s="76"/>
      <c r="AN139" s="77"/>
      <c r="AO139" s="77"/>
      <c r="AP139" s="76"/>
      <c r="AQ139" s="76"/>
      <c r="AR139" s="77"/>
      <c r="AS139" s="77"/>
      <c r="AT139" s="78">
        <v>0.75</v>
      </c>
    </row>
    <row r="140" spans="1:46" ht="12.5" x14ac:dyDescent="0.25">
      <c r="A140" s="79">
        <v>44787.369037476848</v>
      </c>
      <c r="B140" s="80" t="s">
        <v>171</v>
      </c>
      <c r="C140" s="80" t="str">
        <f>INDEX(TBL_Name,MATCH(Table2[[#This Row],[Athlete Name]],listNames,0),2)</f>
        <v>Athlete 27</v>
      </c>
      <c r="D140" s="80" t="s">
        <v>130</v>
      </c>
      <c r="E140" s="80">
        <v>10</v>
      </c>
      <c r="F140" s="80">
        <v>7</v>
      </c>
      <c r="G140" s="80">
        <v>7</v>
      </c>
      <c r="H140" s="80" t="s">
        <v>131</v>
      </c>
      <c r="I140" s="80">
        <v>7</v>
      </c>
      <c r="J140" s="80"/>
      <c r="K140" s="80"/>
      <c r="L140" s="80"/>
      <c r="M140" s="1" t="s">
        <v>347</v>
      </c>
      <c r="N140" s="1">
        <v>34</v>
      </c>
      <c r="O140" s="1">
        <v>2</v>
      </c>
      <c r="P140" s="13">
        <v>44787</v>
      </c>
      <c r="Q140" s="1" t="s">
        <v>133</v>
      </c>
      <c r="R140" s="1" t="s">
        <v>64</v>
      </c>
      <c r="S140" s="1">
        <v>1</v>
      </c>
      <c r="T140" s="1"/>
      <c r="U140" s="1" t="s">
        <v>8</v>
      </c>
      <c r="V140" s="76">
        <v>9</v>
      </c>
      <c r="W140" s="76">
        <v>1.1547005383792515</v>
      </c>
      <c r="X140" s="77">
        <v>0.86602540378443871</v>
      </c>
      <c r="Y140" s="77">
        <v>3</v>
      </c>
      <c r="Z140" s="76">
        <v>9.3333333333333339</v>
      </c>
      <c r="AA140" s="76">
        <v>1.1055415967851334</v>
      </c>
      <c r="AB140" s="77">
        <v>-2.1105794120443457</v>
      </c>
      <c r="AC140" s="77">
        <v>1</v>
      </c>
      <c r="AD140" s="76">
        <v>8.6666666666666661</v>
      </c>
      <c r="AE140" s="76">
        <v>0.74535599249992979</v>
      </c>
      <c r="AF140" s="77">
        <v>-2.2360679774997894</v>
      </c>
      <c r="AG140" s="77">
        <v>1</v>
      </c>
      <c r="AH140" s="76">
        <v>6</v>
      </c>
      <c r="AI140" s="76">
        <v>1</v>
      </c>
      <c r="AJ140" s="77">
        <v>1</v>
      </c>
      <c r="AK140" s="77">
        <v>4</v>
      </c>
      <c r="AL140" s="76"/>
      <c r="AM140" s="76"/>
      <c r="AN140" s="77"/>
      <c r="AO140" s="77"/>
      <c r="AP140" s="76"/>
      <c r="AQ140" s="76"/>
      <c r="AR140" s="77"/>
      <c r="AS140" s="77"/>
      <c r="AT140" s="78">
        <v>0.375</v>
      </c>
    </row>
    <row r="141" spans="1:46" ht="12.5" x14ac:dyDescent="0.25">
      <c r="A141" s="79">
        <v>44787.398857268519</v>
      </c>
      <c r="B141" s="80" t="s">
        <v>168</v>
      </c>
      <c r="C141" s="80" t="str">
        <f>INDEX(TBL_Name,MATCH(Table2[[#This Row],[Athlete Name]],listNames,0),2)</f>
        <v>Athlete 26</v>
      </c>
      <c r="D141" s="80" t="s">
        <v>130</v>
      </c>
      <c r="E141" s="80">
        <v>8</v>
      </c>
      <c r="F141" s="80">
        <v>7</v>
      </c>
      <c r="G141" s="80">
        <v>8</v>
      </c>
      <c r="H141" s="80" t="s">
        <v>326</v>
      </c>
      <c r="I141" s="80">
        <v>4</v>
      </c>
      <c r="J141" s="80"/>
      <c r="K141" s="80"/>
      <c r="L141" s="80"/>
      <c r="M141" s="1" t="s">
        <v>348</v>
      </c>
      <c r="N141" s="1">
        <v>34</v>
      </c>
      <c r="O141" s="1">
        <v>2</v>
      </c>
      <c r="P141" s="13">
        <v>44787</v>
      </c>
      <c r="Q141" s="1" t="s">
        <v>133</v>
      </c>
      <c r="R141" s="1" t="s">
        <v>64</v>
      </c>
      <c r="S141" s="1">
        <v>1</v>
      </c>
      <c r="T141" s="1"/>
      <c r="U141" s="1" t="s">
        <v>5</v>
      </c>
      <c r="V141" s="76">
        <v>7.8571428571428568</v>
      </c>
      <c r="W141" s="76">
        <v>0.63887656499993994</v>
      </c>
      <c r="X141" s="77">
        <v>0.22360679774997955</v>
      </c>
      <c r="Y141" s="77">
        <v>3</v>
      </c>
      <c r="Z141" s="76">
        <v>7</v>
      </c>
      <c r="AA141" s="76">
        <v>1.0690449676496976</v>
      </c>
      <c r="AB141" s="77">
        <v>0</v>
      </c>
      <c r="AC141" s="77">
        <v>3</v>
      </c>
      <c r="AD141" s="76">
        <v>7.7142857142857144</v>
      </c>
      <c r="AE141" s="76">
        <v>0.45175395145262559</v>
      </c>
      <c r="AF141" s="77">
        <v>0.63245553203367566</v>
      </c>
      <c r="AG141" s="77">
        <v>3</v>
      </c>
      <c r="AH141" s="76">
        <v>5.4285714285714288</v>
      </c>
      <c r="AI141" s="76">
        <v>1.0497813183356479</v>
      </c>
      <c r="AJ141" s="77">
        <v>-1.3608276348795434</v>
      </c>
      <c r="AK141" s="77">
        <v>1</v>
      </c>
      <c r="AL141" s="76"/>
      <c r="AM141" s="76"/>
      <c r="AN141" s="77"/>
      <c r="AO141" s="77"/>
      <c r="AP141" s="76"/>
      <c r="AQ141" s="76"/>
      <c r="AR141" s="77"/>
      <c r="AS141" s="77"/>
      <c r="AT141" s="78">
        <v>0.5</v>
      </c>
    </row>
    <row r="142" spans="1:46" ht="12.5" x14ac:dyDescent="0.25">
      <c r="A142" s="79">
        <v>44787.422057754629</v>
      </c>
      <c r="B142" s="80" t="s">
        <v>19</v>
      </c>
      <c r="C142" s="80" t="str">
        <f>INDEX(TBL_Name,MATCH(Table2[[#This Row],[Athlete Name]],listNames,0),2)</f>
        <v>Athlete 11</v>
      </c>
      <c r="D142" s="80" t="s">
        <v>130</v>
      </c>
      <c r="E142" s="80">
        <v>5</v>
      </c>
      <c r="F142" s="80">
        <v>5</v>
      </c>
      <c r="G142" s="80">
        <v>5</v>
      </c>
      <c r="H142" s="80" t="s">
        <v>349</v>
      </c>
      <c r="I142" s="80">
        <v>4</v>
      </c>
      <c r="J142" s="80"/>
      <c r="K142" s="80"/>
      <c r="L142" s="80"/>
      <c r="M142" s="1" t="s">
        <v>350</v>
      </c>
      <c r="N142" s="1">
        <v>34</v>
      </c>
      <c r="O142" s="1">
        <v>2</v>
      </c>
      <c r="P142" s="13">
        <v>44787</v>
      </c>
      <c r="Q142" s="1" t="s">
        <v>133</v>
      </c>
      <c r="R142" s="1" t="s">
        <v>64</v>
      </c>
      <c r="S142" s="1">
        <v>1</v>
      </c>
      <c r="T142" s="1"/>
      <c r="U142" s="1" t="s">
        <v>18</v>
      </c>
      <c r="V142" s="76">
        <v>5</v>
      </c>
      <c r="W142" s="76">
        <v>0.70710678118654757</v>
      </c>
      <c r="X142" s="77">
        <v>0</v>
      </c>
      <c r="Y142" s="77">
        <v>3</v>
      </c>
      <c r="Z142" s="76">
        <v>6.5</v>
      </c>
      <c r="AA142" s="76">
        <v>0.8660254037844386</v>
      </c>
      <c r="AB142" s="77">
        <v>-1.7320508075688774</v>
      </c>
      <c r="AC142" s="77">
        <v>1</v>
      </c>
      <c r="AD142" s="76">
        <v>6.5</v>
      </c>
      <c r="AE142" s="76">
        <v>0.8660254037844386</v>
      </c>
      <c r="AF142" s="77">
        <v>-1.7320508075688774</v>
      </c>
      <c r="AG142" s="77">
        <v>1</v>
      </c>
      <c r="AH142" s="76">
        <v>4</v>
      </c>
      <c r="AI142" s="76">
        <v>1.2247448713915889</v>
      </c>
      <c r="AJ142" s="77">
        <v>0</v>
      </c>
      <c r="AK142" s="77">
        <v>3</v>
      </c>
      <c r="AL142" s="76"/>
      <c r="AM142" s="76"/>
      <c r="AN142" s="77"/>
      <c r="AO142" s="77"/>
      <c r="AP142" s="76"/>
      <c r="AQ142" s="76"/>
      <c r="AR142" s="77"/>
      <c r="AS142" s="77"/>
      <c r="AT142" s="78">
        <v>0.625</v>
      </c>
    </row>
    <row r="143" spans="1:46" ht="12.5" x14ac:dyDescent="0.25">
      <c r="A143" s="79">
        <v>44788.260299363421</v>
      </c>
      <c r="B143" s="80" t="s">
        <v>6</v>
      </c>
      <c r="C143" s="80" t="str">
        <f>INDEX(TBL_Name,MATCH(Table2[[#This Row],[Athlete Name]],listNames,0),2)</f>
        <v>Athlete 2</v>
      </c>
      <c r="D143" s="80" t="s">
        <v>130</v>
      </c>
      <c r="E143" s="80">
        <v>10</v>
      </c>
      <c r="F143" s="80">
        <v>7</v>
      </c>
      <c r="G143" s="80">
        <v>7</v>
      </c>
      <c r="H143" s="80" t="s">
        <v>231</v>
      </c>
      <c r="I143" s="80">
        <v>6</v>
      </c>
      <c r="J143" s="80"/>
      <c r="K143" s="80"/>
      <c r="L143" s="80"/>
      <c r="M143" s="1" t="s">
        <v>351</v>
      </c>
      <c r="N143" s="1">
        <v>34</v>
      </c>
      <c r="O143" s="1">
        <v>2</v>
      </c>
      <c r="P143" s="13">
        <v>44788</v>
      </c>
      <c r="Q143" s="1" t="s">
        <v>133</v>
      </c>
      <c r="R143" s="1" t="s">
        <v>64</v>
      </c>
      <c r="S143" s="1">
        <v>1</v>
      </c>
      <c r="T143" s="1"/>
      <c r="U143" s="1" t="s">
        <v>5</v>
      </c>
      <c r="V143" s="76">
        <v>9.8571428571428577</v>
      </c>
      <c r="W143" s="76">
        <v>0.34992710611188255</v>
      </c>
      <c r="X143" s="77">
        <v>0.40824829046386163</v>
      </c>
      <c r="Y143" s="77">
        <v>3</v>
      </c>
      <c r="Z143" s="76">
        <v>7.1428571428571432</v>
      </c>
      <c r="AA143" s="76">
        <v>0.9897433186107869</v>
      </c>
      <c r="AB143" s="77">
        <v>-0.14433756729740685</v>
      </c>
      <c r="AC143" s="77">
        <v>2</v>
      </c>
      <c r="AD143" s="76">
        <v>7.7142857142857144</v>
      </c>
      <c r="AE143" s="76">
        <v>0.88063057185271099</v>
      </c>
      <c r="AF143" s="77">
        <v>-0.81110710565381272</v>
      </c>
      <c r="AG143" s="77">
        <v>2</v>
      </c>
      <c r="AH143" s="76">
        <v>5.2857142857142856</v>
      </c>
      <c r="AI143" s="76">
        <v>0.6998542122237652</v>
      </c>
      <c r="AJ143" s="77">
        <v>1.0206207261596576</v>
      </c>
      <c r="AK143" s="77">
        <v>4</v>
      </c>
      <c r="AL143" s="76"/>
      <c r="AM143" s="76"/>
      <c r="AN143" s="77"/>
      <c r="AO143" s="77"/>
      <c r="AP143" s="76"/>
      <c r="AQ143" s="76"/>
      <c r="AR143" s="77"/>
      <c r="AS143" s="77"/>
      <c r="AT143" s="78">
        <v>0.375</v>
      </c>
    </row>
    <row r="144" spans="1:46" ht="12.5" x14ac:dyDescent="0.25">
      <c r="A144" s="79">
        <v>44788.260905208328</v>
      </c>
      <c r="B144" s="80" t="s">
        <v>185</v>
      </c>
      <c r="C144" s="80" t="str">
        <f>INDEX(TBL_Name,MATCH(Table2[[#This Row],[Athlete Name]],listNames,0),2)</f>
        <v>Athlete 30</v>
      </c>
      <c r="D144" s="80" t="s">
        <v>130</v>
      </c>
      <c r="E144" s="80">
        <v>9</v>
      </c>
      <c r="F144" s="80">
        <v>5</v>
      </c>
      <c r="G144" s="80">
        <v>7</v>
      </c>
      <c r="H144" s="80" t="s">
        <v>262</v>
      </c>
      <c r="I144" s="80">
        <v>4</v>
      </c>
      <c r="J144" s="80"/>
      <c r="K144" s="80"/>
      <c r="L144" s="80"/>
      <c r="M144" s="1" t="s">
        <v>352</v>
      </c>
      <c r="N144" s="1">
        <v>34</v>
      </c>
      <c r="O144" s="1">
        <v>2</v>
      </c>
      <c r="P144" s="13">
        <v>44788</v>
      </c>
      <c r="Q144" s="1" t="s">
        <v>133</v>
      </c>
      <c r="R144" s="1" t="s">
        <v>64</v>
      </c>
      <c r="S144" s="1">
        <v>1</v>
      </c>
      <c r="T144" s="1"/>
      <c r="U144" s="1" t="s">
        <v>26</v>
      </c>
      <c r="V144" s="76">
        <v>8.8571428571428577</v>
      </c>
      <c r="W144" s="76">
        <v>0.98974331861078713</v>
      </c>
      <c r="X144" s="77">
        <v>0.14433756729740591</v>
      </c>
      <c r="Y144" s="77">
        <v>3</v>
      </c>
      <c r="Z144" s="76">
        <v>5.8571428571428568</v>
      </c>
      <c r="AA144" s="76">
        <v>1.3552618543578769</v>
      </c>
      <c r="AB144" s="77">
        <v>-0.63245553203367555</v>
      </c>
      <c r="AC144" s="77">
        <v>2</v>
      </c>
      <c r="AD144" s="76">
        <v>6.7142857142857144</v>
      </c>
      <c r="AE144" s="76">
        <v>1.2777531299998797</v>
      </c>
      <c r="AF144" s="77">
        <v>0.22360679774997891</v>
      </c>
      <c r="AG144" s="77">
        <v>3</v>
      </c>
      <c r="AH144" s="76">
        <v>4.1428571428571432</v>
      </c>
      <c r="AI144" s="76">
        <v>0.98974331861078724</v>
      </c>
      <c r="AJ144" s="77">
        <v>-0.14433756729740679</v>
      </c>
      <c r="AK144" s="77">
        <v>2</v>
      </c>
      <c r="AL144" s="76"/>
      <c r="AM144" s="76"/>
      <c r="AN144" s="77"/>
      <c r="AO144" s="77"/>
      <c r="AP144" s="76"/>
      <c r="AQ144" s="76"/>
      <c r="AR144" s="77"/>
      <c r="AS144" s="77"/>
      <c r="AT144" s="78">
        <v>0.375</v>
      </c>
    </row>
    <row r="145" spans="1:46" ht="12.5" x14ac:dyDescent="0.25">
      <c r="A145" s="79">
        <v>44788.271819398149</v>
      </c>
      <c r="B145" s="80" t="s">
        <v>10</v>
      </c>
      <c r="C145" s="80" t="str">
        <f>INDEX(TBL_Name,MATCH(Table2[[#This Row],[Athlete Name]],listNames,0),2)</f>
        <v>Athlete 5</v>
      </c>
      <c r="D145" s="80" t="s">
        <v>130</v>
      </c>
      <c r="E145" s="80">
        <v>8</v>
      </c>
      <c r="F145" s="80">
        <v>8</v>
      </c>
      <c r="G145" s="80">
        <v>8</v>
      </c>
      <c r="H145" s="80" t="s">
        <v>193</v>
      </c>
      <c r="I145" s="80">
        <v>7</v>
      </c>
      <c r="J145" s="80"/>
      <c r="K145" s="80"/>
      <c r="L145" s="80"/>
      <c r="M145" s="1" t="s">
        <v>353</v>
      </c>
      <c r="N145" s="1">
        <v>34</v>
      </c>
      <c r="O145" s="1">
        <v>2</v>
      </c>
      <c r="P145" s="13">
        <v>44788</v>
      </c>
      <c r="Q145" s="1" t="s">
        <v>133</v>
      </c>
      <c r="R145" s="1" t="s">
        <v>64</v>
      </c>
      <c r="S145" s="1">
        <v>1</v>
      </c>
      <c r="T145" s="1"/>
      <c r="U145" s="1" t="s">
        <v>11</v>
      </c>
      <c r="V145" s="76">
        <v>6.4285714285714288</v>
      </c>
      <c r="W145" s="76">
        <v>2.1285234893930487</v>
      </c>
      <c r="X145" s="77">
        <v>0.7382716607354266</v>
      </c>
      <c r="Y145" s="77">
        <v>3</v>
      </c>
      <c r="Z145" s="76">
        <v>8.5714285714285712</v>
      </c>
      <c r="AA145" s="76">
        <v>0.72843135908468382</v>
      </c>
      <c r="AB145" s="77">
        <v>-0.78446454055273551</v>
      </c>
      <c r="AC145" s="77">
        <v>2</v>
      </c>
      <c r="AD145" s="76">
        <v>8.5</v>
      </c>
      <c r="AE145" s="76">
        <v>0.8017837257372733</v>
      </c>
      <c r="AF145" s="77">
        <v>-0.62360956446232341</v>
      </c>
      <c r="AG145" s="77">
        <v>2</v>
      </c>
      <c r="AH145" s="76">
        <v>6.4285714285714288</v>
      </c>
      <c r="AI145" s="76">
        <v>1.0497813183356477</v>
      </c>
      <c r="AJ145" s="77">
        <v>0.54433105395181713</v>
      </c>
      <c r="AK145" s="77">
        <v>3</v>
      </c>
      <c r="AL145" s="76"/>
      <c r="AM145" s="76"/>
      <c r="AN145" s="77"/>
      <c r="AO145" s="77"/>
      <c r="AP145" s="76"/>
      <c r="AQ145" s="76"/>
      <c r="AR145" s="77"/>
      <c r="AS145" s="77"/>
      <c r="AT145" s="78">
        <v>0.75</v>
      </c>
    </row>
    <row r="146" spans="1:46" ht="12.5" x14ac:dyDescent="0.25">
      <c r="A146" s="79">
        <v>44788.272072199077</v>
      </c>
      <c r="B146" s="80" t="s">
        <v>180</v>
      </c>
      <c r="C146" s="80" t="str">
        <f>INDEX(TBL_Name,MATCH(Table2[[#This Row],[Athlete Name]],listNames,0),2)</f>
        <v>Athlete 29</v>
      </c>
      <c r="D146" s="80" t="s">
        <v>143</v>
      </c>
      <c r="E146" s="80">
        <v>5</v>
      </c>
      <c r="F146" s="80">
        <v>5</v>
      </c>
      <c r="G146" s="80">
        <v>6</v>
      </c>
      <c r="H146" s="80" t="s">
        <v>354</v>
      </c>
      <c r="I146" s="80">
        <v>7</v>
      </c>
      <c r="J146" s="80"/>
      <c r="K146" s="80"/>
      <c r="L146" s="80"/>
      <c r="M146" s="1" t="s">
        <v>355</v>
      </c>
      <c r="N146" s="1">
        <v>34</v>
      </c>
      <c r="O146" s="1">
        <v>2</v>
      </c>
      <c r="P146" s="13">
        <v>44788</v>
      </c>
      <c r="Q146" s="1" t="s">
        <v>133</v>
      </c>
      <c r="R146" s="1" t="s">
        <v>64</v>
      </c>
      <c r="S146" s="1">
        <v>2</v>
      </c>
      <c r="T146" s="1"/>
      <c r="U146" s="1" t="s">
        <v>5</v>
      </c>
      <c r="V146" s="76">
        <v>7.75</v>
      </c>
      <c r="W146" s="76">
        <v>1.6393596310755001</v>
      </c>
      <c r="X146" s="77">
        <v>-1.6774842736586515</v>
      </c>
      <c r="Y146" s="77">
        <v>1</v>
      </c>
      <c r="Z146" s="76">
        <v>6</v>
      </c>
      <c r="AA146" s="76">
        <v>1.2247448713915889</v>
      </c>
      <c r="AB146" s="77">
        <v>-0.81649658092772615</v>
      </c>
      <c r="AC146" s="77">
        <v>2</v>
      </c>
      <c r="AD146" s="76">
        <v>6.75</v>
      </c>
      <c r="AE146" s="76">
        <v>0.82915619758884995</v>
      </c>
      <c r="AF146" s="77">
        <v>-0.90453403373329089</v>
      </c>
      <c r="AG146" s="77">
        <v>2</v>
      </c>
      <c r="AH146" s="76">
        <v>5.5</v>
      </c>
      <c r="AI146" s="76">
        <v>1.1180339887498949</v>
      </c>
      <c r="AJ146" s="77">
        <v>1.3416407864998738</v>
      </c>
      <c r="AK146" s="77">
        <v>4</v>
      </c>
      <c r="AL146" s="76"/>
      <c r="AM146" s="76"/>
      <c r="AN146" s="77"/>
      <c r="AO146" s="77"/>
      <c r="AP146" s="76"/>
      <c r="AQ146" s="76"/>
      <c r="AR146" s="77"/>
      <c r="AS146" s="77"/>
      <c r="AT146" s="78">
        <v>0.3125</v>
      </c>
    </row>
    <row r="147" spans="1:46" ht="12.5" x14ac:dyDescent="0.25">
      <c r="A147" s="79">
        <v>44788.272214976852</v>
      </c>
      <c r="B147" s="80" t="s">
        <v>17</v>
      </c>
      <c r="C147" s="80" t="str">
        <f>INDEX(TBL_Name,MATCH(Table2[[#This Row],[Athlete Name]],listNames,0),2)</f>
        <v>Athlete 10</v>
      </c>
      <c r="D147" s="80" t="s">
        <v>143</v>
      </c>
      <c r="E147" s="80">
        <v>9</v>
      </c>
      <c r="F147" s="80">
        <v>7</v>
      </c>
      <c r="G147" s="80">
        <v>8</v>
      </c>
      <c r="H147" s="80" t="s">
        <v>226</v>
      </c>
      <c r="I147" s="80">
        <v>7</v>
      </c>
      <c r="J147" s="80"/>
      <c r="K147" s="80"/>
      <c r="L147" s="80"/>
      <c r="M147" s="1" t="s">
        <v>356</v>
      </c>
      <c r="N147" s="1">
        <v>34</v>
      </c>
      <c r="O147" s="1">
        <v>2</v>
      </c>
      <c r="P147" s="13">
        <v>44788</v>
      </c>
      <c r="Q147" s="1" t="s">
        <v>133</v>
      </c>
      <c r="R147" s="1" t="s">
        <v>64</v>
      </c>
      <c r="S147" s="1">
        <v>2</v>
      </c>
      <c r="T147" s="1"/>
      <c r="U147" s="1" t="s">
        <v>18</v>
      </c>
      <c r="V147" s="76">
        <v>9.4</v>
      </c>
      <c r="W147" s="76">
        <v>0.48989794855663565</v>
      </c>
      <c r="X147" s="77">
        <v>-0.8164965809277267</v>
      </c>
      <c r="Y147" s="77">
        <v>2</v>
      </c>
      <c r="Z147" s="76">
        <v>8</v>
      </c>
      <c r="AA147" s="76">
        <v>1.4142135623730951</v>
      </c>
      <c r="AB147" s="77">
        <v>-0.70710678118654746</v>
      </c>
      <c r="AC147" s="77">
        <v>2</v>
      </c>
      <c r="AD147" s="76">
        <v>8.1999999999999993</v>
      </c>
      <c r="AE147" s="76">
        <v>1.16619037896906</v>
      </c>
      <c r="AF147" s="77">
        <v>-0.17149858514250824</v>
      </c>
      <c r="AG147" s="77">
        <v>2</v>
      </c>
      <c r="AH147" s="76">
        <v>7</v>
      </c>
      <c r="AI147" s="76">
        <v>0.63245553203367577</v>
      </c>
      <c r="AJ147" s="77">
        <v>0</v>
      </c>
      <c r="AK147" s="77">
        <v>3</v>
      </c>
      <c r="AL147" s="76"/>
      <c r="AM147" s="76"/>
      <c r="AN147" s="77"/>
      <c r="AO147" s="77"/>
      <c r="AP147" s="76"/>
      <c r="AQ147" s="76"/>
      <c r="AR147" s="77"/>
      <c r="AS147" s="77"/>
      <c r="AT147" s="78">
        <v>0.3125</v>
      </c>
    </row>
    <row r="148" spans="1:46" ht="12.5" x14ac:dyDescent="0.25">
      <c r="A148" s="79">
        <v>44788.275760462959</v>
      </c>
      <c r="B148" s="80" t="s">
        <v>196</v>
      </c>
      <c r="C148" s="80" t="str">
        <f>INDEX(TBL_Name,MATCH(Table2[[#This Row],[Athlete Name]],listNames,0),2)</f>
        <v>Athlete 31</v>
      </c>
      <c r="D148" s="80" t="s">
        <v>130</v>
      </c>
      <c r="E148" s="80">
        <v>6</v>
      </c>
      <c r="F148" s="80">
        <v>8</v>
      </c>
      <c r="G148" s="80">
        <v>8</v>
      </c>
      <c r="H148" s="80" t="s">
        <v>197</v>
      </c>
      <c r="I148" s="80">
        <v>8</v>
      </c>
      <c r="J148" s="80"/>
      <c r="K148" s="80"/>
      <c r="L148" s="80"/>
      <c r="M148" s="1" t="s">
        <v>357</v>
      </c>
      <c r="N148" s="1">
        <v>34</v>
      </c>
      <c r="O148" s="1">
        <v>2</v>
      </c>
      <c r="P148" s="13">
        <v>44788</v>
      </c>
      <c r="Q148" s="1" t="s">
        <v>133</v>
      </c>
      <c r="R148" s="1" t="s">
        <v>64</v>
      </c>
      <c r="S148" s="1">
        <v>1</v>
      </c>
      <c r="T148" s="1"/>
      <c r="U148" s="1" t="s">
        <v>28</v>
      </c>
      <c r="V148" s="76">
        <v>6</v>
      </c>
      <c r="W148" s="76">
        <v>0.53452248382484879</v>
      </c>
      <c r="X148" s="77">
        <v>0</v>
      </c>
      <c r="Y148" s="77">
        <v>3</v>
      </c>
      <c r="Z148" s="76">
        <v>7.5714285714285712</v>
      </c>
      <c r="AA148" s="76">
        <v>0.90350790290525129</v>
      </c>
      <c r="AB148" s="77">
        <v>0.47434164902525716</v>
      </c>
      <c r="AC148" s="77">
        <v>3</v>
      </c>
      <c r="AD148" s="76">
        <v>7.5</v>
      </c>
      <c r="AE148" s="76">
        <v>0.70710678118654757</v>
      </c>
      <c r="AF148" s="77">
        <v>0.70710678118654746</v>
      </c>
      <c r="AG148" s="77">
        <v>3</v>
      </c>
      <c r="AH148" s="76">
        <v>6.7142857142857144</v>
      </c>
      <c r="AI148" s="76">
        <v>1.0301575072754257</v>
      </c>
      <c r="AJ148" s="77">
        <v>1.2480754415067652</v>
      </c>
      <c r="AK148" s="77">
        <v>4</v>
      </c>
      <c r="AL148" s="76"/>
      <c r="AM148" s="76"/>
      <c r="AN148" s="77"/>
      <c r="AO148" s="77"/>
      <c r="AP148" s="76"/>
      <c r="AQ148" s="76"/>
      <c r="AR148" s="77"/>
      <c r="AS148" s="77"/>
      <c r="AT148" s="78">
        <v>0.9375</v>
      </c>
    </row>
    <row r="149" spans="1:46" ht="12.5" x14ac:dyDescent="0.25">
      <c r="A149" s="79">
        <v>44788.27643859954</v>
      </c>
      <c r="B149" s="80" t="s">
        <v>129</v>
      </c>
      <c r="C149" s="80" t="str">
        <f>INDEX(TBL_Name,MATCH(Table2[[#This Row],[Athlete Name]],listNames,0),2)</f>
        <v>Athlete 19</v>
      </c>
      <c r="D149" s="80" t="s">
        <v>130</v>
      </c>
      <c r="E149" s="80">
        <v>6</v>
      </c>
      <c r="F149" s="80">
        <v>7</v>
      </c>
      <c r="G149" s="80">
        <v>8</v>
      </c>
      <c r="H149" s="80" t="s">
        <v>280</v>
      </c>
      <c r="I149" s="80">
        <v>4</v>
      </c>
      <c r="J149" s="80"/>
      <c r="K149" s="80"/>
      <c r="L149" s="80"/>
      <c r="M149" s="1" t="s">
        <v>358</v>
      </c>
      <c r="N149" s="1">
        <v>34</v>
      </c>
      <c r="O149" s="1">
        <v>2</v>
      </c>
      <c r="P149" s="13">
        <v>44788</v>
      </c>
      <c r="Q149" s="1" t="s">
        <v>133</v>
      </c>
      <c r="R149" s="1" t="s">
        <v>64</v>
      </c>
      <c r="S149" s="1">
        <v>1</v>
      </c>
      <c r="T149" s="1"/>
      <c r="U149" s="1" t="s">
        <v>18</v>
      </c>
      <c r="V149" s="76">
        <v>6.666666666666667</v>
      </c>
      <c r="W149" s="76">
        <v>0.7453559924999299</v>
      </c>
      <c r="X149" s="77">
        <v>-0.8944271909999163</v>
      </c>
      <c r="Y149" s="77">
        <v>2</v>
      </c>
      <c r="Z149" s="76">
        <v>7</v>
      </c>
      <c r="AA149" s="76">
        <v>0.57735026918962573</v>
      </c>
      <c r="AB149" s="77">
        <v>0</v>
      </c>
      <c r="AC149" s="77">
        <v>3</v>
      </c>
      <c r="AD149" s="76">
        <v>7.666666666666667</v>
      </c>
      <c r="AE149" s="76">
        <v>0.47140452079103179</v>
      </c>
      <c r="AF149" s="77">
        <v>0.70710678118654668</v>
      </c>
      <c r="AG149" s="77">
        <v>3</v>
      </c>
      <c r="AH149" s="76">
        <v>4.5</v>
      </c>
      <c r="AI149" s="76">
        <v>1.2583057392117916</v>
      </c>
      <c r="AJ149" s="77">
        <v>-0.39735970711951318</v>
      </c>
      <c r="AK149" s="77">
        <v>2</v>
      </c>
      <c r="AL149" s="76"/>
      <c r="AM149" s="76"/>
      <c r="AN149" s="77"/>
      <c r="AO149" s="77"/>
      <c r="AP149" s="76"/>
      <c r="AQ149" s="76"/>
      <c r="AR149" s="77"/>
      <c r="AS149" s="77"/>
      <c r="AT149" s="78">
        <v>0.625</v>
      </c>
    </row>
    <row r="150" spans="1:46" ht="12.5" x14ac:dyDescent="0.25">
      <c r="A150" s="79">
        <v>44788.276811145828</v>
      </c>
      <c r="B150" s="80" t="s">
        <v>15</v>
      </c>
      <c r="C150" s="80" t="str">
        <f>INDEX(TBL_Name,MATCH(Table2[[#This Row],[Athlete Name]],listNames,0),2)</f>
        <v>Athlete 8</v>
      </c>
      <c r="D150" s="80" t="s">
        <v>130</v>
      </c>
      <c r="E150" s="80">
        <v>10</v>
      </c>
      <c r="F150" s="80">
        <v>10</v>
      </c>
      <c r="G150" s="80">
        <v>9</v>
      </c>
      <c r="H150" s="80" t="s">
        <v>71</v>
      </c>
      <c r="I150" s="80">
        <v>3</v>
      </c>
      <c r="J150" s="80"/>
      <c r="K150" s="80"/>
      <c r="L150" s="80"/>
      <c r="M150" s="1" t="s">
        <v>359</v>
      </c>
      <c r="N150" s="1">
        <v>34</v>
      </c>
      <c r="O150" s="1">
        <v>2</v>
      </c>
      <c r="P150" s="13">
        <v>44788</v>
      </c>
      <c r="Q150" s="1" t="s">
        <v>133</v>
      </c>
      <c r="R150" s="1" t="s">
        <v>64</v>
      </c>
      <c r="S150" s="1">
        <v>1</v>
      </c>
      <c r="T150" s="1"/>
      <c r="U150" s="1" t="s">
        <v>14</v>
      </c>
      <c r="V150" s="76">
        <v>10</v>
      </c>
      <c r="W150" s="76">
        <v>0</v>
      </c>
      <c r="X150" s="77">
        <v>0</v>
      </c>
      <c r="Y150" s="77">
        <v>3</v>
      </c>
      <c r="Z150" s="76">
        <v>8.5</v>
      </c>
      <c r="AA150" s="76">
        <v>2.0615528128088303</v>
      </c>
      <c r="AB150" s="77">
        <v>0.72760687510899891</v>
      </c>
      <c r="AC150" s="77">
        <v>3</v>
      </c>
      <c r="AD150" s="76">
        <v>8.8333333333333339</v>
      </c>
      <c r="AE150" s="76">
        <v>0.89752746785575088</v>
      </c>
      <c r="AF150" s="77">
        <v>0.18569533817705117</v>
      </c>
      <c r="AG150" s="77">
        <v>3</v>
      </c>
      <c r="AH150" s="76">
        <v>3.8333333333333335</v>
      </c>
      <c r="AI150" s="76">
        <v>0.89752746785575077</v>
      </c>
      <c r="AJ150" s="77">
        <v>-0.92847669088525941</v>
      </c>
      <c r="AK150" s="77">
        <v>2</v>
      </c>
      <c r="AL150" s="76"/>
      <c r="AM150" s="76"/>
      <c r="AN150" s="77"/>
      <c r="AO150" s="77"/>
      <c r="AP150" s="76"/>
      <c r="AQ150" s="76"/>
      <c r="AR150" s="77"/>
      <c r="AS150" s="77"/>
      <c r="AT150" s="78">
        <v>0.75</v>
      </c>
    </row>
    <row r="151" spans="1:46" ht="12.5" x14ac:dyDescent="0.25">
      <c r="A151" s="79">
        <v>44788.277386805552</v>
      </c>
      <c r="B151" s="80" t="s">
        <v>13</v>
      </c>
      <c r="C151" s="80" t="str">
        <f>INDEX(TBL_Name,MATCH(Table2[[#This Row],[Athlete Name]],listNames,0),2)</f>
        <v>Athlete 7</v>
      </c>
      <c r="D151" s="80" t="s">
        <v>130</v>
      </c>
      <c r="E151" s="80">
        <v>5</v>
      </c>
      <c r="F151" s="80">
        <v>6</v>
      </c>
      <c r="G151" s="80">
        <v>9</v>
      </c>
      <c r="H151" s="80" t="s">
        <v>188</v>
      </c>
      <c r="I151" s="80">
        <v>6</v>
      </c>
      <c r="J151" s="80"/>
      <c r="K151" s="80"/>
      <c r="L151" s="80"/>
      <c r="M151" s="1" t="s">
        <v>360</v>
      </c>
      <c r="N151" s="1">
        <v>34</v>
      </c>
      <c r="O151" s="1">
        <v>2</v>
      </c>
      <c r="P151" s="13">
        <v>44788</v>
      </c>
      <c r="Q151" s="1" t="s">
        <v>133</v>
      </c>
      <c r="R151" s="1" t="s">
        <v>64</v>
      </c>
      <c r="S151" s="1">
        <v>1</v>
      </c>
      <c r="T151" s="1"/>
      <c r="U151" s="1" t="s">
        <v>14</v>
      </c>
      <c r="V151" s="76">
        <v>5.6</v>
      </c>
      <c r="W151" s="76">
        <v>2.0591260281974</v>
      </c>
      <c r="X151" s="77">
        <v>-0.29138575870717909</v>
      </c>
      <c r="Y151" s="77">
        <v>2</v>
      </c>
      <c r="Z151" s="76">
        <v>5.8</v>
      </c>
      <c r="AA151" s="76">
        <v>1.6</v>
      </c>
      <c r="AB151" s="77">
        <v>0.12500000000000011</v>
      </c>
      <c r="AC151" s="77">
        <v>3</v>
      </c>
      <c r="AD151" s="76">
        <v>7.8</v>
      </c>
      <c r="AE151" s="76">
        <v>0.74833147735478833</v>
      </c>
      <c r="AF151" s="77">
        <v>1.6035674514745464</v>
      </c>
      <c r="AG151" s="77">
        <v>4</v>
      </c>
      <c r="AH151" s="76">
        <v>4.8</v>
      </c>
      <c r="AI151" s="76">
        <v>1.4696938456699069</v>
      </c>
      <c r="AJ151" s="77">
        <v>0.81649658092772615</v>
      </c>
      <c r="AK151" s="77">
        <v>3</v>
      </c>
      <c r="AL151" s="76"/>
      <c r="AM151" s="76"/>
      <c r="AN151" s="77"/>
      <c r="AO151" s="77"/>
      <c r="AP151" s="76"/>
      <c r="AQ151" s="76"/>
      <c r="AR151" s="77"/>
      <c r="AS151" s="77"/>
      <c r="AT151" s="78">
        <v>0.75</v>
      </c>
    </row>
    <row r="152" spans="1:46" ht="12.5" x14ac:dyDescent="0.25">
      <c r="A152" s="79">
        <v>44788.27785215278</v>
      </c>
      <c r="B152" s="80" t="s">
        <v>171</v>
      </c>
      <c r="C152" s="80" t="str">
        <f>INDEX(TBL_Name,MATCH(Table2[[#This Row],[Athlete Name]],listNames,0),2)</f>
        <v>Athlete 27</v>
      </c>
      <c r="D152" s="80" t="s">
        <v>130</v>
      </c>
      <c r="E152" s="80">
        <v>10</v>
      </c>
      <c r="F152" s="80">
        <v>8</v>
      </c>
      <c r="G152" s="80">
        <v>7</v>
      </c>
      <c r="H152" s="80"/>
      <c r="I152" s="80">
        <v>8</v>
      </c>
      <c r="J152" s="80"/>
      <c r="K152" s="80"/>
      <c r="L152" s="80"/>
      <c r="M152" s="1" t="s">
        <v>361</v>
      </c>
      <c r="N152" s="1">
        <v>34</v>
      </c>
      <c r="O152" s="1">
        <v>2</v>
      </c>
      <c r="P152" s="13">
        <v>44788</v>
      </c>
      <c r="Q152" s="1" t="s">
        <v>133</v>
      </c>
      <c r="R152" s="1" t="s">
        <v>64</v>
      </c>
      <c r="S152" s="1">
        <v>1</v>
      </c>
      <c r="T152" s="1"/>
      <c r="U152" s="1" t="s">
        <v>8</v>
      </c>
      <c r="V152" s="76">
        <v>9.3333333333333339</v>
      </c>
      <c r="W152" s="76">
        <v>1.1055415967851334</v>
      </c>
      <c r="X152" s="77">
        <v>0.60302268915552659</v>
      </c>
      <c r="Y152" s="77">
        <v>3</v>
      </c>
      <c r="Z152" s="76">
        <v>9</v>
      </c>
      <c r="AA152" s="76">
        <v>1.1547005383792515</v>
      </c>
      <c r="AB152" s="77">
        <v>-0.86602540378443871</v>
      </c>
      <c r="AC152" s="77">
        <v>2</v>
      </c>
      <c r="AD152" s="76">
        <v>8.3333333333333339</v>
      </c>
      <c r="AE152" s="76">
        <v>0.94280904158206313</v>
      </c>
      <c r="AF152" s="77">
        <v>-1.414213562373096</v>
      </c>
      <c r="AG152" s="77">
        <v>1</v>
      </c>
      <c r="AH152" s="76">
        <v>6.333333333333333</v>
      </c>
      <c r="AI152" s="76">
        <v>1.247219128924647</v>
      </c>
      <c r="AJ152" s="77">
        <v>1.3363062095621223</v>
      </c>
      <c r="AK152" s="77">
        <v>4</v>
      </c>
      <c r="AL152" s="76"/>
      <c r="AM152" s="76"/>
      <c r="AN152" s="77"/>
      <c r="AO152" s="77"/>
      <c r="AP152" s="76"/>
      <c r="AQ152" s="76"/>
      <c r="AR152" s="77"/>
      <c r="AS152" s="77"/>
      <c r="AT152" s="78">
        <v>0.375</v>
      </c>
    </row>
    <row r="153" spans="1:46" ht="12.5" x14ac:dyDescent="0.25">
      <c r="A153" s="79">
        <v>44788.277952083328</v>
      </c>
      <c r="B153" s="80" t="s">
        <v>168</v>
      </c>
      <c r="C153" s="80" t="str">
        <f>INDEX(TBL_Name,MATCH(Table2[[#This Row],[Athlete Name]],listNames,0),2)</f>
        <v>Athlete 26</v>
      </c>
      <c r="D153" s="80" t="s">
        <v>130</v>
      </c>
      <c r="E153" s="80">
        <v>7</v>
      </c>
      <c r="F153" s="80">
        <v>6</v>
      </c>
      <c r="G153" s="80">
        <v>7</v>
      </c>
      <c r="H153" s="80" t="s">
        <v>362</v>
      </c>
      <c r="I153" s="80">
        <v>5</v>
      </c>
      <c r="J153" s="80"/>
      <c r="K153" s="80"/>
      <c r="L153" s="80"/>
      <c r="M153" s="1" t="s">
        <v>363</v>
      </c>
      <c r="N153" s="1">
        <v>34</v>
      </c>
      <c r="O153" s="1">
        <v>2</v>
      </c>
      <c r="P153" s="13">
        <v>44788</v>
      </c>
      <c r="Q153" s="1" t="s">
        <v>133</v>
      </c>
      <c r="R153" s="1" t="s">
        <v>64</v>
      </c>
      <c r="S153" s="1">
        <v>1</v>
      </c>
      <c r="T153" s="1"/>
      <c r="U153" s="1" t="s">
        <v>5</v>
      </c>
      <c r="V153" s="76">
        <v>7.7142857142857144</v>
      </c>
      <c r="W153" s="76">
        <v>0.6998542122237652</v>
      </c>
      <c r="X153" s="77">
        <v>-1.0206207261596576</v>
      </c>
      <c r="Y153" s="77">
        <v>1</v>
      </c>
      <c r="Z153" s="76">
        <v>6.7142857142857144</v>
      </c>
      <c r="AA153" s="76">
        <v>1.0301575072754257</v>
      </c>
      <c r="AB153" s="77">
        <v>-0.69337524528153638</v>
      </c>
      <c r="AC153" s="77">
        <v>2</v>
      </c>
      <c r="AD153" s="76">
        <v>7.5714285714285712</v>
      </c>
      <c r="AE153" s="76">
        <v>0.49487165930539351</v>
      </c>
      <c r="AF153" s="77">
        <v>-1.154700538379251</v>
      </c>
      <c r="AG153" s="77">
        <v>1</v>
      </c>
      <c r="AH153" s="76">
        <v>5.2857142857142856</v>
      </c>
      <c r="AI153" s="76">
        <v>1.0301575072754254</v>
      </c>
      <c r="AJ153" s="77">
        <v>-0.27735009811261446</v>
      </c>
      <c r="AK153" s="77">
        <v>2</v>
      </c>
      <c r="AL153" s="76"/>
      <c r="AM153" s="76"/>
      <c r="AN153" s="77"/>
      <c r="AO153" s="77"/>
      <c r="AP153" s="76"/>
      <c r="AQ153" s="76"/>
      <c r="AR153" s="77"/>
      <c r="AS153" s="77"/>
      <c r="AT153" s="78">
        <v>0.25</v>
      </c>
    </row>
    <row r="154" spans="1:46" ht="12.5" x14ac:dyDescent="0.25">
      <c r="A154" s="79">
        <v>44788.278243958332</v>
      </c>
      <c r="B154" s="80" t="s">
        <v>21</v>
      </c>
      <c r="C154" s="80" t="str">
        <f>INDEX(TBL_Name,MATCH(Table2[[#This Row],[Athlete Name]],listNames,0),2)</f>
        <v>Athlete 13</v>
      </c>
      <c r="D154" s="80" t="s">
        <v>130</v>
      </c>
      <c r="E154" s="80">
        <v>4</v>
      </c>
      <c r="F154" s="80">
        <v>7</v>
      </c>
      <c r="G154" s="80">
        <v>9</v>
      </c>
      <c r="H154" s="80" t="s">
        <v>364</v>
      </c>
      <c r="I154" s="80">
        <v>5</v>
      </c>
      <c r="J154" s="80"/>
      <c r="K154" s="80"/>
      <c r="L154" s="80"/>
      <c r="M154" s="1" t="s">
        <v>365</v>
      </c>
      <c r="N154" s="1">
        <v>34</v>
      </c>
      <c r="O154" s="1">
        <v>2</v>
      </c>
      <c r="P154" s="13">
        <v>44788</v>
      </c>
      <c r="Q154" s="1" t="s">
        <v>133</v>
      </c>
      <c r="R154" s="1" t="s">
        <v>64</v>
      </c>
      <c r="S154" s="1">
        <v>1</v>
      </c>
      <c r="T154" s="1"/>
      <c r="U154" s="1" t="s">
        <v>18</v>
      </c>
      <c r="V154" s="76">
        <v>5.7142857142857144</v>
      </c>
      <c r="W154" s="76">
        <v>1.3850513878332369</v>
      </c>
      <c r="X154" s="77">
        <v>-1.2377054955105522</v>
      </c>
      <c r="Y154" s="77">
        <v>1</v>
      </c>
      <c r="Z154" s="76">
        <v>7.8571428571428568</v>
      </c>
      <c r="AA154" s="76">
        <v>0.63887656499993983</v>
      </c>
      <c r="AB154" s="77">
        <v>-1.3416407864998734</v>
      </c>
      <c r="AC154" s="77">
        <v>1</v>
      </c>
      <c r="AD154" s="76">
        <v>8.8571428571428577</v>
      </c>
      <c r="AE154" s="76">
        <v>0.63887656499993994</v>
      </c>
      <c r="AF154" s="77">
        <v>0.22360679774997816</v>
      </c>
      <c r="AG154" s="77">
        <v>3</v>
      </c>
      <c r="AH154" s="76">
        <v>4.7142857142857144</v>
      </c>
      <c r="AI154" s="76">
        <v>0.45175395145262554</v>
      </c>
      <c r="AJ154" s="77">
        <v>0.63245553203367566</v>
      </c>
      <c r="AK154" s="77">
        <v>3</v>
      </c>
      <c r="AL154" s="76"/>
      <c r="AM154" s="76"/>
      <c r="AN154" s="77"/>
      <c r="AO154" s="77"/>
      <c r="AP154" s="76"/>
      <c r="AQ154" s="76"/>
      <c r="AR154" s="77"/>
      <c r="AS154" s="77"/>
      <c r="AT154" s="78">
        <v>0.625</v>
      </c>
    </row>
    <row r="155" spans="1:46" ht="12.5" x14ac:dyDescent="0.25">
      <c r="A155" s="79">
        <v>44788.344220127314</v>
      </c>
      <c r="B155" s="80" t="s">
        <v>27</v>
      </c>
      <c r="C155" s="80" t="str">
        <f>INDEX(TBL_Name,MATCH(Table2[[#This Row],[Athlete Name]],listNames,0),2)</f>
        <v>Athlete 17</v>
      </c>
      <c r="D155" s="80" t="s">
        <v>150</v>
      </c>
      <c r="E155" s="80">
        <v>4</v>
      </c>
      <c r="F155" s="80">
        <v>5</v>
      </c>
      <c r="G155" s="80">
        <v>7</v>
      </c>
      <c r="H155" s="80" t="s">
        <v>69</v>
      </c>
      <c r="I155" s="80">
        <v>5</v>
      </c>
      <c r="J155" s="80"/>
      <c r="K155" s="80"/>
      <c r="L155" s="80"/>
      <c r="M155" s="1" t="s">
        <v>366</v>
      </c>
      <c r="N155" s="1">
        <v>34</v>
      </c>
      <c r="O155" s="1">
        <v>2</v>
      </c>
      <c r="P155" s="13">
        <v>44788</v>
      </c>
      <c r="Q155" s="1" t="s">
        <v>133</v>
      </c>
      <c r="R155" s="1" t="s">
        <v>64</v>
      </c>
      <c r="S155" s="1">
        <v>3</v>
      </c>
      <c r="T155" s="1"/>
      <c r="U155" s="1" t="s">
        <v>28</v>
      </c>
      <c r="V155" s="76">
        <v>5.166666666666667</v>
      </c>
      <c r="W155" s="76">
        <v>0.68718427093627688</v>
      </c>
      <c r="X155" s="77">
        <v>-1.6977493752543309</v>
      </c>
      <c r="Y155" s="77">
        <v>1</v>
      </c>
      <c r="Z155" s="76">
        <v>6</v>
      </c>
      <c r="AA155" s="76">
        <v>0.57735026918962573</v>
      </c>
      <c r="AB155" s="77">
        <v>-1.7320508075688774</v>
      </c>
      <c r="AC155" s="77">
        <v>1</v>
      </c>
      <c r="AD155" s="76">
        <v>7.833333333333333</v>
      </c>
      <c r="AE155" s="76">
        <v>0.68718427093627676</v>
      </c>
      <c r="AF155" s="77">
        <v>-1.2126781251816645</v>
      </c>
      <c r="AG155" s="77">
        <v>1</v>
      </c>
      <c r="AH155" s="76">
        <v>5.166666666666667</v>
      </c>
      <c r="AI155" s="76">
        <v>0.68718427093627676</v>
      </c>
      <c r="AJ155" s="77">
        <v>-0.24253562503633341</v>
      </c>
      <c r="AK155" s="77">
        <v>2</v>
      </c>
      <c r="AL155" s="76"/>
      <c r="AM155" s="76"/>
      <c r="AN155" s="77"/>
      <c r="AO155" s="77"/>
      <c r="AP155" s="76"/>
      <c r="AQ155" s="76"/>
      <c r="AR155" s="77"/>
      <c r="AS155" s="77"/>
      <c r="AT155" s="78">
        <v>0.5625</v>
      </c>
    </row>
    <row r="156" spans="1:46" ht="12.5" x14ac:dyDescent="0.25">
      <c r="A156" s="79">
        <v>44788.360656354169</v>
      </c>
      <c r="B156" s="80" t="s">
        <v>225</v>
      </c>
      <c r="C156" s="80" t="str">
        <f>INDEX(TBL_Name,MATCH(Table2[[#This Row],[Athlete Name]],listNames,0),2)</f>
        <v>Athlete 32</v>
      </c>
      <c r="D156" s="80" t="s">
        <v>130</v>
      </c>
      <c r="E156" s="80">
        <v>10</v>
      </c>
      <c r="F156" s="80">
        <v>10</v>
      </c>
      <c r="G156" s="80">
        <v>7</v>
      </c>
      <c r="H156" s="80"/>
      <c r="I156" s="80">
        <v>9</v>
      </c>
      <c r="J156" s="80"/>
      <c r="K156" s="80"/>
      <c r="L156" s="80"/>
      <c r="M156" s="1" t="s">
        <v>367</v>
      </c>
      <c r="N156" s="1">
        <v>34</v>
      </c>
      <c r="O156" s="1">
        <v>2</v>
      </c>
      <c r="P156" s="13">
        <v>44788</v>
      </c>
      <c r="Q156" s="1" t="s">
        <v>133</v>
      </c>
      <c r="R156" s="1" t="s">
        <v>64</v>
      </c>
      <c r="S156" s="1">
        <v>1</v>
      </c>
      <c r="T156" s="1"/>
      <c r="U156" s="1" t="s">
        <v>5</v>
      </c>
      <c r="V156" s="76">
        <v>10</v>
      </c>
      <c r="W156" s="76">
        <v>0</v>
      </c>
      <c r="X156" s="77">
        <v>0</v>
      </c>
      <c r="Y156" s="77">
        <v>3</v>
      </c>
      <c r="Z156" s="76">
        <v>10</v>
      </c>
      <c r="AA156" s="76">
        <v>0</v>
      </c>
      <c r="AB156" s="77">
        <v>0</v>
      </c>
      <c r="AC156" s="77">
        <v>3</v>
      </c>
      <c r="AD156" s="76">
        <v>7.5</v>
      </c>
      <c r="AE156" s="76">
        <v>0.50000000000000011</v>
      </c>
      <c r="AF156" s="77">
        <v>-0.99999999999999978</v>
      </c>
      <c r="AG156" s="77">
        <v>1</v>
      </c>
      <c r="AH156" s="76">
        <v>8.5</v>
      </c>
      <c r="AI156" s="76">
        <v>0.86602540378443849</v>
      </c>
      <c r="AJ156" s="77">
        <v>0.57735026918962584</v>
      </c>
      <c r="AK156" s="77">
        <v>3</v>
      </c>
      <c r="AL156" s="76"/>
      <c r="AM156" s="76"/>
      <c r="AN156" s="77"/>
      <c r="AO156" s="77"/>
      <c r="AP156" s="76"/>
      <c r="AQ156" s="76"/>
      <c r="AR156" s="77"/>
      <c r="AS156" s="77"/>
      <c r="AT156" s="78">
        <v>0.75</v>
      </c>
    </row>
    <row r="157" spans="1:46" ht="12.5" x14ac:dyDescent="0.25">
      <c r="A157" s="79">
        <v>44788.783076250002</v>
      </c>
      <c r="B157" s="80" t="s">
        <v>9</v>
      </c>
      <c r="C157" s="80" t="str">
        <f>INDEX(TBL_Name,MATCH(Table2[[#This Row],[Athlete Name]],listNames,0),2)</f>
        <v>Athlete 4</v>
      </c>
      <c r="D157" s="80" t="s">
        <v>130</v>
      </c>
      <c r="E157" s="80">
        <v>7</v>
      </c>
      <c r="F157" s="80">
        <v>8</v>
      </c>
      <c r="G157" s="80">
        <v>8</v>
      </c>
      <c r="H157" s="80" t="s">
        <v>301</v>
      </c>
      <c r="I157" s="80">
        <v>5</v>
      </c>
      <c r="J157" s="80"/>
      <c r="K157" s="80"/>
      <c r="L157" s="80"/>
      <c r="M157" s="1" t="s">
        <v>368</v>
      </c>
      <c r="N157" s="1">
        <v>34</v>
      </c>
      <c r="O157" s="1">
        <v>2</v>
      </c>
      <c r="P157" s="13">
        <v>44788</v>
      </c>
      <c r="Q157" s="1" t="s">
        <v>133</v>
      </c>
      <c r="R157" s="1" t="s">
        <v>64</v>
      </c>
      <c r="S157" s="1">
        <v>1</v>
      </c>
      <c r="T157" s="1"/>
      <c r="U157" s="1" t="s">
        <v>8</v>
      </c>
      <c r="V157" s="76">
        <v>7.166666666666667</v>
      </c>
      <c r="W157" s="76">
        <v>0.68718427093627665</v>
      </c>
      <c r="X157" s="77">
        <v>-0.24253562503633344</v>
      </c>
      <c r="Y157" s="77">
        <v>2</v>
      </c>
      <c r="Z157" s="76">
        <v>8.3333333333333339</v>
      </c>
      <c r="AA157" s="76">
        <v>0.7453559924999299</v>
      </c>
      <c r="AB157" s="77">
        <v>-0.44721359549995876</v>
      </c>
      <c r="AC157" s="77">
        <v>2</v>
      </c>
      <c r="AD157" s="76">
        <v>8.1666666666666661</v>
      </c>
      <c r="AE157" s="76">
        <v>0.37267799624996484</v>
      </c>
      <c r="AF157" s="77">
        <v>-0.44721359549995648</v>
      </c>
      <c r="AG157" s="77">
        <v>2</v>
      </c>
      <c r="AH157" s="76">
        <v>5.5</v>
      </c>
      <c r="AI157" s="76">
        <v>0.9574271077563381</v>
      </c>
      <c r="AJ157" s="77">
        <v>-0.5222329678670935</v>
      </c>
      <c r="AK157" s="77">
        <v>2</v>
      </c>
      <c r="AL157" s="76"/>
      <c r="AM157" s="76"/>
      <c r="AN157" s="77"/>
      <c r="AO157" s="77"/>
      <c r="AP157" s="76"/>
      <c r="AQ157" s="76"/>
      <c r="AR157" s="77"/>
      <c r="AS157" s="77"/>
      <c r="AT157" s="78">
        <v>0.6875</v>
      </c>
    </row>
    <row r="158" spans="1:46" ht="12.5" x14ac:dyDescent="0.25">
      <c r="A158" s="79">
        <v>44789.260567141202</v>
      </c>
      <c r="B158" s="80" t="s">
        <v>17</v>
      </c>
      <c r="C158" s="80" t="str">
        <f>INDEX(TBL_Name,MATCH(Table2[[#This Row],[Athlete Name]],listNames,0),2)</f>
        <v>Athlete 10</v>
      </c>
      <c r="D158" s="80" t="s">
        <v>143</v>
      </c>
      <c r="E158" s="80">
        <v>9</v>
      </c>
      <c r="F158" s="80">
        <v>6</v>
      </c>
      <c r="G158" s="80">
        <v>9</v>
      </c>
      <c r="H158" s="80" t="s">
        <v>226</v>
      </c>
      <c r="I158" s="80">
        <v>8</v>
      </c>
      <c r="J158" s="80"/>
      <c r="K158" s="80"/>
      <c r="L158" s="80"/>
      <c r="M158" s="1" t="s">
        <v>369</v>
      </c>
      <c r="N158" s="1">
        <v>34</v>
      </c>
      <c r="O158" s="1">
        <v>2</v>
      </c>
      <c r="P158" s="13">
        <v>44789</v>
      </c>
      <c r="Q158" s="1" t="s">
        <v>133</v>
      </c>
      <c r="R158" s="1" t="s">
        <v>64</v>
      </c>
      <c r="S158" s="1">
        <v>2</v>
      </c>
      <c r="T158" s="1"/>
      <c r="U158" s="1" t="s">
        <v>18</v>
      </c>
      <c r="V158" s="76">
        <v>9.3333333333333339</v>
      </c>
      <c r="W158" s="76">
        <v>0.47140452079103179</v>
      </c>
      <c r="X158" s="77">
        <v>-0.70710678118654857</v>
      </c>
      <c r="Y158" s="77">
        <v>2</v>
      </c>
      <c r="Z158" s="76">
        <v>7.666666666666667</v>
      </c>
      <c r="AA158" s="76">
        <v>1.4907119849998598</v>
      </c>
      <c r="AB158" s="77">
        <v>-1.1180339887498951</v>
      </c>
      <c r="AC158" s="77">
        <v>1</v>
      </c>
      <c r="AD158" s="76">
        <v>8.3333333333333339</v>
      </c>
      <c r="AE158" s="76">
        <v>1.1055415967851334</v>
      </c>
      <c r="AF158" s="77">
        <v>0.60302268915552659</v>
      </c>
      <c r="AG158" s="77">
        <v>3</v>
      </c>
      <c r="AH158" s="76">
        <v>7.166666666666667</v>
      </c>
      <c r="AI158" s="76">
        <v>0.68718427093627665</v>
      </c>
      <c r="AJ158" s="77">
        <v>1.2126781251816645</v>
      </c>
      <c r="AK158" s="77">
        <v>4</v>
      </c>
      <c r="AL158" s="76"/>
      <c r="AM158" s="76"/>
      <c r="AN158" s="77"/>
      <c r="AO158" s="77"/>
      <c r="AP158" s="76"/>
      <c r="AQ158" s="76"/>
      <c r="AR158" s="77"/>
      <c r="AS158" s="77"/>
      <c r="AT158" s="78">
        <v>0.375</v>
      </c>
    </row>
    <row r="159" spans="1:46" ht="12.5" x14ac:dyDescent="0.25">
      <c r="A159" s="79">
        <v>44789.266968668977</v>
      </c>
      <c r="B159" s="80" t="s">
        <v>6</v>
      </c>
      <c r="C159" s="80" t="str">
        <f>INDEX(TBL_Name,MATCH(Table2[[#This Row],[Athlete Name]],listNames,0),2)</f>
        <v>Athlete 2</v>
      </c>
      <c r="D159" s="80" t="s">
        <v>130</v>
      </c>
      <c r="E159" s="80">
        <v>10</v>
      </c>
      <c r="F159" s="80">
        <v>7</v>
      </c>
      <c r="G159" s="80">
        <v>7</v>
      </c>
      <c r="H159" s="80" t="s">
        <v>370</v>
      </c>
      <c r="I159" s="80">
        <v>4</v>
      </c>
      <c r="J159" s="80"/>
      <c r="K159" s="80"/>
      <c r="L159" s="80"/>
      <c r="M159" s="1" t="s">
        <v>371</v>
      </c>
      <c r="N159" s="1">
        <v>34</v>
      </c>
      <c r="O159" s="1">
        <v>2</v>
      </c>
      <c r="P159" s="13">
        <v>44789</v>
      </c>
      <c r="Q159" s="1" t="s">
        <v>133</v>
      </c>
      <c r="R159" s="1" t="s">
        <v>64</v>
      </c>
      <c r="S159" s="1">
        <v>1</v>
      </c>
      <c r="T159" s="1"/>
      <c r="U159" s="1" t="s">
        <v>5</v>
      </c>
      <c r="V159" s="76">
        <v>10</v>
      </c>
      <c r="W159" s="76">
        <v>0</v>
      </c>
      <c r="X159" s="77">
        <v>0</v>
      </c>
      <c r="Y159" s="77">
        <v>3</v>
      </c>
      <c r="Z159" s="76">
        <v>7.4285714285714288</v>
      </c>
      <c r="AA159" s="76">
        <v>0.4948716593053934</v>
      </c>
      <c r="AB159" s="77">
        <v>-0.86602540378443937</v>
      </c>
      <c r="AC159" s="77">
        <v>2</v>
      </c>
      <c r="AD159" s="76">
        <v>7.8571428571428568</v>
      </c>
      <c r="AE159" s="76">
        <v>0.6388765649999395</v>
      </c>
      <c r="AF159" s="77">
        <v>-1.3416407864998741</v>
      </c>
      <c r="AG159" s="77">
        <v>1</v>
      </c>
      <c r="AH159" s="76">
        <v>5.1428571428571432</v>
      </c>
      <c r="AI159" s="76">
        <v>0.83299312783504309</v>
      </c>
      <c r="AJ159" s="77">
        <v>-1.3719886811400708</v>
      </c>
      <c r="AK159" s="77">
        <v>1</v>
      </c>
      <c r="AL159" s="76"/>
      <c r="AM159" s="76"/>
      <c r="AN159" s="77"/>
      <c r="AO159" s="77"/>
      <c r="AP159" s="76"/>
      <c r="AQ159" s="76"/>
      <c r="AR159" s="77"/>
      <c r="AS159" s="77"/>
      <c r="AT159" s="78">
        <v>0.75</v>
      </c>
    </row>
    <row r="160" spans="1:46" ht="12.5" x14ac:dyDescent="0.25">
      <c r="A160" s="79">
        <v>44789.271489872684</v>
      </c>
      <c r="B160" s="80" t="s">
        <v>27</v>
      </c>
      <c r="C160" s="80" t="str">
        <f>INDEX(TBL_Name,MATCH(Table2[[#This Row],[Athlete Name]],listNames,0),2)</f>
        <v>Athlete 17</v>
      </c>
      <c r="D160" s="80" t="s">
        <v>150</v>
      </c>
      <c r="E160" s="80">
        <v>5</v>
      </c>
      <c r="F160" s="80">
        <v>5</v>
      </c>
      <c r="G160" s="80">
        <v>7</v>
      </c>
      <c r="H160" s="80" t="s">
        <v>69</v>
      </c>
      <c r="I160" s="80">
        <v>6</v>
      </c>
      <c r="J160" s="80"/>
      <c r="K160" s="80"/>
      <c r="L160" s="80"/>
      <c r="M160" s="1" t="s">
        <v>372</v>
      </c>
      <c r="N160" s="1">
        <v>34</v>
      </c>
      <c r="O160" s="1">
        <v>2</v>
      </c>
      <c r="P160" s="13">
        <v>44789</v>
      </c>
      <c r="Q160" s="1" t="s">
        <v>133</v>
      </c>
      <c r="R160" s="1" t="s">
        <v>64</v>
      </c>
      <c r="S160" s="1">
        <v>3</v>
      </c>
      <c r="T160" s="1"/>
      <c r="U160" s="1" t="s">
        <v>28</v>
      </c>
      <c r="V160" s="76">
        <v>5.1428571428571432</v>
      </c>
      <c r="W160" s="76">
        <v>0.63887656499994006</v>
      </c>
      <c r="X160" s="77">
        <v>-0.22360679774997952</v>
      </c>
      <c r="Y160" s="77">
        <v>2</v>
      </c>
      <c r="Z160" s="76">
        <v>5.8571428571428568</v>
      </c>
      <c r="AA160" s="76">
        <v>0.63887656499993983</v>
      </c>
      <c r="AB160" s="77">
        <v>-1.3416407864998734</v>
      </c>
      <c r="AC160" s="77">
        <v>1</v>
      </c>
      <c r="AD160" s="76">
        <v>7.7142857142857144</v>
      </c>
      <c r="AE160" s="76">
        <v>0.6998542122237652</v>
      </c>
      <c r="AF160" s="77">
        <v>-1.0206207261596576</v>
      </c>
      <c r="AG160" s="77">
        <v>1</v>
      </c>
      <c r="AH160" s="76">
        <v>5.2857142857142856</v>
      </c>
      <c r="AI160" s="76">
        <v>0.69985421222376509</v>
      </c>
      <c r="AJ160" s="77">
        <v>1.0206207261596578</v>
      </c>
      <c r="AK160" s="77">
        <v>4</v>
      </c>
      <c r="AL160" s="76"/>
      <c r="AM160" s="76"/>
      <c r="AN160" s="77"/>
      <c r="AO160" s="77"/>
      <c r="AP160" s="76"/>
      <c r="AQ160" s="76"/>
      <c r="AR160" s="77"/>
      <c r="AS160" s="77"/>
      <c r="AT160" s="78">
        <v>0.75</v>
      </c>
    </row>
    <row r="161" spans="1:46" ht="12.5" x14ac:dyDescent="0.25">
      <c r="A161" s="79">
        <v>44789.27169444444</v>
      </c>
      <c r="B161" s="80" t="s">
        <v>25</v>
      </c>
      <c r="C161" s="80" t="str">
        <f>INDEX(TBL_Name,MATCH(Table2[[#This Row],[Athlete Name]],listNames,0),2)</f>
        <v>Athlete 23</v>
      </c>
      <c r="D161" s="80" t="s">
        <v>143</v>
      </c>
      <c r="E161" s="80">
        <v>9</v>
      </c>
      <c r="F161" s="80">
        <v>9</v>
      </c>
      <c r="G161" s="80">
        <v>9</v>
      </c>
      <c r="H161" s="80"/>
      <c r="I161" s="80">
        <v>8</v>
      </c>
      <c r="J161" s="80"/>
      <c r="K161" s="80"/>
      <c r="L161" s="80"/>
      <c r="M161" s="1" t="s">
        <v>373</v>
      </c>
      <c r="N161" s="1">
        <v>34</v>
      </c>
      <c r="O161" s="1">
        <v>2</v>
      </c>
      <c r="P161" s="13">
        <v>44789</v>
      </c>
      <c r="Q161" s="1" t="s">
        <v>133</v>
      </c>
      <c r="R161" s="1" t="s">
        <v>64</v>
      </c>
      <c r="S161" s="1">
        <v>2</v>
      </c>
      <c r="T161" s="1"/>
      <c r="U161" s="1" t="s">
        <v>26</v>
      </c>
      <c r="V161" s="76">
        <v>7.6</v>
      </c>
      <c r="W161" s="76">
        <v>2.8000000000000003</v>
      </c>
      <c r="X161" s="77">
        <v>0.50000000000000011</v>
      </c>
      <c r="Y161" s="77">
        <v>3</v>
      </c>
      <c r="Z161" s="76">
        <v>8.1999999999999993</v>
      </c>
      <c r="AA161" s="76">
        <v>0.40000000000000019</v>
      </c>
      <c r="AB161" s="77">
        <v>2.0000000000000009</v>
      </c>
      <c r="AC161" s="77">
        <v>4</v>
      </c>
      <c r="AD161" s="76">
        <v>9</v>
      </c>
      <c r="AE161" s="76">
        <v>0.63245553203367599</v>
      </c>
      <c r="AF161" s="77">
        <v>0</v>
      </c>
      <c r="AG161" s="77">
        <v>3</v>
      </c>
      <c r="AH161" s="76">
        <v>7.2</v>
      </c>
      <c r="AI161" s="76">
        <v>2.6381811916545836</v>
      </c>
      <c r="AJ161" s="77">
        <v>0.30323921743156129</v>
      </c>
      <c r="AK161" s="77">
        <v>3</v>
      </c>
      <c r="AL161" s="76"/>
      <c r="AM161" s="76"/>
      <c r="AN161" s="77"/>
      <c r="AO161" s="77"/>
      <c r="AP161" s="76"/>
      <c r="AQ161" s="76"/>
      <c r="AR161" s="77"/>
      <c r="AS161" s="77"/>
      <c r="AT161" s="78">
        <v>0.75</v>
      </c>
    </row>
    <row r="162" spans="1:46" ht="12.5" x14ac:dyDescent="0.25">
      <c r="A162" s="79">
        <v>44789.272091817125</v>
      </c>
      <c r="B162" s="80" t="s">
        <v>10</v>
      </c>
      <c r="C162" s="80" t="str">
        <f>INDEX(TBL_Name,MATCH(Table2[[#This Row],[Athlete Name]],listNames,0),2)</f>
        <v>Athlete 5</v>
      </c>
      <c r="D162" s="80" t="s">
        <v>130</v>
      </c>
      <c r="E162" s="80">
        <v>9</v>
      </c>
      <c r="F162" s="80">
        <v>9</v>
      </c>
      <c r="G162" s="80">
        <v>9</v>
      </c>
      <c r="H162" s="80" t="s">
        <v>73</v>
      </c>
      <c r="I162" s="80">
        <v>6</v>
      </c>
      <c r="J162" s="80"/>
      <c r="K162" s="80"/>
      <c r="L162" s="80"/>
      <c r="M162" s="1" t="s">
        <v>374</v>
      </c>
      <c r="N162" s="1">
        <v>34</v>
      </c>
      <c r="O162" s="1">
        <v>2</v>
      </c>
      <c r="P162" s="13">
        <v>44789</v>
      </c>
      <c r="Q162" s="1" t="s">
        <v>133</v>
      </c>
      <c r="R162" s="1" t="s">
        <v>64</v>
      </c>
      <c r="S162" s="1">
        <v>1</v>
      </c>
      <c r="T162" s="1"/>
      <c r="U162" s="1" t="s">
        <v>11</v>
      </c>
      <c r="V162" s="76">
        <v>6.8571428571428568</v>
      </c>
      <c r="W162" s="76">
        <v>2.2946254863155731</v>
      </c>
      <c r="X162" s="77">
        <v>0.93385920954703561</v>
      </c>
      <c r="Y162" s="77">
        <v>3</v>
      </c>
      <c r="Z162" s="76">
        <v>8.7142857142857135</v>
      </c>
      <c r="AA162" s="76">
        <v>0.69985421222376532</v>
      </c>
      <c r="AB162" s="77">
        <v>0.40824829046386402</v>
      </c>
      <c r="AC162" s="77">
        <v>3</v>
      </c>
      <c r="AD162" s="76">
        <v>8.6428571428571423</v>
      </c>
      <c r="AE162" s="76">
        <v>0.78895435837051853</v>
      </c>
      <c r="AF162" s="77">
        <v>0.45267873021259336</v>
      </c>
      <c r="AG162" s="77">
        <v>3</v>
      </c>
      <c r="AH162" s="76">
        <v>6.2857142857142856</v>
      </c>
      <c r="AI162" s="76">
        <v>1.0301575072754254</v>
      </c>
      <c r="AJ162" s="77">
        <v>-0.27735009811261446</v>
      </c>
      <c r="AK162" s="77">
        <v>2</v>
      </c>
      <c r="AL162" s="76"/>
      <c r="AM162" s="76"/>
      <c r="AN162" s="77"/>
      <c r="AO162" s="77"/>
      <c r="AP162" s="76"/>
      <c r="AQ162" s="76"/>
      <c r="AR162" s="77"/>
      <c r="AS162" s="77"/>
      <c r="AT162" s="78">
        <v>0.6875</v>
      </c>
    </row>
    <row r="163" spans="1:46" ht="12.5" x14ac:dyDescent="0.25">
      <c r="A163" s="79">
        <v>44789.273924768517</v>
      </c>
      <c r="B163" s="80" t="s">
        <v>21</v>
      </c>
      <c r="C163" s="80" t="str">
        <f>INDEX(TBL_Name,MATCH(Table2[[#This Row],[Athlete Name]],listNames,0),2)</f>
        <v>Athlete 13</v>
      </c>
      <c r="D163" s="80" t="s">
        <v>130</v>
      </c>
      <c r="E163" s="80">
        <v>4</v>
      </c>
      <c r="F163" s="80">
        <v>9</v>
      </c>
      <c r="G163" s="80">
        <v>9</v>
      </c>
      <c r="H163" s="80" t="s">
        <v>375</v>
      </c>
      <c r="I163" s="80">
        <v>4</v>
      </c>
      <c r="J163" s="80"/>
      <c r="K163" s="80"/>
      <c r="L163" s="80"/>
      <c r="M163" s="1" t="s">
        <v>376</v>
      </c>
      <c r="N163" s="1">
        <v>34</v>
      </c>
      <c r="O163" s="1">
        <v>2</v>
      </c>
      <c r="P163" s="13">
        <v>44789</v>
      </c>
      <c r="Q163" s="1" t="s">
        <v>133</v>
      </c>
      <c r="R163" s="1" t="s">
        <v>64</v>
      </c>
      <c r="S163" s="1">
        <v>1</v>
      </c>
      <c r="T163" s="1"/>
      <c r="U163" s="1" t="s">
        <v>18</v>
      </c>
      <c r="V163" s="76">
        <v>5.1428571428571432</v>
      </c>
      <c r="W163" s="76">
        <v>1.1248582677159729</v>
      </c>
      <c r="X163" s="77">
        <v>-1.0160010160015245</v>
      </c>
      <c r="Y163" s="77">
        <v>1</v>
      </c>
      <c r="Z163" s="76">
        <v>8</v>
      </c>
      <c r="AA163" s="76">
        <v>0.7559289460184544</v>
      </c>
      <c r="AB163" s="77">
        <v>1.3228756555322954</v>
      </c>
      <c r="AC163" s="77">
        <v>4</v>
      </c>
      <c r="AD163" s="76">
        <v>8.8571428571428577</v>
      </c>
      <c r="AE163" s="76">
        <v>0.63887656499993983</v>
      </c>
      <c r="AF163" s="77">
        <v>0.22360679774997821</v>
      </c>
      <c r="AG163" s="77">
        <v>3</v>
      </c>
      <c r="AH163" s="76">
        <v>4.5714285714285712</v>
      </c>
      <c r="AI163" s="76">
        <v>0.49487165930539345</v>
      </c>
      <c r="AJ163" s="77">
        <v>-1.1547005383792512</v>
      </c>
      <c r="AK163" s="77">
        <v>1</v>
      </c>
      <c r="AL163" s="76"/>
      <c r="AM163" s="76"/>
      <c r="AN163" s="77"/>
      <c r="AO163" s="77"/>
      <c r="AP163" s="76"/>
      <c r="AQ163" s="76"/>
      <c r="AR163" s="77"/>
      <c r="AS163" s="77"/>
      <c r="AT163" s="78">
        <v>0.625</v>
      </c>
    </row>
    <row r="164" spans="1:46" ht="12.5" x14ac:dyDescent="0.25">
      <c r="A164" s="79">
        <v>44789.274282719911</v>
      </c>
      <c r="B164" s="80" t="s">
        <v>225</v>
      </c>
      <c r="C164" s="80" t="str">
        <f>INDEX(TBL_Name,MATCH(Table2[[#This Row],[Athlete Name]],listNames,0),2)</f>
        <v>Athlete 32</v>
      </c>
      <c r="D164" s="80" t="s">
        <v>130</v>
      </c>
      <c r="E164" s="80">
        <v>10</v>
      </c>
      <c r="F164" s="80">
        <v>10</v>
      </c>
      <c r="G164" s="80">
        <v>7</v>
      </c>
      <c r="H164" s="80"/>
      <c r="I164" s="80">
        <v>9</v>
      </c>
      <c r="J164" s="80"/>
      <c r="K164" s="80"/>
      <c r="L164" s="80"/>
      <c r="M164" s="1" t="s">
        <v>377</v>
      </c>
      <c r="N164" s="1">
        <v>34</v>
      </c>
      <c r="O164" s="1">
        <v>2</v>
      </c>
      <c r="P164" s="13">
        <v>44789</v>
      </c>
      <c r="Q164" s="1" t="s">
        <v>133</v>
      </c>
      <c r="R164" s="1" t="s">
        <v>64</v>
      </c>
      <c r="S164" s="1">
        <v>1</v>
      </c>
      <c r="T164" s="1"/>
      <c r="U164" s="1" t="s">
        <v>5</v>
      </c>
      <c r="V164" s="76">
        <v>10</v>
      </c>
      <c r="W164" s="76">
        <v>0</v>
      </c>
      <c r="X164" s="77">
        <v>0</v>
      </c>
      <c r="Y164" s="77">
        <v>3</v>
      </c>
      <c r="Z164" s="76">
        <v>10</v>
      </c>
      <c r="AA164" s="76">
        <v>0</v>
      </c>
      <c r="AB164" s="77">
        <v>0</v>
      </c>
      <c r="AC164" s="77">
        <v>3</v>
      </c>
      <c r="AD164" s="76">
        <v>7.4</v>
      </c>
      <c r="AE164" s="76">
        <v>0.48989794855663577</v>
      </c>
      <c r="AF164" s="77">
        <v>-0.81649658092772648</v>
      </c>
      <c r="AG164" s="77">
        <v>2</v>
      </c>
      <c r="AH164" s="76">
        <v>8.6</v>
      </c>
      <c r="AI164" s="76">
        <v>0.79999999999999993</v>
      </c>
      <c r="AJ164" s="77">
        <v>0.50000000000000044</v>
      </c>
      <c r="AK164" s="77">
        <v>3</v>
      </c>
      <c r="AL164" s="76"/>
      <c r="AM164" s="76"/>
      <c r="AN164" s="77"/>
      <c r="AO164" s="77"/>
      <c r="AP164" s="76"/>
      <c r="AQ164" s="76"/>
      <c r="AR164" s="77"/>
      <c r="AS164" s="77"/>
      <c r="AT164" s="78">
        <v>0.75</v>
      </c>
    </row>
    <row r="165" spans="1:46" ht="12.5" x14ac:dyDescent="0.25">
      <c r="A165" s="79">
        <v>44789.275023807873</v>
      </c>
      <c r="B165" s="80" t="s">
        <v>156</v>
      </c>
      <c r="C165" s="80" t="str">
        <f>INDEX(TBL_Name,MATCH(Table2[[#This Row],[Athlete Name]],listNames,0),2)</f>
        <v>Athlete 24</v>
      </c>
      <c r="D165" s="80" t="s">
        <v>130</v>
      </c>
      <c r="E165" s="80">
        <v>5</v>
      </c>
      <c r="F165" s="80">
        <v>7</v>
      </c>
      <c r="G165" s="80">
        <v>7</v>
      </c>
      <c r="H165" s="80" t="s">
        <v>370</v>
      </c>
      <c r="I165" s="80">
        <v>7</v>
      </c>
      <c r="J165" s="80"/>
      <c r="K165" s="80"/>
      <c r="L165" s="80"/>
      <c r="M165" s="1" t="s">
        <v>378</v>
      </c>
      <c r="N165" s="1">
        <v>34</v>
      </c>
      <c r="O165" s="1">
        <v>2</v>
      </c>
      <c r="P165" s="13">
        <v>44789</v>
      </c>
      <c r="Q165" s="1" t="s">
        <v>133</v>
      </c>
      <c r="R165" s="1" t="s">
        <v>64</v>
      </c>
      <c r="S165" s="1">
        <v>1</v>
      </c>
      <c r="T165" s="1"/>
      <c r="U165" s="1" t="s">
        <v>11</v>
      </c>
      <c r="V165" s="76">
        <v>5.75</v>
      </c>
      <c r="W165" s="76">
        <v>0.82915619758884995</v>
      </c>
      <c r="X165" s="77">
        <v>-0.90453403373329089</v>
      </c>
      <c r="Y165" s="77">
        <v>2</v>
      </c>
      <c r="Z165" s="76">
        <v>6.25</v>
      </c>
      <c r="AA165" s="76">
        <v>1.299038105676658</v>
      </c>
      <c r="AB165" s="77">
        <v>0.57735026918962573</v>
      </c>
      <c r="AC165" s="77">
        <v>3</v>
      </c>
      <c r="AD165" s="76">
        <v>7</v>
      </c>
      <c r="AE165" s="76">
        <v>1.2247448713915889</v>
      </c>
      <c r="AF165" s="77">
        <v>0</v>
      </c>
      <c r="AG165" s="77">
        <v>3</v>
      </c>
      <c r="AH165" s="76">
        <v>6.75</v>
      </c>
      <c r="AI165" s="76">
        <v>0.43301270189221941</v>
      </c>
      <c r="AJ165" s="77">
        <v>0.57735026918962562</v>
      </c>
      <c r="AK165" s="77">
        <v>3</v>
      </c>
      <c r="AL165" s="76"/>
      <c r="AM165" s="76"/>
      <c r="AN165" s="77"/>
      <c r="AO165" s="77"/>
      <c r="AP165" s="76"/>
      <c r="AQ165" s="76"/>
      <c r="AR165" s="77"/>
      <c r="AS165" s="77"/>
      <c r="AT165" s="78">
        <v>0.875</v>
      </c>
    </row>
    <row r="166" spans="1:46" ht="12.5" x14ac:dyDescent="0.25">
      <c r="A166" s="79">
        <v>44789.276598750002</v>
      </c>
      <c r="B166" s="80" t="s">
        <v>19</v>
      </c>
      <c r="C166" s="80" t="str">
        <f>INDEX(TBL_Name,MATCH(Table2[[#This Row],[Athlete Name]],listNames,0),2)</f>
        <v>Athlete 11</v>
      </c>
      <c r="D166" s="80" t="s">
        <v>130</v>
      </c>
      <c r="E166" s="80">
        <v>6</v>
      </c>
      <c r="F166" s="80">
        <v>6</v>
      </c>
      <c r="G166" s="80">
        <v>6</v>
      </c>
      <c r="H166" s="80" t="s">
        <v>193</v>
      </c>
      <c r="I166" s="80">
        <v>4</v>
      </c>
      <c r="J166" s="80"/>
      <c r="K166" s="80"/>
      <c r="L166" s="80"/>
      <c r="M166" s="1" t="s">
        <v>379</v>
      </c>
      <c r="N166" s="1">
        <v>34</v>
      </c>
      <c r="O166" s="1">
        <v>2</v>
      </c>
      <c r="P166" s="13">
        <v>44789</v>
      </c>
      <c r="Q166" s="1" t="s">
        <v>133</v>
      </c>
      <c r="R166" s="1" t="s">
        <v>64</v>
      </c>
      <c r="S166" s="1">
        <v>1</v>
      </c>
      <c r="T166" s="1"/>
      <c r="U166" s="1" t="s">
        <v>18</v>
      </c>
      <c r="V166" s="76">
        <v>5</v>
      </c>
      <c r="W166" s="76">
        <v>0.70710678118654746</v>
      </c>
      <c r="X166" s="77">
        <v>1.4142135623730951</v>
      </c>
      <c r="Y166" s="77">
        <v>4</v>
      </c>
      <c r="Z166" s="76">
        <v>6.25</v>
      </c>
      <c r="AA166" s="76">
        <v>0.82915619758884984</v>
      </c>
      <c r="AB166" s="77">
        <v>-0.30151134457776368</v>
      </c>
      <c r="AC166" s="77">
        <v>2</v>
      </c>
      <c r="AD166" s="76">
        <v>6.25</v>
      </c>
      <c r="AE166" s="76">
        <v>0.82915619758884984</v>
      </c>
      <c r="AF166" s="77">
        <v>-0.30151134457776368</v>
      </c>
      <c r="AG166" s="77">
        <v>2</v>
      </c>
      <c r="AH166" s="76">
        <v>4.25</v>
      </c>
      <c r="AI166" s="76">
        <v>1.0897247358851683</v>
      </c>
      <c r="AJ166" s="77">
        <v>-0.2294157338705618</v>
      </c>
      <c r="AK166" s="77">
        <v>2</v>
      </c>
      <c r="AL166" s="76"/>
      <c r="AM166" s="76"/>
      <c r="AN166" s="77"/>
      <c r="AO166" s="77"/>
      <c r="AP166" s="76"/>
      <c r="AQ166" s="76"/>
      <c r="AR166" s="77"/>
      <c r="AS166" s="77"/>
      <c r="AT166" s="78">
        <v>0.8125</v>
      </c>
    </row>
    <row r="167" spans="1:46" ht="12.5" x14ac:dyDescent="0.25">
      <c r="A167" s="79">
        <v>44789.276652939814</v>
      </c>
      <c r="B167" s="80" t="s">
        <v>16</v>
      </c>
      <c r="C167" s="80" t="str">
        <f>INDEX(TBL_Name,MATCH(Table2[[#This Row],[Athlete Name]],listNames,0),2)</f>
        <v>Athlete 9</v>
      </c>
      <c r="D167" s="80" t="s">
        <v>130</v>
      </c>
      <c r="E167" s="80">
        <v>5</v>
      </c>
      <c r="F167" s="80">
        <v>7</v>
      </c>
      <c r="G167" s="80">
        <v>8</v>
      </c>
      <c r="H167" s="80" t="s">
        <v>380</v>
      </c>
      <c r="I167" s="80">
        <v>5</v>
      </c>
      <c r="J167" s="80"/>
      <c r="K167" s="80"/>
      <c r="L167" s="80"/>
      <c r="M167" s="1" t="s">
        <v>381</v>
      </c>
      <c r="N167" s="1">
        <v>34</v>
      </c>
      <c r="O167" s="1">
        <v>2</v>
      </c>
      <c r="P167" s="13">
        <v>44789</v>
      </c>
      <c r="Q167" s="1" t="s">
        <v>133</v>
      </c>
      <c r="R167" s="1" t="s">
        <v>64</v>
      </c>
      <c r="S167" s="1">
        <v>1</v>
      </c>
      <c r="T167" s="1"/>
      <c r="U167" s="1" t="s">
        <v>14</v>
      </c>
      <c r="V167" s="76">
        <v>5.666666666666667</v>
      </c>
      <c r="W167" s="76">
        <v>0.47140452079103179</v>
      </c>
      <c r="X167" s="77">
        <v>-1.4142135623730954</v>
      </c>
      <c r="Y167" s="77">
        <v>1</v>
      </c>
      <c r="Z167" s="76">
        <v>7.333333333333333</v>
      </c>
      <c r="AA167" s="76">
        <v>0.47140452079103162</v>
      </c>
      <c r="AB167" s="77">
        <v>-0.70710678118654702</v>
      </c>
      <c r="AC167" s="77">
        <v>2</v>
      </c>
      <c r="AD167" s="76">
        <v>7.666666666666667</v>
      </c>
      <c r="AE167" s="76">
        <v>0.47140452079103162</v>
      </c>
      <c r="AF167" s="77">
        <v>0.70710678118654702</v>
      </c>
      <c r="AG167" s="77">
        <v>3</v>
      </c>
      <c r="AH167" s="76">
        <v>4.333333333333333</v>
      </c>
      <c r="AI167" s="76">
        <v>0.47140452079103179</v>
      </c>
      <c r="AJ167" s="77">
        <v>1.4142135623730954</v>
      </c>
      <c r="AK167" s="77">
        <v>4</v>
      </c>
      <c r="AL167" s="76"/>
      <c r="AM167" s="76"/>
      <c r="AN167" s="77"/>
      <c r="AO167" s="77"/>
      <c r="AP167" s="76"/>
      <c r="AQ167" s="76"/>
      <c r="AR167" s="77"/>
      <c r="AS167" s="77"/>
      <c r="AT167" s="78">
        <v>0.625</v>
      </c>
    </row>
    <row r="168" spans="1:46" ht="12.5" x14ac:dyDescent="0.25">
      <c r="A168" s="79">
        <v>44789.278798599538</v>
      </c>
      <c r="B168" s="80" t="s">
        <v>22</v>
      </c>
      <c r="C168" s="80" t="str">
        <f>INDEX(TBL_Name,MATCH(Table2[[#This Row],[Athlete Name]],listNames,0),2)</f>
        <v>Athlete 14</v>
      </c>
      <c r="D168" s="80" t="s">
        <v>130</v>
      </c>
      <c r="E168" s="80">
        <v>6</v>
      </c>
      <c r="F168" s="80">
        <v>4</v>
      </c>
      <c r="G168" s="80">
        <v>8</v>
      </c>
      <c r="H168" s="80" t="s">
        <v>382</v>
      </c>
      <c r="I168" s="80">
        <v>6</v>
      </c>
      <c r="J168" s="80"/>
      <c r="K168" s="80"/>
      <c r="L168" s="80"/>
      <c r="M168" s="1" t="s">
        <v>383</v>
      </c>
      <c r="N168" s="1">
        <v>34</v>
      </c>
      <c r="O168" s="1">
        <v>2</v>
      </c>
      <c r="P168" s="13">
        <v>44789</v>
      </c>
      <c r="Q168" s="1" t="s">
        <v>133</v>
      </c>
      <c r="R168" s="1" t="s">
        <v>64</v>
      </c>
      <c r="S168" s="1">
        <v>1</v>
      </c>
      <c r="T168" s="1"/>
      <c r="U168" s="1" t="s">
        <v>18</v>
      </c>
      <c r="V168" s="76">
        <v>6.4</v>
      </c>
      <c r="W168" s="76">
        <v>0.79999999999999993</v>
      </c>
      <c r="X168" s="77">
        <v>-0.50000000000000044</v>
      </c>
      <c r="Y168" s="77">
        <v>2</v>
      </c>
      <c r="Z168" s="76">
        <v>5.6</v>
      </c>
      <c r="AA168" s="76">
        <v>1.3564659966250536</v>
      </c>
      <c r="AB168" s="77">
        <v>-1.1795356492391769</v>
      </c>
      <c r="AC168" s="77">
        <v>1</v>
      </c>
      <c r="AD168" s="76">
        <v>8.6</v>
      </c>
      <c r="AE168" s="76">
        <v>0.48989794855663565</v>
      </c>
      <c r="AF168" s="77">
        <v>-1.2247448713915883</v>
      </c>
      <c r="AG168" s="77">
        <v>1</v>
      </c>
      <c r="AH168" s="76">
        <v>4.2</v>
      </c>
      <c r="AI168" s="76">
        <v>1.6</v>
      </c>
      <c r="AJ168" s="77">
        <v>1.1249999999999998</v>
      </c>
      <c r="AK168" s="77">
        <v>4</v>
      </c>
      <c r="AL168" s="76"/>
      <c r="AM168" s="76"/>
      <c r="AN168" s="77"/>
      <c r="AO168" s="77"/>
      <c r="AP168" s="76"/>
      <c r="AQ168" s="76"/>
      <c r="AR168" s="77"/>
      <c r="AS168" s="77"/>
      <c r="AT168" s="78">
        <v>0.5625</v>
      </c>
    </row>
    <row r="169" spans="1:46" ht="12.5" x14ac:dyDescent="0.25">
      <c r="A169" s="79">
        <v>44789.280818460647</v>
      </c>
      <c r="B169" s="80" t="s">
        <v>12</v>
      </c>
      <c r="C169" s="80" t="str">
        <f>INDEX(TBL_Name,MATCH(Table2[[#This Row],[Athlete Name]],listNames,0),2)</f>
        <v>Athlete 6</v>
      </c>
      <c r="D169" s="80" t="s">
        <v>130</v>
      </c>
      <c r="E169" s="80">
        <v>8</v>
      </c>
      <c r="F169" s="80">
        <v>6</v>
      </c>
      <c r="G169" s="80">
        <v>7</v>
      </c>
      <c r="H169" s="80" t="s">
        <v>244</v>
      </c>
      <c r="I169" s="80">
        <v>1</v>
      </c>
      <c r="J169" s="80"/>
      <c r="K169" s="80"/>
      <c r="L169" s="80"/>
      <c r="M169" s="1" t="s">
        <v>384</v>
      </c>
      <c r="N169" s="1">
        <v>34</v>
      </c>
      <c r="O169" s="1">
        <v>2</v>
      </c>
      <c r="P169" s="13">
        <v>44789</v>
      </c>
      <c r="Q169" s="1" t="s">
        <v>133</v>
      </c>
      <c r="R169" s="1" t="s">
        <v>64</v>
      </c>
      <c r="S169" s="1">
        <v>1</v>
      </c>
      <c r="T169" s="1"/>
      <c r="U169" s="1" t="s">
        <v>11</v>
      </c>
      <c r="V169" s="76">
        <v>9.3333333333333339</v>
      </c>
      <c r="W169" s="76">
        <v>0.94280904158206358</v>
      </c>
      <c r="X169" s="77">
        <v>-1.4142135623730954</v>
      </c>
      <c r="Y169" s="77">
        <v>1</v>
      </c>
      <c r="Z169" s="76">
        <v>6.333333333333333</v>
      </c>
      <c r="AA169" s="76">
        <v>2.0548046676563256</v>
      </c>
      <c r="AB169" s="77">
        <v>-0.16222142113076238</v>
      </c>
      <c r="AC169" s="77">
        <v>2</v>
      </c>
      <c r="AD169" s="76">
        <v>8</v>
      </c>
      <c r="AE169" s="76">
        <v>0.81649658092772603</v>
      </c>
      <c r="AF169" s="77">
        <v>-1.2247448713915889</v>
      </c>
      <c r="AG169" s="77">
        <v>1</v>
      </c>
      <c r="AH169" s="76">
        <v>1.6666666666666667</v>
      </c>
      <c r="AI169" s="76">
        <v>0.47140452079103168</v>
      </c>
      <c r="AJ169" s="77">
        <v>-1.4142135623730951</v>
      </c>
      <c r="AK169" s="77">
        <v>1</v>
      </c>
      <c r="AL169" s="76"/>
      <c r="AM169" s="76"/>
      <c r="AN169" s="77"/>
      <c r="AO169" s="77"/>
      <c r="AP169" s="76"/>
      <c r="AQ169" s="76"/>
      <c r="AR169" s="77"/>
      <c r="AS169" s="77"/>
      <c r="AT169" s="78">
        <v>0.25</v>
      </c>
    </row>
    <row r="170" spans="1:46" ht="12.5" x14ac:dyDescent="0.25">
      <c r="A170" s="79">
        <v>44789.282609641203</v>
      </c>
      <c r="B170" s="80" t="s">
        <v>177</v>
      </c>
      <c r="C170" s="80" t="str">
        <f>INDEX(TBL_Name,MATCH(Table2[[#This Row],[Athlete Name]],listNames,0),2)</f>
        <v>Athlete 28</v>
      </c>
      <c r="D170" s="80" t="s">
        <v>130</v>
      </c>
      <c r="E170" s="80">
        <v>7</v>
      </c>
      <c r="F170" s="80">
        <v>8</v>
      </c>
      <c r="G170" s="80">
        <v>6</v>
      </c>
      <c r="H170" s="80" t="s">
        <v>385</v>
      </c>
      <c r="I170" s="80">
        <v>4</v>
      </c>
      <c r="J170" s="80"/>
      <c r="K170" s="80"/>
      <c r="L170" s="80"/>
      <c r="M170" s="1" t="s">
        <v>386</v>
      </c>
      <c r="N170" s="1">
        <v>34</v>
      </c>
      <c r="O170" s="1">
        <v>2</v>
      </c>
      <c r="P170" s="13">
        <v>44789</v>
      </c>
      <c r="Q170" s="1" t="s">
        <v>133</v>
      </c>
      <c r="R170" s="1" t="s">
        <v>64</v>
      </c>
      <c r="S170" s="1">
        <v>1</v>
      </c>
      <c r="T170" s="1"/>
      <c r="U170" s="1" t="s">
        <v>28</v>
      </c>
      <c r="V170" s="76">
        <v>4.25</v>
      </c>
      <c r="W170" s="76">
        <v>1.6393596310755001</v>
      </c>
      <c r="X170" s="77">
        <v>1.6774842736586515</v>
      </c>
      <c r="Y170" s="77">
        <v>4</v>
      </c>
      <c r="Z170" s="76">
        <v>7.5</v>
      </c>
      <c r="AA170" s="76">
        <v>0.8660254037844386</v>
      </c>
      <c r="AB170" s="77">
        <v>0.57735026918962584</v>
      </c>
      <c r="AC170" s="77">
        <v>3</v>
      </c>
      <c r="AD170" s="76">
        <v>8</v>
      </c>
      <c r="AE170" s="76">
        <v>1.2247448713915889</v>
      </c>
      <c r="AF170" s="77">
        <v>-1.6329931618554523</v>
      </c>
      <c r="AG170" s="77">
        <v>1</v>
      </c>
      <c r="AH170" s="76">
        <v>5.75</v>
      </c>
      <c r="AI170" s="76">
        <v>2.0463381929681126</v>
      </c>
      <c r="AJ170" s="77">
        <v>-0.85518611049413651</v>
      </c>
      <c r="AK170" s="77">
        <v>2</v>
      </c>
      <c r="AL170" s="76"/>
      <c r="AM170" s="76"/>
      <c r="AN170" s="77"/>
      <c r="AO170" s="77"/>
      <c r="AP170" s="76"/>
      <c r="AQ170" s="76"/>
      <c r="AR170" s="77"/>
      <c r="AS170" s="77"/>
      <c r="AT170" s="78">
        <v>0.875</v>
      </c>
    </row>
    <row r="171" spans="1:46" ht="12.5" x14ac:dyDescent="0.25">
      <c r="A171" s="79">
        <v>44789.36753949074</v>
      </c>
      <c r="B171" s="80" t="s">
        <v>142</v>
      </c>
      <c r="C171" s="80" t="str">
        <f>INDEX(TBL_Name,MATCH(Table2[[#This Row],[Athlete Name]],listNames,0),2)</f>
        <v>Athlete 21</v>
      </c>
      <c r="D171" s="80" t="s">
        <v>143</v>
      </c>
      <c r="E171" s="80">
        <v>5</v>
      </c>
      <c r="F171" s="80">
        <v>6</v>
      </c>
      <c r="G171" s="80">
        <v>5</v>
      </c>
      <c r="H171" s="80" t="s">
        <v>71</v>
      </c>
      <c r="I171" s="80">
        <v>5</v>
      </c>
      <c r="J171" s="80"/>
      <c r="K171" s="80"/>
      <c r="L171" s="80"/>
      <c r="M171" s="1" t="s">
        <v>387</v>
      </c>
      <c r="N171" s="1">
        <v>34</v>
      </c>
      <c r="O171" s="1">
        <v>2</v>
      </c>
      <c r="P171" s="13">
        <v>44789</v>
      </c>
      <c r="Q171" s="1" t="s">
        <v>133</v>
      </c>
      <c r="R171" s="1" t="s">
        <v>64</v>
      </c>
      <c r="S171" s="1">
        <v>2</v>
      </c>
      <c r="T171" s="1"/>
      <c r="U171" s="1" t="s">
        <v>18</v>
      </c>
      <c r="V171" s="76">
        <v>5</v>
      </c>
      <c r="W171" s="76">
        <v>0</v>
      </c>
      <c r="X171" s="77">
        <v>0</v>
      </c>
      <c r="Y171" s="77">
        <v>3</v>
      </c>
      <c r="Z171" s="76">
        <v>8</v>
      </c>
      <c r="AA171" s="76">
        <v>1.2247448713915889</v>
      </c>
      <c r="AB171" s="77">
        <v>-1.6329931618554523</v>
      </c>
      <c r="AC171" s="77">
        <v>1</v>
      </c>
      <c r="AD171" s="76">
        <v>7.5</v>
      </c>
      <c r="AE171" s="76">
        <v>1.6583123951777001</v>
      </c>
      <c r="AF171" s="77">
        <v>-1.507556722888818</v>
      </c>
      <c r="AG171" s="77">
        <v>1</v>
      </c>
      <c r="AH171" s="76">
        <v>5.25</v>
      </c>
      <c r="AI171" s="76">
        <v>0.43301270189221941</v>
      </c>
      <c r="AJ171" s="77">
        <v>-0.57735026918962562</v>
      </c>
      <c r="AK171" s="77">
        <v>2</v>
      </c>
      <c r="AL171" s="76"/>
      <c r="AM171" s="76"/>
      <c r="AN171" s="77"/>
      <c r="AO171" s="77"/>
      <c r="AP171" s="76"/>
      <c r="AQ171" s="76"/>
      <c r="AR171" s="77"/>
      <c r="AS171" s="77"/>
      <c r="AT171" s="78">
        <v>0.75</v>
      </c>
    </row>
    <row r="172" spans="1:46" ht="12.5" x14ac:dyDescent="0.25">
      <c r="A172" s="79">
        <v>44789.569604166667</v>
      </c>
      <c r="B172" s="80" t="s">
        <v>168</v>
      </c>
      <c r="C172" s="80" t="str">
        <f>INDEX(TBL_Name,MATCH(Table2[[#This Row],[Athlete Name]],listNames,0),2)</f>
        <v>Athlete 26</v>
      </c>
      <c r="D172" s="80" t="s">
        <v>143</v>
      </c>
      <c r="E172" s="80">
        <v>6</v>
      </c>
      <c r="F172" s="80">
        <v>9</v>
      </c>
      <c r="G172" s="80">
        <v>9</v>
      </c>
      <c r="H172" s="80" t="s">
        <v>169</v>
      </c>
      <c r="I172" s="80">
        <v>7</v>
      </c>
      <c r="J172" s="80"/>
      <c r="K172" s="80"/>
      <c r="L172" s="80"/>
      <c r="M172" s="1" t="s">
        <v>388</v>
      </c>
      <c r="N172" s="1">
        <v>34</v>
      </c>
      <c r="O172" s="1">
        <v>2</v>
      </c>
      <c r="P172" s="13">
        <v>44789</v>
      </c>
      <c r="Q172" s="1" t="s">
        <v>133</v>
      </c>
      <c r="R172" s="1" t="s">
        <v>64</v>
      </c>
      <c r="S172" s="1">
        <v>2</v>
      </c>
      <c r="T172" s="1"/>
      <c r="U172" s="1" t="s">
        <v>5</v>
      </c>
      <c r="V172" s="76">
        <v>7.4285714285714288</v>
      </c>
      <c r="W172" s="76">
        <v>0.90350790290525107</v>
      </c>
      <c r="X172" s="77">
        <v>-1.5811388300841902</v>
      </c>
      <c r="Y172" s="77">
        <v>1</v>
      </c>
      <c r="Z172" s="76">
        <v>7.1428571428571432</v>
      </c>
      <c r="AA172" s="76">
        <v>1.2453996981544782</v>
      </c>
      <c r="AB172" s="77">
        <v>1.4912022701586511</v>
      </c>
      <c r="AC172" s="77">
        <v>4</v>
      </c>
      <c r="AD172" s="76">
        <v>7.7142857142857144</v>
      </c>
      <c r="AE172" s="76">
        <v>0.6998542122237652</v>
      </c>
      <c r="AF172" s="77">
        <v>1.8371173070873834</v>
      </c>
      <c r="AG172" s="77">
        <v>4</v>
      </c>
      <c r="AH172" s="76">
        <v>5.4285714285714288</v>
      </c>
      <c r="AI172" s="76">
        <v>1.1780301787479031</v>
      </c>
      <c r="AJ172" s="77">
        <v>1.3339459376998311</v>
      </c>
      <c r="AK172" s="77">
        <v>4</v>
      </c>
      <c r="AL172" s="76"/>
      <c r="AM172" s="76"/>
      <c r="AN172" s="77"/>
      <c r="AO172" s="77"/>
      <c r="AP172" s="76"/>
      <c r="AQ172" s="76"/>
      <c r="AR172" s="77"/>
      <c r="AS172" s="77"/>
      <c r="AT172" s="78">
        <v>0.6875</v>
      </c>
    </row>
    <row r="173" spans="1:46" ht="12.5" x14ac:dyDescent="0.25">
      <c r="A173" s="79">
        <v>44790.297616805554</v>
      </c>
      <c r="B173" s="80" t="s">
        <v>196</v>
      </c>
      <c r="C173" s="80" t="str">
        <f>INDEX(TBL_Name,MATCH(Table2[[#This Row],[Athlete Name]],listNames,0),2)</f>
        <v>Athlete 31</v>
      </c>
      <c r="D173" s="80" t="s">
        <v>130</v>
      </c>
      <c r="E173" s="80">
        <v>5</v>
      </c>
      <c r="F173" s="80">
        <v>9</v>
      </c>
      <c r="G173" s="80">
        <v>9</v>
      </c>
      <c r="H173" s="80" t="s">
        <v>69</v>
      </c>
      <c r="I173" s="80">
        <v>8</v>
      </c>
      <c r="J173" s="80"/>
      <c r="K173" s="80"/>
      <c r="L173" s="80"/>
      <c r="M173" s="1" t="s">
        <v>389</v>
      </c>
      <c r="N173" s="1">
        <v>34</v>
      </c>
      <c r="O173" s="1">
        <v>2</v>
      </c>
      <c r="P173" s="13">
        <v>44790</v>
      </c>
      <c r="Q173" s="1" t="s">
        <v>133</v>
      </c>
      <c r="R173" s="1" t="s">
        <v>64</v>
      </c>
      <c r="S173" s="1">
        <v>1</v>
      </c>
      <c r="T173" s="1"/>
      <c r="U173" s="1" t="s">
        <v>28</v>
      </c>
      <c r="V173" s="76">
        <v>5.833333333333333</v>
      </c>
      <c r="W173" s="76">
        <v>0.68718427093627676</v>
      </c>
      <c r="X173" s="77">
        <v>-1.2126781251816645</v>
      </c>
      <c r="Y173" s="77">
        <v>1</v>
      </c>
      <c r="Z173" s="76">
        <v>7.666666666666667</v>
      </c>
      <c r="AA173" s="76">
        <v>0.94280904158206336</v>
      </c>
      <c r="AB173" s="77">
        <v>1.4142135623730947</v>
      </c>
      <c r="AC173" s="77">
        <v>4</v>
      </c>
      <c r="AD173" s="76">
        <v>7.583333333333333</v>
      </c>
      <c r="AE173" s="76">
        <v>0.93169499062491246</v>
      </c>
      <c r="AF173" s="77">
        <v>1.5205262246998572</v>
      </c>
      <c r="AG173" s="77">
        <v>4</v>
      </c>
      <c r="AH173" s="76">
        <v>6.833333333333333</v>
      </c>
      <c r="AI173" s="76">
        <v>1.2133516482134199</v>
      </c>
      <c r="AJ173" s="77">
        <v>0.96152394764082327</v>
      </c>
      <c r="AK173" s="77">
        <v>3</v>
      </c>
      <c r="AL173" s="76"/>
      <c r="AM173" s="76"/>
      <c r="AN173" s="77"/>
      <c r="AO173" s="77"/>
      <c r="AP173" s="76"/>
      <c r="AQ173" s="76"/>
      <c r="AR173" s="77"/>
      <c r="AS173" s="77"/>
      <c r="AT173" s="78">
        <v>0.8125</v>
      </c>
    </row>
    <row r="174" spans="1:46" ht="12.5" x14ac:dyDescent="0.25">
      <c r="A174" s="79">
        <v>44790.331110393519</v>
      </c>
      <c r="B174" s="80" t="s">
        <v>148</v>
      </c>
      <c r="C174" s="80" t="str">
        <f>INDEX(TBL_Name,MATCH(Table2[[#This Row],[Athlete Name]],listNames,0),2)</f>
        <v>Athlete 22</v>
      </c>
      <c r="D174" s="80" t="s">
        <v>130</v>
      </c>
      <c r="E174" s="80">
        <v>10</v>
      </c>
      <c r="F174" s="80">
        <v>8</v>
      </c>
      <c r="G174" s="80">
        <v>10</v>
      </c>
      <c r="H174" s="80" t="s">
        <v>228</v>
      </c>
      <c r="I174" s="80">
        <v>8</v>
      </c>
      <c r="J174" s="80"/>
      <c r="K174" s="80"/>
      <c r="L174" s="80"/>
      <c r="M174" s="1" t="s">
        <v>390</v>
      </c>
      <c r="N174" s="1">
        <v>34</v>
      </c>
      <c r="O174" s="1">
        <v>2</v>
      </c>
      <c r="P174" s="13">
        <v>44790</v>
      </c>
      <c r="Q174" s="1" t="s">
        <v>133</v>
      </c>
      <c r="R174" s="1" t="s">
        <v>64</v>
      </c>
      <c r="S174" s="1">
        <v>1</v>
      </c>
      <c r="T174" s="1"/>
      <c r="U174" s="1" t="s">
        <v>11</v>
      </c>
      <c r="V174" s="76">
        <v>9.75</v>
      </c>
      <c r="W174" s="76">
        <v>0.43301270189221946</v>
      </c>
      <c r="X174" s="77">
        <v>0.57735026918962562</v>
      </c>
      <c r="Y174" s="77">
        <v>3</v>
      </c>
      <c r="Z174" s="76">
        <v>6.75</v>
      </c>
      <c r="AA174" s="76">
        <v>1.920286436967152</v>
      </c>
      <c r="AB174" s="77">
        <v>0.6509445549041194</v>
      </c>
      <c r="AC174" s="77">
        <v>3</v>
      </c>
      <c r="AD174" s="76">
        <v>9.25</v>
      </c>
      <c r="AE174" s="76">
        <v>0.4330127018922193</v>
      </c>
      <c r="AF174" s="77">
        <v>1.7320508075688774</v>
      </c>
      <c r="AG174" s="77">
        <v>4</v>
      </c>
      <c r="AH174" s="76">
        <v>6.25</v>
      </c>
      <c r="AI174" s="76">
        <v>1.7853571071357126</v>
      </c>
      <c r="AJ174" s="77">
        <v>0.98019605881960681</v>
      </c>
      <c r="AK174" s="77">
        <v>3</v>
      </c>
      <c r="AL174" s="76"/>
      <c r="AM174" s="76"/>
      <c r="AN174" s="77"/>
      <c r="AO174" s="77"/>
      <c r="AP174" s="76"/>
      <c r="AQ174" s="76"/>
      <c r="AR174" s="77"/>
      <c r="AS174" s="77"/>
      <c r="AT174" s="78">
        <v>0.5</v>
      </c>
    </row>
    <row r="175" spans="1:46" ht="12.5" x14ac:dyDescent="0.25">
      <c r="A175" s="79">
        <v>44790.363307314816</v>
      </c>
      <c r="B175" s="80" t="s">
        <v>225</v>
      </c>
      <c r="C175" s="80" t="str">
        <f>INDEX(TBL_Name,MATCH(Table2[[#This Row],[Athlete Name]],listNames,0),2)</f>
        <v>Athlete 32</v>
      </c>
      <c r="D175" s="80" t="s">
        <v>130</v>
      </c>
      <c r="E175" s="80">
        <v>10</v>
      </c>
      <c r="F175" s="80">
        <v>10</v>
      </c>
      <c r="G175" s="80">
        <v>8</v>
      </c>
      <c r="H175" s="80"/>
      <c r="I175" s="80">
        <v>10</v>
      </c>
      <c r="J175" s="80"/>
      <c r="K175" s="80"/>
      <c r="L175" s="80"/>
      <c r="M175" s="1" t="s">
        <v>391</v>
      </c>
      <c r="N175" s="1">
        <v>34</v>
      </c>
      <c r="O175" s="1">
        <v>2</v>
      </c>
      <c r="P175" s="13">
        <v>44790</v>
      </c>
      <c r="Q175" s="1" t="s">
        <v>133</v>
      </c>
      <c r="R175" s="1" t="s">
        <v>64</v>
      </c>
      <c r="S175" s="1">
        <v>1</v>
      </c>
      <c r="T175" s="1"/>
      <c r="U175" s="1" t="s">
        <v>5</v>
      </c>
      <c r="V175" s="76">
        <v>10</v>
      </c>
      <c r="W175" s="76">
        <v>0</v>
      </c>
      <c r="X175" s="77">
        <v>0</v>
      </c>
      <c r="Y175" s="77">
        <v>3</v>
      </c>
      <c r="Z175" s="76">
        <v>10</v>
      </c>
      <c r="AA175" s="76">
        <v>0</v>
      </c>
      <c r="AB175" s="77">
        <v>0</v>
      </c>
      <c r="AC175" s="77">
        <v>3</v>
      </c>
      <c r="AD175" s="76">
        <v>7.4</v>
      </c>
      <c r="AE175" s="76">
        <v>0.48989794855663554</v>
      </c>
      <c r="AF175" s="77">
        <v>1.2247448713915885</v>
      </c>
      <c r="AG175" s="77">
        <v>4</v>
      </c>
      <c r="AH175" s="76">
        <v>9.1999999999999993</v>
      </c>
      <c r="AI175" s="76">
        <v>0.40000000000000019</v>
      </c>
      <c r="AJ175" s="77">
        <v>2.0000000000000009</v>
      </c>
      <c r="AK175" s="77">
        <v>4</v>
      </c>
      <c r="AL175" s="76"/>
      <c r="AM175" s="76"/>
      <c r="AN175" s="77"/>
      <c r="AO175" s="77"/>
      <c r="AP175" s="76"/>
      <c r="AQ175" s="76"/>
      <c r="AR175" s="77"/>
      <c r="AS175" s="77"/>
      <c r="AT175" s="78">
        <v>0.75</v>
      </c>
    </row>
    <row r="176" spans="1:46" ht="12.5" x14ac:dyDescent="0.25">
      <c r="A176" s="79">
        <v>44790.378569374996</v>
      </c>
      <c r="B176" s="80" t="s">
        <v>129</v>
      </c>
      <c r="C176" s="80" t="str">
        <f>INDEX(TBL_Name,MATCH(Table2[[#This Row],[Athlete Name]],listNames,0),2)</f>
        <v>Athlete 19</v>
      </c>
      <c r="D176" s="80" t="s">
        <v>130</v>
      </c>
      <c r="E176" s="80">
        <v>7</v>
      </c>
      <c r="F176" s="80">
        <v>7</v>
      </c>
      <c r="G176" s="80">
        <v>9</v>
      </c>
      <c r="H176" s="80" t="s">
        <v>280</v>
      </c>
      <c r="I176" s="80">
        <v>5</v>
      </c>
      <c r="J176" s="80"/>
      <c r="K176" s="80"/>
      <c r="L176" s="80"/>
      <c r="M176" s="1" t="s">
        <v>392</v>
      </c>
      <c r="N176" s="1">
        <v>34</v>
      </c>
      <c r="O176" s="1">
        <v>2</v>
      </c>
      <c r="P176" s="13">
        <v>44790</v>
      </c>
      <c r="Q176" s="1" t="s">
        <v>133</v>
      </c>
      <c r="R176" s="1" t="s">
        <v>64</v>
      </c>
      <c r="S176" s="1">
        <v>1</v>
      </c>
      <c r="T176" s="1"/>
      <c r="U176" s="1" t="s">
        <v>18</v>
      </c>
      <c r="V176" s="76">
        <v>7</v>
      </c>
      <c r="W176" s="76">
        <v>0.63245553203367577</v>
      </c>
      <c r="X176" s="77">
        <v>0</v>
      </c>
      <c r="Y176" s="77">
        <v>3</v>
      </c>
      <c r="Z176" s="76">
        <v>6.8</v>
      </c>
      <c r="AA176" s="76">
        <v>0.39999999999999997</v>
      </c>
      <c r="AB176" s="77">
        <v>0.50000000000000044</v>
      </c>
      <c r="AC176" s="77">
        <v>3</v>
      </c>
      <c r="AD176" s="76">
        <v>8</v>
      </c>
      <c r="AE176" s="76">
        <v>0.63245553203367588</v>
      </c>
      <c r="AF176" s="77">
        <v>1.5811388300841895</v>
      </c>
      <c r="AG176" s="77">
        <v>4</v>
      </c>
      <c r="AH176" s="76">
        <v>4.2</v>
      </c>
      <c r="AI176" s="76">
        <v>0.74833147735478822</v>
      </c>
      <c r="AJ176" s="77">
        <v>1.0690449676496974</v>
      </c>
      <c r="AK176" s="77">
        <v>4</v>
      </c>
      <c r="AL176" s="76"/>
      <c r="AM176" s="76"/>
      <c r="AN176" s="77"/>
      <c r="AO176" s="77"/>
      <c r="AP176" s="76"/>
      <c r="AQ176" s="76"/>
      <c r="AR176" s="77"/>
      <c r="AS176" s="77"/>
      <c r="AT176" s="78">
        <v>0.6875</v>
      </c>
    </row>
    <row r="177" spans="1:46" ht="12.5" x14ac:dyDescent="0.25">
      <c r="A177" s="79">
        <v>44790.412572430556</v>
      </c>
      <c r="B177" s="80" t="s">
        <v>21</v>
      </c>
      <c r="C177" s="80" t="str">
        <f>INDEX(TBL_Name,MATCH(Table2[[#This Row],[Athlete Name]],listNames,0),2)</f>
        <v>Athlete 13</v>
      </c>
      <c r="D177" s="80" t="s">
        <v>130</v>
      </c>
      <c r="E177" s="80">
        <v>5</v>
      </c>
      <c r="F177" s="80">
        <v>8</v>
      </c>
      <c r="G177" s="80">
        <v>9</v>
      </c>
      <c r="H177" s="80" t="s">
        <v>393</v>
      </c>
      <c r="I177" s="80">
        <v>5</v>
      </c>
      <c r="J177" s="80"/>
      <c r="K177" s="80"/>
      <c r="L177" s="80"/>
      <c r="M177" s="1" t="s">
        <v>394</v>
      </c>
      <c r="N177" s="1">
        <v>34</v>
      </c>
      <c r="O177" s="1">
        <v>2</v>
      </c>
      <c r="P177" s="13">
        <v>44790</v>
      </c>
      <c r="Q177" s="1" t="s">
        <v>133</v>
      </c>
      <c r="R177" s="1" t="s">
        <v>64</v>
      </c>
      <c r="S177" s="1">
        <v>1</v>
      </c>
      <c r="T177" s="1"/>
      <c r="U177" s="1" t="s">
        <v>18</v>
      </c>
      <c r="V177" s="76">
        <v>4.8571428571428568</v>
      </c>
      <c r="W177" s="76">
        <v>0.83299312783504287</v>
      </c>
      <c r="X177" s="77">
        <v>0.17149858514250932</v>
      </c>
      <c r="Y177" s="77">
        <v>3</v>
      </c>
      <c r="Z177" s="76">
        <v>8.1428571428571423</v>
      </c>
      <c r="AA177" s="76">
        <v>0.63887656499993994</v>
      </c>
      <c r="AB177" s="77">
        <v>-0.22360679774997816</v>
      </c>
      <c r="AC177" s="77">
        <v>2</v>
      </c>
      <c r="AD177" s="76">
        <v>9</v>
      </c>
      <c r="AE177" s="76">
        <v>0.53452248382484879</v>
      </c>
      <c r="AF177" s="77">
        <v>0</v>
      </c>
      <c r="AG177" s="77">
        <v>3</v>
      </c>
      <c r="AH177" s="76">
        <v>4.5714285714285712</v>
      </c>
      <c r="AI177" s="76">
        <v>0.49487165930539362</v>
      </c>
      <c r="AJ177" s="77">
        <v>0.86602540378443893</v>
      </c>
      <c r="AK177" s="77">
        <v>3</v>
      </c>
      <c r="AL177" s="76"/>
      <c r="AM177" s="76"/>
      <c r="AN177" s="77"/>
      <c r="AO177" s="77"/>
      <c r="AP177" s="76"/>
      <c r="AQ177" s="76"/>
      <c r="AR177" s="77"/>
      <c r="AS177" s="77"/>
      <c r="AT177" s="78">
        <v>0.875</v>
      </c>
    </row>
    <row r="178" spans="1:46" ht="12.5" x14ac:dyDescent="0.25">
      <c r="A178" s="79">
        <v>44790.412590127315</v>
      </c>
      <c r="B178" s="80" t="s">
        <v>142</v>
      </c>
      <c r="C178" s="80" t="str">
        <f>INDEX(TBL_Name,MATCH(Table2[[#This Row],[Athlete Name]],listNames,0),2)</f>
        <v>Athlete 21</v>
      </c>
      <c r="D178" s="80" t="s">
        <v>143</v>
      </c>
      <c r="E178" s="80">
        <v>7</v>
      </c>
      <c r="F178" s="80">
        <v>9</v>
      </c>
      <c r="G178" s="80">
        <v>9</v>
      </c>
      <c r="H178" s="80" t="s">
        <v>131</v>
      </c>
      <c r="I178" s="80">
        <v>5</v>
      </c>
      <c r="J178" s="80"/>
      <c r="K178" s="80"/>
      <c r="L178" s="80"/>
      <c r="M178" s="1" t="s">
        <v>395</v>
      </c>
      <c r="N178" s="1">
        <v>34</v>
      </c>
      <c r="O178" s="1">
        <v>2</v>
      </c>
      <c r="P178" s="13">
        <v>44790</v>
      </c>
      <c r="Q178" s="1" t="s">
        <v>133</v>
      </c>
      <c r="R178" s="1" t="s">
        <v>64</v>
      </c>
      <c r="S178" s="1">
        <v>2</v>
      </c>
      <c r="T178" s="1"/>
      <c r="U178" s="1" t="s">
        <v>18</v>
      </c>
      <c r="V178" s="76">
        <v>5.5</v>
      </c>
      <c r="W178" s="76">
        <v>0.8660254037844386</v>
      </c>
      <c r="X178" s="77">
        <v>1.7320508075688774</v>
      </c>
      <c r="Y178" s="77">
        <v>4</v>
      </c>
      <c r="Z178" s="76">
        <v>8</v>
      </c>
      <c r="AA178" s="76">
        <v>1.2247448713915892</v>
      </c>
      <c r="AB178" s="77">
        <v>0.81649658092772592</v>
      </c>
      <c r="AC178" s="77">
        <v>3</v>
      </c>
      <c r="AD178" s="76">
        <v>7.5</v>
      </c>
      <c r="AE178" s="76">
        <v>1.6583123951776999</v>
      </c>
      <c r="AF178" s="77">
        <v>0.90453403373329089</v>
      </c>
      <c r="AG178" s="77">
        <v>3</v>
      </c>
      <c r="AH178" s="76">
        <v>5.25</v>
      </c>
      <c r="AI178" s="76">
        <v>0.43301270189221924</v>
      </c>
      <c r="AJ178" s="77">
        <v>-0.57735026918962584</v>
      </c>
      <c r="AK178" s="77">
        <v>2</v>
      </c>
      <c r="AL178" s="76"/>
      <c r="AM178" s="76"/>
      <c r="AN178" s="77"/>
      <c r="AO178" s="77"/>
      <c r="AP178" s="76"/>
      <c r="AQ178" s="76"/>
      <c r="AR178" s="77"/>
      <c r="AS178" s="77"/>
      <c r="AT178" s="78">
        <v>0.875</v>
      </c>
    </row>
    <row r="179" spans="1:46" ht="12.5" x14ac:dyDescent="0.25">
      <c r="A179" s="79">
        <v>44790.412743807872</v>
      </c>
      <c r="B179" s="80" t="s">
        <v>23</v>
      </c>
      <c r="C179" s="80" t="str">
        <f>INDEX(TBL_Name,MATCH(Table2[[#This Row],[Athlete Name]],listNames,0),2)</f>
        <v>Athlete 15</v>
      </c>
      <c r="D179" s="80" t="s">
        <v>130</v>
      </c>
      <c r="E179" s="80">
        <v>4</v>
      </c>
      <c r="F179" s="80">
        <v>10</v>
      </c>
      <c r="G179" s="80">
        <v>9</v>
      </c>
      <c r="H179" s="80" t="s">
        <v>191</v>
      </c>
      <c r="I179" s="80">
        <v>4</v>
      </c>
      <c r="J179" s="80"/>
      <c r="K179" s="80"/>
      <c r="L179" s="80"/>
      <c r="M179" s="1" t="s">
        <v>396</v>
      </c>
      <c r="N179" s="1">
        <v>34</v>
      </c>
      <c r="O179" s="1">
        <v>2</v>
      </c>
      <c r="P179" s="13">
        <v>44790</v>
      </c>
      <c r="Q179" s="1" t="s">
        <v>133</v>
      </c>
      <c r="R179" s="1" t="s">
        <v>64</v>
      </c>
      <c r="S179" s="1">
        <v>1</v>
      </c>
      <c r="T179" s="1"/>
      <c r="U179" s="1" t="s">
        <v>18</v>
      </c>
      <c r="V179" s="76">
        <v>4</v>
      </c>
      <c r="W179" s="76">
        <v>0</v>
      </c>
      <c r="X179" s="77">
        <v>0</v>
      </c>
      <c r="Y179" s="77">
        <v>3</v>
      </c>
      <c r="Z179" s="76">
        <v>10</v>
      </c>
      <c r="AA179" s="76">
        <v>0</v>
      </c>
      <c r="AB179" s="77">
        <v>0</v>
      </c>
      <c r="AC179" s="77">
        <v>3</v>
      </c>
      <c r="AD179" s="76">
        <v>9</v>
      </c>
      <c r="AE179" s="76">
        <v>0</v>
      </c>
      <c r="AF179" s="77">
        <v>0</v>
      </c>
      <c r="AG179" s="77">
        <v>3</v>
      </c>
      <c r="AH179" s="76">
        <v>4</v>
      </c>
      <c r="AI179" s="76">
        <v>0</v>
      </c>
      <c r="AJ179" s="77">
        <v>0</v>
      </c>
      <c r="AK179" s="77">
        <v>3</v>
      </c>
      <c r="AL179" s="76"/>
      <c r="AM179" s="76"/>
      <c r="AN179" s="77"/>
      <c r="AO179" s="77"/>
      <c r="AP179" s="76"/>
      <c r="AQ179" s="76"/>
      <c r="AR179" s="77"/>
      <c r="AS179" s="77"/>
      <c r="AT179" s="78">
        <v>0.75</v>
      </c>
    </row>
    <row r="180" spans="1:46" ht="12.5" x14ac:dyDescent="0.25">
      <c r="A180" s="79">
        <v>44790.412824872685</v>
      </c>
      <c r="B180" s="80" t="s">
        <v>177</v>
      </c>
      <c r="C180" s="80" t="str">
        <f>INDEX(TBL_Name,MATCH(Table2[[#This Row],[Athlete Name]],listNames,0),2)</f>
        <v>Athlete 28</v>
      </c>
      <c r="D180" s="80" t="s">
        <v>130</v>
      </c>
      <c r="E180" s="80">
        <v>7</v>
      </c>
      <c r="F180" s="80">
        <v>5</v>
      </c>
      <c r="G180" s="80">
        <v>9</v>
      </c>
      <c r="H180" s="80" t="s">
        <v>397</v>
      </c>
      <c r="I180" s="80">
        <v>5</v>
      </c>
      <c r="J180" s="80"/>
      <c r="K180" s="80"/>
      <c r="L180" s="80"/>
      <c r="M180" s="1" t="s">
        <v>398</v>
      </c>
      <c r="N180" s="1">
        <v>34</v>
      </c>
      <c r="O180" s="1">
        <v>2</v>
      </c>
      <c r="P180" s="13">
        <v>44790</v>
      </c>
      <c r="Q180" s="1" t="s">
        <v>133</v>
      </c>
      <c r="R180" s="1" t="s">
        <v>64</v>
      </c>
      <c r="S180" s="1">
        <v>1</v>
      </c>
      <c r="T180" s="1"/>
      <c r="U180" s="1" t="s">
        <v>28</v>
      </c>
      <c r="V180" s="76">
        <v>5.25</v>
      </c>
      <c r="W180" s="76">
        <v>1.7853571071357126</v>
      </c>
      <c r="X180" s="77">
        <v>0.98019605881960681</v>
      </c>
      <c r="Y180" s="77">
        <v>3</v>
      </c>
      <c r="Z180" s="76">
        <v>6.75</v>
      </c>
      <c r="AA180" s="76">
        <v>1.299038105676658</v>
      </c>
      <c r="AB180" s="77">
        <v>-1.3471506281091268</v>
      </c>
      <c r="AC180" s="77">
        <v>1</v>
      </c>
      <c r="AD180" s="76">
        <v>8</v>
      </c>
      <c r="AE180" s="76">
        <v>1.2247448713915892</v>
      </c>
      <c r="AF180" s="77">
        <v>0.81649658092772592</v>
      </c>
      <c r="AG180" s="77">
        <v>3</v>
      </c>
      <c r="AH180" s="76">
        <v>6</v>
      </c>
      <c r="AI180" s="76">
        <v>1.8708286933869707</v>
      </c>
      <c r="AJ180" s="77">
        <v>-0.53452248382484879</v>
      </c>
      <c r="AK180" s="77">
        <v>2</v>
      </c>
      <c r="AL180" s="76"/>
      <c r="AM180" s="76"/>
      <c r="AN180" s="77"/>
      <c r="AO180" s="77"/>
      <c r="AP180" s="76"/>
      <c r="AQ180" s="76"/>
      <c r="AR180" s="77"/>
      <c r="AS180" s="77"/>
      <c r="AT180" s="78">
        <v>0.6875</v>
      </c>
    </row>
    <row r="181" spans="1:46" ht="12.5" x14ac:dyDescent="0.25">
      <c r="A181" s="79">
        <v>44790.413117083328</v>
      </c>
      <c r="B181" s="80" t="s">
        <v>180</v>
      </c>
      <c r="C181" s="80" t="str">
        <f>INDEX(TBL_Name,MATCH(Table2[[#This Row],[Athlete Name]],listNames,0),2)</f>
        <v>Athlete 29</v>
      </c>
      <c r="D181" s="80" t="s">
        <v>143</v>
      </c>
      <c r="E181" s="80">
        <v>9</v>
      </c>
      <c r="F181" s="80">
        <v>9</v>
      </c>
      <c r="G181" s="80">
        <v>9</v>
      </c>
      <c r="H181" s="80" t="s">
        <v>354</v>
      </c>
      <c r="I181" s="80">
        <v>7</v>
      </c>
      <c r="J181" s="80"/>
      <c r="K181" s="80"/>
      <c r="L181" s="80"/>
      <c r="M181" s="1" t="s">
        <v>399</v>
      </c>
      <c r="N181" s="1">
        <v>34</v>
      </c>
      <c r="O181" s="1">
        <v>2</v>
      </c>
      <c r="P181" s="13">
        <v>44790</v>
      </c>
      <c r="Q181" s="1" t="s">
        <v>133</v>
      </c>
      <c r="R181" s="1" t="s">
        <v>64</v>
      </c>
      <c r="S181" s="1">
        <v>2</v>
      </c>
      <c r="T181" s="1"/>
      <c r="U181" s="1" t="s">
        <v>5</v>
      </c>
      <c r="V181" s="76">
        <v>7.666666666666667</v>
      </c>
      <c r="W181" s="76">
        <v>1.8856180831641267</v>
      </c>
      <c r="X181" s="77">
        <v>0.70710678118654735</v>
      </c>
      <c r="Y181" s="77">
        <v>3</v>
      </c>
      <c r="Z181" s="76">
        <v>6.333333333333333</v>
      </c>
      <c r="AA181" s="76">
        <v>1.8856180831641267</v>
      </c>
      <c r="AB181" s="77">
        <v>1.4142135623730951</v>
      </c>
      <c r="AC181" s="77">
        <v>4</v>
      </c>
      <c r="AD181" s="76">
        <v>7</v>
      </c>
      <c r="AE181" s="76">
        <v>1.4142135623730951</v>
      </c>
      <c r="AF181" s="77">
        <v>1.4142135623730949</v>
      </c>
      <c r="AG181" s="77">
        <v>4</v>
      </c>
      <c r="AH181" s="76">
        <v>6</v>
      </c>
      <c r="AI181" s="76">
        <v>1.4142135623730951</v>
      </c>
      <c r="AJ181" s="77">
        <v>0.70710678118654746</v>
      </c>
      <c r="AK181" s="77">
        <v>3</v>
      </c>
      <c r="AL181" s="76"/>
      <c r="AM181" s="76"/>
      <c r="AN181" s="77"/>
      <c r="AO181" s="77"/>
      <c r="AP181" s="76"/>
      <c r="AQ181" s="76"/>
      <c r="AR181" s="77"/>
      <c r="AS181" s="77"/>
      <c r="AT181" s="78">
        <v>0.6875</v>
      </c>
    </row>
    <row r="182" spans="1:46" ht="12.5" x14ac:dyDescent="0.25">
      <c r="A182" s="79">
        <v>44790.413684155094</v>
      </c>
      <c r="B182" s="80" t="s">
        <v>13</v>
      </c>
      <c r="C182" s="80" t="str">
        <f>INDEX(TBL_Name,MATCH(Table2[[#This Row],[Athlete Name]],listNames,0),2)</f>
        <v>Athlete 7</v>
      </c>
      <c r="D182" s="80" t="s">
        <v>130</v>
      </c>
      <c r="E182" s="80">
        <v>5</v>
      </c>
      <c r="F182" s="80">
        <v>7</v>
      </c>
      <c r="G182" s="80">
        <v>9</v>
      </c>
      <c r="H182" s="80" t="s">
        <v>400</v>
      </c>
      <c r="I182" s="80">
        <v>7</v>
      </c>
      <c r="J182" s="80"/>
      <c r="K182" s="80"/>
      <c r="L182" s="80"/>
      <c r="M182" s="1" t="s">
        <v>401</v>
      </c>
      <c r="N182" s="1">
        <v>34</v>
      </c>
      <c r="O182" s="1">
        <v>2</v>
      </c>
      <c r="P182" s="13">
        <v>44790</v>
      </c>
      <c r="Q182" s="1" t="s">
        <v>133</v>
      </c>
      <c r="R182" s="1" t="s">
        <v>64</v>
      </c>
      <c r="S182" s="1">
        <v>1</v>
      </c>
      <c r="T182" s="1"/>
      <c r="U182" s="1" t="s">
        <v>14</v>
      </c>
      <c r="V182" s="76">
        <v>4.5</v>
      </c>
      <c r="W182" s="76">
        <v>1.5000000000000002</v>
      </c>
      <c r="X182" s="77">
        <v>0.33333333333333326</v>
      </c>
      <c r="Y182" s="77">
        <v>3</v>
      </c>
      <c r="Z182" s="76">
        <v>6</v>
      </c>
      <c r="AA182" s="76">
        <v>1.2247448713915889</v>
      </c>
      <c r="AB182" s="77">
        <v>0.81649658092772615</v>
      </c>
      <c r="AC182" s="77">
        <v>3</v>
      </c>
      <c r="AD182" s="76">
        <v>8.25</v>
      </c>
      <c r="AE182" s="76">
        <v>0.82915619758884995</v>
      </c>
      <c r="AF182" s="77">
        <v>0.90453403373329089</v>
      </c>
      <c r="AG182" s="77">
        <v>3</v>
      </c>
      <c r="AH182" s="76">
        <v>6</v>
      </c>
      <c r="AI182" s="76">
        <v>0.70710678118654746</v>
      </c>
      <c r="AJ182" s="77">
        <v>1.4142135623730951</v>
      </c>
      <c r="AK182" s="77">
        <v>4</v>
      </c>
      <c r="AL182" s="76"/>
      <c r="AM182" s="76"/>
      <c r="AN182" s="77"/>
      <c r="AO182" s="77"/>
      <c r="AP182" s="76"/>
      <c r="AQ182" s="76"/>
      <c r="AR182" s="77"/>
      <c r="AS182" s="77"/>
      <c r="AT182" s="78">
        <v>0.9375</v>
      </c>
    </row>
    <row r="183" spans="1:46" ht="12.5" x14ac:dyDescent="0.25">
      <c r="A183" s="79">
        <v>44790.413905370369</v>
      </c>
      <c r="B183" s="80" t="s">
        <v>22</v>
      </c>
      <c r="C183" s="80" t="str">
        <f>INDEX(TBL_Name,MATCH(Table2[[#This Row],[Athlete Name]],listNames,0),2)</f>
        <v>Athlete 14</v>
      </c>
      <c r="D183" s="80" t="s">
        <v>130</v>
      </c>
      <c r="E183" s="80">
        <v>6</v>
      </c>
      <c r="F183" s="80">
        <v>6</v>
      </c>
      <c r="G183" s="80">
        <v>9</v>
      </c>
      <c r="H183" s="80" t="s">
        <v>402</v>
      </c>
      <c r="I183" s="80">
        <v>5</v>
      </c>
      <c r="J183" s="80"/>
      <c r="K183" s="80"/>
      <c r="L183" s="80"/>
      <c r="M183" s="1" t="s">
        <v>403</v>
      </c>
      <c r="N183" s="1">
        <v>34</v>
      </c>
      <c r="O183" s="1">
        <v>2</v>
      </c>
      <c r="P183" s="13">
        <v>44790</v>
      </c>
      <c r="Q183" s="1" t="s">
        <v>133</v>
      </c>
      <c r="R183" s="1" t="s">
        <v>64</v>
      </c>
      <c r="S183" s="1">
        <v>1</v>
      </c>
      <c r="T183" s="1"/>
      <c r="U183" s="1" t="s">
        <v>18</v>
      </c>
      <c r="V183" s="76">
        <v>6.2</v>
      </c>
      <c r="W183" s="76">
        <v>0.74833147735478822</v>
      </c>
      <c r="X183" s="77">
        <v>-0.26726124191242462</v>
      </c>
      <c r="Y183" s="77">
        <v>2</v>
      </c>
      <c r="Z183" s="76">
        <v>5.4</v>
      </c>
      <c r="AA183" s="76">
        <v>1.2</v>
      </c>
      <c r="AB183" s="77">
        <v>0.49999999999999972</v>
      </c>
      <c r="AC183" s="77">
        <v>3</v>
      </c>
      <c r="AD183" s="76">
        <v>8.6</v>
      </c>
      <c r="AE183" s="76">
        <v>0.48989794855663565</v>
      </c>
      <c r="AF183" s="77">
        <v>0.8164965809277267</v>
      </c>
      <c r="AG183" s="77">
        <v>3</v>
      </c>
      <c r="AH183" s="76">
        <v>4.8</v>
      </c>
      <c r="AI183" s="76">
        <v>1.16619037896906</v>
      </c>
      <c r="AJ183" s="77">
        <v>0.17149858514250901</v>
      </c>
      <c r="AK183" s="77">
        <v>3</v>
      </c>
      <c r="AL183" s="76"/>
      <c r="AM183" s="76"/>
      <c r="AN183" s="77"/>
      <c r="AO183" s="77"/>
      <c r="AP183" s="76"/>
      <c r="AQ183" s="76"/>
      <c r="AR183" s="77"/>
      <c r="AS183" s="77"/>
      <c r="AT183" s="78">
        <v>0.5625</v>
      </c>
    </row>
    <row r="184" spans="1:46" ht="12.5" x14ac:dyDescent="0.25">
      <c r="A184" s="79">
        <v>44790.414013692134</v>
      </c>
      <c r="B184" s="80" t="s">
        <v>10</v>
      </c>
      <c r="C184" s="80" t="str">
        <f>INDEX(TBL_Name,MATCH(Table2[[#This Row],[Athlete Name]],listNames,0),2)</f>
        <v>Athlete 5</v>
      </c>
      <c r="D184" s="80" t="s">
        <v>130</v>
      </c>
      <c r="E184" s="80">
        <v>7</v>
      </c>
      <c r="F184" s="80">
        <v>10</v>
      </c>
      <c r="G184" s="80">
        <v>9</v>
      </c>
      <c r="H184" s="80" t="s">
        <v>73</v>
      </c>
      <c r="I184" s="80">
        <v>8</v>
      </c>
      <c r="J184" s="80"/>
      <c r="K184" s="80"/>
      <c r="L184" s="80"/>
      <c r="M184" s="1" t="s">
        <v>404</v>
      </c>
      <c r="N184" s="1">
        <v>34</v>
      </c>
      <c r="O184" s="1">
        <v>2</v>
      </c>
      <c r="P184" s="13">
        <v>44790</v>
      </c>
      <c r="Q184" s="1" t="s">
        <v>133</v>
      </c>
      <c r="R184" s="1" t="s">
        <v>64</v>
      </c>
      <c r="S184" s="1">
        <v>1</v>
      </c>
      <c r="T184" s="1"/>
      <c r="U184" s="1" t="s">
        <v>11</v>
      </c>
      <c r="V184" s="76">
        <v>7.4285714285714288</v>
      </c>
      <c r="W184" s="76">
        <v>1.6781914463529615</v>
      </c>
      <c r="X184" s="77">
        <v>-0.25537695922762471</v>
      </c>
      <c r="Y184" s="77">
        <v>2</v>
      </c>
      <c r="Z184" s="76">
        <v>8.8571428571428577</v>
      </c>
      <c r="AA184" s="76">
        <v>0.83299312783504309</v>
      </c>
      <c r="AB184" s="77">
        <v>1.3719886811400699</v>
      </c>
      <c r="AC184" s="77">
        <v>4</v>
      </c>
      <c r="AD184" s="76">
        <v>8.6428571428571423</v>
      </c>
      <c r="AE184" s="76">
        <v>0.78895435837051853</v>
      </c>
      <c r="AF184" s="77">
        <v>0.45267873021259336</v>
      </c>
      <c r="AG184" s="77">
        <v>3</v>
      </c>
      <c r="AH184" s="76">
        <v>6.7142857142857144</v>
      </c>
      <c r="AI184" s="76">
        <v>1.0301575072754257</v>
      </c>
      <c r="AJ184" s="77">
        <v>1.2480754415067652</v>
      </c>
      <c r="AK184" s="77">
        <v>4</v>
      </c>
      <c r="AL184" s="76"/>
      <c r="AM184" s="76"/>
      <c r="AN184" s="77"/>
      <c r="AO184" s="77"/>
      <c r="AP184" s="76"/>
      <c r="AQ184" s="76"/>
      <c r="AR184" s="77"/>
      <c r="AS184" s="77"/>
      <c r="AT184" s="78">
        <v>0.75</v>
      </c>
    </row>
    <row r="185" spans="1:46" ht="12.5" x14ac:dyDescent="0.25">
      <c r="A185" s="79">
        <v>44790.414346620368</v>
      </c>
      <c r="B185" s="80" t="s">
        <v>12</v>
      </c>
      <c r="C185" s="80" t="str">
        <f>INDEX(TBL_Name,MATCH(Table2[[#This Row],[Athlete Name]],listNames,0),2)</f>
        <v>Athlete 6</v>
      </c>
      <c r="D185" s="80" t="s">
        <v>130</v>
      </c>
      <c r="E185" s="80">
        <v>10</v>
      </c>
      <c r="F185" s="80">
        <v>8</v>
      </c>
      <c r="G185" s="80">
        <v>8</v>
      </c>
      <c r="H185" s="80" t="s">
        <v>188</v>
      </c>
      <c r="I185" s="80">
        <v>3</v>
      </c>
      <c r="J185" s="80"/>
      <c r="K185" s="80"/>
      <c r="L185" s="80"/>
      <c r="M185" s="1" t="s">
        <v>405</v>
      </c>
      <c r="N185" s="1">
        <v>34</v>
      </c>
      <c r="O185" s="1">
        <v>2</v>
      </c>
      <c r="P185" s="13">
        <v>44790</v>
      </c>
      <c r="Q185" s="1" t="s">
        <v>133</v>
      </c>
      <c r="R185" s="1" t="s">
        <v>64</v>
      </c>
      <c r="S185" s="1">
        <v>1</v>
      </c>
      <c r="T185" s="1"/>
      <c r="U185" s="1" t="s">
        <v>11</v>
      </c>
      <c r="V185" s="76">
        <v>9.3333333333333339</v>
      </c>
      <c r="W185" s="76">
        <v>0.94280904158206325</v>
      </c>
      <c r="X185" s="77">
        <v>0.70710678118654702</v>
      </c>
      <c r="Y185" s="77">
        <v>3</v>
      </c>
      <c r="Z185" s="76">
        <v>6</v>
      </c>
      <c r="AA185" s="76">
        <v>1.6329931618554521</v>
      </c>
      <c r="AB185" s="77">
        <v>1.2247448713915889</v>
      </c>
      <c r="AC185" s="77">
        <v>4</v>
      </c>
      <c r="AD185" s="76">
        <v>7.666666666666667</v>
      </c>
      <c r="AE185" s="76">
        <v>0.47140452079103162</v>
      </c>
      <c r="AF185" s="77">
        <v>0.70710678118654702</v>
      </c>
      <c r="AG185" s="77">
        <v>3</v>
      </c>
      <c r="AH185" s="76">
        <v>2</v>
      </c>
      <c r="AI185" s="76">
        <v>0.81649658092772603</v>
      </c>
      <c r="AJ185" s="77">
        <v>1.2247448713915889</v>
      </c>
      <c r="AK185" s="77">
        <v>4</v>
      </c>
      <c r="AL185" s="76"/>
      <c r="AM185" s="76"/>
      <c r="AN185" s="77"/>
      <c r="AO185" s="77"/>
      <c r="AP185" s="76"/>
      <c r="AQ185" s="76"/>
      <c r="AR185" s="77"/>
      <c r="AS185" s="77"/>
      <c r="AT185" s="78">
        <v>0.375</v>
      </c>
    </row>
    <row r="186" spans="1:46" ht="12.5" x14ac:dyDescent="0.25">
      <c r="A186" s="79">
        <v>44790.414468356481</v>
      </c>
      <c r="B186" s="80" t="s">
        <v>27</v>
      </c>
      <c r="C186" s="80" t="str">
        <f>INDEX(TBL_Name,MATCH(Table2[[#This Row],[Athlete Name]],listNames,0),2)</f>
        <v>Athlete 17</v>
      </c>
      <c r="D186" s="80" t="s">
        <v>150</v>
      </c>
      <c r="E186" s="80">
        <v>4</v>
      </c>
      <c r="F186" s="80">
        <v>6</v>
      </c>
      <c r="G186" s="80">
        <v>7</v>
      </c>
      <c r="H186" s="80" t="s">
        <v>69</v>
      </c>
      <c r="I186" s="80">
        <v>5</v>
      </c>
      <c r="J186" s="80"/>
      <c r="K186" s="80"/>
      <c r="L186" s="80"/>
      <c r="M186" s="1" t="s">
        <v>406</v>
      </c>
      <c r="N186" s="1">
        <v>34</v>
      </c>
      <c r="O186" s="1">
        <v>2</v>
      </c>
      <c r="P186" s="13">
        <v>44790</v>
      </c>
      <c r="Q186" s="1" t="s">
        <v>133</v>
      </c>
      <c r="R186" s="1" t="s">
        <v>64</v>
      </c>
      <c r="S186" s="1">
        <v>3</v>
      </c>
      <c r="T186" s="1"/>
      <c r="U186" s="1" t="s">
        <v>28</v>
      </c>
      <c r="V186" s="76">
        <v>4.8571428571428568</v>
      </c>
      <c r="W186" s="76">
        <v>0.63887656499993983</v>
      </c>
      <c r="X186" s="77">
        <v>-1.3416407864998734</v>
      </c>
      <c r="Y186" s="77">
        <v>1</v>
      </c>
      <c r="Z186" s="76">
        <v>5.8571428571428568</v>
      </c>
      <c r="AA186" s="76">
        <v>0.63887656499993983</v>
      </c>
      <c r="AB186" s="77">
        <v>0.2236067977499796</v>
      </c>
      <c r="AC186" s="77">
        <v>3</v>
      </c>
      <c r="AD186" s="76">
        <v>7.4285714285714288</v>
      </c>
      <c r="AE186" s="76">
        <v>0.49487165930539345</v>
      </c>
      <c r="AF186" s="77">
        <v>-0.86602540378443926</v>
      </c>
      <c r="AG186" s="77">
        <v>2</v>
      </c>
      <c r="AH186" s="76">
        <v>5.2857142857142856</v>
      </c>
      <c r="AI186" s="76">
        <v>0.6998542122237652</v>
      </c>
      <c r="AJ186" s="77">
        <v>-0.4082482904638628</v>
      </c>
      <c r="AK186" s="77">
        <v>2</v>
      </c>
      <c r="AL186" s="76"/>
      <c r="AM186" s="76"/>
      <c r="AN186" s="77"/>
      <c r="AO186" s="77"/>
      <c r="AP186" s="76"/>
      <c r="AQ186" s="76"/>
      <c r="AR186" s="77"/>
      <c r="AS186" s="77"/>
      <c r="AT186" s="78">
        <v>0.75</v>
      </c>
    </row>
    <row r="187" spans="1:46" ht="12.5" x14ac:dyDescent="0.25">
      <c r="A187" s="79">
        <v>44790.414716712963</v>
      </c>
      <c r="B187" s="80" t="s">
        <v>25</v>
      </c>
      <c r="C187" s="80" t="str">
        <f>INDEX(TBL_Name,MATCH(Table2[[#This Row],[Athlete Name]],listNames,0),2)</f>
        <v>Athlete 23</v>
      </c>
      <c r="D187" s="80" t="s">
        <v>143</v>
      </c>
      <c r="E187" s="80">
        <v>9</v>
      </c>
      <c r="F187" s="80">
        <v>9</v>
      </c>
      <c r="G187" s="80">
        <v>10</v>
      </c>
      <c r="H187" s="80"/>
      <c r="I187" s="80">
        <v>9</v>
      </c>
      <c r="J187" s="80"/>
      <c r="K187" s="80"/>
      <c r="L187" s="80"/>
      <c r="M187" s="1" t="s">
        <v>407</v>
      </c>
      <c r="N187" s="1">
        <v>34</v>
      </c>
      <c r="O187" s="1">
        <v>2</v>
      </c>
      <c r="P187" s="13">
        <v>44790</v>
      </c>
      <c r="Q187" s="1" t="s">
        <v>133</v>
      </c>
      <c r="R187" s="1" t="s">
        <v>64</v>
      </c>
      <c r="S187" s="1">
        <v>2</v>
      </c>
      <c r="T187" s="1"/>
      <c r="U187" s="1" t="s">
        <v>26</v>
      </c>
      <c r="V187" s="76">
        <v>9</v>
      </c>
      <c r="W187" s="76">
        <v>0</v>
      </c>
      <c r="X187" s="77">
        <v>0</v>
      </c>
      <c r="Y187" s="77">
        <v>3</v>
      </c>
      <c r="Z187" s="76">
        <v>8.4</v>
      </c>
      <c r="AA187" s="76">
        <v>0.48989794855663554</v>
      </c>
      <c r="AB187" s="77">
        <v>1.2247448713915885</v>
      </c>
      <c r="AC187" s="77">
        <v>4</v>
      </c>
      <c r="AD187" s="76">
        <v>9</v>
      </c>
      <c r="AE187" s="76">
        <v>0.63245553203367577</v>
      </c>
      <c r="AF187" s="77">
        <v>1.58113883008419</v>
      </c>
      <c r="AG187" s="77">
        <v>4</v>
      </c>
      <c r="AH187" s="76">
        <v>8.6</v>
      </c>
      <c r="AI187" s="76">
        <v>0.48989794855663565</v>
      </c>
      <c r="AJ187" s="77">
        <v>0.8164965809277267</v>
      </c>
      <c r="AK187" s="77">
        <v>3</v>
      </c>
      <c r="AL187" s="76"/>
      <c r="AM187" s="76"/>
      <c r="AN187" s="77"/>
      <c r="AO187" s="77"/>
      <c r="AP187" s="76"/>
      <c r="AQ187" s="76"/>
      <c r="AR187" s="77"/>
      <c r="AS187" s="77"/>
      <c r="AT187" s="78">
        <v>0.75</v>
      </c>
    </row>
    <row r="188" spans="1:46" ht="12.5" x14ac:dyDescent="0.25">
      <c r="A188" s="79">
        <v>44790.414777199076</v>
      </c>
      <c r="B188" s="80" t="s">
        <v>19</v>
      </c>
      <c r="C188" s="80" t="str">
        <f>INDEX(TBL_Name,MATCH(Table2[[#This Row],[Athlete Name]],listNames,0),2)</f>
        <v>Athlete 11</v>
      </c>
      <c r="D188" s="80" t="s">
        <v>130</v>
      </c>
      <c r="E188" s="80">
        <v>4</v>
      </c>
      <c r="F188" s="80">
        <v>7</v>
      </c>
      <c r="G188" s="80">
        <v>7</v>
      </c>
      <c r="H188" s="80" t="s">
        <v>408</v>
      </c>
      <c r="I188" s="80">
        <v>5</v>
      </c>
      <c r="J188" s="80"/>
      <c r="K188" s="80"/>
      <c r="L188" s="80"/>
      <c r="M188" s="1" t="s">
        <v>409</v>
      </c>
      <c r="N188" s="1">
        <v>34</v>
      </c>
      <c r="O188" s="1">
        <v>2</v>
      </c>
      <c r="P188" s="13">
        <v>44790</v>
      </c>
      <c r="Q188" s="1" t="s">
        <v>133</v>
      </c>
      <c r="R188" s="1" t="s">
        <v>64</v>
      </c>
      <c r="S188" s="1">
        <v>1</v>
      </c>
      <c r="T188" s="1"/>
      <c r="U188" s="1" t="s">
        <v>18</v>
      </c>
      <c r="V188" s="76">
        <v>4.75</v>
      </c>
      <c r="W188" s="76">
        <v>0.82915619758884995</v>
      </c>
      <c r="X188" s="77">
        <v>-0.90453403373329089</v>
      </c>
      <c r="Y188" s="77">
        <v>2</v>
      </c>
      <c r="Z188" s="76">
        <v>6.25</v>
      </c>
      <c r="AA188" s="76">
        <v>0.82915619758884995</v>
      </c>
      <c r="AB188" s="77">
        <v>0.90453403373329089</v>
      </c>
      <c r="AC188" s="77">
        <v>3</v>
      </c>
      <c r="AD188" s="76">
        <v>6.25</v>
      </c>
      <c r="AE188" s="76">
        <v>0.82915619758884995</v>
      </c>
      <c r="AF188" s="77">
        <v>0.90453403373329089</v>
      </c>
      <c r="AG188" s="77">
        <v>3</v>
      </c>
      <c r="AH188" s="76">
        <v>4</v>
      </c>
      <c r="AI188" s="76">
        <v>0.70710678118654757</v>
      </c>
      <c r="AJ188" s="77">
        <v>1.4142135623730949</v>
      </c>
      <c r="AK188" s="77">
        <v>4</v>
      </c>
      <c r="AL188" s="76"/>
      <c r="AM188" s="76"/>
      <c r="AN188" s="77"/>
      <c r="AO188" s="77"/>
      <c r="AP188" s="76"/>
      <c r="AQ188" s="76"/>
      <c r="AR188" s="77"/>
      <c r="AS188" s="77"/>
      <c r="AT188" s="78">
        <v>0.8125</v>
      </c>
    </row>
    <row r="189" spans="1:46" ht="12.5" x14ac:dyDescent="0.25">
      <c r="A189" s="79">
        <v>44790.416720185181</v>
      </c>
      <c r="B189" s="80" t="s">
        <v>6</v>
      </c>
      <c r="C189" s="80" t="str">
        <f>INDEX(TBL_Name,MATCH(Table2[[#This Row],[Athlete Name]],listNames,0),2)</f>
        <v>Athlete 2</v>
      </c>
      <c r="D189" s="80" t="s">
        <v>130</v>
      </c>
      <c r="E189" s="80">
        <v>10</v>
      </c>
      <c r="F189" s="80">
        <v>7</v>
      </c>
      <c r="G189" s="80">
        <v>9</v>
      </c>
      <c r="H189" s="80" t="s">
        <v>193</v>
      </c>
      <c r="I189" s="80">
        <v>6</v>
      </c>
      <c r="J189" s="80"/>
      <c r="K189" s="80"/>
      <c r="L189" s="80"/>
      <c r="M189" s="1" t="s">
        <v>410</v>
      </c>
      <c r="N189" s="1">
        <v>34</v>
      </c>
      <c r="O189" s="1">
        <v>2</v>
      </c>
      <c r="P189" s="13">
        <v>44790</v>
      </c>
      <c r="Q189" s="1" t="s">
        <v>133</v>
      </c>
      <c r="R189" s="1" t="s">
        <v>64</v>
      </c>
      <c r="S189" s="1">
        <v>1</v>
      </c>
      <c r="T189" s="1"/>
      <c r="U189" s="1" t="s">
        <v>5</v>
      </c>
      <c r="V189" s="76">
        <v>10</v>
      </c>
      <c r="W189" s="76">
        <v>0</v>
      </c>
      <c r="X189" s="77">
        <v>0</v>
      </c>
      <c r="Y189" s="77">
        <v>3</v>
      </c>
      <c r="Z189" s="76">
        <v>7.2857142857142856</v>
      </c>
      <c r="AA189" s="76">
        <v>0.45175395145262576</v>
      </c>
      <c r="AB189" s="77">
        <v>-0.63245553203367544</v>
      </c>
      <c r="AC189" s="77">
        <v>2</v>
      </c>
      <c r="AD189" s="76">
        <v>8</v>
      </c>
      <c r="AE189" s="76">
        <v>0.7559289460184544</v>
      </c>
      <c r="AF189" s="77">
        <v>1.3228756555322954</v>
      </c>
      <c r="AG189" s="77">
        <v>4</v>
      </c>
      <c r="AH189" s="76">
        <v>5.1428571428571432</v>
      </c>
      <c r="AI189" s="76">
        <v>0.83299312783504287</v>
      </c>
      <c r="AJ189" s="77">
        <v>1.0289915108550527</v>
      </c>
      <c r="AK189" s="77">
        <v>4</v>
      </c>
      <c r="AL189" s="76"/>
      <c r="AM189" s="76"/>
      <c r="AN189" s="77"/>
      <c r="AO189" s="77"/>
      <c r="AP189" s="76"/>
      <c r="AQ189" s="76"/>
      <c r="AR189" s="77"/>
      <c r="AS189" s="77"/>
      <c r="AT189" s="78">
        <v>0.75</v>
      </c>
    </row>
    <row r="190" spans="1:46" ht="12.5" x14ac:dyDescent="0.25">
      <c r="A190" s="79">
        <v>44790.419334965278</v>
      </c>
      <c r="B190" s="80" t="s">
        <v>17</v>
      </c>
      <c r="C190" s="80" t="str">
        <f>INDEX(TBL_Name,MATCH(Table2[[#This Row],[Athlete Name]],listNames,0),2)</f>
        <v>Athlete 10</v>
      </c>
      <c r="D190" s="80" t="s">
        <v>143</v>
      </c>
      <c r="E190" s="80">
        <v>9</v>
      </c>
      <c r="F190" s="80">
        <v>10</v>
      </c>
      <c r="G190" s="80">
        <v>10</v>
      </c>
      <c r="H190" s="80" t="s">
        <v>226</v>
      </c>
      <c r="I190" s="80">
        <v>8</v>
      </c>
      <c r="J190" s="80"/>
      <c r="K190" s="80"/>
      <c r="L190" s="80"/>
      <c r="M190" s="1" t="s">
        <v>411</v>
      </c>
      <c r="N190" s="1">
        <v>34</v>
      </c>
      <c r="O190" s="1">
        <v>2</v>
      </c>
      <c r="P190" s="13">
        <v>44790</v>
      </c>
      <c r="Q190" s="1" t="s">
        <v>133</v>
      </c>
      <c r="R190" s="1" t="s">
        <v>64</v>
      </c>
      <c r="S190" s="1">
        <v>2</v>
      </c>
      <c r="T190" s="1"/>
      <c r="U190" s="1" t="s">
        <v>18</v>
      </c>
      <c r="V190" s="76">
        <v>9.3333333333333339</v>
      </c>
      <c r="W190" s="76">
        <v>0.47140452079103162</v>
      </c>
      <c r="X190" s="77">
        <v>-0.70710678118654891</v>
      </c>
      <c r="Y190" s="77">
        <v>2</v>
      </c>
      <c r="Z190" s="76">
        <v>7.666666666666667</v>
      </c>
      <c r="AA190" s="76">
        <v>1.49071198499986</v>
      </c>
      <c r="AB190" s="77">
        <v>1.5652475842498523</v>
      </c>
      <c r="AC190" s="77">
        <v>4</v>
      </c>
      <c r="AD190" s="76">
        <v>8.5</v>
      </c>
      <c r="AE190" s="76">
        <v>1.2583057392117918</v>
      </c>
      <c r="AF190" s="77">
        <v>1.1920791213585393</v>
      </c>
      <c r="AG190" s="77">
        <v>4</v>
      </c>
      <c r="AH190" s="76">
        <v>7.5</v>
      </c>
      <c r="AI190" s="76">
        <v>0.49999999999999994</v>
      </c>
      <c r="AJ190" s="77">
        <v>1.0000000000000002</v>
      </c>
      <c r="AK190" s="77">
        <v>4</v>
      </c>
      <c r="AL190" s="76"/>
      <c r="AM190" s="76"/>
      <c r="AN190" s="77"/>
      <c r="AO190" s="77"/>
      <c r="AP190" s="76"/>
      <c r="AQ190" s="76"/>
      <c r="AR190" s="77"/>
      <c r="AS190" s="77"/>
      <c r="AT190" s="78">
        <v>0.6875</v>
      </c>
    </row>
    <row r="191" spans="1:46" ht="12.5" x14ac:dyDescent="0.25">
      <c r="A191" s="79">
        <v>44790.427868750005</v>
      </c>
      <c r="B191" s="80" t="s">
        <v>159</v>
      </c>
      <c r="C191" s="80" t="str">
        <f>INDEX(TBL_Name,MATCH(Table2[[#This Row],[Athlete Name]],listNames,0),2)</f>
        <v>Athlete 25</v>
      </c>
      <c r="D191" s="80" t="s">
        <v>130</v>
      </c>
      <c r="E191" s="80">
        <v>7</v>
      </c>
      <c r="F191" s="80">
        <v>7</v>
      </c>
      <c r="G191" s="80">
        <v>9</v>
      </c>
      <c r="H191" s="80"/>
      <c r="I191" s="80">
        <v>6</v>
      </c>
      <c r="J191" s="80"/>
      <c r="K191" s="80"/>
      <c r="L191" s="80"/>
      <c r="M191" s="1" t="s">
        <v>412</v>
      </c>
      <c r="N191" s="1">
        <v>34</v>
      </c>
      <c r="O191" s="1">
        <v>2</v>
      </c>
      <c r="P191" s="13">
        <v>44790</v>
      </c>
      <c r="Q191" s="1" t="s">
        <v>133</v>
      </c>
      <c r="R191" s="1" t="s">
        <v>64</v>
      </c>
      <c r="S191" s="1">
        <v>1</v>
      </c>
      <c r="T191" s="1"/>
      <c r="U191" s="1" t="s">
        <v>28</v>
      </c>
      <c r="V191" s="76">
        <v>7</v>
      </c>
      <c r="W191" s="76">
        <v>0</v>
      </c>
      <c r="X191" s="77">
        <v>0</v>
      </c>
      <c r="Y191" s="77">
        <v>3</v>
      </c>
      <c r="Z191" s="76">
        <v>6</v>
      </c>
      <c r="AA191" s="76">
        <v>1</v>
      </c>
      <c r="AB191" s="77">
        <v>1</v>
      </c>
      <c r="AC191" s="77">
        <v>4</v>
      </c>
      <c r="AD191" s="76">
        <v>8</v>
      </c>
      <c r="AE191" s="76">
        <v>1</v>
      </c>
      <c r="AF191" s="77">
        <v>1</v>
      </c>
      <c r="AG191" s="77">
        <v>4</v>
      </c>
      <c r="AH191" s="76">
        <v>6.5</v>
      </c>
      <c r="AI191" s="76">
        <v>0.5</v>
      </c>
      <c r="AJ191" s="77">
        <v>-1</v>
      </c>
      <c r="AK191" s="77">
        <v>1</v>
      </c>
      <c r="AL191" s="76"/>
      <c r="AM191" s="76"/>
      <c r="AN191" s="77"/>
      <c r="AO191" s="77"/>
      <c r="AP191" s="76"/>
      <c r="AQ191" s="76"/>
      <c r="AR191" s="77"/>
      <c r="AS191" s="77"/>
      <c r="AT191" s="78">
        <v>0.75</v>
      </c>
    </row>
    <row r="192" spans="1:46" ht="12.5" x14ac:dyDescent="0.25">
      <c r="A192" s="79">
        <v>44790.433761493055</v>
      </c>
      <c r="B192" s="80" t="s">
        <v>185</v>
      </c>
      <c r="C192" s="80" t="str">
        <f>INDEX(TBL_Name,MATCH(Table2[[#This Row],[Athlete Name]],listNames,0),2)</f>
        <v>Athlete 30</v>
      </c>
      <c r="D192" s="80" t="s">
        <v>130</v>
      </c>
      <c r="E192" s="80">
        <v>8</v>
      </c>
      <c r="F192" s="80">
        <v>6</v>
      </c>
      <c r="G192" s="80">
        <v>9</v>
      </c>
      <c r="H192" s="80" t="s">
        <v>186</v>
      </c>
      <c r="I192" s="80">
        <v>4</v>
      </c>
      <c r="J192" s="80"/>
      <c r="K192" s="80"/>
      <c r="L192" s="80"/>
      <c r="M192" s="1" t="s">
        <v>413</v>
      </c>
      <c r="N192" s="1">
        <v>34</v>
      </c>
      <c r="O192" s="1">
        <v>2</v>
      </c>
      <c r="P192" s="13">
        <v>44790</v>
      </c>
      <c r="Q192" s="1" t="s">
        <v>133</v>
      </c>
      <c r="R192" s="1" t="s">
        <v>64</v>
      </c>
      <c r="S192" s="1">
        <v>1</v>
      </c>
      <c r="T192" s="1"/>
      <c r="U192" s="1" t="s">
        <v>26</v>
      </c>
      <c r="V192" s="76">
        <v>8.5</v>
      </c>
      <c r="W192" s="76">
        <v>0.9574271077563381</v>
      </c>
      <c r="X192" s="77">
        <v>-0.5222329678670935</v>
      </c>
      <c r="Y192" s="77">
        <v>2</v>
      </c>
      <c r="Z192" s="76">
        <v>5.333333333333333</v>
      </c>
      <c r="AA192" s="76">
        <v>0.94280904158206325</v>
      </c>
      <c r="AB192" s="77">
        <v>0.70710678118654791</v>
      </c>
      <c r="AC192" s="77">
        <v>3</v>
      </c>
      <c r="AD192" s="76">
        <v>6.833333333333333</v>
      </c>
      <c r="AE192" s="76">
        <v>1.5723301886761005</v>
      </c>
      <c r="AF192" s="77">
        <v>1.3779972440082682</v>
      </c>
      <c r="AG192" s="77">
        <v>4</v>
      </c>
      <c r="AH192" s="76">
        <v>4.166666666666667</v>
      </c>
      <c r="AI192" s="76">
        <v>1.0671873729054748</v>
      </c>
      <c r="AJ192" s="77">
        <v>-0.15617376188860635</v>
      </c>
      <c r="AK192" s="77">
        <v>2</v>
      </c>
      <c r="AL192" s="76"/>
      <c r="AM192" s="76"/>
      <c r="AN192" s="77"/>
      <c r="AO192" s="77"/>
      <c r="AP192" s="76"/>
      <c r="AQ192" s="76"/>
      <c r="AR192" s="77"/>
      <c r="AS192" s="77"/>
      <c r="AT192" s="78">
        <v>0.4375</v>
      </c>
    </row>
    <row r="193" spans="1:46" ht="12.5" x14ac:dyDescent="0.25">
      <c r="A193" s="79">
        <v>44790.434558854162</v>
      </c>
      <c r="B193" s="80" t="s">
        <v>168</v>
      </c>
      <c r="C193" s="80" t="str">
        <f>INDEX(TBL_Name,MATCH(Table2[[#This Row],[Athlete Name]],listNames,0),2)</f>
        <v>Athlete 26</v>
      </c>
      <c r="D193" s="80" t="s">
        <v>143</v>
      </c>
      <c r="E193" s="80">
        <v>7</v>
      </c>
      <c r="F193" s="80">
        <v>9</v>
      </c>
      <c r="G193" s="80">
        <v>9</v>
      </c>
      <c r="H193" s="80" t="s">
        <v>169</v>
      </c>
      <c r="I193" s="80">
        <v>8</v>
      </c>
      <c r="J193" s="80"/>
      <c r="K193" s="80"/>
      <c r="L193" s="80"/>
      <c r="M193" s="1" t="s">
        <v>414</v>
      </c>
      <c r="N193" s="1">
        <v>34</v>
      </c>
      <c r="O193" s="1">
        <v>2</v>
      </c>
      <c r="P193" s="13">
        <v>44790</v>
      </c>
      <c r="Q193" s="1" t="s">
        <v>133</v>
      </c>
      <c r="R193" s="1" t="s">
        <v>64</v>
      </c>
      <c r="S193" s="1">
        <v>2</v>
      </c>
      <c r="T193" s="1"/>
      <c r="U193" s="1" t="s">
        <v>5</v>
      </c>
      <c r="V193" s="76">
        <v>7.2857142857142856</v>
      </c>
      <c r="W193" s="76">
        <v>0.88063057185271076</v>
      </c>
      <c r="X193" s="77">
        <v>-0.32444284226152498</v>
      </c>
      <c r="Y193" s="77">
        <v>2</v>
      </c>
      <c r="Z193" s="76">
        <v>7.4285714285714288</v>
      </c>
      <c r="AA193" s="76">
        <v>1.3997084244475306</v>
      </c>
      <c r="AB193" s="77">
        <v>1.1226827987756229</v>
      </c>
      <c r="AC193" s="77">
        <v>4</v>
      </c>
      <c r="AD193" s="76">
        <v>7.8571428571428568</v>
      </c>
      <c r="AE193" s="76">
        <v>0.83299312783504276</v>
      </c>
      <c r="AF193" s="77">
        <v>1.3719886811400714</v>
      </c>
      <c r="AG193" s="77">
        <v>4</v>
      </c>
      <c r="AH193" s="76">
        <v>5.5714285714285712</v>
      </c>
      <c r="AI193" s="76">
        <v>1.3997084244475306</v>
      </c>
      <c r="AJ193" s="77">
        <v>1.7350552344714176</v>
      </c>
      <c r="AK193" s="77">
        <v>4</v>
      </c>
      <c r="AL193" s="76"/>
      <c r="AM193" s="76"/>
      <c r="AN193" s="77"/>
      <c r="AO193" s="77"/>
      <c r="AP193" s="76"/>
      <c r="AQ193" s="76"/>
      <c r="AR193" s="77"/>
      <c r="AS193" s="77"/>
      <c r="AT193" s="78">
        <v>0.8125</v>
      </c>
    </row>
    <row r="194" spans="1:46" ht="12.5" x14ac:dyDescent="0.25">
      <c r="A194" s="79">
        <v>44790.44409261574</v>
      </c>
      <c r="B194" s="80" t="s">
        <v>136</v>
      </c>
      <c r="C194" s="80" t="str">
        <f>INDEX(TBL_Name,MATCH(Table2[[#This Row],[Athlete Name]],listNames,0),2)</f>
        <v>Athlete 20</v>
      </c>
      <c r="D194" s="80" t="s">
        <v>130</v>
      </c>
      <c r="E194" s="80">
        <v>8</v>
      </c>
      <c r="F194" s="80">
        <v>6</v>
      </c>
      <c r="G194" s="80">
        <v>7</v>
      </c>
      <c r="H194" s="80" t="s">
        <v>415</v>
      </c>
      <c r="I194" s="80">
        <v>8</v>
      </c>
      <c r="J194" s="80"/>
      <c r="K194" s="80"/>
      <c r="L194" s="80"/>
      <c r="M194" s="1" t="s">
        <v>416</v>
      </c>
      <c r="N194" s="1">
        <v>34</v>
      </c>
      <c r="O194" s="1">
        <v>2</v>
      </c>
      <c r="P194" s="13">
        <v>44790</v>
      </c>
      <c r="Q194" s="1" t="s">
        <v>133</v>
      </c>
      <c r="R194" s="1" t="s">
        <v>64</v>
      </c>
      <c r="S194" s="1">
        <v>1</v>
      </c>
      <c r="T194" s="1"/>
      <c r="U194" s="1" t="s">
        <v>18</v>
      </c>
      <c r="V194" s="76">
        <v>8</v>
      </c>
      <c r="W194" s="76">
        <v>0</v>
      </c>
      <c r="X194" s="77">
        <v>0</v>
      </c>
      <c r="Y194" s="77">
        <v>3</v>
      </c>
      <c r="Z194" s="76">
        <v>6</v>
      </c>
      <c r="AA194" s="76">
        <v>0</v>
      </c>
      <c r="AB194" s="77">
        <v>0</v>
      </c>
      <c r="AC194" s="77">
        <v>3</v>
      </c>
      <c r="AD194" s="76">
        <v>7</v>
      </c>
      <c r="AE194" s="76">
        <v>0</v>
      </c>
      <c r="AF194" s="77">
        <v>0</v>
      </c>
      <c r="AG194" s="77">
        <v>3</v>
      </c>
      <c r="AH194" s="76">
        <v>8</v>
      </c>
      <c r="AI194" s="76">
        <v>0</v>
      </c>
      <c r="AJ194" s="77">
        <v>0</v>
      </c>
      <c r="AK194" s="77">
        <v>3</v>
      </c>
      <c r="AL194" s="76"/>
      <c r="AM194" s="76"/>
      <c r="AN194" s="77"/>
      <c r="AO194" s="77"/>
      <c r="AP194" s="76"/>
      <c r="AQ194" s="76"/>
      <c r="AR194" s="77"/>
      <c r="AS194" s="77"/>
      <c r="AT194" s="78">
        <v>0.75</v>
      </c>
    </row>
    <row r="195" spans="1:46" ht="12.5" x14ac:dyDescent="0.25">
      <c r="A195" s="79">
        <v>44790.448860613425</v>
      </c>
      <c r="B195" s="80" t="s">
        <v>20</v>
      </c>
      <c r="C195" s="80" t="str">
        <f>INDEX(TBL_Name,MATCH(Table2[[#This Row],[Athlete Name]],listNames,0),2)</f>
        <v>Athlete 12</v>
      </c>
      <c r="D195" s="80" t="s">
        <v>130</v>
      </c>
      <c r="E195" s="80">
        <v>6</v>
      </c>
      <c r="F195" s="80">
        <v>7</v>
      </c>
      <c r="G195" s="80">
        <v>9</v>
      </c>
      <c r="H195" s="80" t="s">
        <v>417</v>
      </c>
      <c r="I195" s="80">
        <v>8</v>
      </c>
      <c r="J195" s="80"/>
      <c r="K195" s="80"/>
      <c r="L195" s="80"/>
      <c r="M195" s="1" t="s">
        <v>418</v>
      </c>
      <c r="N195" s="1">
        <v>34</v>
      </c>
      <c r="O195" s="1">
        <v>2</v>
      </c>
      <c r="P195" s="13">
        <v>44790</v>
      </c>
      <c r="Q195" s="1" t="s">
        <v>133</v>
      </c>
      <c r="R195" s="1" t="s">
        <v>64</v>
      </c>
      <c r="S195" s="1">
        <v>1</v>
      </c>
      <c r="T195" s="1"/>
      <c r="U195" s="1" t="s">
        <v>18</v>
      </c>
      <c r="V195" s="76">
        <v>6</v>
      </c>
      <c r="W195" s="76">
        <v>0</v>
      </c>
      <c r="X195" s="77">
        <v>0</v>
      </c>
      <c r="Y195" s="77">
        <v>3</v>
      </c>
      <c r="Z195" s="76">
        <v>7</v>
      </c>
      <c r="AA195" s="76">
        <v>0</v>
      </c>
      <c r="AB195" s="77">
        <v>0</v>
      </c>
      <c r="AC195" s="77">
        <v>3</v>
      </c>
      <c r="AD195" s="76">
        <v>9</v>
      </c>
      <c r="AE195" s="76">
        <v>0</v>
      </c>
      <c r="AF195" s="77">
        <v>0</v>
      </c>
      <c r="AG195" s="77">
        <v>3</v>
      </c>
      <c r="AH195" s="76">
        <v>8</v>
      </c>
      <c r="AI195" s="76">
        <v>0</v>
      </c>
      <c r="AJ195" s="77">
        <v>0</v>
      </c>
      <c r="AK195" s="77">
        <v>3</v>
      </c>
      <c r="AL195" s="76"/>
      <c r="AM195" s="76"/>
      <c r="AN195" s="77"/>
      <c r="AO195" s="77"/>
      <c r="AP195" s="76"/>
      <c r="AQ195" s="76"/>
      <c r="AR195" s="77"/>
      <c r="AS195" s="77"/>
      <c r="AT195" s="78">
        <v>0.75</v>
      </c>
    </row>
    <row r="196" spans="1:46" ht="12.5" x14ac:dyDescent="0.25">
      <c r="A196" s="79">
        <v>44790.587580115738</v>
      </c>
      <c r="B196" s="80" t="s">
        <v>16</v>
      </c>
      <c r="C196" s="80" t="str">
        <f>INDEX(TBL_Name,MATCH(Table2[[#This Row],[Athlete Name]],listNames,0),2)</f>
        <v>Athlete 9</v>
      </c>
      <c r="D196" s="80" t="s">
        <v>130</v>
      </c>
      <c r="E196" s="80">
        <v>6</v>
      </c>
      <c r="F196" s="80">
        <v>7</v>
      </c>
      <c r="G196" s="80">
        <v>8</v>
      </c>
      <c r="H196" s="80" t="s">
        <v>415</v>
      </c>
      <c r="I196" s="80">
        <v>6</v>
      </c>
      <c r="J196" s="80"/>
      <c r="K196" s="80"/>
      <c r="L196" s="80"/>
      <c r="M196" s="1" t="s">
        <v>419</v>
      </c>
      <c r="N196" s="1">
        <v>34</v>
      </c>
      <c r="O196" s="1">
        <v>2</v>
      </c>
      <c r="P196" s="13">
        <v>44790</v>
      </c>
      <c r="Q196" s="1" t="s">
        <v>133</v>
      </c>
      <c r="R196" s="1" t="s">
        <v>64</v>
      </c>
      <c r="S196" s="1">
        <v>1</v>
      </c>
      <c r="T196" s="1"/>
      <c r="U196" s="1" t="s">
        <v>14</v>
      </c>
      <c r="V196" s="76">
        <v>5.666666666666667</v>
      </c>
      <c r="W196" s="76">
        <v>0.47140452079103162</v>
      </c>
      <c r="X196" s="77">
        <v>0.70710678118654702</v>
      </c>
      <c r="Y196" s="77">
        <v>3</v>
      </c>
      <c r="Z196" s="76">
        <v>7.333333333333333</v>
      </c>
      <c r="AA196" s="76">
        <v>0.47140452079103162</v>
      </c>
      <c r="AB196" s="77">
        <v>-0.70710678118654702</v>
      </c>
      <c r="AC196" s="77">
        <v>2</v>
      </c>
      <c r="AD196" s="76">
        <v>7.666666666666667</v>
      </c>
      <c r="AE196" s="76">
        <v>0.47140452079103162</v>
      </c>
      <c r="AF196" s="77">
        <v>0.70710678118654702</v>
      </c>
      <c r="AG196" s="77">
        <v>3</v>
      </c>
      <c r="AH196" s="76">
        <v>5</v>
      </c>
      <c r="AI196" s="76">
        <v>0.81649658092772603</v>
      </c>
      <c r="AJ196" s="77">
        <v>1.2247448713915889</v>
      </c>
      <c r="AK196" s="77">
        <v>4</v>
      </c>
      <c r="AL196" s="76"/>
      <c r="AM196" s="76"/>
      <c r="AN196" s="77"/>
      <c r="AO196" s="77"/>
      <c r="AP196" s="76"/>
      <c r="AQ196" s="76"/>
      <c r="AR196" s="77"/>
      <c r="AS196" s="77"/>
      <c r="AT196" s="78">
        <v>0.875</v>
      </c>
    </row>
    <row r="197" spans="1:46" ht="12.5" x14ac:dyDescent="0.25">
      <c r="A197" s="79">
        <v>44790.650558981477</v>
      </c>
      <c r="B197" s="80" t="s">
        <v>15</v>
      </c>
      <c r="C197" s="80" t="str">
        <f>INDEX(TBL_Name,MATCH(Table2[[#This Row],[Athlete Name]],listNames,0),2)</f>
        <v>Athlete 8</v>
      </c>
      <c r="D197" s="80" t="s">
        <v>130</v>
      </c>
      <c r="E197" s="80">
        <v>9</v>
      </c>
      <c r="F197" s="80">
        <v>10</v>
      </c>
      <c r="G197" s="80">
        <v>9</v>
      </c>
      <c r="H197" s="80" t="s">
        <v>131</v>
      </c>
      <c r="I197" s="80">
        <v>6</v>
      </c>
      <c r="J197" s="80"/>
      <c r="K197" s="80"/>
      <c r="L197" s="80"/>
      <c r="M197" s="1" t="s">
        <v>420</v>
      </c>
      <c r="N197" s="1">
        <v>34</v>
      </c>
      <c r="O197" s="1">
        <v>2</v>
      </c>
      <c r="P197" s="13">
        <v>44790</v>
      </c>
      <c r="Q197" s="1" t="s">
        <v>133</v>
      </c>
      <c r="R197" s="1" t="s">
        <v>64</v>
      </c>
      <c r="S197" s="1">
        <v>1</v>
      </c>
      <c r="T197" s="1"/>
      <c r="U197" s="1" t="s">
        <v>14</v>
      </c>
      <c r="V197" s="76">
        <v>9.8000000000000007</v>
      </c>
      <c r="W197" s="76">
        <v>0.40000000000000019</v>
      </c>
      <c r="X197" s="77">
        <v>-2.0000000000000009</v>
      </c>
      <c r="Y197" s="77">
        <v>1</v>
      </c>
      <c r="Z197" s="76">
        <v>8.6</v>
      </c>
      <c r="AA197" s="76">
        <v>2.3323807579381199</v>
      </c>
      <c r="AB197" s="77">
        <v>0.6002450479987812</v>
      </c>
      <c r="AC197" s="77">
        <v>3</v>
      </c>
      <c r="AD197" s="76">
        <v>8.6</v>
      </c>
      <c r="AE197" s="76">
        <v>0.80000000000000016</v>
      </c>
      <c r="AF197" s="77">
        <v>0.50000000000000033</v>
      </c>
      <c r="AG197" s="77">
        <v>3</v>
      </c>
      <c r="AH197" s="76">
        <v>4.2</v>
      </c>
      <c r="AI197" s="76">
        <v>1.16619037896906</v>
      </c>
      <c r="AJ197" s="77">
        <v>1.5434872662825796</v>
      </c>
      <c r="AK197" s="77">
        <v>4</v>
      </c>
      <c r="AL197" s="76"/>
      <c r="AM197" s="76"/>
      <c r="AN197" s="77"/>
      <c r="AO197" s="77"/>
      <c r="AP197" s="76"/>
      <c r="AQ197" s="76"/>
      <c r="AR197" s="77"/>
      <c r="AS197" s="77"/>
      <c r="AT197" s="78">
        <v>0.375</v>
      </c>
    </row>
    <row r="198" spans="1:46" ht="12.5" x14ac:dyDescent="0.25">
      <c r="A198" s="79">
        <v>44791.271475902773</v>
      </c>
      <c r="B198" s="80" t="s">
        <v>148</v>
      </c>
      <c r="C198" s="80" t="str">
        <f>INDEX(TBL_Name,MATCH(Table2[[#This Row],[Athlete Name]],listNames,0),2)</f>
        <v>Athlete 22</v>
      </c>
      <c r="D198" s="80" t="s">
        <v>130</v>
      </c>
      <c r="E198" s="80">
        <v>10</v>
      </c>
      <c r="F198" s="80">
        <v>4</v>
      </c>
      <c r="G198" s="80">
        <v>6</v>
      </c>
      <c r="H198" s="80" t="s">
        <v>69</v>
      </c>
      <c r="I198" s="80">
        <v>9</v>
      </c>
      <c r="J198" s="80"/>
      <c r="K198" s="80"/>
      <c r="L198" s="80"/>
      <c r="M198" s="1" t="s">
        <v>421</v>
      </c>
      <c r="N198" s="1">
        <v>34</v>
      </c>
      <c r="O198" s="1">
        <v>2</v>
      </c>
      <c r="P198" s="13">
        <v>44791</v>
      </c>
      <c r="Q198" s="1" t="s">
        <v>133</v>
      </c>
      <c r="R198" s="1" t="s">
        <v>64</v>
      </c>
      <c r="S198" s="1">
        <v>1</v>
      </c>
      <c r="T198" s="1"/>
      <c r="U198" s="1" t="s">
        <v>11</v>
      </c>
      <c r="V198" s="76">
        <v>9.8000000000000007</v>
      </c>
      <c r="W198" s="76">
        <v>0.40000000000000008</v>
      </c>
      <c r="X198" s="77">
        <v>0.49999999999999811</v>
      </c>
      <c r="Y198" s="77">
        <v>3</v>
      </c>
      <c r="Z198" s="76">
        <v>6.2</v>
      </c>
      <c r="AA198" s="76">
        <v>2.0396078054371141</v>
      </c>
      <c r="AB198" s="77">
        <v>-1.0786387432600122</v>
      </c>
      <c r="AC198" s="77">
        <v>1</v>
      </c>
      <c r="AD198" s="76">
        <v>8.6</v>
      </c>
      <c r="AE198" s="76">
        <v>1.3564659966250536</v>
      </c>
      <c r="AF198" s="77">
        <v>-1.9167454300136624</v>
      </c>
      <c r="AG198" s="77">
        <v>1</v>
      </c>
      <c r="AH198" s="76">
        <v>6.8</v>
      </c>
      <c r="AI198" s="76">
        <v>1.9390719429665317</v>
      </c>
      <c r="AJ198" s="77">
        <v>1.1345633708846727</v>
      </c>
      <c r="AK198" s="77">
        <v>4</v>
      </c>
      <c r="AL198" s="76"/>
      <c r="AM198" s="76"/>
      <c r="AN198" s="77"/>
      <c r="AO198" s="77"/>
      <c r="AP198" s="76"/>
      <c r="AQ198" s="76"/>
      <c r="AR198" s="77"/>
      <c r="AS198" s="77"/>
      <c r="AT198" s="78">
        <v>0.375</v>
      </c>
    </row>
    <row r="199" spans="1:46" ht="12.5" x14ac:dyDescent="0.25">
      <c r="A199" s="79">
        <v>44791.281163321764</v>
      </c>
      <c r="B199" s="80" t="s">
        <v>196</v>
      </c>
      <c r="C199" s="80" t="str">
        <f>INDEX(TBL_Name,MATCH(Table2[[#This Row],[Athlete Name]],listNames,0),2)</f>
        <v>Athlete 31</v>
      </c>
      <c r="D199" s="80" t="s">
        <v>130</v>
      </c>
      <c r="E199" s="80">
        <v>8</v>
      </c>
      <c r="F199" s="80">
        <v>7</v>
      </c>
      <c r="G199" s="80">
        <v>8</v>
      </c>
      <c r="H199" s="80" t="s">
        <v>66</v>
      </c>
      <c r="I199" s="80">
        <v>8</v>
      </c>
      <c r="J199" s="80"/>
      <c r="K199" s="80"/>
      <c r="L199" s="80"/>
      <c r="M199" s="1" t="s">
        <v>422</v>
      </c>
      <c r="N199" s="1">
        <v>34</v>
      </c>
      <c r="O199" s="1">
        <v>2</v>
      </c>
      <c r="P199" s="13">
        <v>44791</v>
      </c>
      <c r="Q199" s="1" t="s">
        <v>133</v>
      </c>
      <c r="R199" s="1" t="s">
        <v>64</v>
      </c>
      <c r="S199" s="1">
        <v>1</v>
      </c>
      <c r="T199" s="1"/>
      <c r="U199" s="1" t="s">
        <v>28</v>
      </c>
      <c r="V199" s="76">
        <v>6.166666666666667</v>
      </c>
      <c r="W199" s="76">
        <v>1.0671873729054748</v>
      </c>
      <c r="X199" s="77">
        <v>1.7179113807746664</v>
      </c>
      <c r="Y199" s="77">
        <v>4</v>
      </c>
      <c r="Z199" s="76">
        <v>7.5</v>
      </c>
      <c r="AA199" s="76">
        <v>0.95742710775633821</v>
      </c>
      <c r="AB199" s="77">
        <v>-0.5222329678670935</v>
      </c>
      <c r="AC199" s="77">
        <v>2</v>
      </c>
      <c r="AD199" s="76">
        <v>7.666666666666667</v>
      </c>
      <c r="AE199" s="76">
        <v>0.94280904158206347</v>
      </c>
      <c r="AF199" s="77">
        <v>0.3535533905932734</v>
      </c>
      <c r="AG199" s="77">
        <v>3</v>
      </c>
      <c r="AH199" s="76">
        <v>7.166666666666667</v>
      </c>
      <c r="AI199" s="76">
        <v>1.2133516482134199</v>
      </c>
      <c r="AJ199" s="77">
        <v>0.68680281974344481</v>
      </c>
      <c r="AK199" s="77">
        <v>3</v>
      </c>
      <c r="AL199" s="76"/>
      <c r="AM199" s="76"/>
      <c r="AN199" s="77"/>
      <c r="AO199" s="77"/>
      <c r="AP199" s="76"/>
      <c r="AQ199" s="76"/>
      <c r="AR199" s="77"/>
      <c r="AS199" s="77"/>
      <c r="AT199" s="78">
        <v>0.9375</v>
      </c>
    </row>
    <row r="200" spans="1:46" ht="12.5" x14ac:dyDescent="0.25">
      <c r="A200" s="79">
        <v>44791.324889837968</v>
      </c>
      <c r="B200" s="80" t="s">
        <v>17</v>
      </c>
      <c r="C200" s="80" t="str">
        <f>INDEX(TBL_Name,MATCH(Table2[[#This Row],[Athlete Name]],listNames,0),2)</f>
        <v>Athlete 10</v>
      </c>
      <c r="D200" s="80" t="s">
        <v>130</v>
      </c>
      <c r="E200" s="80">
        <v>9</v>
      </c>
      <c r="F200" s="80">
        <v>6</v>
      </c>
      <c r="G200" s="80">
        <v>9</v>
      </c>
      <c r="H200" s="80" t="s">
        <v>226</v>
      </c>
      <c r="I200" s="80">
        <v>6</v>
      </c>
      <c r="J200" s="80"/>
      <c r="K200" s="80"/>
      <c r="L200" s="80"/>
      <c r="M200" s="1" t="s">
        <v>423</v>
      </c>
      <c r="N200" s="1">
        <v>34</v>
      </c>
      <c r="O200" s="1">
        <v>2</v>
      </c>
      <c r="P200" s="13">
        <v>44791</v>
      </c>
      <c r="Q200" s="1" t="s">
        <v>133</v>
      </c>
      <c r="R200" s="1" t="s">
        <v>64</v>
      </c>
      <c r="S200" s="1">
        <v>1</v>
      </c>
      <c r="T200" s="1"/>
      <c r="U200" s="1" t="s">
        <v>18</v>
      </c>
      <c r="V200" s="76">
        <v>9.1666666666666661</v>
      </c>
      <c r="W200" s="76">
        <v>0.37267799624996495</v>
      </c>
      <c r="X200" s="77">
        <v>-0.44721359549995637</v>
      </c>
      <c r="Y200" s="77">
        <v>2</v>
      </c>
      <c r="Z200" s="76">
        <v>7.166666666666667</v>
      </c>
      <c r="AA200" s="76">
        <v>1.4624940645653537</v>
      </c>
      <c r="AB200" s="77">
        <v>-0.79772403521746582</v>
      </c>
      <c r="AC200" s="77">
        <v>2</v>
      </c>
      <c r="AD200" s="76">
        <v>8.5</v>
      </c>
      <c r="AE200" s="76">
        <v>1.2583057392117916</v>
      </c>
      <c r="AF200" s="77">
        <v>0.39735970711951318</v>
      </c>
      <c r="AG200" s="77">
        <v>3</v>
      </c>
      <c r="AH200" s="76">
        <v>7.333333333333333</v>
      </c>
      <c r="AI200" s="76">
        <v>0.74535599249992979</v>
      </c>
      <c r="AJ200" s="77">
        <v>-1.7888543819998317</v>
      </c>
      <c r="AK200" s="77">
        <v>1</v>
      </c>
      <c r="AL200" s="76"/>
      <c r="AM200" s="76"/>
      <c r="AN200" s="77"/>
      <c r="AO200" s="77"/>
      <c r="AP200" s="76"/>
      <c r="AQ200" s="76"/>
      <c r="AR200" s="77"/>
      <c r="AS200" s="77"/>
      <c r="AT200" s="78">
        <v>0.375</v>
      </c>
    </row>
    <row r="201" spans="1:46" ht="12.5" x14ac:dyDescent="0.25">
      <c r="A201" s="79">
        <v>44791.378755532409</v>
      </c>
      <c r="B201" s="80" t="s">
        <v>136</v>
      </c>
      <c r="C201" s="80" t="str">
        <f>INDEX(TBL_Name,MATCH(Table2[[#This Row],[Athlete Name]],listNames,0),2)</f>
        <v>Athlete 20</v>
      </c>
      <c r="D201" s="80" t="s">
        <v>130</v>
      </c>
      <c r="E201" s="80">
        <v>9</v>
      </c>
      <c r="F201" s="80">
        <v>9</v>
      </c>
      <c r="G201" s="80">
        <v>10</v>
      </c>
      <c r="H201" s="80" t="s">
        <v>424</v>
      </c>
      <c r="I201" s="80">
        <v>5</v>
      </c>
      <c r="J201" s="80"/>
      <c r="K201" s="80"/>
      <c r="L201" s="80"/>
      <c r="M201" s="1" t="s">
        <v>425</v>
      </c>
      <c r="N201" s="1">
        <v>34</v>
      </c>
      <c r="O201" s="1">
        <v>2</v>
      </c>
      <c r="P201" s="13">
        <v>44791</v>
      </c>
      <c r="Q201" s="1" t="s">
        <v>133</v>
      </c>
      <c r="R201" s="1" t="s">
        <v>64</v>
      </c>
      <c r="S201" s="1">
        <v>1</v>
      </c>
      <c r="T201" s="1"/>
      <c r="U201" s="1" t="s">
        <v>18</v>
      </c>
      <c r="V201" s="76">
        <v>8.5</v>
      </c>
      <c r="W201" s="76">
        <v>0.5</v>
      </c>
      <c r="X201" s="77">
        <v>1</v>
      </c>
      <c r="Y201" s="77">
        <v>4</v>
      </c>
      <c r="Z201" s="76">
        <v>7.5</v>
      </c>
      <c r="AA201" s="76">
        <v>1.5</v>
      </c>
      <c r="AB201" s="77">
        <v>1</v>
      </c>
      <c r="AC201" s="77">
        <v>4</v>
      </c>
      <c r="AD201" s="76">
        <v>8.5</v>
      </c>
      <c r="AE201" s="76">
        <v>1.5</v>
      </c>
      <c r="AF201" s="77">
        <v>1</v>
      </c>
      <c r="AG201" s="77">
        <v>4</v>
      </c>
      <c r="AH201" s="76">
        <v>6.5</v>
      </c>
      <c r="AI201" s="76">
        <v>1.5</v>
      </c>
      <c r="AJ201" s="77">
        <v>-1</v>
      </c>
      <c r="AK201" s="77">
        <v>1</v>
      </c>
      <c r="AL201" s="76"/>
      <c r="AM201" s="76"/>
      <c r="AN201" s="77"/>
      <c r="AO201" s="77"/>
      <c r="AP201" s="76"/>
      <c r="AQ201" s="76"/>
      <c r="AR201" s="77"/>
      <c r="AS201" s="77"/>
      <c r="AT201" s="78">
        <v>0.8125</v>
      </c>
    </row>
    <row r="202" spans="1:46" ht="12.5" x14ac:dyDescent="0.25">
      <c r="A202" s="79">
        <v>44791.393981203699</v>
      </c>
      <c r="B202" s="80" t="s">
        <v>171</v>
      </c>
      <c r="C202" s="80" t="str">
        <f>INDEX(TBL_Name,MATCH(Table2[[#This Row],[Athlete Name]],listNames,0),2)</f>
        <v>Athlete 27</v>
      </c>
      <c r="D202" s="80" t="s">
        <v>130</v>
      </c>
      <c r="E202" s="80">
        <v>10</v>
      </c>
      <c r="F202" s="80">
        <v>9</v>
      </c>
      <c r="G202" s="80">
        <v>8</v>
      </c>
      <c r="H202" s="80" t="s">
        <v>239</v>
      </c>
      <c r="I202" s="80">
        <v>5</v>
      </c>
      <c r="J202" s="80"/>
      <c r="K202" s="80"/>
      <c r="L202" s="80"/>
      <c r="M202" s="1" t="s">
        <v>426</v>
      </c>
      <c r="N202" s="1">
        <v>34</v>
      </c>
      <c r="O202" s="1">
        <v>2</v>
      </c>
      <c r="P202" s="13">
        <v>44791</v>
      </c>
      <c r="Q202" s="1" t="s">
        <v>133</v>
      </c>
      <c r="R202" s="1" t="s">
        <v>64</v>
      </c>
      <c r="S202" s="1">
        <v>1</v>
      </c>
      <c r="T202" s="1"/>
      <c r="U202" s="1" t="s">
        <v>8</v>
      </c>
      <c r="V202" s="76">
        <v>9.4</v>
      </c>
      <c r="W202" s="76">
        <v>1.2</v>
      </c>
      <c r="X202" s="77">
        <v>0.49999999999999972</v>
      </c>
      <c r="Y202" s="77">
        <v>3</v>
      </c>
      <c r="Z202" s="76">
        <v>8.8000000000000007</v>
      </c>
      <c r="AA202" s="76">
        <v>1.16619037896906</v>
      </c>
      <c r="AB202" s="77">
        <v>0.17149858514250824</v>
      </c>
      <c r="AC202" s="77">
        <v>3</v>
      </c>
      <c r="AD202" s="76">
        <v>8</v>
      </c>
      <c r="AE202" s="76">
        <v>0.89442719099991608</v>
      </c>
      <c r="AF202" s="77">
        <v>0</v>
      </c>
      <c r="AG202" s="77">
        <v>3</v>
      </c>
      <c r="AH202" s="76">
        <v>6.4</v>
      </c>
      <c r="AI202" s="76">
        <v>1.019803902718557</v>
      </c>
      <c r="AJ202" s="77">
        <v>-1.3728129459672884</v>
      </c>
      <c r="AK202" s="77">
        <v>1</v>
      </c>
      <c r="AL202" s="76"/>
      <c r="AM202" s="76"/>
      <c r="AN202" s="77"/>
      <c r="AO202" s="77"/>
      <c r="AP202" s="76"/>
      <c r="AQ202" s="76"/>
      <c r="AR202" s="77"/>
      <c r="AS202" s="77"/>
      <c r="AT202" s="78">
        <v>0.4375</v>
      </c>
    </row>
    <row r="203" spans="1:46" ht="12.5" x14ac:dyDescent="0.25">
      <c r="A203" s="79">
        <v>44791.398278946755</v>
      </c>
      <c r="B203" s="80" t="s">
        <v>21</v>
      </c>
      <c r="C203" s="80" t="str">
        <f>INDEX(TBL_Name,MATCH(Table2[[#This Row],[Athlete Name]],listNames,0),2)</f>
        <v>Athlete 13</v>
      </c>
      <c r="D203" s="80" t="s">
        <v>130</v>
      </c>
      <c r="E203" s="80">
        <v>7</v>
      </c>
      <c r="F203" s="80">
        <v>9</v>
      </c>
      <c r="G203" s="80">
        <v>9</v>
      </c>
      <c r="H203" s="80" t="s">
        <v>427</v>
      </c>
      <c r="I203" s="80">
        <v>3</v>
      </c>
      <c r="J203" s="80"/>
      <c r="K203" s="80"/>
      <c r="L203" s="80"/>
      <c r="M203" s="1" t="s">
        <v>428</v>
      </c>
      <c r="N203" s="1">
        <v>34</v>
      </c>
      <c r="O203" s="1">
        <v>2</v>
      </c>
      <c r="P203" s="13">
        <v>44791</v>
      </c>
      <c r="Q203" s="1" t="s">
        <v>133</v>
      </c>
      <c r="R203" s="1" t="s">
        <v>64</v>
      </c>
      <c r="S203" s="1">
        <v>1</v>
      </c>
      <c r="T203" s="1"/>
      <c r="U203" s="1" t="s">
        <v>18</v>
      </c>
      <c r="V203" s="76">
        <v>5</v>
      </c>
      <c r="W203" s="76">
        <v>1.0690449676496978</v>
      </c>
      <c r="X203" s="77">
        <v>1.8708286933869702</v>
      </c>
      <c r="Y203" s="77">
        <v>4</v>
      </c>
      <c r="Z203" s="76">
        <v>8.2857142857142865</v>
      </c>
      <c r="AA203" s="76">
        <v>0.69985421222376543</v>
      </c>
      <c r="AB203" s="77">
        <v>1.020620726159656</v>
      </c>
      <c r="AC203" s="77">
        <v>4</v>
      </c>
      <c r="AD203" s="76">
        <v>8.8571428571428577</v>
      </c>
      <c r="AE203" s="76">
        <v>0.34992710611188255</v>
      </c>
      <c r="AF203" s="77">
        <v>0.40824829046386163</v>
      </c>
      <c r="AG203" s="77">
        <v>3</v>
      </c>
      <c r="AH203" s="76">
        <v>4.2857142857142856</v>
      </c>
      <c r="AI203" s="76">
        <v>0.6998542122237652</v>
      </c>
      <c r="AJ203" s="77">
        <v>-1.8371173070873834</v>
      </c>
      <c r="AK203" s="77">
        <v>1</v>
      </c>
      <c r="AL203" s="76"/>
      <c r="AM203" s="76"/>
      <c r="AN203" s="77"/>
      <c r="AO203" s="77"/>
      <c r="AP203" s="76"/>
      <c r="AQ203" s="76"/>
      <c r="AR203" s="77"/>
      <c r="AS203" s="77"/>
      <c r="AT203" s="78">
        <v>0.8125</v>
      </c>
    </row>
    <row r="204" spans="1:46" ht="12.5" x14ac:dyDescent="0.25">
      <c r="A204" s="79">
        <v>44791.398820092596</v>
      </c>
      <c r="B204" s="80" t="s">
        <v>6</v>
      </c>
      <c r="C204" s="80" t="str">
        <f>INDEX(TBL_Name,MATCH(Table2[[#This Row],[Athlete Name]],listNames,0),2)</f>
        <v>Athlete 2</v>
      </c>
      <c r="D204" s="80" t="s">
        <v>130</v>
      </c>
      <c r="E204" s="80">
        <v>10</v>
      </c>
      <c r="F204" s="80">
        <v>5</v>
      </c>
      <c r="G204" s="80">
        <v>9</v>
      </c>
      <c r="H204" s="80" t="s">
        <v>193</v>
      </c>
      <c r="I204" s="80">
        <v>6</v>
      </c>
      <c r="J204" s="80"/>
      <c r="K204" s="80"/>
      <c r="L204" s="80"/>
      <c r="M204" s="1" t="s">
        <v>429</v>
      </c>
      <c r="N204" s="1">
        <v>34</v>
      </c>
      <c r="O204" s="1">
        <v>2</v>
      </c>
      <c r="P204" s="13">
        <v>44791</v>
      </c>
      <c r="Q204" s="1" t="s">
        <v>133</v>
      </c>
      <c r="R204" s="1" t="s">
        <v>64</v>
      </c>
      <c r="S204" s="1">
        <v>1</v>
      </c>
      <c r="T204" s="1"/>
      <c r="U204" s="1" t="s">
        <v>5</v>
      </c>
      <c r="V204" s="76">
        <v>10</v>
      </c>
      <c r="W204" s="76">
        <v>0</v>
      </c>
      <c r="X204" s="77">
        <v>0</v>
      </c>
      <c r="Y204" s="77">
        <v>3</v>
      </c>
      <c r="Z204" s="76">
        <v>7</v>
      </c>
      <c r="AA204" s="76">
        <v>0.92582009977255175</v>
      </c>
      <c r="AB204" s="77">
        <v>-2.1602468994692861</v>
      </c>
      <c r="AC204" s="77">
        <v>1</v>
      </c>
      <c r="AD204" s="76">
        <v>8.1428571428571423</v>
      </c>
      <c r="AE204" s="76">
        <v>0.83299312783504309</v>
      </c>
      <c r="AF204" s="77">
        <v>1.0289915108550534</v>
      </c>
      <c r="AG204" s="77">
        <v>4</v>
      </c>
      <c r="AH204" s="76">
        <v>5.1428571428571432</v>
      </c>
      <c r="AI204" s="76">
        <v>0.83299312783504276</v>
      </c>
      <c r="AJ204" s="77">
        <v>1.0289915108550527</v>
      </c>
      <c r="AK204" s="77">
        <v>4</v>
      </c>
      <c r="AL204" s="76"/>
      <c r="AM204" s="76"/>
      <c r="AN204" s="77"/>
      <c r="AO204" s="77"/>
      <c r="AP204" s="76"/>
      <c r="AQ204" s="76"/>
      <c r="AR204" s="77"/>
      <c r="AS204" s="77"/>
      <c r="AT204" s="78">
        <v>0.75</v>
      </c>
    </row>
    <row r="205" spans="1:46" ht="12.5" x14ac:dyDescent="0.25">
      <c r="A205" s="79">
        <v>44791.413620289357</v>
      </c>
      <c r="B205" s="80" t="s">
        <v>23</v>
      </c>
      <c r="C205" s="80" t="str">
        <f>INDEX(TBL_Name,MATCH(Table2[[#This Row],[Athlete Name]],listNames,0),2)</f>
        <v>Athlete 15</v>
      </c>
      <c r="D205" s="80" t="s">
        <v>130</v>
      </c>
      <c r="E205" s="80">
        <v>7</v>
      </c>
      <c r="F205" s="80">
        <v>9</v>
      </c>
      <c r="G205" s="80">
        <v>8</v>
      </c>
      <c r="H205" s="80" t="s">
        <v>188</v>
      </c>
      <c r="I205" s="80">
        <v>3</v>
      </c>
      <c r="J205" s="80"/>
      <c r="K205" s="80"/>
      <c r="L205" s="80"/>
      <c r="M205" s="1" t="s">
        <v>430</v>
      </c>
      <c r="N205" s="1">
        <v>34</v>
      </c>
      <c r="O205" s="1">
        <v>2</v>
      </c>
      <c r="P205" s="13">
        <v>44791</v>
      </c>
      <c r="Q205" s="1" t="s">
        <v>133</v>
      </c>
      <c r="R205" s="1" t="s">
        <v>64</v>
      </c>
      <c r="S205" s="1">
        <v>1</v>
      </c>
      <c r="T205" s="1"/>
      <c r="U205" s="1" t="s">
        <v>18</v>
      </c>
      <c r="V205" s="76">
        <v>5.5</v>
      </c>
      <c r="W205" s="76">
        <v>1.5</v>
      </c>
      <c r="X205" s="77">
        <v>1</v>
      </c>
      <c r="Y205" s="77">
        <v>4</v>
      </c>
      <c r="Z205" s="76">
        <v>9.5</v>
      </c>
      <c r="AA205" s="76">
        <v>0.5</v>
      </c>
      <c r="AB205" s="77">
        <v>-1</v>
      </c>
      <c r="AC205" s="77">
        <v>1</v>
      </c>
      <c r="AD205" s="76">
        <v>8.5</v>
      </c>
      <c r="AE205" s="76">
        <v>0.5</v>
      </c>
      <c r="AF205" s="77">
        <v>-1</v>
      </c>
      <c r="AG205" s="77">
        <v>1</v>
      </c>
      <c r="AH205" s="76">
        <v>3.5</v>
      </c>
      <c r="AI205" s="76">
        <v>0.5</v>
      </c>
      <c r="AJ205" s="77">
        <v>-1</v>
      </c>
      <c r="AK205" s="77">
        <v>1</v>
      </c>
      <c r="AL205" s="76"/>
      <c r="AM205" s="76"/>
      <c r="AN205" s="77"/>
      <c r="AO205" s="77"/>
      <c r="AP205" s="76"/>
      <c r="AQ205" s="76"/>
      <c r="AR205" s="77"/>
      <c r="AS205" s="77"/>
      <c r="AT205" s="78">
        <v>0.8125</v>
      </c>
    </row>
    <row r="206" spans="1:46" ht="12.5" x14ac:dyDescent="0.25">
      <c r="A206" s="79">
        <v>44791.450951493054</v>
      </c>
      <c r="B206" s="80" t="s">
        <v>15</v>
      </c>
      <c r="C206" s="80" t="str">
        <f>INDEX(TBL_Name,MATCH(Table2[[#This Row],[Athlete Name]],listNames,0),2)</f>
        <v>Athlete 8</v>
      </c>
      <c r="D206" s="80" t="s">
        <v>130</v>
      </c>
      <c r="E206" s="80">
        <v>10</v>
      </c>
      <c r="F206" s="80">
        <v>8</v>
      </c>
      <c r="G206" s="80">
        <v>8</v>
      </c>
      <c r="H206" s="80" t="s">
        <v>228</v>
      </c>
      <c r="I206" s="80">
        <v>5</v>
      </c>
      <c r="J206" s="80"/>
      <c r="K206" s="80"/>
      <c r="L206" s="80"/>
      <c r="M206" s="1" t="s">
        <v>431</v>
      </c>
      <c r="N206" s="1">
        <v>34</v>
      </c>
      <c r="O206" s="1">
        <v>2</v>
      </c>
      <c r="P206" s="13">
        <v>44791</v>
      </c>
      <c r="Q206" s="1" t="s">
        <v>133</v>
      </c>
      <c r="R206" s="1" t="s">
        <v>64</v>
      </c>
      <c r="S206" s="1">
        <v>1</v>
      </c>
      <c r="T206" s="1"/>
      <c r="U206" s="1" t="s">
        <v>14</v>
      </c>
      <c r="V206" s="76">
        <v>9.8000000000000007</v>
      </c>
      <c r="W206" s="76">
        <v>0.39999999999999997</v>
      </c>
      <c r="X206" s="77">
        <v>0.49999999999999828</v>
      </c>
      <c r="Y206" s="77">
        <v>3</v>
      </c>
      <c r="Z206" s="76">
        <v>8.4</v>
      </c>
      <c r="AA206" s="76">
        <v>2.3323807579381199</v>
      </c>
      <c r="AB206" s="77">
        <v>-0.17149858514250901</v>
      </c>
      <c r="AC206" s="77">
        <v>2</v>
      </c>
      <c r="AD206" s="76">
        <v>8.4</v>
      </c>
      <c r="AE206" s="76">
        <v>0.79999999999999993</v>
      </c>
      <c r="AF206" s="77">
        <v>-0.50000000000000044</v>
      </c>
      <c r="AG206" s="77">
        <v>2</v>
      </c>
      <c r="AH206" s="76">
        <v>4.4000000000000004</v>
      </c>
      <c r="AI206" s="76">
        <v>1.2</v>
      </c>
      <c r="AJ206" s="77">
        <v>0.49999999999999972</v>
      </c>
      <c r="AK206" s="77">
        <v>3</v>
      </c>
      <c r="AL206" s="76"/>
      <c r="AM206" s="76"/>
      <c r="AN206" s="77"/>
      <c r="AO206" s="77"/>
      <c r="AP206" s="76"/>
      <c r="AQ206" s="76"/>
      <c r="AR206" s="77"/>
      <c r="AS206" s="77"/>
      <c r="AT206" s="78">
        <v>0.375</v>
      </c>
    </row>
    <row r="207" spans="1:46" ht="12.5" x14ac:dyDescent="0.25">
      <c r="A207" s="79">
        <v>44791.465039467592</v>
      </c>
      <c r="B207" s="80" t="s">
        <v>10</v>
      </c>
      <c r="C207" s="80" t="str">
        <f>INDEX(TBL_Name,MATCH(Table2[[#This Row],[Athlete Name]],listNames,0),2)</f>
        <v>Athlete 5</v>
      </c>
      <c r="D207" s="80" t="s">
        <v>143</v>
      </c>
      <c r="E207" s="80">
        <v>7</v>
      </c>
      <c r="F207" s="80">
        <v>7</v>
      </c>
      <c r="G207" s="80">
        <v>7</v>
      </c>
      <c r="H207" s="80" t="s">
        <v>432</v>
      </c>
      <c r="I207" s="80">
        <v>7</v>
      </c>
      <c r="J207" s="80"/>
      <c r="K207" s="80"/>
      <c r="L207" s="80"/>
      <c r="M207" s="1" t="s">
        <v>433</v>
      </c>
      <c r="N207" s="1">
        <v>34</v>
      </c>
      <c r="O207" s="1">
        <v>2</v>
      </c>
      <c r="P207" s="13">
        <v>44791</v>
      </c>
      <c r="Q207" s="1" t="s">
        <v>133</v>
      </c>
      <c r="R207" s="1" t="s">
        <v>64</v>
      </c>
      <c r="S207" s="1">
        <v>2</v>
      </c>
      <c r="T207" s="1"/>
      <c r="U207" s="1" t="s">
        <v>11</v>
      </c>
      <c r="V207" s="76">
        <v>7.7142857142857144</v>
      </c>
      <c r="W207" s="76">
        <v>1.3850513878332367</v>
      </c>
      <c r="X207" s="77">
        <v>-0.51571062312939686</v>
      </c>
      <c r="Y207" s="77">
        <v>2</v>
      </c>
      <c r="Z207" s="76">
        <v>8.7142857142857135</v>
      </c>
      <c r="AA207" s="76">
        <v>1.0301575072754254</v>
      </c>
      <c r="AB207" s="77">
        <v>-1.6641005886756868</v>
      </c>
      <c r="AC207" s="77">
        <v>1</v>
      </c>
      <c r="AD207" s="76">
        <v>8.5</v>
      </c>
      <c r="AE207" s="76">
        <v>0.96362411165943163</v>
      </c>
      <c r="AF207" s="77">
        <v>-1.5566235649883122</v>
      </c>
      <c r="AG207" s="77">
        <v>1</v>
      </c>
      <c r="AH207" s="76">
        <v>7</v>
      </c>
      <c r="AI207" s="76">
        <v>0.7559289460184544</v>
      </c>
      <c r="AJ207" s="77">
        <v>0</v>
      </c>
      <c r="AK207" s="77">
        <v>3</v>
      </c>
      <c r="AL207" s="76"/>
      <c r="AM207" s="76"/>
      <c r="AN207" s="77"/>
      <c r="AO207" s="77"/>
      <c r="AP207" s="76"/>
      <c r="AQ207" s="76"/>
      <c r="AR207" s="77"/>
      <c r="AS207" s="77"/>
      <c r="AT207" s="78">
        <v>0.5</v>
      </c>
    </row>
    <row r="208" spans="1:46" ht="12.5" x14ac:dyDescent="0.25">
      <c r="A208" s="79">
        <v>44791.576436053241</v>
      </c>
      <c r="B208" s="80" t="s">
        <v>129</v>
      </c>
      <c r="C208" s="80" t="str">
        <f>INDEX(TBL_Name,MATCH(Table2[[#This Row],[Athlete Name]],listNames,0),2)</f>
        <v>Athlete 19</v>
      </c>
      <c r="D208" s="80" t="s">
        <v>130</v>
      </c>
      <c r="E208" s="80">
        <v>8</v>
      </c>
      <c r="F208" s="80">
        <v>9</v>
      </c>
      <c r="G208" s="80">
        <v>8</v>
      </c>
      <c r="H208" s="80" t="s">
        <v>188</v>
      </c>
      <c r="I208" s="80">
        <v>5</v>
      </c>
      <c r="J208" s="80"/>
      <c r="K208" s="80"/>
      <c r="L208" s="80"/>
      <c r="M208" s="1" t="s">
        <v>434</v>
      </c>
      <c r="N208" s="1">
        <v>34</v>
      </c>
      <c r="O208" s="1">
        <v>2</v>
      </c>
      <c r="P208" s="13">
        <v>44791</v>
      </c>
      <c r="Q208" s="1" t="s">
        <v>133</v>
      </c>
      <c r="R208" s="1" t="s">
        <v>64</v>
      </c>
      <c r="S208" s="1">
        <v>1</v>
      </c>
      <c r="T208" s="1"/>
      <c r="U208" s="1" t="s">
        <v>18</v>
      </c>
      <c r="V208" s="76">
        <v>7.2</v>
      </c>
      <c r="W208" s="76">
        <v>0.74833147735478822</v>
      </c>
      <c r="X208" s="77">
        <v>1.0690449676496974</v>
      </c>
      <c r="Y208" s="77">
        <v>4</v>
      </c>
      <c r="Z208" s="76">
        <v>7.2</v>
      </c>
      <c r="AA208" s="76">
        <v>0.9797958971132712</v>
      </c>
      <c r="AB208" s="77">
        <v>1.8371173070873834</v>
      </c>
      <c r="AC208" s="77">
        <v>4</v>
      </c>
      <c r="AD208" s="76">
        <v>8</v>
      </c>
      <c r="AE208" s="76">
        <v>0.63245553203367577</v>
      </c>
      <c r="AF208" s="77">
        <v>0</v>
      </c>
      <c r="AG208" s="77">
        <v>3</v>
      </c>
      <c r="AH208" s="76">
        <v>4.2</v>
      </c>
      <c r="AI208" s="76">
        <v>0.74833147735478822</v>
      </c>
      <c r="AJ208" s="77">
        <v>1.0690449676496974</v>
      </c>
      <c r="AK208" s="77">
        <v>4</v>
      </c>
      <c r="AL208" s="76"/>
      <c r="AM208" s="76"/>
      <c r="AN208" s="77"/>
      <c r="AO208" s="77"/>
      <c r="AP208" s="76"/>
      <c r="AQ208" s="76"/>
      <c r="AR208" s="77"/>
      <c r="AS208" s="77"/>
      <c r="AT208" s="78">
        <v>0.8125</v>
      </c>
    </row>
    <row r="209" spans="1:46" ht="12.5" x14ac:dyDescent="0.25">
      <c r="A209" s="79">
        <v>44791.653712175925</v>
      </c>
      <c r="B209" s="80" t="s">
        <v>19</v>
      </c>
      <c r="C209" s="80" t="str">
        <f>INDEX(TBL_Name,MATCH(Table2[[#This Row],[Athlete Name]],listNames,0),2)</f>
        <v>Athlete 11</v>
      </c>
      <c r="D209" s="80" t="s">
        <v>130</v>
      </c>
      <c r="E209" s="80">
        <v>5</v>
      </c>
      <c r="F209" s="80">
        <v>6</v>
      </c>
      <c r="G209" s="80">
        <v>6</v>
      </c>
      <c r="H209" s="80" t="s">
        <v>435</v>
      </c>
      <c r="I209" s="80">
        <v>5</v>
      </c>
      <c r="J209" s="80"/>
      <c r="K209" s="80"/>
      <c r="L209" s="80"/>
      <c r="M209" s="1" t="s">
        <v>436</v>
      </c>
      <c r="N209" s="1">
        <v>34</v>
      </c>
      <c r="O209" s="1">
        <v>2</v>
      </c>
      <c r="P209" s="13">
        <v>44791</v>
      </c>
      <c r="Q209" s="1" t="s">
        <v>133</v>
      </c>
      <c r="R209" s="1" t="s">
        <v>64</v>
      </c>
      <c r="S209" s="1">
        <v>1</v>
      </c>
      <c r="T209" s="1"/>
      <c r="U209" s="1" t="s">
        <v>18</v>
      </c>
      <c r="V209" s="76">
        <v>5</v>
      </c>
      <c r="W209" s="76">
        <v>0.70710678118654757</v>
      </c>
      <c r="X209" s="77">
        <v>0</v>
      </c>
      <c r="Y209" s="77">
        <v>3</v>
      </c>
      <c r="Z209" s="76">
        <v>6</v>
      </c>
      <c r="AA209" s="76">
        <v>0.70710678118654757</v>
      </c>
      <c r="AB209" s="77">
        <v>0</v>
      </c>
      <c r="AC209" s="77">
        <v>3</v>
      </c>
      <c r="AD209" s="76">
        <v>6</v>
      </c>
      <c r="AE209" s="76">
        <v>0.70710678118654757</v>
      </c>
      <c r="AF209" s="77">
        <v>0</v>
      </c>
      <c r="AG209" s="77">
        <v>3</v>
      </c>
      <c r="AH209" s="76">
        <v>4.5</v>
      </c>
      <c r="AI209" s="76">
        <v>0.50000000000000011</v>
      </c>
      <c r="AJ209" s="77">
        <v>0.99999999999999978</v>
      </c>
      <c r="AK209" s="77">
        <v>4</v>
      </c>
      <c r="AL209" s="76"/>
      <c r="AM209" s="76"/>
      <c r="AN209" s="77"/>
      <c r="AO209" s="77"/>
      <c r="AP209" s="76"/>
      <c r="AQ209" s="76"/>
      <c r="AR209" s="77"/>
      <c r="AS209" s="77"/>
      <c r="AT209" s="78">
        <v>0.875</v>
      </c>
    </row>
    <row r="210" spans="1:46" ht="12.5" x14ac:dyDescent="0.25">
      <c r="A210" s="79">
        <v>44792.260650023149</v>
      </c>
      <c r="B210" s="80" t="s">
        <v>185</v>
      </c>
      <c r="C210" s="80" t="str">
        <f>INDEX(TBL_Name,MATCH(Table2[[#This Row],[Athlete Name]],listNames,0),2)</f>
        <v>Athlete 30</v>
      </c>
      <c r="D210" s="80" t="s">
        <v>130</v>
      </c>
      <c r="E210" s="80">
        <v>10</v>
      </c>
      <c r="F210" s="80">
        <v>5</v>
      </c>
      <c r="G210" s="80">
        <v>7</v>
      </c>
      <c r="H210" s="80" t="s">
        <v>186</v>
      </c>
      <c r="I210" s="80">
        <v>5</v>
      </c>
      <c r="J210" s="80"/>
      <c r="K210" s="80"/>
      <c r="L210" s="80"/>
      <c r="M210" s="1" t="s">
        <v>437</v>
      </c>
      <c r="N210" s="1">
        <v>34</v>
      </c>
      <c r="O210" s="1">
        <v>2</v>
      </c>
      <c r="P210" s="13">
        <v>44792</v>
      </c>
      <c r="Q210" s="1" t="s">
        <v>133</v>
      </c>
      <c r="R210" s="1" t="s">
        <v>64</v>
      </c>
      <c r="S210" s="1">
        <v>1</v>
      </c>
      <c r="T210" s="1"/>
      <c r="U210" s="1" t="s">
        <v>26</v>
      </c>
      <c r="V210" s="76">
        <v>9.1999999999999993</v>
      </c>
      <c r="W210" s="76">
        <v>0.74833147735478844</v>
      </c>
      <c r="X210" s="77">
        <v>1.0690449676496983</v>
      </c>
      <c r="Y210" s="77">
        <v>4</v>
      </c>
      <c r="Z210" s="76">
        <v>5.6</v>
      </c>
      <c r="AA210" s="76">
        <v>0.79999999999999993</v>
      </c>
      <c r="AB210" s="77">
        <v>-0.74999999999999967</v>
      </c>
      <c r="AC210" s="77">
        <v>2</v>
      </c>
      <c r="AD210" s="76">
        <v>7.4</v>
      </c>
      <c r="AE210" s="76">
        <v>1.019803902718557</v>
      </c>
      <c r="AF210" s="77">
        <v>-0.39223227027636837</v>
      </c>
      <c r="AG210" s="77">
        <v>2</v>
      </c>
      <c r="AH210" s="76">
        <v>3.8</v>
      </c>
      <c r="AI210" s="76">
        <v>0.74833147735478822</v>
      </c>
      <c r="AJ210" s="77">
        <v>1.6035674514745466</v>
      </c>
      <c r="AK210" s="77">
        <v>4</v>
      </c>
      <c r="AL210" s="76"/>
      <c r="AM210" s="76"/>
      <c r="AN210" s="77"/>
      <c r="AO210" s="77"/>
      <c r="AP210" s="76"/>
      <c r="AQ210" s="76"/>
      <c r="AR210" s="77"/>
      <c r="AS210" s="77"/>
      <c r="AT210" s="78">
        <v>0.4375</v>
      </c>
    </row>
    <row r="211" spans="1:46" ht="12.5" x14ac:dyDescent="0.25">
      <c r="A211" s="79">
        <v>44792.326826898148</v>
      </c>
      <c r="B211" s="80" t="s">
        <v>196</v>
      </c>
      <c r="C211" s="80" t="str">
        <f>INDEX(TBL_Name,MATCH(Table2[[#This Row],[Athlete Name]],listNames,0),2)</f>
        <v>Athlete 31</v>
      </c>
      <c r="D211" s="80" t="s">
        <v>130</v>
      </c>
      <c r="E211" s="80">
        <v>7</v>
      </c>
      <c r="F211" s="80">
        <v>9</v>
      </c>
      <c r="G211" s="80">
        <v>8.5</v>
      </c>
      <c r="H211" s="80" t="s">
        <v>66</v>
      </c>
      <c r="I211" s="80">
        <v>8</v>
      </c>
      <c r="J211" s="80"/>
      <c r="K211" s="80"/>
      <c r="L211" s="80"/>
      <c r="M211" s="1" t="s">
        <v>438</v>
      </c>
      <c r="N211" s="1">
        <v>34</v>
      </c>
      <c r="O211" s="1">
        <v>2</v>
      </c>
      <c r="P211" s="13">
        <v>44792</v>
      </c>
      <c r="Q211" s="1" t="s">
        <v>133</v>
      </c>
      <c r="R211" s="1" t="s">
        <v>64</v>
      </c>
      <c r="S211" s="1">
        <v>1</v>
      </c>
      <c r="T211" s="1"/>
      <c r="U211" s="1" t="s">
        <v>28</v>
      </c>
      <c r="V211" s="76">
        <v>6.5</v>
      </c>
      <c r="W211" s="76">
        <v>0.95742710775633799</v>
      </c>
      <c r="X211" s="77">
        <v>0.52223296786709361</v>
      </c>
      <c r="Y211" s="77">
        <v>3</v>
      </c>
      <c r="Z211" s="76">
        <v>7.666666666666667</v>
      </c>
      <c r="AA211" s="76">
        <v>1.1055415967851332</v>
      </c>
      <c r="AB211" s="77">
        <v>1.2060453783110543</v>
      </c>
      <c r="AC211" s="77">
        <v>4</v>
      </c>
      <c r="AD211" s="76">
        <v>7.75</v>
      </c>
      <c r="AE211" s="76">
        <v>0.98952850725315977</v>
      </c>
      <c r="AF211" s="77">
        <v>0.75793672895986708</v>
      </c>
      <c r="AG211" s="77">
        <v>3</v>
      </c>
      <c r="AH211" s="76">
        <v>7.5</v>
      </c>
      <c r="AI211" s="76">
        <v>1.1180339887498947</v>
      </c>
      <c r="AJ211" s="77">
        <v>0.44721359549995798</v>
      </c>
      <c r="AK211" s="77">
        <v>3</v>
      </c>
      <c r="AL211" s="76"/>
      <c r="AM211" s="76"/>
      <c r="AN211" s="77"/>
      <c r="AO211" s="77"/>
      <c r="AP211" s="76"/>
      <c r="AQ211" s="76"/>
      <c r="AR211" s="77"/>
      <c r="AS211" s="77"/>
      <c r="AT211" s="78">
        <v>0.9375</v>
      </c>
    </row>
    <row r="212" spans="1:46" ht="12.5" x14ac:dyDescent="0.25">
      <c r="A212" s="79">
        <v>44792.35479351852</v>
      </c>
      <c r="B212" s="80" t="s">
        <v>148</v>
      </c>
      <c r="C212" s="80" t="str">
        <f>INDEX(TBL_Name,MATCH(Table2[[#This Row],[Athlete Name]],listNames,0),2)</f>
        <v>Athlete 22</v>
      </c>
      <c r="D212" s="80" t="s">
        <v>130</v>
      </c>
      <c r="E212" s="80">
        <v>10</v>
      </c>
      <c r="F212" s="80">
        <v>8</v>
      </c>
      <c r="G212" s="80">
        <v>9</v>
      </c>
      <c r="H212" s="80"/>
      <c r="I212" s="80">
        <v>9</v>
      </c>
      <c r="J212" s="80"/>
      <c r="K212" s="80"/>
      <c r="L212" s="80"/>
      <c r="M212" s="1" t="s">
        <v>439</v>
      </c>
      <c r="N212" s="1">
        <v>34</v>
      </c>
      <c r="O212" s="1">
        <v>2</v>
      </c>
      <c r="P212" s="13">
        <v>44792</v>
      </c>
      <c r="Q212" s="1" t="s">
        <v>133</v>
      </c>
      <c r="R212" s="1" t="s">
        <v>64</v>
      </c>
      <c r="S212" s="1">
        <v>1</v>
      </c>
      <c r="T212" s="1"/>
      <c r="U212" s="1" t="s">
        <v>11</v>
      </c>
      <c r="V212" s="76">
        <v>10</v>
      </c>
      <c r="W212" s="76">
        <v>0</v>
      </c>
      <c r="X212" s="77">
        <v>0</v>
      </c>
      <c r="Y212" s="77">
        <v>3</v>
      </c>
      <c r="Z212" s="76">
        <v>6</v>
      </c>
      <c r="AA212" s="76">
        <v>1.7888543819998317</v>
      </c>
      <c r="AB212" s="77">
        <v>1.1180339887498949</v>
      </c>
      <c r="AC212" s="77">
        <v>4</v>
      </c>
      <c r="AD212" s="76">
        <v>8.6</v>
      </c>
      <c r="AE212" s="76">
        <v>1.3564659966250538</v>
      </c>
      <c r="AF212" s="77">
        <v>0.29488391230979449</v>
      </c>
      <c r="AG212" s="77">
        <v>3</v>
      </c>
      <c r="AH212" s="76">
        <v>7</v>
      </c>
      <c r="AI212" s="76">
        <v>2.0976176963403033</v>
      </c>
      <c r="AJ212" s="77">
        <v>0.95346258924559224</v>
      </c>
      <c r="AK212" s="77">
        <v>3</v>
      </c>
      <c r="AL212" s="76"/>
      <c r="AM212" s="76"/>
      <c r="AN212" s="77"/>
      <c r="AO212" s="77"/>
      <c r="AP212" s="76"/>
      <c r="AQ212" s="76"/>
      <c r="AR212" s="77"/>
      <c r="AS212" s="77"/>
      <c r="AT212" s="78">
        <v>0.75</v>
      </c>
    </row>
    <row r="213" spans="1:46" ht="12.5" x14ac:dyDescent="0.25">
      <c r="A213" s="79">
        <v>44792.357364224532</v>
      </c>
      <c r="B213" s="80" t="s">
        <v>17</v>
      </c>
      <c r="C213" s="80" t="str">
        <f>INDEX(TBL_Name,MATCH(Table2[[#This Row],[Athlete Name]],listNames,0),2)</f>
        <v>Athlete 10</v>
      </c>
      <c r="D213" s="80" t="s">
        <v>130</v>
      </c>
      <c r="E213" s="80">
        <v>10</v>
      </c>
      <c r="F213" s="80">
        <v>7</v>
      </c>
      <c r="G213" s="80">
        <v>8</v>
      </c>
      <c r="H213" s="80" t="s">
        <v>226</v>
      </c>
      <c r="I213" s="80">
        <v>8</v>
      </c>
      <c r="J213" s="80"/>
      <c r="K213" s="80"/>
      <c r="L213" s="80"/>
      <c r="M213" s="1" t="s">
        <v>440</v>
      </c>
      <c r="N213" s="1">
        <v>34</v>
      </c>
      <c r="O213" s="1">
        <v>2</v>
      </c>
      <c r="P213" s="13">
        <v>44792</v>
      </c>
      <c r="Q213" s="1" t="s">
        <v>133</v>
      </c>
      <c r="R213" s="1" t="s">
        <v>64</v>
      </c>
      <c r="S213" s="1">
        <v>1</v>
      </c>
      <c r="T213" s="1"/>
      <c r="U213" s="1" t="s">
        <v>18</v>
      </c>
      <c r="V213" s="76">
        <v>9.1666666666666661</v>
      </c>
      <c r="W213" s="76">
        <v>0.37267799624996506</v>
      </c>
      <c r="X213" s="77">
        <v>2.2360679774997907</v>
      </c>
      <c r="Y213" s="77">
        <v>4</v>
      </c>
      <c r="Z213" s="76">
        <v>7</v>
      </c>
      <c r="AA213" s="76">
        <v>1.4142135623730951</v>
      </c>
      <c r="AB213" s="77">
        <v>0</v>
      </c>
      <c r="AC213" s="77">
        <v>3</v>
      </c>
      <c r="AD213" s="76">
        <v>8.3333333333333339</v>
      </c>
      <c r="AE213" s="76">
        <v>1.247219128924647</v>
      </c>
      <c r="AF213" s="77">
        <v>-0.2672612419124249</v>
      </c>
      <c r="AG213" s="77">
        <v>2</v>
      </c>
      <c r="AH213" s="76">
        <v>7.5</v>
      </c>
      <c r="AI213" s="76">
        <v>0.76376261582597338</v>
      </c>
      <c r="AJ213" s="77">
        <v>0.65465367070797709</v>
      </c>
      <c r="AK213" s="77">
        <v>3</v>
      </c>
      <c r="AL213" s="76"/>
      <c r="AM213" s="76"/>
      <c r="AN213" s="77"/>
      <c r="AO213" s="77"/>
      <c r="AP213" s="76"/>
      <c r="AQ213" s="76"/>
      <c r="AR213" s="77"/>
      <c r="AS213" s="77"/>
      <c r="AT213" s="78">
        <v>0.4375</v>
      </c>
    </row>
    <row r="214" spans="1:46" ht="12.5" x14ac:dyDescent="0.25">
      <c r="A214" s="79">
        <v>44792.391495590273</v>
      </c>
      <c r="B214" s="80" t="s">
        <v>10</v>
      </c>
      <c r="C214" s="80" t="str">
        <f>INDEX(TBL_Name,MATCH(Table2[[#This Row],[Athlete Name]],listNames,0),2)</f>
        <v>Athlete 5</v>
      </c>
      <c r="D214" s="80" t="s">
        <v>130</v>
      </c>
      <c r="E214" s="80">
        <v>7</v>
      </c>
      <c r="F214" s="80">
        <v>8</v>
      </c>
      <c r="G214" s="80">
        <v>8</v>
      </c>
      <c r="H214" s="80" t="s">
        <v>432</v>
      </c>
      <c r="I214" s="80">
        <v>8</v>
      </c>
      <c r="J214" s="80"/>
      <c r="K214" s="80"/>
      <c r="L214" s="80"/>
      <c r="M214" s="1" t="s">
        <v>441</v>
      </c>
      <c r="N214" s="1">
        <v>34</v>
      </c>
      <c r="O214" s="1">
        <v>2</v>
      </c>
      <c r="P214" s="13">
        <v>44792</v>
      </c>
      <c r="Q214" s="1" t="s">
        <v>133</v>
      </c>
      <c r="R214" s="1" t="s">
        <v>64</v>
      </c>
      <c r="S214" s="1">
        <v>1</v>
      </c>
      <c r="T214" s="1"/>
      <c r="U214" s="1" t="s">
        <v>11</v>
      </c>
      <c r="V214" s="76">
        <v>8</v>
      </c>
      <c r="W214" s="76">
        <v>0.92582009977255186</v>
      </c>
      <c r="X214" s="77">
        <v>-1.0801234497346428</v>
      </c>
      <c r="Y214" s="77">
        <v>1</v>
      </c>
      <c r="Z214" s="76">
        <v>8.4285714285714288</v>
      </c>
      <c r="AA214" s="76">
        <v>0.90350790290525129</v>
      </c>
      <c r="AB214" s="77">
        <v>-0.47434164902525716</v>
      </c>
      <c r="AC214" s="77">
        <v>2</v>
      </c>
      <c r="AD214" s="76">
        <v>8.2142857142857135</v>
      </c>
      <c r="AE214" s="76">
        <v>0.7491491772643939</v>
      </c>
      <c r="AF214" s="77">
        <v>-0.28603877677367673</v>
      </c>
      <c r="AG214" s="77">
        <v>2</v>
      </c>
      <c r="AH214" s="76">
        <v>7</v>
      </c>
      <c r="AI214" s="76">
        <v>0.7559289460184544</v>
      </c>
      <c r="AJ214" s="77">
        <v>1.3228756555322954</v>
      </c>
      <c r="AK214" s="77">
        <v>4</v>
      </c>
      <c r="AL214" s="76"/>
      <c r="AM214" s="76"/>
      <c r="AN214" s="77"/>
      <c r="AO214" s="77"/>
      <c r="AP214" s="76"/>
      <c r="AQ214" s="76"/>
      <c r="AR214" s="77"/>
      <c r="AS214" s="77"/>
      <c r="AT214" s="78">
        <v>0.625</v>
      </c>
    </row>
    <row r="215" spans="1:46" ht="12.5" x14ac:dyDescent="0.25">
      <c r="A215" s="79">
        <v>44792.39471375</v>
      </c>
      <c r="B215" s="80" t="s">
        <v>6</v>
      </c>
      <c r="C215" s="80" t="str">
        <f>INDEX(TBL_Name,MATCH(Table2[[#This Row],[Athlete Name]],listNames,0),2)</f>
        <v>Athlete 2</v>
      </c>
      <c r="D215" s="80" t="s">
        <v>130</v>
      </c>
      <c r="E215" s="80">
        <v>9</v>
      </c>
      <c r="F215" s="80">
        <v>5</v>
      </c>
      <c r="G215" s="80">
        <v>8</v>
      </c>
      <c r="H215" s="80" t="s">
        <v>193</v>
      </c>
      <c r="I215" s="80">
        <v>5</v>
      </c>
      <c r="J215" s="80"/>
      <c r="K215" s="80"/>
      <c r="L215" s="80"/>
      <c r="M215" s="1" t="s">
        <v>442</v>
      </c>
      <c r="N215" s="1">
        <v>34</v>
      </c>
      <c r="O215" s="1">
        <v>2</v>
      </c>
      <c r="P215" s="13">
        <v>44792</v>
      </c>
      <c r="Q215" s="1" t="s">
        <v>133</v>
      </c>
      <c r="R215" s="1" t="s">
        <v>64</v>
      </c>
      <c r="S215" s="1">
        <v>1</v>
      </c>
      <c r="T215" s="1"/>
      <c r="U215" s="1" t="s">
        <v>5</v>
      </c>
      <c r="V215" s="76">
        <v>9.8571428571428577</v>
      </c>
      <c r="W215" s="76">
        <v>0.34992710611188266</v>
      </c>
      <c r="X215" s="77">
        <v>-2.4494897427831792</v>
      </c>
      <c r="Y215" s="77">
        <v>1</v>
      </c>
      <c r="Z215" s="76">
        <v>6.5714285714285712</v>
      </c>
      <c r="AA215" s="76">
        <v>1.0497813183356479</v>
      </c>
      <c r="AB215" s="77">
        <v>-1.4969103983674972</v>
      </c>
      <c r="AC215" s="77">
        <v>1</v>
      </c>
      <c r="AD215" s="76">
        <v>8</v>
      </c>
      <c r="AE215" s="76">
        <v>0.75592894601845451</v>
      </c>
      <c r="AF215" s="77">
        <v>0</v>
      </c>
      <c r="AG215" s="77">
        <v>3</v>
      </c>
      <c r="AH215" s="76">
        <v>5.1428571428571432</v>
      </c>
      <c r="AI215" s="76">
        <v>0.83299312783504287</v>
      </c>
      <c r="AJ215" s="77">
        <v>-0.17149858514250932</v>
      </c>
      <c r="AK215" s="77">
        <v>2</v>
      </c>
      <c r="AL215" s="76"/>
      <c r="AM215" s="76"/>
      <c r="AN215" s="77"/>
      <c r="AO215" s="77"/>
      <c r="AP215" s="76"/>
      <c r="AQ215" s="76"/>
      <c r="AR215" s="77"/>
      <c r="AS215" s="77"/>
      <c r="AT215" s="78">
        <v>0.25</v>
      </c>
    </row>
    <row r="216" spans="1:46" ht="12.5" x14ac:dyDescent="0.25">
      <c r="A216" s="79">
        <v>44792.403650520835</v>
      </c>
      <c r="B216" s="80" t="s">
        <v>25</v>
      </c>
      <c r="C216" s="80" t="str">
        <f>INDEX(TBL_Name,MATCH(Table2[[#This Row],[Athlete Name]],listNames,0),2)</f>
        <v>Athlete 23</v>
      </c>
      <c r="D216" s="80" t="s">
        <v>143</v>
      </c>
      <c r="E216" s="80">
        <v>8</v>
      </c>
      <c r="F216" s="80">
        <v>9</v>
      </c>
      <c r="G216" s="80">
        <v>10</v>
      </c>
      <c r="H216" s="80"/>
      <c r="I216" s="80">
        <v>8</v>
      </c>
      <c r="J216" s="80"/>
      <c r="K216" s="80"/>
      <c r="L216" s="80"/>
      <c r="M216" s="1" t="s">
        <v>443</v>
      </c>
      <c r="N216" s="1">
        <v>34</v>
      </c>
      <c r="O216" s="1">
        <v>2</v>
      </c>
      <c r="P216" s="13">
        <v>44792</v>
      </c>
      <c r="Q216" s="1" t="s">
        <v>133</v>
      </c>
      <c r="R216" s="1" t="s">
        <v>64</v>
      </c>
      <c r="S216" s="1">
        <v>2</v>
      </c>
      <c r="T216" s="1"/>
      <c r="U216" s="1" t="s">
        <v>26</v>
      </c>
      <c r="V216" s="76">
        <v>8.8000000000000007</v>
      </c>
      <c r="W216" s="76">
        <v>0.40000000000000019</v>
      </c>
      <c r="X216" s="77">
        <v>-2.0000000000000009</v>
      </c>
      <c r="Y216" s="77">
        <v>1</v>
      </c>
      <c r="Z216" s="76">
        <v>8.6</v>
      </c>
      <c r="AA216" s="76">
        <v>0.48989794855663549</v>
      </c>
      <c r="AB216" s="77">
        <v>0.81649658092772703</v>
      </c>
      <c r="AC216" s="77">
        <v>3</v>
      </c>
      <c r="AD216" s="76">
        <v>9.1999999999999993</v>
      </c>
      <c r="AE216" s="76">
        <v>0.74833147735478844</v>
      </c>
      <c r="AF216" s="77">
        <v>1.0690449676496983</v>
      </c>
      <c r="AG216" s="77">
        <v>4</v>
      </c>
      <c r="AH216" s="76">
        <v>8.6</v>
      </c>
      <c r="AI216" s="76">
        <v>0.48989794855663549</v>
      </c>
      <c r="AJ216" s="77">
        <v>-1.2247448713915887</v>
      </c>
      <c r="AK216" s="77">
        <v>1</v>
      </c>
      <c r="AL216" s="76"/>
      <c r="AM216" s="76"/>
      <c r="AN216" s="77"/>
      <c r="AO216" s="77"/>
      <c r="AP216" s="76"/>
      <c r="AQ216" s="76"/>
      <c r="AR216" s="77"/>
      <c r="AS216" s="77"/>
      <c r="AT216" s="78">
        <v>0.5625</v>
      </c>
    </row>
    <row r="217" spans="1:46" ht="12.5" x14ac:dyDescent="0.25">
      <c r="A217" s="79">
        <v>44792.427215023148</v>
      </c>
      <c r="B217" s="80" t="s">
        <v>21</v>
      </c>
      <c r="C217" s="80" t="str">
        <f>INDEX(TBL_Name,MATCH(Table2[[#This Row],[Athlete Name]],listNames,0),2)</f>
        <v>Athlete 13</v>
      </c>
      <c r="D217" s="80" t="s">
        <v>130</v>
      </c>
      <c r="E217" s="80">
        <v>7</v>
      </c>
      <c r="F217" s="80">
        <v>9</v>
      </c>
      <c r="G217" s="80">
        <v>10</v>
      </c>
      <c r="H217" s="80" t="s">
        <v>375</v>
      </c>
      <c r="I217" s="80">
        <v>5</v>
      </c>
      <c r="J217" s="80"/>
      <c r="K217" s="80"/>
      <c r="L217" s="80"/>
      <c r="M217" s="1" t="s">
        <v>444</v>
      </c>
      <c r="N217" s="1">
        <v>34</v>
      </c>
      <c r="O217" s="1">
        <v>2</v>
      </c>
      <c r="P217" s="13">
        <v>44792</v>
      </c>
      <c r="Q217" s="1" t="s">
        <v>133</v>
      </c>
      <c r="R217" s="1" t="s">
        <v>64</v>
      </c>
      <c r="S217" s="1">
        <v>1</v>
      </c>
      <c r="T217" s="1"/>
      <c r="U217" s="1" t="s">
        <v>18</v>
      </c>
      <c r="V217" s="76">
        <v>5.2857142857142856</v>
      </c>
      <c r="W217" s="76">
        <v>1.2777531299998799</v>
      </c>
      <c r="X217" s="77">
        <v>1.3416407864998738</v>
      </c>
      <c r="Y217" s="77">
        <v>4</v>
      </c>
      <c r="Z217" s="76">
        <v>8.4285714285714288</v>
      </c>
      <c r="AA217" s="76">
        <v>0.72843135908468393</v>
      </c>
      <c r="AB217" s="77">
        <v>0.7844645405527354</v>
      </c>
      <c r="AC217" s="77">
        <v>3</v>
      </c>
      <c r="AD217" s="76">
        <v>9</v>
      </c>
      <c r="AE217" s="76">
        <v>0.53452248382484868</v>
      </c>
      <c r="AF217" s="77">
        <v>1.8708286933869711</v>
      </c>
      <c r="AG217" s="77">
        <v>4</v>
      </c>
      <c r="AH217" s="76">
        <v>4.2857142857142856</v>
      </c>
      <c r="AI217" s="76">
        <v>0.6998542122237652</v>
      </c>
      <c r="AJ217" s="77">
        <v>1.0206207261596576</v>
      </c>
      <c r="AK217" s="77">
        <v>4</v>
      </c>
      <c r="AL217" s="76"/>
      <c r="AM217" s="76"/>
      <c r="AN217" s="77"/>
      <c r="AO217" s="77"/>
      <c r="AP217" s="76"/>
      <c r="AQ217" s="76"/>
      <c r="AR217" s="77"/>
      <c r="AS217" s="77"/>
      <c r="AT217" s="78">
        <v>0.875</v>
      </c>
    </row>
    <row r="218" spans="1:46" ht="12.5" x14ac:dyDescent="0.25">
      <c r="A218" s="79">
        <v>44792.427239965276</v>
      </c>
      <c r="B218" s="80" t="s">
        <v>225</v>
      </c>
      <c r="C218" s="80" t="str">
        <f>INDEX(TBL_Name,MATCH(Table2[[#This Row],[Athlete Name]],listNames,0),2)</f>
        <v>Athlete 32</v>
      </c>
      <c r="D218" s="80" t="s">
        <v>130</v>
      </c>
      <c r="E218" s="80">
        <v>10</v>
      </c>
      <c r="F218" s="80">
        <v>10</v>
      </c>
      <c r="G218" s="80">
        <v>7</v>
      </c>
      <c r="H218" s="80"/>
      <c r="I218" s="80">
        <v>9</v>
      </c>
      <c r="J218" s="80"/>
      <c r="K218" s="80"/>
      <c r="L218" s="80"/>
      <c r="M218" s="1" t="s">
        <v>445</v>
      </c>
      <c r="N218" s="1">
        <v>34</v>
      </c>
      <c r="O218" s="1">
        <v>2</v>
      </c>
      <c r="P218" s="13">
        <v>44792</v>
      </c>
      <c r="Q218" s="1" t="s">
        <v>133</v>
      </c>
      <c r="R218" s="1" t="s">
        <v>64</v>
      </c>
      <c r="S218" s="1">
        <v>1</v>
      </c>
      <c r="T218" s="1"/>
      <c r="U218" s="1" t="s">
        <v>5</v>
      </c>
      <c r="V218" s="76">
        <v>10</v>
      </c>
      <c r="W218" s="76">
        <v>0</v>
      </c>
      <c r="X218" s="77">
        <v>0</v>
      </c>
      <c r="Y218" s="77">
        <v>3</v>
      </c>
      <c r="Z218" s="76">
        <v>10</v>
      </c>
      <c r="AA218" s="76">
        <v>0</v>
      </c>
      <c r="AB218" s="77">
        <v>0</v>
      </c>
      <c r="AC218" s="77">
        <v>3</v>
      </c>
      <c r="AD218" s="76">
        <v>7.2</v>
      </c>
      <c r="AE218" s="76">
        <v>0.4</v>
      </c>
      <c r="AF218" s="77">
        <v>-0.50000000000000044</v>
      </c>
      <c r="AG218" s="77">
        <v>2</v>
      </c>
      <c r="AH218" s="76">
        <v>9.1999999999999993</v>
      </c>
      <c r="AI218" s="76">
        <v>0.39999999999999997</v>
      </c>
      <c r="AJ218" s="77">
        <v>-0.49999999999999828</v>
      </c>
      <c r="AK218" s="77">
        <v>2</v>
      </c>
      <c r="AL218" s="76"/>
      <c r="AM218" s="76"/>
      <c r="AN218" s="77"/>
      <c r="AO218" s="77"/>
      <c r="AP218" s="76"/>
      <c r="AQ218" s="76"/>
      <c r="AR218" s="77"/>
      <c r="AS218" s="77"/>
      <c r="AT218" s="78">
        <v>0.75</v>
      </c>
    </row>
    <row r="219" spans="1:46" ht="12.5" x14ac:dyDescent="0.25">
      <c r="A219" s="79">
        <v>44792.427335462962</v>
      </c>
      <c r="B219" s="80" t="s">
        <v>19</v>
      </c>
      <c r="C219" s="80" t="str">
        <f>INDEX(TBL_Name,MATCH(Table2[[#This Row],[Athlete Name]],listNames,0),2)</f>
        <v>Athlete 11</v>
      </c>
      <c r="D219" s="80" t="s">
        <v>130</v>
      </c>
      <c r="E219" s="80">
        <v>4</v>
      </c>
      <c r="F219" s="80">
        <v>8</v>
      </c>
      <c r="G219" s="80">
        <v>8</v>
      </c>
      <c r="H219" s="80" t="s">
        <v>446</v>
      </c>
      <c r="I219" s="80">
        <v>5</v>
      </c>
      <c r="J219" s="80"/>
      <c r="K219" s="80"/>
      <c r="L219" s="80"/>
      <c r="M219" s="1" t="s">
        <v>447</v>
      </c>
      <c r="N219" s="1">
        <v>34</v>
      </c>
      <c r="O219" s="1">
        <v>2</v>
      </c>
      <c r="P219" s="13">
        <v>44792</v>
      </c>
      <c r="Q219" s="1" t="s">
        <v>133</v>
      </c>
      <c r="R219" s="1" t="s">
        <v>64</v>
      </c>
      <c r="S219" s="1">
        <v>1</v>
      </c>
      <c r="T219" s="1"/>
      <c r="U219" s="1" t="s">
        <v>18</v>
      </c>
      <c r="V219" s="76">
        <v>4.8</v>
      </c>
      <c r="W219" s="76">
        <v>0.74833147735478822</v>
      </c>
      <c r="X219" s="77">
        <v>-1.0690449676496974</v>
      </c>
      <c r="Y219" s="77">
        <v>1</v>
      </c>
      <c r="Z219" s="76">
        <v>6.4</v>
      </c>
      <c r="AA219" s="76">
        <v>1.0198039027185568</v>
      </c>
      <c r="AB219" s="77">
        <v>1.5689290811054721</v>
      </c>
      <c r="AC219" s="77">
        <v>4</v>
      </c>
      <c r="AD219" s="76">
        <v>6.4</v>
      </c>
      <c r="AE219" s="76">
        <v>1.0198039027185568</v>
      </c>
      <c r="AF219" s="77">
        <v>1.5689290811054721</v>
      </c>
      <c r="AG219" s="77">
        <v>4</v>
      </c>
      <c r="AH219" s="76">
        <v>4.5999999999999996</v>
      </c>
      <c r="AI219" s="76">
        <v>0.48989794855663577</v>
      </c>
      <c r="AJ219" s="77">
        <v>0.81649658092772648</v>
      </c>
      <c r="AK219" s="77">
        <v>3</v>
      </c>
      <c r="AL219" s="76"/>
      <c r="AM219" s="76"/>
      <c r="AN219" s="77"/>
      <c r="AO219" s="77"/>
      <c r="AP219" s="76"/>
      <c r="AQ219" s="76"/>
      <c r="AR219" s="77"/>
      <c r="AS219" s="77"/>
      <c r="AT219" s="78">
        <v>0.75</v>
      </c>
    </row>
    <row r="220" spans="1:46" ht="12.5" x14ac:dyDescent="0.25">
      <c r="A220" s="79">
        <v>44792.427397511579</v>
      </c>
      <c r="B220" s="80" t="s">
        <v>22</v>
      </c>
      <c r="C220" s="80" t="str">
        <f>INDEX(TBL_Name,MATCH(Table2[[#This Row],[Athlete Name]],listNames,0),2)</f>
        <v>Athlete 14</v>
      </c>
      <c r="D220" s="80" t="s">
        <v>130</v>
      </c>
      <c r="E220" s="80">
        <v>8</v>
      </c>
      <c r="F220" s="80">
        <v>6</v>
      </c>
      <c r="G220" s="80">
        <v>9</v>
      </c>
      <c r="H220" s="80" t="s">
        <v>448</v>
      </c>
      <c r="I220" s="80">
        <v>6</v>
      </c>
      <c r="J220" s="80"/>
      <c r="K220" s="80"/>
      <c r="L220" s="80"/>
      <c r="M220" s="1" t="s">
        <v>449</v>
      </c>
      <c r="N220" s="1">
        <v>34</v>
      </c>
      <c r="O220" s="1">
        <v>2</v>
      </c>
      <c r="P220" s="13">
        <v>44792</v>
      </c>
      <c r="Q220" s="1" t="s">
        <v>133</v>
      </c>
      <c r="R220" s="1" t="s">
        <v>64</v>
      </c>
      <c r="S220" s="1">
        <v>1</v>
      </c>
      <c r="T220" s="1"/>
      <c r="U220" s="1" t="s">
        <v>18</v>
      </c>
      <c r="V220" s="76">
        <v>6.75</v>
      </c>
      <c r="W220" s="76">
        <v>0.82915619758885006</v>
      </c>
      <c r="X220" s="77">
        <v>1.507556722888818</v>
      </c>
      <c r="Y220" s="77">
        <v>4</v>
      </c>
      <c r="Z220" s="76">
        <v>5.5</v>
      </c>
      <c r="AA220" s="76">
        <v>0.86602540378443871</v>
      </c>
      <c r="AB220" s="77">
        <v>0.57735026918962573</v>
      </c>
      <c r="AC220" s="77">
        <v>3</v>
      </c>
      <c r="AD220" s="76">
        <v>8.75</v>
      </c>
      <c r="AE220" s="76">
        <v>0.43301270189221946</v>
      </c>
      <c r="AF220" s="77">
        <v>0.57735026918962562</v>
      </c>
      <c r="AG220" s="77">
        <v>3</v>
      </c>
      <c r="AH220" s="76">
        <v>5</v>
      </c>
      <c r="AI220" s="76">
        <v>1.2247448713915889</v>
      </c>
      <c r="AJ220" s="77">
        <v>0.81649658092772615</v>
      </c>
      <c r="AK220" s="77">
        <v>3</v>
      </c>
      <c r="AL220" s="76"/>
      <c r="AM220" s="76"/>
      <c r="AN220" s="77"/>
      <c r="AO220" s="77"/>
      <c r="AP220" s="76"/>
      <c r="AQ220" s="76"/>
      <c r="AR220" s="77"/>
      <c r="AS220" s="77"/>
      <c r="AT220" s="78">
        <v>0.75</v>
      </c>
    </row>
    <row r="221" spans="1:46" ht="12.5" x14ac:dyDescent="0.25">
      <c r="A221" s="79">
        <v>44792.427414131947</v>
      </c>
      <c r="B221" s="80" t="s">
        <v>23</v>
      </c>
      <c r="C221" s="80" t="str">
        <f>INDEX(TBL_Name,MATCH(Table2[[#This Row],[Athlete Name]],listNames,0),2)</f>
        <v>Athlete 15</v>
      </c>
      <c r="D221" s="80" t="s">
        <v>130</v>
      </c>
      <c r="E221" s="80">
        <v>6</v>
      </c>
      <c r="F221" s="80">
        <v>9</v>
      </c>
      <c r="G221" s="80">
        <v>9</v>
      </c>
      <c r="H221" s="80" t="s">
        <v>450</v>
      </c>
      <c r="I221" s="80">
        <v>4</v>
      </c>
      <c r="J221" s="80"/>
      <c r="K221" s="80"/>
      <c r="L221" s="80"/>
      <c r="M221" s="1" t="s">
        <v>451</v>
      </c>
      <c r="N221" s="1">
        <v>34</v>
      </c>
      <c r="O221" s="1">
        <v>2</v>
      </c>
      <c r="P221" s="13">
        <v>44792</v>
      </c>
      <c r="Q221" s="1" t="s">
        <v>133</v>
      </c>
      <c r="R221" s="1" t="s">
        <v>64</v>
      </c>
      <c r="S221" s="1">
        <v>1</v>
      </c>
      <c r="T221" s="1"/>
      <c r="U221" s="1" t="s">
        <v>18</v>
      </c>
      <c r="V221" s="76">
        <v>5.75</v>
      </c>
      <c r="W221" s="76">
        <v>1.0897247358851683</v>
      </c>
      <c r="X221" s="77">
        <v>0.2294157338705618</v>
      </c>
      <c r="Y221" s="77">
        <v>3</v>
      </c>
      <c r="Z221" s="76">
        <v>9</v>
      </c>
      <c r="AA221" s="76">
        <v>0.70710678118654768</v>
      </c>
      <c r="AB221" s="77">
        <v>0</v>
      </c>
      <c r="AC221" s="77">
        <v>3</v>
      </c>
      <c r="AD221" s="76">
        <v>8.75</v>
      </c>
      <c r="AE221" s="76">
        <v>0.43301270189221946</v>
      </c>
      <c r="AF221" s="77">
        <v>0.57735026918962562</v>
      </c>
      <c r="AG221" s="77">
        <v>3</v>
      </c>
      <c r="AH221" s="76">
        <v>3.75</v>
      </c>
      <c r="AI221" s="76">
        <v>0.43301270189221935</v>
      </c>
      <c r="AJ221" s="77">
        <v>0.57735026918962573</v>
      </c>
      <c r="AK221" s="77">
        <v>3</v>
      </c>
      <c r="AL221" s="76"/>
      <c r="AM221" s="76"/>
      <c r="AN221" s="77"/>
      <c r="AO221" s="77"/>
      <c r="AP221" s="76"/>
      <c r="AQ221" s="76"/>
      <c r="AR221" s="77"/>
      <c r="AS221" s="77"/>
      <c r="AT221" s="78">
        <v>0.75</v>
      </c>
    </row>
    <row r="222" spans="1:46" ht="12.5" x14ac:dyDescent="0.25">
      <c r="A222" s="79">
        <v>44792.427428124996</v>
      </c>
      <c r="B222" s="80" t="s">
        <v>12</v>
      </c>
      <c r="C222" s="80" t="str">
        <f>INDEX(TBL_Name,MATCH(Table2[[#This Row],[Athlete Name]],listNames,0),2)</f>
        <v>Athlete 6</v>
      </c>
      <c r="D222" s="80" t="s">
        <v>130</v>
      </c>
      <c r="E222" s="80">
        <v>10</v>
      </c>
      <c r="F222" s="80">
        <v>7</v>
      </c>
      <c r="G222" s="80">
        <v>8</v>
      </c>
      <c r="H222" s="80" t="s">
        <v>188</v>
      </c>
      <c r="I222" s="80">
        <v>7</v>
      </c>
      <c r="J222" s="80"/>
      <c r="K222" s="80"/>
      <c r="L222" s="80"/>
      <c r="M222" s="1" t="s">
        <v>452</v>
      </c>
      <c r="N222" s="1">
        <v>34</v>
      </c>
      <c r="O222" s="1">
        <v>2</v>
      </c>
      <c r="P222" s="13">
        <v>44792</v>
      </c>
      <c r="Q222" s="1" t="s">
        <v>133</v>
      </c>
      <c r="R222" s="1" t="s">
        <v>64</v>
      </c>
      <c r="S222" s="1">
        <v>1</v>
      </c>
      <c r="T222" s="1"/>
      <c r="U222" s="1" t="s">
        <v>11</v>
      </c>
      <c r="V222" s="76">
        <v>9.3333333333333339</v>
      </c>
      <c r="W222" s="76">
        <v>0.94280904158206325</v>
      </c>
      <c r="X222" s="77">
        <v>0.70710678118654702</v>
      </c>
      <c r="Y222" s="77">
        <v>3</v>
      </c>
      <c r="Z222" s="76">
        <v>7</v>
      </c>
      <c r="AA222" s="76">
        <v>0.81649658092772603</v>
      </c>
      <c r="AB222" s="77">
        <v>0</v>
      </c>
      <c r="AC222" s="77">
        <v>3</v>
      </c>
      <c r="AD222" s="76">
        <v>7.666666666666667</v>
      </c>
      <c r="AE222" s="76">
        <v>0.47140452079103162</v>
      </c>
      <c r="AF222" s="77">
        <v>0.70710678118654702</v>
      </c>
      <c r="AG222" s="77">
        <v>3</v>
      </c>
      <c r="AH222" s="76">
        <v>3.6666666666666665</v>
      </c>
      <c r="AI222" s="76">
        <v>2.4944382578492941</v>
      </c>
      <c r="AJ222" s="77">
        <v>1.3363062095621221</v>
      </c>
      <c r="AK222" s="77">
        <v>4</v>
      </c>
      <c r="AL222" s="76"/>
      <c r="AM222" s="76"/>
      <c r="AN222" s="77"/>
      <c r="AO222" s="77"/>
      <c r="AP222" s="76"/>
      <c r="AQ222" s="76"/>
      <c r="AR222" s="77"/>
      <c r="AS222" s="77"/>
      <c r="AT222" s="78">
        <v>0.375</v>
      </c>
    </row>
    <row r="223" spans="1:46" ht="12.5" x14ac:dyDescent="0.25">
      <c r="A223" s="79">
        <v>44792.427470659721</v>
      </c>
      <c r="B223" s="80" t="s">
        <v>168</v>
      </c>
      <c r="C223" s="80" t="str">
        <f>INDEX(TBL_Name,MATCH(Table2[[#This Row],[Athlete Name]],listNames,0),2)</f>
        <v>Athlete 26</v>
      </c>
      <c r="D223" s="80" t="s">
        <v>130</v>
      </c>
      <c r="E223" s="80">
        <v>9</v>
      </c>
      <c r="F223" s="80">
        <v>9</v>
      </c>
      <c r="G223" s="80">
        <v>8</v>
      </c>
      <c r="H223" s="80" t="s">
        <v>362</v>
      </c>
      <c r="I223" s="80">
        <v>7</v>
      </c>
      <c r="J223" s="80"/>
      <c r="K223" s="80"/>
      <c r="L223" s="80"/>
      <c r="M223" s="1" t="s">
        <v>453</v>
      </c>
      <c r="N223" s="1">
        <v>34</v>
      </c>
      <c r="O223" s="1">
        <v>2</v>
      </c>
      <c r="P223" s="13">
        <v>44792</v>
      </c>
      <c r="Q223" s="1" t="s">
        <v>133</v>
      </c>
      <c r="R223" s="1" t="s">
        <v>64</v>
      </c>
      <c r="S223" s="1">
        <v>1</v>
      </c>
      <c r="T223" s="1"/>
      <c r="U223" s="1" t="s">
        <v>5</v>
      </c>
      <c r="V223" s="76">
        <v>7.666666666666667</v>
      </c>
      <c r="W223" s="76">
        <v>1.1055415967851332</v>
      </c>
      <c r="X223" s="77">
        <v>1.2060453783110543</v>
      </c>
      <c r="Y223" s="77">
        <v>4</v>
      </c>
      <c r="Z223" s="76">
        <v>8</v>
      </c>
      <c r="AA223" s="76">
        <v>1.1547005383792515</v>
      </c>
      <c r="AB223" s="77">
        <v>0.86602540378443871</v>
      </c>
      <c r="AC223" s="77">
        <v>3</v>
      </c>
      <c r="AD223" s="76">
        <v>8</v>
      </c>
      <c r="AE223" s="76">
        <v>0.81649658092772603</v>
      </c>
      <c r="AF223" s="77">
        <v>0</v>
      </c>
      <c r="AG223" s="77">
        <v>3</v>
      </c>
      <c r="AH223" s="76">
        <v>5.833333333333333</v>
      </c>
      <c r="AI223" s="76">
        <v>1.5723301886761007</v>
      </c>
      <c r="AJ223" s="77">
        <v>0.7419985160044521</v>
      </c>
      <c r="AK223" s="77">
        <v>3</v>
      </c>
      <c r="AL223" s="76"/>
      <c r="AM223" s="76"/>
      <c r="AN223" s="77"/>
      <c r="AO223" s="77"/>
      <c r="AP223" s="76"/>
      <c r="AQ223" s="76"/>
      <c r="AR223" s="77"/>
      <c r="AS223" s="77"/>
      <c r="AT223" s="78">
        <v>0.8125</v>
      </c>
    </row>
    <row r="224" spans="1:46" ht="12.5" x14ac:dyDescent="0.25">
      <c r="A224" s="79">
        <v>44792.428430601853</v>
      </c>
      <c r="B224" s="80" t="s">
        <v>159</v>
      </c>
      <c r="C224" s="80" t="str">
        <f>INDEX(TBL_Name,MATCH(Table2[[#This Row],[Athlete Name]],listNames,0),2)</f>
        <v>Athlete 25</v>
      </c>
      <c r="D224" s="80" t="s">
        <v>130</v>
      </c>
      <c r="E224" s="80">
        <v>7</v>
      </c>
      <c r="F224" s="80">
        <v>7</v>
      </c>
      <c r="G224" s="80">
        <v>8</v>
      </c>
      <c r="H224" s="80"/>
      <c r="I224" s="80">
        <v>8</v>
      </c>
      <c r="J224" s="80"/>
      <c r="K224" s="80"/>
      <c r="L224" s="80"/>
      <c r="M224" s="1" t="s">
        <v>454</v>
      </c>
      <c r="N224" s="1">
        <v>34</v>
      </c>
      <c r="O224" s="1">
        <v>2</v>
      </c>
      <c r="P224" s="13">
        <v>44792</v>
      </c>
      <c r="Q224" s="1" t="s">
        <v>133</v>
      </c>
      <c r="R224" s="1" t="s">
        <v>64</v>
      </c>
      <c r="S224" s="1">
        <v>1</v>
      </c>
      <c r="T224" s="1"/>
      <c r="U224" s="1" t="s">
        <v>28</v>
      </c>
      <c r="V224" s="76">
        <v>7</v>
      </c>
      <c r="W224" s="76">
        <v>0</v>
      </c>
      <c r="X224" s="77">
        <v>0</v>
      </c>
      <c r="Y224" s="77">
        <v>3</v>
      </c>
      <c r="Z224" s="76">
        <v>6.333333333333333</v>
      </c>
      <c r="AA224" s="76">
        <v>0.94280904158206336</v>
      </c>
      <c r="AB224" s="77">
        <v>0.70710678118654779</v>
      </c>
      <c r="AC224" s="77">
        <v>3</v>
      </c>
      <c r="AD224" s="76">
        <v>8</v>
      </c>
      <c r="AE224" s="76">
        <v>0.81649658092772603</v>
      </c>
      <c r="AF224" s="77">
        <v>0</v>
      </c>
      <c r="AG224" s="77">
        <v>3</v>
      </c>
      <c r="AH224" s="76">
        <v>7</v>
      </c>
      <c r="AI224" s="76">
        <v>0.81649658092772603</v>
      </c>
      <c r="AJ224" s="77">
        <v>1.2247448713915889</v>
      </c>
      <c r="AK224" s="77">
        <v>4</v>
      </c>
      <c r="AL224" s="76"/>
      <c r="AM224" s="76"/>
      <c r="AN224" s="77"/>
      <c r="AO224" s="77"/>
      <c r="AP224" s="76"/>
      <c r="AQ224" s="76"/>
      <c r="AR224" s="77"/>
      <c r="AS224" s="77"/>
      <c r="AT224" s="78">
        <v>0.75</v>
      </c>
    </row>
    <row r="225" spans="1:46" ht="12.5" x14ac:dyDescent="0.25">
      <c r="A225" s="79">
        <v>44792.429163437497</v>
      </c>
      <c r="B225" s="80" t="s">
        <v>129</v>
      </c>
      <c r="C225" s="80" t="str">
        <f>INDEX(TBL_Name,MATCH(Table2[[#This Row],[Athlete Name]],listNames,0),2)</f>
        <v>Athlete 19</v>
      </c>
      <c r="D225" s="80" t="s">
        <v>130</v>
      </c>
      <c r="E225" s="80">
        <v>7</v>
      </c>
      <c r="F225" s="80">
        <v>7</v>
      </c>
      <c r="G225" s="80">
        <v>10</v>
      </c>
      <c r="H225" s="80" t="s">
        <v>188</v>
      </c>
      <c r="I225" s="80">
        <v>6</v>
      </c>
      <c r="J225" s="80"/>
      <c r="K225" s="80"/>
      <c r="L225" s="80"/>
      <c r="M225" s="1" t="s">
        <v>455</v>
      </c>
      <c r="N225" s="1">
        <v>34</v>
      </c>
      <c r="O225" s="1">
        <v>2</v>
      </c>
      <c r="P225" s="13">
        <v>44792</v>
      </c>
      <c r="Q225" s="1" t="s">
        <v>133</v>
      </c>
      <c r="R225" s="1" t="s">
        <v>64</v>
      </c>
      <c r="S225" s="1">
        <v>1</v>
      </c>
      <c r="T225" s="1"/>
      <c r="U225" s="1" t="s">
        <v>18</v>
      </c>
      <c r="V225" s="76">
        <v>7.166666666666667</v>
      </c>
      <c r="W225" s="76">
        <v>0.68718427093627676</v>
      </c>
      <c r="X225" s="77">
        <v>-0.24253562503633341</v>
      </c>
      <c r="Y225" s="77">
        <v>2</v>
      </c>
      <c r="Z225" s="76">
        <v>7.166666666666667</v>
      </c>
      <c r="AA225" s="76">
        <v>0.89752746785575066</v>
      </c>
      <c r="AB225" s="77">
        <v>-0.18569533817705219</v>
      </c>
      <c r="AC225" s="77">
        <v>2</v>
      </c>
      <c r="AD225" s="76">
        <v>8.3333333333333339</v>
      </c>
      <c r="AE225" s="76">
        <v>0.94280904158206325</v>
      </c>
      <c r="AF225" s="77">
        <v>1.7677669529663684</v>
      </c>
      <c r="AG225" s="77">
        <v>4</v>
      </c>
      <c r="AH225" s="76">
        <v>4.5</v>
      </c>
      <c r="AI225" s="76">
        <v>0.9574271077563381</v>
      </c>
      <c r="AJ225" s="77">
        <v>1.5666989036012806</v>
      </c>
      <c r="AK225" s="77">
        <v>4</v>
      </c>
      <c r="AL225" s="76"/>
      <c r="AM225" s="76"/>
      <c r="AN225" s="77"/>
      <c r="AO225" s="77"/>
      <c r="AP225" s="76"/>
      <c r="AQ225" s="76"/>
      <c r="AR225" s="77"/>
      <c r="AS225" s="77"/>
      <c r="AT225" s="78">
        <v>0.5625</v>
      </c>
    </row>
    <row r="226" spans="1:46" ht="12.5" x14ac:dyDescent="0.25">
      <c r="A226" s="79">
        <v>44792.430832905091</v>
      </c>
      <c r="B226" s="80" t="s">
        <v>7</v>
      </c>
      <c r="C226" s="80" t="str">
        <f>INDEX(TBL_Name,MATCH(Table2[[#This Row],[Athlete Name]],listNames,0),2)</f>
        <v>Athlete 3</v>
      </c>
      <c r="D226" s="80" t="s">
        <v>130</v>
      </c>
      <c r="E226" s="80">
        <v>5</v>
      </c>
      <c r="F226" s="80">
        <v>8</v>
      </c>
      <c r="G226" s="80">
        <v>9</v>
      </c>
      <c r="H226" s="80"/>
      <c r="I226" s="80">
        <v>8</v>
      </c>
      <c r="J226" s="80"/>
      <c r="K226" s="80"/>
      <c r="L226" s="80"/>
      <c r="M226" s="1" t="s">
        <v>456</v>
      </c>
      <c r="N226" s="1">
        <v>34</v>
      </c>
      <c r="O226" s="1">
        <v>2</v>
      </c>
      <c r="P226" s="13">
        <v>44792</v>
      </c>
      <c r="Q226" s="1" t="s">
        <v>133</v>
      </c>
      <c r="R226" s="1" t="s">
        <v>64</v>
      </c>
      <c r="S226" s="1">
        <v>1</v>
      </c>
      <c r="T226" s="1"/>
      <c r="U226" s="1" t="s">
        <v>8</v>
      </c>
      <c r="V226" s="76">
        <v>5</v>
      </c>
      <c r="W226" s="76">
        <v>0</v>
      </c>
      <c r="X226" s="77">
        <v>0</v>
      </c>
      <c r="Y226" s="77">
        <v>3</v>
      </c>
      <c r="Z226" s="76">
        <v>8</v>
      </c>
      <c r="AA226" s="76">
        <v>0</v>
      </c>
      <c r="AB226" s="77">
        <v>0</v>
      </c>
      <c r="AC226" s="77">
        <v>3</v>
      </c>
      <c r="AD226" s="76">
        <v>9</v>
      </c>
      <c r="AE226" s="76">
        <v>0</v>
      </c>
      <c r="AF226" s="77">
        <v>0</v>
      </c>
      <c r="AG226" s="77">
        <v>3</v>
      </c>
      <c r="AH226" s="76">
        <v>8</v>
      </c>
      <c r="AI226" s="76">
        <v>0</v>
      </c>
      <c r="AJ226" s="77">
        <v>0</v>
      </c>
      <c r="AK226" s="77">
        <v>3</v>
      </c>
      <c r="AL226" s="76"/>
      <c r="AM226" s="76"/>
      <c r="AN226" s="77"/>
      <c r="AO226" s="77"/>
      <c r="AP226" s="76"/>
      <c r="AQ226" s="76"/>
      <c r="AR226" s="77"/>
      <c r="AS226" s="77"/>
      <c r="AT226" s="78">
        <v>0.75</v>
      </c>
    </row>
    <row r="227" spans="1:46" ht="12.5" x14ac:dyDescent="0.25">
      <c r="A227" s="79">
        <v>44792.434790972227</v>
      </c>
      <c r="B227" s="80" t="s">
        <v>180</v>
      </c>
      <c r="C227" s="80" t="str">
        <f>INDEX(TBL_Name,MATCH(Table2[[#This Row],[Athlete Name]],listNames,0),2)</f>
        <v>Athlete 29</v>
      </c>
      <c r="D227" s="80" t="s">
        <v>143</v>
      </c>
      <c r="E227" s="80">
        <v>8</v>
      </c>
      <c r="F227" s="80">
        <v>6</v>
      </c>
      <c r="G227" s="80">
        <v>8</v>
      </c>
      <c r="H227" s="80" t="s">
        <v>457</v>
      </c>
      <c r="I227" s="80">
        <v>6</v>
      </c>
      <c r="J227" s="80"/>
      <c r="K227" s="80"/>
      <c r="L227" s="80"/>
      <c r="M227" s="1" t="s">
        <v>458</v>
      </c>
      <c r="N227" s="1">
        <v>34</v>
      </c>
      <c r="O227" s="1">
        <v>2</v>
      </c>
      <c r="P227" s="13">
        <v>44792</v>
      </c>
      <c r="Q227" s="1" t="s">
        <v>133</v>
      </c>
      <c r="R227" s="1" t="s">
        <v>64</v>
      </c>
      <c r="S227" s="1">
        <v>2</v>
      </c>
      <c r="T227" s="1"/>
      <c r="U227" s="1" t="s">
        <v>5</v>
      </c>
      <c r="V227" s="76">
        <v>7.333333333333333</v>
      </c>
      <c r="W227" s="76">
        <v>1.699673171197595</v>
      </c>
      <c r="X227" s="77">
        <v>0.39223227027636826</v>
      </c>
      <c r="Y227" s="77">
        <v>3</v>
      </c>
      <c r="Z227" s="76">
        <v>6.666666666666667</v>
      </c>
      <c r="AA227" s="76">
        <v>1.699673171197595</v>
      </c>
      <c r="AB227" s="77">
        <v>-0.39223227027636826</v>
      </c>
      <c r="AC227" s="77">
        <v>2</v>
      </c>
      <c r="AD227" s="76">
        <v>7.666666666666667</v>
      </c>
      <c r="AE227" s="76">
        <v>1.247219128924647</v>
      </c>
      <c r="AF227" s="77">
        <v>0.26726124191242417</v>
      </c>
      <c r="AG227" s="77">
        <v>3</v>
      </c>
      <c r="AH227" s="76">
        <v>6.666666666666667</v>
      </c>
      <c r="AI227" s="76">
        <v>0.47140452079103179</v>
      </c>
      <c r="AJ227" s="77">
        <v>-1.4142135623730954</v>
      </c>
      <c r="AK227" s="77">
        <v>1</v>
      </c>
      <c r="AL227" s="76"/>
      <c r="AM227" s="76"/>
      <c r="AN227" s="77"/>
      <c r="AO227" s="77"/>
      <c r="AP227" s="76"/>
      <c r="AQ227" s="76"/>
      <c r="AR227" s="77"/>
      <c r="AS227" s="77"/>
      <c r="AT227" s="78">
        <v>0.625</v>
      </c>
    </row>
    <row r="228" spans="1:46" ht="12.5" x14ac:dyDescent="0.25">
      <c r="A228" s="79">
        <v>44792.435752187499</v>
      </c>
      <c r="B228" s="80" t="s">
        <v>171</v>
      </c>
      <c r="C228" s="80" t="str">
        <f>INDEX(TBL_Name,MATCH(Table2[[#This Row],[Athlete Name]],listNames,0),2)</f>
        <v>Athlete 27</v>
      </c>
      <c r="D228" s="80" t="s">
        <v>130</v>
      </c>
      <c r="E228" s="80">
        <v>10</v>
      </c>
      <c r="F228" s="80">
        <v>8</v>
      </c>
      <c r="G228" s="80">
        <v>8</v>
      </c>
      <c r="H228" s="80" t="s">
        <v>70</v>
      </c>
      <c r="I228" s="80">
        <v>7</v>
      </c>
      <c r="J228" s="80"/>
      <c r="K228" s="80"/>
      <c r="L228" s="80"/>
      <c r="M228" s="1" t="s">
        <v>459</v>
      </c>
      <c r="N228" s="1">
        <v>34</v>
      </c>
      <c r="O228" s="1">
        <v>2</v>
      </c>
      <c r="P228" s="13">
        <v>44792</v>
      </c>
      <c r="Q228" s="1" t="s">
        <v>133</v>
      </c>
      <c r="R228" s="1" t="s">
        <v>64</v>
      </c>
      <c r="S228" s="1">
        <v>1</v>
      </c>
      <c r="T228" s="1"/>
      <c r="U228" s="1" t="s">
        <v>8</v>
      </c>
      <c r="V228" s="76">
        <v>10</v>
      </c>
      <c r="W228" s="76">
        <v>0</v>
      </c>
      <c r="X228" s="77">
        <v>0</v>
      </c>
      <c r="Y228" s="77">
        <v>3</v>
      </c>
      <c r="Z228" s="76">
        <v>8.4</v>
      </c>
      <c r="AA228" s="76">
        <v>1.019803902718557</v>
      </c>
      <c r="AB228" s="77">
        <v>-0.39223227027636837</v>
      </c>
      <c r="AC228" s="77">
        <v>2</v>
      </c>
      <c r="AD228" s="76">
        <v>7.8</v>
      </c>
      <c r="AE228" s="76">
        <v>0.74833147735478822</v>
      </c>
      <c r="AF228" s="77">
        <v>0.26726124191242462</v>
      </c>
      <c r="AG228" s="77">
        <v>3</v>
      </c>
      <c r="AH228" s="76">
        <v>6.6</v>
      </c>
      <c r="AI228" s="76">
        <v>1.019803902718557</v>
      </c>
      <c r="AJ228" s="77">
        <v>0.39223227027636837</v>
      </c>
      <c r="AK228" s="77">
        <v>3</v>
      </c>
      <c r="AL228" s="76"/>
      <c r="AM228" s="76"/>
      <c r="AN228" s="77"/>
      <c r="AO228" s="77"/>
      <c r="AP228" s="76"/>
      <c r="AQ228" s="76"/>
      <c r="AR228" s="77"/>
      <c r="AS228" s="77"/>
      <c r="AT228" s="78">
        <v>0.75</v>
      </c>
    </row>
    <row r="229" spans="1:46" ht="12.5" x14ac:dyDescent="0.25">
      <c r="A229" s="79">
        <v>44792.440211550929</v>
      </c>
      <c r="B229" s="80" t="s">
        <v>13</v>
      </c>
      <c r="C229" s="80" t="str">
        <f>INDEX(TBL_Name,MATCH(Table2[[#This Row],[Athlete Name]],listNames,0),2)</f>
        <v>Athlete 7</v>
      </c>
      <c r="D229" s="80" t="s">
        <v>130</v>
      </c>
      <c r="E229" s="80">
        <v>8</v>
      </c>
      <c r="F229" s="80">
        <v>6</v>
      </c>
      <c r="G229" s="80">
        <v>7</v>
      </c>
      <c r="H229" s="80" t="s">
        <v>432</v>
      </c>
      <c r="I229" s="80">
        <v>7</v>
      </c>
      <c r="J229" s="80"/>
      <c r="K229" s="80"/>
      <c r="L229" s="80"/>
      <c r="M229" s="1" t="s">
        <v>460</v>
      </c>
      <c r="N229" s="1">
        <v>34</v>
      </c>
      <c r="O229" s="1">
        <v>2</v>
      </c>
      <c r="P229" s="13">
        <v>44792</v>
      </c>
      <c r="Q229" s="1" t="s">
        <v>133</v>
      </c>
      <c r="R229" s="1" t="s">
        <v>64</v>
      </c>
      <c r="S229" s="1">
        <v>1</v>
      </c>
      <c r="T229" s="1"/>
      <c r="U229" s="1" t="s">
        <v>14</v>
      </c>
      <c r="V229" s="76">
        <v>6</v>
      </c>
      <c r="W229" s="76">
        <v>1.2247448713915889</v>
      </c>
      <c r="X229" s="77">
        <v>1.6329931618554523</v>
      </c>
      <c r="Y229" s="77">
        <v>4</v>
      </c>
      <c r="Z229" s="76">
        <v>6.5</v>
      </c>
      <c r="AA229" s="76">
        <v>0.5</v>
      </c>
      <c r="AB229" s="77">
        <v>-1</v>
      </c>
      <c r="AC229" s="77">
        <v>1</v>
      </c>
      <c r="AD229" s="76">
        <v>8.25</v>
      </c>
      <c r="AE229" s="76">
        <v>0.82915619758884984</v>
      </c>
      <c r="AF229" s="77">
        <v>-1.5075567228888183</v>
      </c>
      <c r="AG229" s="77">
        <v>1</v>
      </c>
      <c r="AH229" s="76">
        <v>6.5</v>
      </c>
      <c r="AI229" s="76">
        <v>0.50000000000000011</v>
      </c>
      <c r="AJ229" s="77">
        <v>0.99999999999999978</v>
      </c>
      <c r="AK229" s="77">
        <v>4</v>
      </c>
      <c r="AL229" s="76"/>
      <c r="AM229" s="76"/>
      <c r="AN229" s="77"/>
      <c r="AO229" s="77"/>
      <c r="AP229" s="76"/>
      <c r="AQ229" s="76"/>
      <c r="AR229" s="77"/>
      <c r="AS229" s="77"/>
      <c r="AT229" s="78">
        <v>0.8125</v>
      </c>
    </row>
    <row r="230" spans="1:46" ht="12.5" x14ac:dyDescent="0.25">
      <c r="A230" s="79">
        <v>44792.461364583331</v>
      </c>
      <c r="B230" s="80" t="s">
        <v>136</v>
      </c>
      <c r="C230" s="80" t="str">
        <f>INDEX(TBL_Name,MATCH(Table2[[#This Row],[Athlete Name]],listNames,0),2)</f>
        <v>Athlete 20</v>
      </c>
      <c r="D230" s="80" t="s">
        <v>130</v>
      </c>
      <c r="E230" s="80">
        <v>8</v>
      </c>
      <c r="F230" s="80">
        <v>7</v>
      </c>
      <c r="G230" s="80">
        <v>7</v>
      </c>
      <c r="H230" s="80" t="s">
        <v>380</v>
      </c>
      <c r="I230" s="80">
        <v>7</v>
      </c>
      <c r="J230" s="80"/>
      <c r="K230" s="80"/>
      <c r="L230" s="80"/>
      <c r="M230" s="1" t="s">
        <v>461</v>
      </c>
      <c r="N230" s="1">
        <v>34</v>
      </c>
      <c r="O230" s="1">
        <v>2</v>
      </c>
      <c r="P230" s="13">
        <v>44792</v>
      </c>
      <c r="Q230" s="1" t="s">
        <v>133</v>
      </c>
      <c r="R230" s="1" t="s">
        <v>64</v>
      </c>
      <c r="S230" s="1">
        <v>1</v>
      </c>
      <c r="T230" s="1"/>
      <c r="U230" s="1" t="s">
        <v>18</v>
      </c>
      <c r="V230" s="76">
        <v>8.3333333333333339</v>
      </c>
      <c r="W230" s="76">
        <v>0.47140452079103179</v>
      </c>
      <c r="X230" s="77">
        <v>-0.70710678118654857</v>
      </c>
      <c r="Y230" s="77">
        <v>2</v>
      </c>
      <c r="Z230" s="76">
        <v>7.333333333333333</v>
      </c>
      <c r="AA230" s="76">
        <v>1.247219128924647</v>
      </c>
      <c r="AB230" s="77">
        <v>-0.26726124191242417</v>
      </c>
      <c r="AC230" s="77">
        <v>2</v>
      </c>
      <c r="AD230" s="76">
        <v>8</v>
      </c>
      <c r="AE230" s="76">
        <v>1.4142135623730951</v>
      </c>
      <c r="AF230" s="77">
        <v>-0.70710678118654746</v>
      </c>
      <c r="AG230" s="77">
        <v>2</v>
      </c>
      <c r="AH230" s="76">
        <v>6.666666666666667</v>
      </c>
      <c r="AI230" s="76">
        <v>1.247219128924647</v>
      </c>
      <c r="AJ230" s="77">
        <v>0.26726124191242417</v>
      </c>
      <c r="AK230" s="77">
        <v>3</v>
      </c>
      <c r="AL230" s="76"/>
      <c r="AM230" s="76"/>
      <c r="AN230" s="77"/>
      <c r="AO230" s="77"/>
      <c r="AP230" s="76"/>
      <c r="AQ230" s="76"/>
      <c r="AR230" s="77"/>
      <c r="AS230" s="77"/>
      <c r="AT230" s="78">
        <v>0.3125</v>
      </c>
    </row>
    <row r="231" spans="1:46" ht="12.5" x14ac:dyDescent="0.25">
      <c r="A231" s="79">
        <v>44792.470711956019</v>
      </c>
      <c r="B231" s="80" t="s">
        <v>142</v>
      </c>
      <c r="C231" s="80" t="str">
        <f>INDEX(TBL_Name,MATCH(Table2[[#This Row],[Athlete Name]],listNames,0),2)</f>
        <v>Athlete 21</v>
      </c>
      <c r="D231" s="80" t="s">
        <v>143</v>
      </c>
      <c r="E231" s="80">
        <v>6</v>
      </c>
      <c r="F231" s="80">
        <v>9</v>
      </c>
      <c r="G231" s="80">
        <v>9</v>
      </c>
      <c r="H231" s="80" t="s">
        <v>203</v>
      </c>
      <c r="I231" s="80">
        <v>7</v>
      </c>
      <c r="J231" s="80"/>
      <c r="K231" s="80"/>
      <c r="L231" s="80"/>
      <c r="M231" s="1" t="s">
        <v>462</v>
      </c>
      <c r="N231" s="1">
        <v>34</v>
      </c>
      <c r="O231" s="1">
        <v>2</v>
      </c>
      <c r="P231" s="13">
        <v>44792</v>
      </c>
      <c r="Q231" s="1" t="s">
        <v>133</v>
      </c>
      <c r="R231" s="1" t="s">
        <v>64</v>
      </c>
      <c r="S231" s="1">
        <v>2</v>
      </c>
      <c r="T231" s="1"/>
      <c r="U231" s="1" t="s">
        <v>18</v>
      </c>
      <c r="V231" s="76">
        <v>5.6</v>
      </c>
      <c r="W231" s="76">
        <v>0.8</v>
      </c>
      <c r="X231" s="77">
        <v>0.50000000000000044</v>
      </c>
      <c r="Y231" s="77">
        <v>3</v>
      </c>
      <c r="Z231" s="76">
        <v>8.1999999999999993</v>
      </c>
      <c r="AA231" s="76">
        <v>1.1661903789690602</v>
      </c>
      <c r="AB231" s="77">
        <v>0.68599434057003594</v>
      </c>
      <c r="AC231" s="77">
        <v>3</v>
      </c>
      <c r="AD231" s="76">
        <v>7.8</v>
      </c>
      <c r="AE231" s="76">
        <v>1.6</v>
      </c>
      <c r="AF231" s="77">
        <v>0.75000000000000011</v>
      </c>
      <c r="AG231" s="77">
        <v>3</v>
      </c>
      <c r="AH231" s="76">
        <v>5.6</v>
      </c>
      <c r="AI231" s="76">
        <v>0.8</v>
      </c>
      <c r="AJ231" s="77">
        <v>1.7500000000000004</v>
      </c>
      <c r="AK231" s="77">
        <v>4</v>
      </c>
      <c r="AL231" s="76"/>
      <c r="AM231" s="76"/>
      <c r="AN231" s="77"/>
      <c r="AO231" s="77"/>
      <c r="AP231" s="76"/>
      <c r="AQ231" s="76"/>
      <c r="AR231" s="77"/>
      <c r="AS231" s="77"/>
      <c r="AT231" s="78">
        <v>0.9375</v>
      </c>
    </row>
    <row r="232" spans="1:46" ht="12.5" x14ac:dyDescent="0.25">
      <c r="A232" s="79">
        <v>44792.507499085652</v>
      </c>
      <c r="B232" s="80" t="s">
        <v>177</v>
      </c>
      <c r="C232" s="80" t="str">
        <f>INDEX(TBL_Name,MATCH(Table2[[#This Row],[Athlete Name]],listNames,0),2)</f>
        <v>Athlete 28</v>
      </c>
      <c r="D232" s="80" t="s">
        <v>130</v>
      </c>
      <c r="E232" s="80">
        <v>4</v>
      </c>
      <c r="F232" s="80">
        <v>7</v>
      </c>
      <c r="G232" s="80">
        <v>9</v>
      </c>
      <c r="H232" s="80" t="s">
        <v>203</v>
      </c>
      <c r="I232" s="80">
        <v>8</v>
      </c>
      <c r="J232" s="80"/>
      <c r="K232" s="80"/>
      <c r="L232" s="80"/>
      <c r="M232" s="1" t="s">
        <v>463</v>
      </c>
      <c r="N232" s="1">
        <v>34</v>
      </c>
      <c r="O232" s="1">
        <v>2</v>
      </c>
      <c r="P232" s="13">
        <v>44792</v>
      </c>
      <c r="Q232" s="1" t="s">
        <v>133</v>
      </c>
      <c r="R232" s="1" t="s">
        <v>64</v>
      </c>
      <c r="S232" s="1">
        <v>1</v>
      </c>
      <c r="T232" s="1"/>
      <c r="U232" s="1" t="s">
        <v>28</v>
      </c>
      <c r="V232" s="76">
        <v>5.25</v>
      </c>
      <c r="W232" s="76">
        <v>1.7853571071357126</v>
      </c>
      <c r="X232" s="77">
        <v>-0.70014004201400482</v>
      </c>
      <c r="Y232" s="77">
        <v>2</v>
      </c>
      <c r="Z232" s="76">
        <v>6.5</v>
      </c>
      <c r="AA232" s="76">
        <v>1.1180339887498949</v>
      </c>
      <c r="AB232" s="77">
        <v>0.44721359549995793</v>
      </c>
      <c r="AC232" s="77">
        <v>3</v>
      </c>
      <c r="AD232" s="76">
        <v>8.25</v>
      </c>
      <c r="AE232" s="76">
        <v>1.299038105676658</v>
      </c>
      <c r="AF232" s="77">
        <v>0.57735026918962573</v>
      </c>
      <c r="AG232" s="77">
        <v>3</v>
      </c>
      <c r="AH232" s="76">
        <v>6.5</v>
      </c>
      <c r="AI232" s="76">
        <v>2.0615528128088303</v>
      </c>
      <c r="AJ232" s="77">
        <v>0.72760687510899891</v>
      </c>
      <c r="AK232" s="77">
        <v>3</v>
      </c>
      <c r="AL232" s="76"/>
      <c r="AM232" s="76"/>
      <c r="AN232" s="77"/>
      <c r="AO232" s="77"/>
      <c r="AP232" s="76"/>
      <c r="AQ232" s="76"/>
      <c r="AR232" s="77"/>
      <c r="AS232" s="77"/>
      <c r="AT232" s="78">
        <v>0.8125</v>
      </c>
    </row>
    <row r="233" spans="1:46" ht="12.5" x14ac:dyDescent="0.25">
      <c r="A233" s="79">
        <v>44792.607554178241</v>
      </c>
      <c r="B233" s="80" t="s">
        <v>23</v>
      </c>
      <c r="C233" s="80" t="str">
        <f>INDEX(TBL_Name,MATCH(Table2[[#This Row],[Athlete Name]],listNames,0),2)</f>
        <v>Athlete 15</v>
      </c>
      <c r="D233" s="80" t="s">
        <v>130</v>
      </c>
      <c r="E233" s="80">
        <v>6</v>
      </c>
      <c r="F233" s="80">
        <v>8</v>
      </c>
      <c r="G233" s="80">
        <v>9</v>
      </c>
      <c r="H233" s="80" t="s">
        <v>280</v>
      </c>
      <c r="I233" s="80">
        <v>4</v>
      </c>
      <c r="J233" s="80"/>
      <c r="K233" s="80"/>
      <c r="L233" s="80"/>
      <c r="M233" s="1" t="s">
        <v>451</v>
      </c>
      <c r="N233" s="1">
        <v>34</v>
      </c>
      <c r="O233" s="1">
        <v>2</v>
      </c>
      <c r="P233" s="13">
        <v>44792</v>
      </c>
      <c r="Q233" s="1" t="s">
        <v>133</v>
      </c>
      <c r="R233" s="1" t="s">
        <v>64</v>
      </c>
      <c r="S233" s="1">
        <v>1</v>
      </c>
      <c r="T233" s="1"/>
      <c r="U233" s="1" t="s">
        <v>18</v>
      </c>
      <c r="V233" s="76">
        <v>5.75</v>
      </c>
      <c r="W233" s="76">
        <v>1.0897247358851683</v>
      </c>
      <c r="X233" s="77">
        <v>0.2294157338705618</v>
      </c>
      <c r="Y233" s="77">
        <v>3</v>
      </c>
      <c r="Z233" s="76">
        <v>9</v>
      </c>
      <c r="AA233" s="76">
        <v>0.70710678118654768</v>
      </c>
      <c r="AB233" s="77">
        <v>-1.4142135623730947</v>
      </c>
      <c r="AC233" s="77">
        <v>1</v>
      </c>
      <c r="AD233" s="76">
        <v>8.75</v>
      </c>
      <c r="AE233" s="76">
        <v>0.43301270189221946</v>
      </c>
      <c r="AF233" s="77">
        <v>0.57735026918962562</v>
      </c>
      <c r="AG233" s="77">
        <v>3</v>
      </c>
      <c r="AH233" s="76">
        <v>3.75</v>
      </c>
      <c r="AI233" s="76">
        <v>0.43301270189221935</v>
      </c>
      <c r="AJ233" s="77">
        <v>0.57735026918962573</v>
      </c>
      <c r="AK233" s="77">
        <v>3</v>
      </c>
      <c r="AL233" s="76"/>
      <c r="AM233" s="76"/>
      <c r="AN233" s="77"/>
      <c r="AO233" s="77"/>
      <c r="AP233" s="76"/>
      <c r="AQ233" s="76"/>
      <c r="AR233" s="77"/>
      <c r="AS233" s="77"/>
      <c r="AT233" s="78">
        <v>0.75</v>
      </c>
    </row>
    <row r="234" spans="1:46" ht="12.5" x14ac:dyDescent="0.25">
      <c r="A234" s="79">
        <v>44792.92321818287</v>
      </c>
      <c r="B234" s="80" t="s">
        <v>9</v>
      </c>
      <c r="C234" s="80" t="str">
        <f>INDEX(TBL_Name,MATCH(Table2[[#This Row],[Athlete Name]],listNames,0),2)</f>
        <v>Athlete 4</v>
      </c>
      <c r="D234" s="80" t="s">
        <v>130</v>
      </c>
      <c r="E234" s="80">
        <v>7</v>
      </c>
      <c r="F234" s="80">
        <v>8</v>
      </c>
      <c r="G234" s="80">
        <v>8</v>
      </c>
      <c r="H234" s="80" t="s">
        <v>231</v>
      </c>
      <c r="I234" s="80">
        <v>7</v>
      </c>
      <c r="J234" s="80"/>
      <c r="K234" s="80"/>
      <c r="L234" s="80"/>
      <c r="M234" s="1" t="s">
        <v>464</v>
      </c>
      <c r="N234" s="1">
        <v>34</v>
      </c>
      <c r="O234" s="1">
        <v>2</v>
      </c>
      <c r="P234" s="13">
        <v>44792</v>
      </c>
      <c r="Q234" s="1" t="s">
        <v>133</v>
      </c>
      <c r="R234" s="1" t="s">
        <v>64</v>
      </c>
      <c r="S234" s="1">
        <v>1</v>
      </c>
      <c r="T234" s="1"/>
      <c r="U234" s="1" t="s">
        <v>8</v>
      </c>
      <c r="V234" s="76">
        <v>7.333333333333333</v>
      </c>
      <c r="W234" s="76">
        <v>0.47140452079103162</v>
      </c>
      <c r="X234" s="77">
        <v>-0.70710678118654702</v>
      </c>
      <c r="Y234" s="77">
        <v>2</v>
      </c>
      <c r="Z234" s="76">
        <v>8.3333333333333339</v>
      </c>
      <c r="AA234" s="76">
        <v>0.47140452079103179</v>
      </c>
      <c r="AB234" s="77">
        <v>-0.70710678118654857</v>
      </c>
      <c r="AC234" s="77">
        <v>2</v>
      </c>
      <c r="AD234" s="76">
        <v>8</v>
      </c>
      <c r="AE234" s="76">
        <v>0</v>
      </c>
      <c r="AF234" s="77">
        <v>0</v>
      </c>
      <c r="AG234" s="77">
        <v>3</v>
      </c>
      <c r="AH234" s="76">
        <v>6</v>
      </c>
      <c r="AI234" s="76">
        <v>0.81649658092772603</v>
      </c>
      <c r="AJ234" s="77">
        <v>1.2247448713915889</v>
      </c>
      <c r="AK234" s="77">
        <v>4</v>
      </c>
      <c r="AL234" s="76"/>
      <c r="AM234" s="76"/>
      <c r="AN234" s="77"/>
      <c r="AO234" s="77"/>
      <c r="AP234" s="76"/>
      <c r="AQ234" s="76"/>
      <c r="AR234" s="77"/>
      <c r="AS234" s="77"/>
      <c r="AT234" s="78">
        <v>0.75</v>
      </c>
    </row>
    <row r="235" spans="1:46" ht="12.5" x14ac:dyDescent="0.25">
      <c r="A235" s="79">
        <v>44793.315496585652</v>
      </c>
      <c r="B235" s="80" t="s">
        <v>185</v>
      </c>
      <c r="C235" s="80" t="str">
        <f>INDEX(TBL_Name,MATCH(Table2[[#This Row],[Athlete Name]],listNames,0),2)</f>
        <v>Athlete 30</v>
      </c>
      <c r="D235" s="80" t="s">
        <v>130</v>
      </c>
      <c r="E235" s="80">
        <v>10</v>
      </c>
      <c r="F235" s="80">
        <v>5</v>
      </c>
      <c r="G235" s="80">
        <v>7</v>
      </c>
      <c r="H235" s="80" t="s">
        <v>186</v>
      </c>
      <c r="I235" s="80">
        <v>6</v>
      </c>
      <c r="J235" s="80"/>
      <c r="K235" s="80"/>
      <c r="L235" s="80"/>
      <c r="M235" s="1" t="s">
        <v>465</v>
      </c>
      <c r="N235" s="1">
        <v>34</v>
      </c>
      <c r="O235" s="1">
        <v>2</v>
      </c>
      <c r="P235" s="13">
        <v>44793</v>
      </c>
      <c r="Q235" s="1" t="s">
        <v>133</v>
      </c>
      <c r="R235" s="1" t="s">
        <v>64</v>
      </c>
      <c r="S235" s="1">
        <v>1</v>
      </c>
      <c r="T235" s="1"/>
      <c r="U235" s="1" t="s">
        <v>26</v>
      </c>
      <c r="V235" s="76">
        <v>9.4</v>
      </c>
      <c r="W235" s="76">
        <v>0.79999999999999993</v>
      </c>
      <c r="X235" s="77">
        <v>0.74999999999999967</v>
      </c>
      <c r="Y235" s="77">
        <v>3</v>
      </c>
      <c r="Z235" s="76">
        <v>5.6</v>
      </c>
      <c r="AA235" s="76">
        <v>0.79999999999999993</v>
      </c>
      <c r="AB235" s="77">
        <v>-0.74999999999999967</v>
      </c>
      <c r="AC235" s="77">
        <v>2</v>
      </c>
      <c r="AD235" s="76">
        <v>7.6</v>
      </c>
      <c r="AE235" s="76">
        <v>0.79999999999999993</v>
      </c>
      <c r="AF235" s="77">
        <v>-0.74999999999999967</v>
      </c>
      <c r="AG235" s="77">
        <v>2</v>
      </c>
      <c r="AH235" s="76">
        <v>4.4000000000000004</v>
      </c>
      <c r="AI235" s="76">
        <v>1.0198039027185568</v>
      </c>
      <c r="AJ235" s="77">
        <v>1.5689290811054721</v>
      </c>
      <c r="AK235" s="77">
        <v>4</v>
      </c>
      <c r="AL235" s="76"/>
      <c r="AM235" s="76"/>
      <c r="AN235" s="77"/>
      <c r="AO235" s="77"/>
      <c r="AP235" s="76"/>
      <c r="AQ235" s="76"/>
      <c r="AR235" s="77"/>
      <c r="AS235" s="77"/>
      <c r="AT235" s="78">
        <v>0.375</v>
      </c>
    </row>
    <row r="236" spans="1:46" ht="12.5" x14ac:dyDescent="0.25">
      <c r="A236" s="79">
        <v>44793.338817337964</v>
      </c>
      <c r="B236" s="80" t="s">
        <v>148</v>
      </c>
      <c r="C236" s="80" t="str">
        <f>INDEX(TBL_Name,MATCH(Table2[[#This Row],[Athlete Name]],listNames,0),2)</f>
        <v>Athlete 22</v>
      </c>
      <c r="D236" s="80" t="s">
        <v>130</v>
      </c>
      <c r="E236" s="80">
        <v>8</v>
      </c>
      <c r="F236" s="80">
        <v>9</v>
      </c>
      <c r="G236" s="80">
        <v>10</v>
      </c>
      <c r="H236" s="80"/>
      <c r="I236" s="80">
        <v>10</v>
      </c>
      <c r="J236" s="80"/>
      <c r="K236" s="80"/>
      <c r="L236" s="80"/>
      <c r="M236" s="1" t="s">
        <v>466</v>
      </c>
      <c r="N236" s="1">
        <v>34</v>
      </c>
      <c r="O236" s="1">
        <v>2</v>
      </c>
      <c r="P236" s="13">
        <v>44793</v>
      </c>
      <c r="Q236" s="1" t="s">
        <v>133</v>
      </c>
      <c r="R236" s="1" t="s">
        <v>64</v>
      </c>
      <c r="S236" s="1">
        <v>1</v>
      </c>
      <c r="T236" s="1"/>
      <c r="U236" s="1" t="s">
        <v>11</v>
      </c>
      <c r="V236" s="76">
        <v>9.6666666666666661</v>
      </c>
      <c r="W236" s="76">
        <v>0.74535599249992979</v>
      </c>
      <c r="X236" s="77">
        <v>-2.2360679774997894</v>
      </c>
      <c r="Y236" s="77">
        <v>1</v>
      </c>
      <c r="Z236" s="76">
        <v>6.5</v>
      </c>
      <c r="AA236" s="76">
        <v>1.9790570145063195</v>
      </c>
      <c r="AB236" s="77">
        <v>1.2632278815997784</v>
      </c>
      <c r="AC236" s="77">
        <v>4</v>
      </c>
      <c r="AD236" s="76">
        <v>8.8333333333333339</v>
      </c>
      <c r="AE236" s="76">
        <v>1.3437096247164253</v>
      </c>
      <c r="AF236" s="77">
        <v>0.86824314212445852</v>
      </c>
      <c r="AG236" s="77">
        <v>3</v>
      </c>
      <c r="AH236" s="76">
        <v>7.5</v>
      </c>
      <c r="AI236" s="76">
        <v>2.2173557826083452</v>
      </c>
      <c r="AJ236" s="77">
        <v>1.1274690420042432</v>
      </c>
      <c r="AK236" s="77">
        <v>4</v>
      </c>
      <c r="AL236" s="76"/>
      <c r="AM236" s="76"/>
      <c r="AN236" s="77"/>
      <c r="AO236" s="77"/>
      <c r="AP236" s="76"/>
      <c r="AQ236" s="76"/>
      <c r="AR236" s="77"/>
      <c r="AS236" s="77"/>
      <c r="AT236" s="78">
        <v>0.5625</v>
      </c>
    </row>
    <row r="237" spans="1:46" ht="12.5" x14ac:dyDescent="0.25">
      <c r="A237" s="79">
        <v>44793.34925550926</v>
      </c>
      <c r="B237" s="80" t="s">
        <v>9</v>
      </c>
      <c r="C237" s="80" t="str">
        <f>INDEX(TBL_Name,MATCH(Table2[[#This Row],[Athlete Name]],listNames,0),2)</f>
        <v>Athlete 4</v>
      </c>
      <c r="D237" s="80" t="s">
        <v>130</v>
      </c>
      <c r="E237" s="80">
        <v>7</v>
      </c>
      <c r="F237" s="80">
        <v>7</v>
      </c>
      <c r="G237" s="80">
        <v>8</v>
      </c>
      <c r="H237" s="80" t="s">
        <v>231</v>
      </c>
      <c r="I237" s="80">
        <v>6</v>
      </c>
      <c r="J237" s="80"/>
      <c r="K237" s="80"/>
      <c r="L237" s="80"/>
      <c r="M237" s="1" t="s">
        <v>467</v>
      </c>
      <c r="N237" s="1">
        <v>34</v>
      </c>
      <c r="O237" s="1">
        <v>2</v>
      </c>
      <c r="P237" s="13">
        <v>44793</v>
      </c>
      <c r="Q237" s="1" t="s">
        <v>133</v>
      </c>
      <c r="R237" s="1" t="s">
        <v>64</v>
      </c>
      <c r="S237" s="1">
        <v>1</v>
      </c>
      <c r="T237" s="1"/>
      <c r="U237" s="1" t="s">
        <v>8</v>
      </c>
      <c r="V237" s="76">
        <v>7</v>
      </c>
      <c r="W237" s="76">
        <v>0</v>
      </c>
      <c r="X237" s="77">
        <v>0</v>
      </c>
      <c r="Y237" s="77">
        <v>3</v>
      </c>
      <c r="Z237" s="76">
        <v>7.666666666666667</v>
      </c>
      <c r="AA237" s="76">
        <v>0.47140452079103179</v>
      </c>
      <c r="AB237" s="77">
        <v>-1.4142135623730954</v>
      </c>
      <c r="AC237" s="77">
        <v>1</v>
      </c>
      <c r="AD237" s="76">
        <v>8</v>
      </c>
      <c r="AE237" s="76">
        <v>0</v>
      </c>
      <c r="AF237" s="77">
        <v>0</v>
      </c>
      <c r="AG237" s="77">
        <v>3</v>
      </c>
      <c r="AH237" s="76">
        <v>6</v>
      </c>
      <c r="AI237" s="76">
        <v>0.81649658092772603</v>
      </c>
      <c r="AJ237" s="77">
        <v>0</v>
      </c>
      <c r="AK237" s="77">
        <v>3</v>
      </c>
      <c r="AL237" s="76"/>
      <c r="AM237" s="76"/>
      <c r="AN237" s="77"/>
      <c r="AO237" s="77"/>
      <c r="AP237" s="76"/>
      <c r="AQ237" s="76"/>
      <c r="AR237" s="77"/>
      <c r="AS237" s="77"/>
      <c r="AT237" s="78">
        <v>0.75</v>
      </c>
    </row>
    <row r="238" spans="1:46" ht="12.5" x14ac:dyDescent="0.25">
      <c r="A238" s="79">
        <v>44793.354854502315</v>
      </c>
      <c r="B238" s="80" t="s">
        <v>225</v>
      </c>
      <c r="C238" s="80" t="str">
        <f>INDEX(TBL_Name,MATCH(Table2[[#This Row],[Athlete Name]],listNames,0),2)</f>
        <v>Athlete 32</v>
      </c>
      <c r="D238" s="80" t="s">
        <v>130</v>
      </c>
      <c r="E238" s="80">
        <v>10</v>
      </c>
      <c r="F238" s="80">
        <v>10</v>
      </c>
      <c r="G238" s="80">
        <v>7</v>
      </c>
      <c r="H238" s="80"/>
      <c r="I238" s="80">
        <v>10</v>
      </c>
      <c r="J238" s="80"/>
      <c r="K238" s="80"/>
      <c r="L238" s="80"/>
      <c r="M238" s="1" t="s">
        <v>468</v>
      </c>
      <c r="N238" s="1">
        <v>34</v>
      </c>
      <c r="O238" s="1">
        <v>2</v>
      </c>
      <c r="P238" s="13">
        <v>44793</v>
      </c>
      <c r="Q238" s="1" t="s">
        <v>133</v>
      </c>
      <c r="R238" s="1" t="s">
        <v>64</v>
      </c>
      <c r="S238" s="1">
        <v>1</v>
      </c>
      <c r="T238" s="1"/>
      <c r="U238" s="1" t="s">
        <v>5</v>
      </c>
      <c r="V238" s="76">
        <v>10</v>
      </c>
      <c r="W238" s="76">
        <v>0</v>
      </c>
      <c r="X238" s="77">
        <v>0</v>
      </c>
      <c r="Y238" s="77">
        <v>3</v>
      </c>
      <c r="Z238" s="76">
        <v>10</v>
      </c>
      <c r="AA238" s="76">
        <v>0</v>
      </c>
      <c r="AB238" s="77">
        <v>0</v>
      </c>
      <c r="AC238" s="77">
        <v>3</v>
      </c>
      <c r="AD238" s="76">
        <v>7.166666666666667</v>
      </c>
      <c r="AE238" s="76">
        <v>0.372677996249965</v>
      </c>
      <c r="AF238" s="77">
        <v>-0.44721359549995865</v>
      </c>
      <c r="AG238" s="77">
        <v>2</v>
      </c>
      <c r="AH238" s="76">
        <v>9.3333333333333339</v>
      </c>
      <c r="AI238" s="76">
        <v>0.4714045207910319</v>
      </c>
      <c r="AJ238" s="77">
        <v>1.4142135623730931</v>
      </c>
      <c r="AK238" s="77">
        <v>4</v>
      </c>
      <c r="AL238" s="76"/>
      <c r="AM238" s="76"/>
      <c r="AN238" s="77"/>
      <c r="AO238" s="77"/>
      <c r="AP238" s="76"/>
      <c r="AQ238" s="76"/>
      <c r="AR238" s="77"/>
      <c r="AS238" s="77"/>
      <c r="AT238" s="78">
        <v>0.75</v>
      </c>
    </row>
    <row r="239" spans="1:46" ht="12.5" x14ac:dyDescent="0.25">
      <c r="A239" s="79">
        <v>44793.354982349541</v>
      </c>
      <c r="B239" s="80" t="s">
        <v>196</v>
      </c>
      <c r="C239" s="80" t="str">
        <f>INDEX(TBL_Name,MATCH(Table2[[#This Row],[Athlete Name]],listNames,0),2)</f>
        <v>Athlete 31</v>
      </c>
      <c r="D239" s="80" t="s">
        <v>130</v>
      </c>
      <c r="E239" s="80">
        <v>7</v>
      </c>
      <c r="F239" s="80">
        <v>9</v>
      </c>
      <c r="G239" s="80">
        <v>8.5</v>
      </c>
      <c r="H239" s="80" t="s">
        <v>66</v>
      </c>
      <c r="I239" s="80">
        <v>8</v>
      </c>
      <c r="J239" s="80"/>
      <c r="K239" s="80"/>
      <c r="L239" s="80"/>
      <c r="M239" s="1" t="s">
        <v>469</v>
      </c>
      <c r="N239" s="1">
        <v>34</v>
      </c>
      <c r="O239" s="1">
        <v>2</v>
      </c>
      <c r="P239" s="13">
        <v>44793</v>
      </c>
      <c r="Q239" s="1" t="s">
        <v>133</v>
      </c>
      <c r="R239" s="1" t="s">
        <v>64</v>
      </c>
      <c r="S239" s="1">
        <v>1</v>
      </c>
      <c r="T239" s="1"/>
      <c r="U239" s="1" t="s">
        <v>28</v>
      </c>
      <c r="V239" s="76">
        <v>6.5</v>
      </c>
      <c r="W239" s="76">
        <v>0.95742710775633799</v>
      </c>
      <c r="X239" s="77">
        <v>0.52223296786709361</v>
      </c>
      <c r="Y239" s="77">
        <v>3</v>
      </c>
      <c r="Z239" s="76">
        <v>8</v>
      </c>
      <c r="AA239" s="76">
        <v>1.1547005383792515</v>
      </c>
      <c r="AB239" s="77">
        <v>0.86602540378443871</v>
      </c>
      <c r="AC239" s="77">
        <v>3</v>
      </c>
      <c r="AD239" s="76">
        <v>8</v>
      </c>
      <c r="AE239" s="76">
        <v>0.95742710775633799</v>
      </c>
      <c r="AF239" s="77">
        <v>0.52223296786709361</v>
      </c>
      <c r="AG239" s="77">
        <v>3</v>
      </c>
      <c r="AH239" s="76">
        <v>8</v>
      </c>
      <c r="AI239" s="76">
        <v>0</v>
      </c>
      <c r="AJ239" s="77">
        <v>0</v>
      </c>
      <c r="AK239" s="77">
        <v>3</v>
      </c>
      <c r="AL239" s="76"/>
      <c r="AM239" s="76"/>
      <c r="AN239" s="77"/>
      <c r="AO239" s="77"/>
      <c r="AP239" s="76"/>
      <c r="AQ239" s="76"/>
      <c r="AR239" s="77"/>
      <c r="AS239" s="77"/>
      <c r="AT239" s="78">
        <v>0.9375</v>
      </c>
    </row>
    <row r="240" spans="1:46" ht="12.5" x14ac:dyDescent="0.25">
      <c r="A240" s="79">
        <v>44793.367856273151</v>
      </c>
      <c r="B240" s="80" t="s">
        <v>171</v>
      </c>
      <c r="C240" s="80" t="str">
        <f>INDEX(TBL_Name,MATCH(Table2[[#This Row],[Athlete Name]],listNames,0),2)</f>
        <v>Athlete 27</v>
      </c>
      <c r="D240" s="80" t="s">
        <v>130</v>
      </c>
      <c r="E240" s="80">
        <v>10</v>
      </c>
      <c r="F240" s="80">
        <v>9</v>
      </c>
      <c r="G240" s="80">
        <v>8</v>
      </c>
      <c r="H240" s="80"/>
      <c r="I240" s="80">
        <v>10</v>
      </c>
      <c r="J240" s="80"/>
      <c r="K240" s="80"/>
      <c r="L240" s="80"/>
      <c r="M240" s="1" t="s">
        <v>470</v>
      </c>
      <c r="N240" s="1">
        <v>34</v>
      </c>
      <c r="O240" s="1">
        <v>2</v>
      </c>
      <c r="P240" s="13">
        <v>44793</v>
      </c>
      <c r="Q240" s="1" t="s">
        <v>133</v>
      </c>
      <c r="R240" s="1" t="s">
        <v>64</v>
      </c>
      <c r="S240" s="1">
        <v>1</v>
      </c>
      <c r="T240" s="1"/>
      <c r="U240" s="1" t="s">
        <v>8</v>
      </c>
      <c r="V240" s="76">
        <v>10</v>
      </c>
      <c r="W240" s="76">
        <v>0</v>
      </c>
      <c r="X240" s="77">
        <v>0</v>
      </c>
      <c r="Y240" s="77">
        <v>3</v>
      </c>
      <c r="Z240" s="76">
        <v>8.1999999999999993</v>
      </c>
      <c r="AA240" s="76">
        <v>0.74833147735478833</v>
      </c>
      <c r="AB240" s="77">
        <v>1.0690449676496985</v>
      </c>
      <c r="AC240" s="77">
        <v>4</v>
      </c>
      <c r="AD240" s="76">
        <v>7.6</v>
      </c>
      <c r="AE240" s="76">
        <v>0.48989794855663577</v>
      </c>
      <c r="AF240" s="77">
        <v>0.81649658092772648</v>
      </c>
      <c r="AG240" s="77">
        <v>3</v>
      </c>
      <c r="AH240" s="76">
        <v>7.4</v>
      </c>
      <c r="AI240" s="76">
        <v>1.6248076809271921</v>
      </c>
      <c r="AJ240" s="77">
        <v>1.6001893827313254</v>
      </c>
      <c r="AK240" s="77">
        <v>4</v>
      </c>
      <c r="AL240" s="76"/>
      <c r="AM240" s="76"/>
      <c r="AN240" s="77"/>
      <c r="AO240" s="77"/>
      <c r="AP240" s="76"/>
      <c r="AQ240" s="76"/>
      <c r="AR240" s="77"/>
      <c r="AS240" s="77"/>
      <c r="AT240" s="78">
        <v>0.75</v>
      </c>
    </row>
    <row r="241" spans="1:46" ht="12.5" x14ac:dyDescent="0.25">
      <c r="A241" s="79">
        <v>44793.375602615743</v>
      </c>
      <c r="B241" s="80" t="s">
        <v>17</v>
      </c>
      <c r="C241" s="80" t="str">
        <f>INDEX(TBL_Name,MATCH(Table2[[#This Row],[Athlete Name]],listNames,0),2)</f>
        <v>Athlete 10</v>
      </c>
      <c r="D241" s="80" t="s">
        <v>130</v>
      </c>
      <c r="E241" s="80">
        <v>9</v>
      </c>
      <c r="F241" s="80">
        <v>8</v>
      </c>
      <c r="G241" s="80">
        <v>9</v>
      </c>
      <c r="H241" s="80" t="s">
        <v>226</v>
      </c>
      <c r="I241" s="80">
        <v>8</v>
      </c>
      <c r="J241" s="80"/>
      <c r="K241" s="80"/>
      <c r="L241" s="80"/>
      <c r="M241" s="1" t="s">
        <v>471</v>
      </c>
      <c r="N241" s="1">
        <v>34</v>
      </c>
      <c r="O241" s="1">
        <v>2</v>
      </c>
      <c r="P241" s="13">
        <v>44793</v>
      </c>
      <c r="Q241" s="1" t="s">
        <v>133</v>
      </c>
      <c r="R241" s="1" t="s">
        <v>64</v>
      </c>
      <c r="S241" s="1">
        <v>1</v>
      </c>
      <c r="T241" s="1"/>
      <c r="U241" s="1" t="s">
        <v>18</v>
      </c>
      <c r="V241" s="76">
        <v>9.1428571428571423</v>
      </c>
      <c r="W241" s="76">
        <v>0.34992710611188266</v>
      </c>
      <c r="X241" s="77">
        <v>-0.40824829046386146</v>
      </c>
      <c r="Y241" s="77">
        <v>2</v>
      </c>
      <c r="Z241" s="76">
        <v>7.1428571428571432</v>
      </c>
      <c r="AA241" s="76">
        <v>1.3552618543578769</v>
      </c>
      <c r="AB241" s="77">
        <v>0.63245553203367555</v>
      </c>
      <c r="AC241" s="77">
        <v>3</v>
      </c>
      <c r="AD241" s="76">
        <v>8.4285714285714288</v>
      </c>
      <c r="AE241" s="76">
        <v>1.1780301787479028</v>
      </c>
      <c r="AF241" s="77">
        <v>0.48507125007266583</v>
      </c>
      <c r="AG241" s="77">
        <v>3</v>
      </c>
      <c r="AH241" s="76">
        <v>7.5714285714285712</v>
      </c>
      <c r="AI241" s="76">
        <v>0.72843135908468359</v>
      </c>
      <c r="AJ241" s="77">
        <v>0.58834840541455236</v>
      </c>
      <c r="AK241" s="77">
        <v>3</v>
      </c>
      <c r="AL241" s="76"/>
      <c r="AM241" s="76"/>
      <c r="AN241" s="77"/>
      <c r="AO241" s="77"/>
      <c r="AP241" s="76"/>
      <c r="AQ241" s="76"/>
      <c r="AR241" s="77"/>
      <c r="AS241" s="77"/>
      <c r="AT241" s="78">
        <v>0.375</v>
      </c>
    </row>
    <row r="242" spans="1:46" ht="12.5" x14ac:dyDescent="0.25">
      <c r="A242" s="79">
        <v>44793.391648645833</v>
      </c>
      <c r="B242" s="80" t="s">
        <v>19</v>
      </c>
      <c r="C242" s="80" t="str">
        <f>INDEX(TBL_Name,MATCH(Table2[[#This Row],[Athlete Name]],listNames,0),2)</f>
        <v>Athlete 11</v>
      </c>
      <c r="D242" s="80" t="s">
        <v>130</v>
      </c>
      <c r="E242" s="80">
        <v>4</v>
      </c>
      <c r="F242" s="80">
        <v>8</v>
      </c>
      <c r="G242" s="80">
        <v>8</v>
      </c>
      <c r="H242" s="80" t="s">
        <v>301</v>
      </c>
      <c r="I242" s="80">
        <v>4</v>
      </c>
      <c r="J242" s="80"/>
      <c r="K242" s="80"/>
      <c r="L242" s="80"/>
      <c r="M242" s="1" t="s">
        <v>472</v>
      </c>
      <c r="N242" s="1">
        <v>34</v>
      </c>
      <c r="O242" s="1">
        <v>2</v>
      </c>
      <c r="P242" s="13">
        <v>44793</v>
      </c>
      <c r="Q242" s="1" t="s">
        <v>133</v>
      </c>
      <c r="R242" s="1" t="s">
        <v>64</v>
      </c>
      <c r="S242" s="1">
        <v>1</v>
      </c>
      <c r="T242" s="1"/>
      <c r="U242" s="1" t="s">
        <v>18</v>
      </c>
      <c r="V242" s="76">
        <v>4.666666666666667</v>
      </c>
      <c r="W242" s="76">
        <v>0.74535599249992979</v>
      </c>
      <c r="X242" s="77">
        <v>-0.89442719099991641</v>
      </c>
      <c r="Y242" s="77">
        <v>2</v>
      </c>
      <c r="Z242" s="76">
        <v>6.666666666666667</v>
      </c>
      <c r="AA242" s="76">
        <v>1.1055415967851332</v>
      </c>
      <c r="AB242" s="77">
        <v>1.2060453783110543</v>
      </c>
      <c r="AC242" s="77">
        <v>4</v>
      </c>
      <c r="AD242" s="76">
        <v>6.666666666666667</v>
      </c>
      <c r="AE242" s="76">
        <v>1.1055415967851332</v>
      </c>
      <c r="AF242" s="77">
        <v>1.2060453783110543</v>
      </c>
      <c r="AG242" s="77">
        <v>4</v>
      </c>
      <c r="AH242" s="76">
        <v>4.5</v>
      </c>
      <c r="AI242" s="76">
        <v>0.5</v>
      </c>
      <c r="AJ242" s="77">
        <v>-1</v>
      </c>
      <c r="AK242" s="77">
        <v>1</v>
      </c>
      <c r="AL242" s="76"/>
      <c r="AM242" s="76"/>
      <c r="AN242" s="77"/>
      <c r="AO242" s="77"/>
      <c r="AP242" s="76"/>
      <c r="AQ242" s="76"/>
      <c r="AR242" s="77"/>
      <c r="AS242" s="77"/>
      <c r="AT242" s="78">
        <v>0.75</v>
      </c>
    </row>
    <row r="243" spans="1:46" ht="12.5" x14ac:dyDescent="0.25">
      <c r="A243" s="79">
        <v>44793.400064212961</v>
      </c>
      <c r="B243" s="80" t="s">
        <v>4</v>
      </c>
      <c r="C243" s="80" t="str">
        <f>INDEX(TBL_Name,MATCH(Table2[[#This Row],[Athlete Name]],listNames,0),2)</f>
        <v>Athlete 1</v>
      </c>
      <c r="D243" s="80" t="s">
        <v>130</v>
      </c>
      <c r="E243" s="80">
        <v>7</v>
      </c>
      <c r="F243" s="80">
        <v>10</v>
      </c>
      <c r="G243" s="80">
        <v>7</v>
      </c>
      <c r="H243" s="80" t="s">
        <v>228</v>
      </c>
      <c r="I243" s="80">
        <v>9</v>
      </c>
      <c r="J243" s="80"/>
      <c r="K243" s="80"/>
      <c r="L243" s="80"/>
      <c r="M243" s="1" t="s">
        <v>473</v>
      </c>
      <c r="N243" s="1">
        <v>34</v>
      </c>
      <c r="O243" s="1">
        <v>2</v>
      </c>
      <c r="P243" s="13">
        <v>44793</v>
      </c>
      <c r="Q243" s="1" t="s">
        <v>133</v>
      </c>
      <c r="R243" s="1" t="s">
        <v>64</v>
      </c>
      <c r="S243" s="1">
        <v>1</v>
      </c>
      <c r="T243" s="1"/>
      <c r="U243" s="1" t="s">
        <v>5</v>
      </c>
      <c r="V243" s="76">
        <v>7</v>
      </c>
      <c r="W243" s="76">
        <v>0</v>
      </c>
      <c r="X243" s="77">
        <v>0</v>
      </c>
      <c r="Y243" s="77">
        <v>3</v>
      </c>
      <c r="Z243" s="76">
        <v>10</v>
      </c>
      <c r="AA243" s="76">
        <v>0</v>
      </c>
      <c r="AB243" s="77">
        <v>0</v>
      </c>
      <c r="AC243" s="77">
        <v>3</v>
      </c>
      <c r="AD243" s="76">
        <v>7</v>
      </c>
      <c r="AE243" s="76">
        <v>0</v>
      </c>
      <c r="AF243" s="77">
        <v>0</v>
      </c>
      <c r="AG243" s="77">
        <v>3</v>
      </c>
      <c r="AH243" s="76">
        <v>9</v>
      </c>
      <c r="AI243" s="76">
        <v>0</v>
      </c>
      <c r="AJ243" s="77">
        <v>0</v>
      </c>
      <c r="AK243" s="77">
        <v>3</v>
      </c>
      <c r="AL243" s="76"/>
      <c r="AM243" s="76"/>
      <c r="AN243" s="77"/>
      <c r="AO243" s="77"/>
      <c r="AP243" s="76"/>
      <c r="AQ243" s="76"/>
      <c r="AR243" s="77"/>
      <c r="AS243" s="77"/>
      <c r="AT243" s="78">
        <v>0.75</v>
      </c>
    </row>
    <row r="244" spans="1:46" ht="12.5" x14ac:dyDescent="0.25">
      <c r="A244" s="79">
        <v>44793.401373703702</v>
      </c>
      <c r="B244" s="80" t="s">
        <v>21</v>
      </c>
      <c r="C244" s="80" t="str">
        <f>INDEX(TBL_Name,MATCH(Table2[[#This Row],[Athlete Name]],listNames,0),2)</f>
        <v>Athlete 13</v>
      </c>
      <c r="D244" s="80" t="s">
        <v>130</v>
      </c>
      <c r="E244" s="80">
        <v>7</v>
      </c>
      <c r="F244" s="80">
        <v>5</v>
      </c>
      <c r="G244" s="80">
        <v>9</v>
      </c>
      <c r="H244" s="80" t="s">
        <v>375</v>
      </c>
      <c r="I244" s="80">
        <v>5</v>
      </c>
      <c r="J244" s="80"/>
      <c r="K244" s="80"/>
      <c r="L244" s="80"/>
      <c r="M244" s="1" t="s">
        <v>474</v>
      </c>
      <c r="N244" s="1">
        <v>34</v>
      </c>
      <c r="O244" s="1">
        <v>2</v>
      </c>
      <c r="P244" s="13">
        <v>44793</v>
      </c>
      <c r="Q244" s="1" t="s">
        <v>133</v>
      </c>
      <c r="R244" s="1" t="s">
        <v>64</v>
      </c>
      <c r="S244" s="1">
        <v>1</v>
      </c>
      <c r="T244" s="1"/>
      <c r="U244" s="1" t="s">
        <v>18</v>
      </c>
      <c r="V244" s="76">
        <v>5.4285714285714288</v>
      </c>
      <c r="W244" s="76">
        <v>1.3997084244475306</v>
      </c>
      <c r="X244" s="77">
        <v>1.1226827987756229</v>
      </c>
      <c r="Y244" s="77">
        <v>4</v>
      </c>
      <c r="Z244" s="76">
        <v>7.8571428571428568</v>
      </c>
      <c r="AA244" s="76">
        <v>1.3552618543578767</v>
      </c>
      <c r="AB244" s="77">
        <v>-2.1081851067789197</v>
      </c>
      <c r="AC244" s="77">
        <v>1</v>
      </c>
      <c r="AD244" s="76">
        <v>9.1428571428571423</v>
      </c>
      <c r="AE244" s="76">
        <v>0.34992710611188266</v>
      </c>
      <c r="AF244" s="77">
        <v>-0.40824829046386146</v>
      </c>
      <c r="AG244" s="77">
        <v>2</v>
      </c>
      <c r="AH244" s="76">
        <v>4.4285714285714288</v>
      </c>
      <c r="AI244" s="76">
        <v>0.72843135908468348</v>
      </c>
      <c r="AJ244" s="77">
        <v>0.78446454055273585</v>
      </c>
      <c r="AK244" s="77">
        <v>3</v>
      </c>
      <c r="AL244" s="76"/>
      <c r="AM244" s="76"/>
      <c r="AN244" s="77"/>
      <c r="AO244" s="77"/>
      <c r="AP244" s="76"/>
      <c r="AQ244" s="76"/>
      <c r="AR244" s="77"/>
      <c r="AS244" s="77"/>
      <c r="AT244" s="78">
        <v>0.75</v>
      </c>
    </row>
    <row r="245" spans="1:46" ht="12.5" x14ac:dyDescent="0.25">
      <c r="A245" s="79">
        <v>44793.409964421298</v>
      </c>
      <c r="B245" s="80" t="s">
        <v>168</v>
      </c>
      <c r="C245" s="80" t="str">
        <f>INDEX(TBL_Name,MATCH(Table2[[#This Row],[Athlete Name]],listNames,0),2)</f>
        <v>Athlete 26</v>
      </c>
      <c r="D245" s="80" t="s">
        <v>130</v>
      </c>
      <c r="E245" s="80">
        <v>7</v>
      </c>
      <c r="F245" s="80">
        <v>6</v>
      </c>
      <c r="G245" s="80">
        <v>9</v>
      </c>
      <c r="H245" s="80" t="s">
        <v>72</v>
      </c>
      <c r="I245" s="80">
        <v>5</v>
      </c>
      <c r="J245" s="80"/>
      <c r="K245" s="80"/>
      <c r="L245" s="80"/>
      <c r="M245" s="1" t="s">
        <v>475</v>
      </c>
      <c r="N245" s="1">
        <v>34</v>
      </c>
      <c r="O245" s="1">
        <v>2</v>
      </c>
      <c r="P245" s="13">
        <v>44793</v>
      </c>
      <c r="Q245" s="1" t="s">
        <v>133</v>
      </c>
      <c r="R245" s="1" t="s">
        <v>64</v>
      </c>
      <c r="S245" s="1">
        <v>1</v>
      </c>
      <c r="T245" s="1"/>
      <c r="U245" s="1" t="s">
        <v>5</v>
      </c>
      <c r="V245" s="76">
        <v>7.333333333333333</v>
      </c>
      <c r="W245" s="76">
        <v>0.94280904158206336</v>
      </c>
      <c r="X245" s="77">
        <v>-0.35355339059327345</v>
      </c>
      <c r="Y245" s="77">
        <v>2</v>
      </c>
      <c r="Z245" s="76">
        <v>7.666666666666667</v>
      </c>
      <c r="AA245" s="76">
        <v>1.3743685418725538</v>
      </c>
      <c r="AB245" s="77">
        <v>-1.212678125181665</v>
      </c>
      <c r="AC245" s="77">
        <v>1</v>
      </c>
      <c r="AD245" s="76">
        <v>8.3333333333333339</v>
      </c>
      <c r="AE245" s="76">
        <v>0.74535599249993001</v>
      </c>
      <c r="AF245" s="77">
        <v>0.89442719099991497</v>
      </c>
      <c r="AG245" s="77">
        <v>3</v>
      </c>
      <c r="AH245" s="76">
        <v>6</v>
      </c>
      <c r="AI245" s="76">
        <v>1.4142135623730951</v>
      </c>
      <c r="AJ245" s="77">
        <v>-0.70710678118654746</v>
      </c>
      <c r="AK245" s="77">
        <v>2</v>
      </c>
      <c r="AL245" s="76"/>
      <c r="AM245" s="76"/>
      <c r="AN245" s="77"/>
      <c r="AO245" s="77"/>
      <c r="AP245" s="76"/>
      <c r="AQ245" s="76"/>
      <c r="AR245" s="77"/>
      <c r="AS245" s="77"/>
      <c r="AT245" s="78">
        <v>0.5</v>
      </c>
    </row>
    <row r="246" spans="1:46" ht="12.5" x14ac:dyDescent="0.25">
      <c r="A246" s="79">
        <v>44793.428498124995</v>
      </c>
      <c r="B246" s="80" t="s">
        <v>10</v>
      </c>
      <c r="C246" s="80" t="str">
        <f>INDEX(TBL_Name,MATCH(Table2[[#This Row],[Athlete Name]],listNames,0),2)</f>
        <v>Athlete 5</v>
      </c>
      <c r="D246" s="80" t="s">
        <v>130</v>
      </c>
      <c r="E246" s="80">
        <v>8</v>
      </c>
      <c r="F246" s="80">
        <v>8</v>
      </c>
      <c r="G246" s="80">
        <v>8</v>
      </c>
      <c r="H246" s="80" t="s">
        <v>74</v>
      </c>
      <c r="I246" s="80">
        <v>5</v>
      </c>
      <c r="J246" s="80"/>
      <c r="K246" s="80"/>
      <c r="L246" s="80"/>
      <c r="M246" s="1" t="s">
        <v>476</v>
      </c>
      <c r="N246" s="1">
        <v>34</v>
      </c>
      <c r="O246" s="1">
        <v>2</v>
      </c>
      <c r="P246" s="13">
        <v>44793</v>
      </c>
      <c r="Q246" s="1" t="s">
        <v>133</v>
      </c>
      <c r="R246" s="1" t="s">
        <v>64</v>
      </c>
      <c r="S246" s="1">
        <v>1</v>
      </c>
      <c r="T246" s="1"/>
      <c r="U246" s="1" t="s">
        <v>11</v>
      </c>
      <c r="V246" s="76">
        <v>7.8571428571428568</v>
      </c>
      <c r="W246" s="76">
        <v>0.83299312783504276</v>
      </c>
      <c r="X246" s="77">
        <v>0.17149858514250932</v>
      </c>
      <c r="Y246" s="77">
        <v>3</v>
      </c>
      <c r="Z246" s="76">
        <v>8.2857142857142865</v>
      </c>
      <c r="AA246" s="76">
        <v>0.88063057185271099</v>
      </c>
      <c r="AB246" s="77">
        <v>-0.32444284226152592</v>
      </c>
      <c r="AC246" s="77">
        <v>2</v>
      </c>
      <c r="AD246" s="76">
        <v>8.0714285714285712</v>
      </c>
      <c r="AE246" s="76">
        <v>0.67763092717893847</v>
      </c>
      <c r="AF246" s="77">
        <v>-0.1054092553389456</v>
      </c>
      <c r="AG246" s="77">
        <v>2</v>
      </c>
      <c r="AH246" s="76">
        <v>6.8571428571428568</v>
      </c>
      <c r="AI246" s="76">
        <v>0.98974331861078713</v>
      </c>
      <c r="AJ246" s="77">
        <v>-1.8763883748662831</v>
      </c>
      <c r="AK246" s="77">
        <v>1</v>
      </c>
      <c r="AL246" s="76"/>
      <c r="AM246" s="76"/>
      <c r="AN246" s="77"/>
      <c r="AO246" s="77"/>
      <c r="AP246" s="76"/>
      <c r="AQ246" s="76"/>
      <c r="AR246" s="77"/>
      <c r="AS246" s="77"/>
      <c r="AT246" s="78">
        <v>0.625</v>
      </c>
    </row>
    <row r="247" spans="1:46" ht="12.5" x14ac:dyDescent="0.25">
      <c r="A247" s="79">
        <v>44793.584584085649</v>
      </c>
      <c r="B247" s="80" t="s">
        <v>25</v>
      </c>
      <c r="C247" s="80" t="str">
        <f>INDEX(TBL_Name,MATCH(Table2[[#This Row],[Athlete Name]],listNames,0),2)</f>
        <v>Athlete 23</v>
      </c>
      <c r="D247" s="80" t="s">
        <v>143</v>
      </c>
      <c r="E247" s="80">
        <v>9</v>
      </c>
      <c r="F247" s="80">
        <v>9</v>
      </c>
      <c r="G247" s="80">
        <v>9</v>
      </c>
      <c r="H247" s="80"/>
      <c r="I247" s="80">
        <v>8</v>
      </c>
      <c r="J247" s="80"/>
      <c r="K247" s="80"/>
      <c r="L247" s="80"/>
      <c r="M247" s="1" t="s">
        <v>477</v>
      </c>
      <c r="N247" s="1">
        <v>34</v>
      </c>
      <c r="O247" s="1">
        <v>2</v>
      </c>
      <c r="P247" s="13">
        <v>44793</v>
      </c>
      <c r="Q247" s="1" t="s">
        <v>133</v>
      </c>
      <c r="R247" s="1" t="s">
        <v>64</v>
      </c>
      <c r="S247" s="1">
        <v>2</v>
      </c>
      <c r="T247" s="1"/>
      <c r="U247" s="1" t="s">
        <v>26</v>
      </c>
      <c r="V247" s="76">
        <v>8.8000000000000007</v>
      </c>
      <c r="W247" s="76">
        <v>0.39999999999999997</v>
      </c>
      <c r="X247" s="77">
        <v>0.49999999999999828</v>
      </c>
      <c r="Y247" s="77">
        <v>3</v>
      </c>
      <c r="Z247" s="76">
        <v>8.8000000000000007</v>
      </c>
      <c r="AA247" s="76">
        <v>0.40000000000000008</v>
      </c>
      <c r="AB247" s="77">
        <v>0.49999999999999811</v>
      </c>
      <c r="AC247" s="77">
        <v>3</v>
      </c>
      <c r="AD247" s="76">
        <v>9.1999999999999993</v>
      </c>
      <c r="AE247" s="76">
        <v>0.74833147735478822</v>
      </c>
      <c r="AF247" s="77">
        <v>-0.26726124191242345</v>
      </c>
      <c r="AG247" s="77">
        <v>2</v>
      </c>
      <c r="AH247" s="76">
        <v>8.4</v>
      </c>
      <c r="AI247" s="76">
        <v>0.48989794855663565</v>
      </c>
      <c r="AJ247" s="77">
        <v>-0.8164965809277267</v>
      </c>
      <c r="AK247" s="77">
        <v>2</v>
      </c>
      <c r="AL247" s="76"/>
      <c r="AM247" s="76"/>
      <c r="AN247" s="77"/>
      <c r="AO247" s="77"/>
      <c r="AP247" s="76"/>
      <c r="AQ247" s="76"/>
      <c r="AR247" s="77"/>
      <c r="AS247" s="77"/>
      <c r="AT247" s="78">
        <v>0.625</v>
      </c>
    </row>
    <row r="248" spans="1:46" ht="12.5" x14ac:dyDescent="0.25">
      <c r="A248" s="79">
        <v>44793.629967210647</v>
      </c>
      <c r="B248" s="80" t="s">
        <v>129</v>
      </c>
      <c r="C248" s="80" t="str">
        <f>INDEX(TBL_Name,MATCH(Table2[[#This Row],[Athlete Name]],listNames,0),2)</f>
        <v>Athlete 19</v>
      </c>
      <c r="D248" s="80" t="s">
        <v>130</v>
      </c>
      <c r="E248" s="80">
        <v>5</v>
      </c>
      <c r="F248" s="80">
        <v>7</v>
      </c>
      <c r="G248" s="80">
        <v>8</v>
      </c>
      <c r="H248" s="80" t="s">
        <v>478</v>
      </c>
      <c r="I248" s="80">
        <v>5</v>
      </c>
      <c r="J248" s="80"/>
      <c r="K248" s="80"/>
      <c r="L248" s="80"/>
      <c r="M248" s="1" t="s">
        <v>479</v>
      </c>
      <c r="N248" s="1">
        <v>34</v>
      </c>
      <c r="O248" s="1">
        <v>2</v>
      </c>
      <c r="P248" s="13">
        <v>44793</v>
      </c>
      <c r="Q248" s="1" t="s">
        <v>133</v>
      </c>
      <c r="R248" s="1" t="s">
        <v>64</v>
      </c>
      <c r="S248" s="1">
        <v>1</v>
      </c>
      <c r="T248" s="1"/>
      <c r="U248" s="1" t="s">
        <v>18</v>
      </c>
      <c r="V248" s="76">
        <v>6.666666666666667</v>
      </c>
      <c r="W248" s="76">
        <v>0.94280904158206336</v>
      </c>
      <c r="X248" s="77">
        <v>-1.7677669529663691</v>
      </c>
      <c r="Y248" s="77">
        <v>1</v>
      </c>
      <c r="Z248" s="76">
        <v>7.333333333333333</v>
      </c>
      <c r="AA248" s="76">
        <v>0.74535599249993001</v>
      </c>
      <c r="AB248" s="77">
        <v>-0.44721359549995748</v>
      </c>
      <c r="AC248" s="77">
        <v>2</v>
      </c>
      <c r="AD248" s="76">
        <v>8.5</v>
      </c>
      <c r="AE248" s="76">
        <v>0.76376261582597338</v>
      </c>
      <c r="AF248" s="77">
        <v>-0.65465367070797709</v>
      </c>
      <c r="AG248" s="77">
        <v>2</v>
      </c>
      <c r="AH248" s="76">
        <v>4.833333333333333</v>
      </c>
      <c r="AI248" s="76">
        <v>0.68718427093627688</v>
      </c>
      <c r="AJ248" s="77">
        <v>0.24253562503633336</v>
      </c>
      <c r="AK248" s="77">
        <v>3</v>
      </c>
      <c r="AL248" s="76"/>
      <c r="AM248" s="76"/>
      <c r="AN248" s="77"/>
      <c r="AO248" s="77"/>
      <c r="AP248" s="76"/>
      <c r="AQ248" s="76"/>
      <c r="AR248" s="77"/>
      <c r="AS248" s="77"/>
      <c r="AT248" s="78">
        <v>0.5625</v>
      </c>
    </row>
    <row r="249" spans="1:46" ht="12.5" x14ac:dyDescent="0.25">
      <c r="A249" s="79">
        <v>44793.783485</v>
      </c>
      <c r="B249" s="80" t="s">
        <v>15</v>
      </c>
      <c r="C249" s="80" t="str">
        <f>INDEX(TBL_Name,MATCH(Table2[[#This Row],[Athlete Name]],listNames,0),2)</f>
        <v>Athlete 8</v>
      </c>
      <c r="D249" s="80" t="s">
        <v>130</v>
      </c>
      <c r="E249" s="80">
        <v>10</v>
      </c>
      <c r="F249" s="80">
        <v>8</v>
      </c>
      <c r="G249" s="80">
        <v>9</v>
      </c>
      <c r="H249" s="80" t="s">
        <v>480</v>
      </c>
      <c r="I249" s="80">
        <v>4</v>
      </c>
      <c r="J249" s="80"/>
      <c r="K249" s="80"/>
      <c r="L249" s="80"/>
      <c r="M249" s="1" t="s">
        <v>481</v>
      </c>
      <c r="N249" s="1">
        <v>34</v>
      </c>
      <c r="O249" s="1">
        <v>2</v>
      </c>
      <c r="P249" s="13">
        <v>44793</v>
      </c>
      <c r="Q249" s="1" t="s">
        <v>133</v>
      </c>
      <c r="R249" s="1" t="s">
        <v>64</v>
      </c>
      <c r="S249" s="1">
        <v>1</v>
      </c>
      <c r="T249" s="1"/>
      <c r="U249" s="1" t="s">
        <v>14</v>
      </c>
      <c r="V249" s="76">
        <v>9.8000000000000007</v>
      </c>
      <c r="W249" s="76">
        <v>0.39999999999999986</v>
      </c>
      <c r="X249" s="77">
        <v>0.49999999999999839</v>
      </c>
      <c r="Y249" s="77">
        <v>3</v>
      </c>
      <c r="Z249" s="76">
        <v>8</v>
      </c>
      <c r="AA249" s="76">
        <v>2.1908902300206643</v>
      </c>
      <c r="AB249" s="77">
        <v>0</v>
      </c>
      <c r="AC249" s="77">
        <v>3</v>
      </c>
      <c r="AD249" s="76">
        <v>8.4</v>
      </c>
      <c r="AE249" s="76">
        <v>0.79999999999999993</v>
      </c>
      <c r="AF249" s="77">
        <v>0.74999999999999967</v>
      </c>
      <c r="AG249" s="77">
        <v>3</v>
      </c>
      <c r="AH249" s="76">
        <v>4.5999999999999996</v>
      </c>
      <c r="AI249" s="76">
        <v>1.0198039027185568</v>
      </c>
      <c r="AJ249" s="77">
        <v>-0.5883484054145518</v>
      </c>
      <c r="AK249" s="77">
        <v>2</v>
      </c>
      <c r="AL249" s="76"/>
      <c r="AM249" s="76"/>
      <c r="AN249" s="77"/>
      <c r="AO249" s="77"/>
      <c r="AP249" s="76"/>
      <c r="AQ249" s="76"/>
      <c r="AR249" s="77"/>
      <c r="AS249" s="77"/>
      <c r="AT249" s="78">
        <v>0.375</v>
      </c>
    </row>
    <row r="250" spans="1:46" ht="12.5" x14ac:dyDescent="0.25">
      <c r="A250" s="79">
        <v>44794.315364328708</v>
      </c>
      <c r="B250" s="80" t="s">
        <v>196</v>
      </c>
      <c r="C250" s="80" t="str">
        <f>INDEX(TBL_Name,MATCH(Table2[[#This Row],[Athlete Name]],listNames,0),2)</f>
        <v>Athlete 31</v>
      </c>
      <c r="D250" s="80" t="s">
        <v>130</v>
      </c>
      <c r="E250" s="80">
        <v>6</v>
      </c>
      <c r="F250" s="80">
        <v>8</v>
      </c>
      <c r="G250" s="80">
        <v>7.5</v>
      </c>
      <c r="H250" s="80" t="s">
        <v>66</v>
      </c>
      <c r="I250" s="80">
        <v>8</v>
      </c>
      <c r="J250" s="80"/>
      <c r="K250" s="80"/>
      <c r="L250" s="80"/>
      <c r="M250" s="1" t="s">
        <v>482</v>
      </c>
      <c r="N250" s="1">
        <v>35</v>
      </c>
      <c r="O250" s="1">
        <v>3</v>
      </c>
      <c r="P250" s="13">
        <v>44794</v>
      </c>
      <c r="Q250" s="1" t="s">
        <v>133</v>
      </c>
      <c r="R250" s="1" t="s">
        <v>64</v>
      </c>
      <c r="S250" s="1">
        <v>1</v>
      </c>
      <c r="T250" s="1"/>
      <c r="U250" s="1" t="s">
        <v>28</v>
      </c>
      <c r="V250" s="76">
        <v>6.5</v>
      </c>
      <c r="W250" s="76">
        <v>0.95742710775633821</v>
      </c>
      <c r="X250" s="77">
        <v>-0.5222329678670935</v>
      </c>
      <c r="Y250" s="77">
        <v>2</v>
      </c>
      <c r="Z250" s="76">
        <v>8.3333333333333339</v>
      </c>
      <c r="AA250" s="76">
        <v>0.7453559924999299</v>
      </c>
      <c r="AB250" s="77">
        <v>-0.44721359549995876</v>
      </c>
      <c r="AC250" s="77">
        <v>2</v>
      </c>
      <c r="AD250" s="76">
        <v>8.25</v>
      </c>
      <c r="AE250" s="76">
        <v>0.47871355387816911</v>
      </c>
      <c r="AF250" s="77">
        <v>-1.5666989036012804</v>
      </c>
      <c r="AG250" s="77">
        <v>1</v>
      </c>
      <c r="AH250" s="76">
        <v>8</v>
      </c>
      <c r="AI250" s="76">
        <v>0</v>
      </c>
      <c r="AJ250" s="77">
        <v>0</v>
      </c>
      <c r="AK250" s="77">
        <v>3</v>
      </c>
      <c r="AL250" s="76"/>
      <c r="AM250" s="76"/>
      <c r="AN250" s="77"/>
      <c r="AO250" s="77"/>
      <c r="AP250" s="76"/>
      <c r="AQ250" s="76"/>
      <c r="AR250" s="77"/>
      <c r="AS250" s="77"/>
      <c r="AT250" s="78">
        <v>0.875</v>
      </c>
    </row>
    <row r="251" spans="1:46" ht="12.5" x14ac:dyDescent="0.25">
      <c r="A251" s="79">
        <v>44794.331438738431</v>
      </c>
      <c r="B251" s="80" t="s">
        <v>185</v>
      </c>
      <c r="C251" s="80" t="str">
        <f>INDEX(TBL_Name,MATCH(Table2[[#This Row],[Athlete Name]],listNames,0),2)</f>
        <v>Athlete 30</v>
      </c>
      <c r="D251" s="80" t="s">
        <v>130</v>
      </c>
      <c r="E251" s="80">
        <v>9</v>
      </c>
      <c r="F251" s="80">
        <v>6</v>
      </c>
      <c r="G251" s="80">
        <v>9</v>
      </c>
      <c r="H251" s="80" t="s">
        <v>186</v>
      </c>
      <c r="I251" s="80">
        <v>6</v>
      </c>
      <c r="J251" s="80"/>
      <c r="K251" s="80"/>
      <c r="L251" s="80"/>
      <c r="M251" s="1" t="s">
        <v>483</v>
      </c>
      <c r="N251" s="1">
        <v>35</v>
      </c>
      <c r="O251" s="1">
        <v>3</v>
      </c>
      <c r="P251" s="13">
        <v>44794</v>
      </c>
      <c r="Q251" s="1" t="s">
        <v>133</v>
      </c>
      <c r="R251" s="1" t="s">
        <v>64</v>
      </c>
      <c r="S251" s="1">
        <v>1</v>
      </c>
      <c r="T251" s="1"/>
      <c r="U251" s="1" t="s">
        <v>26</v>
      </c>
      <c r="V251" s="76">
        <v>9.1999999999999993</v>
      </c>
      <c r="W251" s="76">
        <v>0.74833147735478822</v>
      </c>
      <c r="X251" s="77">
        <v>-0.26726124191242345</v>
      </c>
      <c r="Y251" s="77">
        <v>2</v>
      </c>
      <c r="Z251" s="76">
        <v>5.4</v>
      </c>
      <c r="AA251" s="76">
        <v>0.48989794855663554</v>
      </c>
      <c r="AB251" s="77">
        <v>1.2247448713915885</v>
      </c>
      <c r="AC251" s="77">
        <v>4</v>
      </c>
      <c r="AD251" s="76">
        <v>7.8</v>
      </c>
      <c r="AE251" s="76">
        <v>0.97979589711327131</v>
      </c>
      <c r="AF251" s="77">
        <v>1.2247448713915892</v>
      </c>
      <c r="AG251" s="77">
        <v>4</v>
      </c>
      <c r="AH251" s="76">
        <v>5</v>
      </c>
      <c r="AI251" s="76">
        <v>0.89442719099991597</v>
      </c>
      <c r="AJ251" s="77">
        <v>1.1180339887498947</v>
      </c>
      <c r="AK251" s="77">
        <v>4</v>
      </c>
      <c r="AL251" s="76"/>
      <c r="AM251" s="76"/>
      <c r="AN251" s="77"/>
      <c r="AO251" s="77"/>
      <c r="AP251" s="76"/>
      <c r="AQ251" s="76"/>
      <c r="AR251" s="77"/>
      <c r="AS251" s="77"/>
      <c r="AT251" s="78">
        <v>0.375</v>
      </c>
    </row>
    <row r="252" spans="1:46" ht="12.5" x14ac:dyDescent="0.25">
      <c r="A252" s="79">
        <v>44794.344959027774</v>
      </c>
      <c r="B252" s="80" t="s">
        <v>6</v>
      </c>
      <c r="C252" s="80" t="str">
        <f>INDEX(TBL_Name,MATCH(Table2[[#This Row],[Athlete Name]],listNames,0),2)</f>
        <v>Athlete 2</v>
      </c>
      <c r="D252" s="80" t="s">
        <v>130</v>
      </c>
      <c r="E252" s="80">
        <v>9</v>
      </c>
      <c r="F252" s="80">
        <v>4</v>
      </c>
      <c r="G252" s="80">
        <v>9</v>
      </c>
      <c r="H252" s="80" t="s">
        <v>188</v>
      </c>
      <c r="I252" s="80">
        <v>6</v>
      </c>
      <c r="J252" s="80"/>
      <c r="K252" s="80"/>
      <c r="L252" s="80"/>
      <c r="M252" s="1" t="s">
        <v>484</v>
      </c>
      <c r="N252" s="1">
        <v>35</v>
      </c>
      <c r="O252" s="1">
        <v>3</v>
      </c>
      <c r="P252" s="13">
        <v>44794</v>
      </c>
      <c r="Q252" s="1" t="s">
        <v>133</v>
      </c>
      <c r="R252" s="1" t="s">
        <v>64</v>
      </c>
      <c r="S252" s="1">
        <v>1</v>
      </c>
      <c r="T252" s="1"/>
      <c r="U252" s="1" t="s">
        <v>5</v>
      </c>
      <c r="V252" s="76">
        <v>9.6666666666666661</v>
      </c>
      <c r="W252" s="76">
        <v>0.47140452079103207</v>
      </c>
      <c r="X252" s="77">
        <v>-1.4142135623730927</v>
      </c>
      <c r="Y252" s="77">
        <v>1</v>
      </c>
      <c r="Z252" s="76">
        <v>5.833333333333333</v>
      </c>
      <c r="AA252" s="76">
        <v>1.2133516482134199</v>
      </c>
      <c r="AB252" s="77">
        <v>-1.5109662034355789</v>
      </c>
      <c r="AC252" s="77">
        <v>1</v>
      </c>
      <c r="AD252" s="76">
        <v>8.1666666666666661</v>
      </c>
      <c r="AE252" s="76">
        <v>0.89752746785575066</v>
      </c>
      <c r="AF252" s="77">
        <v>0.92847669088525997</v>
      </c>
      <c r="AG252" s="77">
        <v>3</v>
      </c>
      <c r="AH252" s="76">
        <v>5.5</v>
      </c>
      <c r="AI252" s="76">
        <v>0.76376261582597338</v>
      </c>
      <c r="AJ252" s="77">
        <v>0.65465367070797709</v>
      </c>
      <c r="AK252" s="77">
        <v>3</v>
      </c>
      <c r="AL252" s="76"/>
      <c r="AM252" s="76"/>
      <c r="AN252" s="77"/>
      <c r="AO252" s="77"/>
      <c r="AP252" s="76"/>
      <c r="AQ252" s="76"/>
      <c r="AR252" s="77"/>
      <c r="AS252" s="77"/>
      <c r="AT252" s="78">
        <v>0.25</v>
      </c>
    </row>
    <row r="253" spans="1:46" ht="12.5" x14ac:dyDescent="0.25">
      <c r="A253" s="79">
        <v>44794.36656253472</v>
      </c>
      <c r="B253" s="80" t="s">
        <v>21</v>
      </c>
      <c r="C253" s="80" t="str">
        <f>INDEX(TBL_Name,MATCH(Table2[[#This Row],[Athlete Name]],listNames,0),2)</f>
        <v>Athlete 13</v>
      </c>
      <c r="D253" s="80" t="s">
        <v>130</v>
      </c>
      <c r="E253" s="80">
        <v>5</v>
      </c>
      <c r="F253" s="80">
        <v>4</v>
      </c>
      <c r="G253" s="80">
        <v>9</v>
      </c>
      <c r="H253" s="80" t="s">
        <v>485</v>
      </c>
      <c r="I253" s="80">
        <v>5</v>
      </c>
      <c r="J253" s="80"/>
      <c r="K253" s="80"/>
      <c r="L253" s="80"/>
      <c r="M253" s="1" t="s">
        <v>486</v>
      </c>
      <c r="N253" s="1">
        <v>35</v>
      </c>
      <c r="O253" s="1">
        <v>3</v>
      </c>
      <c r="P253" s="13">
        <v>44794</v>
      </c>
      <c r="Q253" s="1" t="s">
        <v>133</v>
      </c>
      <c r="R253" s="1" t="s">
        <v>64</v>
      </c>
      <c r="S253" s="1">
        <v>1</v>
      </c>
      <c r="T253" s="1"/>
      <c r="U253" s="1" t="s">
        <v>18</v>
      </c>
      <c r="V253" s="76">
        <v>5.5714285714285712</v>
      </c>
      <c r="W253" s="76">
        <v>1.2936264483053452</v>
      </c>
      <c r="X253" s="77">
        <v>-0.44172610429938597</v>
      </c>
      <c r="Y253" s="77">
        <v>2</v>
      </c>
      <c r="Z253" s="76">
        <v>7.2857142857142856</v>
      </c>
      <c r="AA253" s="76">
        <v>1.9059520091609052</v>
      </c>
      <c r="AB253" s="77">
        <v>-1.7239228846904808</v>
      </c>
      <c r="AC253" s="77">
        <v>1</v>
      </c>
      <c r="AD253" s="76">
        <v>9.1428571428571423</v>
      </c>
      <c r="AE253" s="76">
        <v>0.34992710611188266</v>
      </c>
      <c r="AF253" s="77">
        <v>-0.40824829046386146</v>
      </c>
      <c r="AG253" s="77">
        <v>2</v>
      </c>
      <c r="AH253" s="76">
        <v>4.5714285714285712</v>
      </c>
      <c r="AI253" s="76">
        <v>0.72843135908468359</v>
      </c>
      <c r="AJ253" s="77">
        <v>0.58834840541455236</v>
      </c>
      <c r="AK253" s="77">
        <v>3</v>
      </c>
      <c r="AL253" s="76"/>
      <c r="AM253" s="76"/>
      <c r="AN253" s="77"/>
      <c r="AO253" s="77"/>
      <c r="AP253" s="76"/>
      <c r="AQ253" s="76"/>
      <c r="AR253" s="77"/>
      <c r="AS253" s="77"/>
      <c r="AT253" s="78">
        <v>0.5625</v>
      </c>
    </row>
    <row r="254" spans="1:46" ht="12.5" x14ac:dyDescent="0.25">
      <c r="A254" s="79">
        <v>44794.398344953705</v>
      </c>
      <c r="B254" s="80" t="s">
        <v>171</v>
      </c>
      <c r="C254" s="80" t="str">
        <f>INDEX(TBL_Name,MATCH(Table2[[#This Row],[Athlete Name]],listNames,0),2)</f>
        <v>Athlete 27</v>
      </c>
      <c r="D254" s="80" t="s">
        <v>130</v>
      </c>
      <c r="E254" s="80">
        <v>6</v>
      </c>
      <c r="F254" s="80">
        <v>9</v>
      </c>
      <c r="G254" s="80">
        <v>8</v>
      </c>
      <c r="H254" s="80"/>
      <c r="I254" s="80">
        <v>10</v>
      </c>
      <c r="J254" s="80"/>
      <c r="K254" s="80"/>
      <c r="L254" s="80"/>
      <c r="M254" s="1" t="s">
        <v>487</v>
      </c>
      <c r="N254" s="1">
        <v>35</v>
      </c>
      <c r="O254" s="1">
        <v>3</v>
      </c>
      <c r="P254" s="13">
        <v>44794</v>
      </c>
      <c r="Q254" s="1" t="s">
        <v>133</v>
      </c>
      <c r="R254" s="1" t="s">
        <v>64</v>
      </c>
      <c r="S254" s="1">
        <v>1</v>
      </c>
      <c r="T254" s="1"/>
      <c r="U254" s="1" t="s">
        <v>8</v>
      </c>
      <c r="V254" s="76">
        <v>9.1999999999999993</v>
      </c>
      <c r="W254" s="76">
        <v>1.5999999999999999</v>
      </c>
      <c r="X254" s="77">
        <v>-1.9999999999999998</v>
      </c>
      <c r="Y254" s="77">
        <v>1</v>
      </c>
      <c r="Z254" s="76">
        <v>8.6</v>
      </c>
      <c r="AA254" s="76">
        <v>0.48989794855663565</v>
      </c>
      <c r="AB254" s="77">
        <v>0.8164965809277267</v>
      </c>
      <c r="AC254" s="77">
        <v>3</v>
      </c>
      <c r="AD254" s="76">
        <v>7.8</v>
      </c>
      <c r="AE254" s="76">
        <v>0.39999999999999997</v>
      </c>
      <c r="AF254" s="77">
        <v>0.50000000000000044</v>
      </c>
      <c r="AG254" s="77">
        <v>3</v>
      </c>
      <c r="AH254" s="76">
        <v>8</v>
      </c>
      <c r="AI254" s="76">
        <v>1.8973665961010275</v>
      </c>
      <c r="AJ254" s="77">
        <v>1.0540925533894598</v>
      </c>
      <c r="AK254" s="77">
        <v>4</v>
      </c>
      <c r="AL254" s="76"/>
      <c r="AM254" s="76"/>
      <c r="AN254" s="77"/>
      <c r="AO254" s="77"/>
      <c r="AP254" s="76"/>
      <c r="AQ254" s="76"/>
      <c r="AR254" s="77"/>
      <c r="AS254" s="77"/>
      <c r="AT254" s="78">
        <v>0.5</v>
      </c>
    </row>
    <row r="255" spans="1:46" ht="12.5" x14ac:dyDescent="0.25">
      <c r="A255" s="79">
        <v>44794.651722418981</v>
      </c>
      <c r="B255" s="80" t="s">
        <v>25</v>
      </c>
      <c r="C255" s="80" t="str">
        <f>INDEX(TBL_Name,MATCH(Table2[[#This Row],[Athlete Name]],listNames,0),2)</f>
        <v>Athlete 23</v>
      </c>
      <c r="D255" s="80" t="s">
        <v>143</v>
      </c>
      <c r="E255" s="80">
        <v>10</v>
      </c>
      <c r="F255" s="80">
        <v>8</v>
      </c>
      <c r="G255" s="80">
        <v>8</v>
      </c>
      <c r="H255" s="80"/>
      <c r="I255" s="80">
        <v>9</v>
      </c>
      <c r="J255" s="80"/>
      <c r="K255" s="80"/>
      <c r="L255" s="80"/>
      <c r="M255" s="1" t="s">
        <v>488</v>
      </c>
      <c r="N255" s="1">
        <v>35</v>
      </c>
      <c r="O255" s="1">
        <v>3</v>
      </c>
      <c r="P255" s="13">
        <v>44794</v>
      </c>
      <c r="Q255" s="1" t="s">
        <v>133</v>
      </c>
      <c r="R255" s="1" t="s">
        <v>64</v>
      </c>
      <c r="S255" s="1">
        <v>2</v>
      </c>
      <c r="T255" s="1"/>
      <c r="U255" s="1" t="s">
        <v>26</v>
      </c>
      <c r="V255" s="76">
        <v>9</v>
      </c>
      <c r="W255" s="76">
        <v>0.63245553203367577</v>
      </c>
      <c r="X255" s="77">
        <v>1.58113883008419</v>
      </c>
      <c r="Y255" s="77">
        <v>4</v>
      </c>
      <c r="Z255" s="76">
        <v>8.8000000000000007</v>
      </c>
      <c r="AA255" s="76">
        <v>0.40000000000000019</v>
      </c>
      <c r="AB255" s="77">
        <v>-2.0000000000000009</v>
      </c>
      <c r="AC255" s="77">
        <v>1</v>
      </c>
      <c r="AD255" s="76">
        <v>9.1999999999999993</v>
      </c>
      <c r="AE255" s="76">
        <v>0.74833147735478811</v>
      </c>
      <c r="AF255" s="77">
        <v>-1.6035674514745457</v>
      </c>
      <c r="AG255" s="77">
        <v>1</v>
      </c>
      <c r="AH255" s="76">
        <v>8.4</v>
      </c>
      <c r="AI255" s="76">
        <v>0.48989794855663565</v>
      </c>
      <c r="AJ255" s="77">
        <v>1.2247448713915883</v>
      </c>
      <c r="AK255" s="77">
        <v>4</v>
      </c>
      <c r="AL255" s="76"/>
      <c r="AM255" s="76"/>
      <c r="AN255" s="77"/>
      <c r="AO255" s="77"/>
      <c r="AP255" s="76"/>
      <c r="AQ255" s="76"/>
      <c r="AR255" s="77"/>
      <c r="AS255" s="77"/>
      <c r="AT255" s="78">
        <v>0.5625</v>
      </c>
    </row>
    <row r="256" spans="1:46" ht="12.5" x14ac:dyDescent="0.25">
      <c r="A256" s="79">
        <v>44795.302554803246</v>
      </c>
      <c r="B256" s="80" t="s">
        <v>129</v>
      </c>
      <c r="C256" s="80" t="str">
        <f>INDEX(TBL_Name,MATCH(Table2[[#This Row],[Athlete Name]],listNames,0),2)</f>
        <v>Athlete 19</v>
      </c>
      <c r="D256" s="80" t="s">
        <v>130</v>
      </c>
      <c r="E256" s="80">
        <v>8</v>
      </c>
      <c r="F256" s="80">
        <v>7</v>
      </c>
      <c r="G256" s="80">
        <v>8</v>
      </c>
      <c r="H256" s="80" t="s">
        <v>489</v>
      </c>
      <c r="I256" s="80">
        <v>4</v>
      </c>
      <c r="J256" s="80"/>
      <c r="K256" s="80"/>
      <c r="L256" s="80"/>
      <c r="M256" s="1" t="s">
        <v>490</v>
      </c>
      <c r="N256" s="1">
        <v>35</v>
      </c>
      <c r="O256" s="1">
        <v>3</v>
      </c>
      <c r="P256" s="13">
        <v>44795</v>
      </c>
      <c r="Q256" s="1" t="s">
        <v>133</v>
      </c>
      <c r="R256" s="1" t="s">
        <v>64</v>
      </c>
      <c r="S256" s="1">
        <v>1</v>
      </c>
      <c r="T256" s="1"/>
      <c r="U256" s="1" t="s">
        <v>18</v>
      </c>
      <c r="V256" s="76">
        <v>7</v>
      </c>
      <c r="W256" s="76">
        <v>1.0954451150103321</v>
      </c>
      <c r="X256" s="77">
        <v>0.9128709291752769</v>
      </c>
      <c r="Y256" s="77">
        <v>3</v>
      </c>
      <c r="Z256" s="76">
        <v>7.4</v>
      </c>
      <c r="AA256" s="76">
        <v>0.8</v>
      </c>
      <c r="AB256" s="77">
        <v>-0.50000000000000044</v>
      </c>
      <c r="AC256" s="77">
        <v>2</v>
      </c>
      <c r="AD256" s="76">
        <v>8.6</v>
      </c>
      <c r="AE256" s="76">
        <v>0.79999999999999993</v>
      </c>
      <c r="AF256" s="77">
        <v>-0.74999999999999967</v>
      </c>
      <c r="AG256" s="77">
        <v>2</v>
      </c>
      <c r="AH256" s="76">
        <v>5</v>
      </c>
      <c r="AI256" s="76">
        <v>0.63245553203367588</v>
      </c>
      <c r="AJ256" s="77">
        <v>-1.5811388300841895</v>
      </c>
      <c r="AK256" s="77">
        <v>1</v>
      </c>
      <c r="AL256" s="76"/>
      <c r="AM256" s="76"/>
      <c r="AN256" s="77"/>
      <c r="AO256" s="77"/>
      <c r="AP256" s="76"/>
      <c r="AQ256" s="76"/>
      <c r="AR256" s="77"/>
      <c r="AS256" s="77"/>
      <c r="AT256" s="78">
        <v>0.625</v>
      </c>
    </row>
    <row r="257" spans="1:46" ht="12.5" x14ac:dyDescent="0.25">
      <c r="A257" s="79">
        <v>44795.309113622687</v>
      </c>
      <c r="B257" s="80" t="s">
        <v>4</v>
      </c>
      <c r="C257" s="80" t="str">
        <f>INDEX(TBL_Name,MATCH(Table2[[#This Row],[Athlete Name]],listNames,0),2)</f>
        <v>Athlete 1</v>
      </c>
      <c r="D257" s="80" t="s">
        <v>130</v>
      </c>
      <c r="E257" s="80">
        <v>9</v>
      </c>
      <c r="F257" s="80">
        <v>10</v>
      </c>
      <c r="G257" s="80">
        <v>7</v>
      </c>
      <c r="H257" s="80" t="s">
        <v>66</v>
      </c>
      <c r="I257" s="80">
        <v>7</v>
      </c>
      <c r="J257" s="80"/>
      <c r="K257" s="80"/>
      <c r="L257" s="80"/>
      <c r="M257" s="1" t="s">
        <v>491</v>
      </c>
      <c r="N257" s="1">
        <v>35</v>
      </c>
      <c r="O257" s="1">
        <v>3</v>
      </c>
      <c r="P257" s="13">
        <v>44795</v>
      </c>
      <c r="Q257" s="1" t="s">
        <v>133</v>
      </c>
      <c r="R257" s="1" t="s">
        <v>64</v>
      </c>
      <c r="S257" s="1">
        <v>1</v>
      </c>
      <c r="T257" s="1"/>
      <c r="U257" s="1" t="s">
        <v>5</v>
      </c>
      <c r="V257" s="76">
        <v>8</v>
      </c>
      <c r="W257" s="76">
        <v>1</v>
      </c>
      <c r="X257" s="77">
        <v>1</v>
      </c>
      <c r="Y257" s="77">
        <v>4</v>
      </c>
      <c r="Z257" s="76">
        <v>10</v>
      </c>
      <c r="AA257" s="76">
        <v>0</v>
      </c>
      <c r="AB257" s="77">
        <v>0</v>
      </c>
      <c r="AC257" s="77">
        <v>3</v>
      </c>
      <c r="AD257" s="76">
        <v>7</v>
      </c>
      <c r="AE257" s="76">
        <v>0</v>
      </c>
      <c r="AF257" s="77">
        <v>0</v>
      </c>
      <c r="AG257" s="77">
        <v>3</v>
      </c>
      <c r="AH257" s="76">
        <v>8</v>
      </c>
      <c r="AI257" s="76">
        <v>1</v>
      </c>
      <c r="AJ257" s="77">
        <v>-1</v>
      </c>
      <c r="AK257" s="77">
        <v>1</v>
      </c>
      <c r="AL257" s="76"/>
      <c r="AM257" s="76"/>
      <c r="AN257" s="77"/>
      <c r="AO257" s="77"/>
      <c r="AP257" s="76"/>
      <c r="AQ257" s="76"/>
      <c r="AR257" s="77"/>
      <c r="AS257" s="77"/>
      <c r="AT257" s="78">
        <v>0.625</v>
      </c>
    </row>
    <row r="258" spans="1:46" ht="12.5" x14ac:dyDescent="0.25">
      <c r="A258" s="79">
        <v>44795.315646400464</v>
      </c>
      <c r="B258" s="80" t="s">
        <v>10</v>
      </c>
      <c r="C258" s="80" t="str">
        <f>INDEX(TBL_Name,MATCH(Table2[[#This Row],[Athlete Name]],listNames,0),2)</f>
        <v>Athlete 5</v>
      </c>
      <c r="D258" s="80" t="s">
        <v>130</v>
      </c>
      <c r="E258" s="80">
        <v>9</v>
      </c>
      <c r="F258" s="80">
        <v>8</v>
      </c>
      <c r="G258" s="80">
        <v>8</v>
      </c>
      <c r="H258" s="80" t="s">
        <v>492</v>
      </c>
      <c r="I258" s="80">
        <v>3</v>
      </c>
      <c r="J258" s="80"/>
      <c r="K258" s="80"/>
      <c r="L258" s="80"/>
      <c r="M258" s="1" t="s">
        <v>493</v>
      </c>
      <c r="N258" s="1">
        <v>35</v>
      </c>
      <c r="O258" s="1">
        <v>3</v>
      </c>
      <c r="P258" s="13">
        <v>44795</v>
      </c>
      <c r="Q258" s="1" t="s">
        <v>133</v>
      </c>
      <c r="R258" s="1" t="s">
        <v>64</v>
      </c>
      <c r="S258" s="1">
        <v>1</v>
      </c>
      <c r="T258" s="1"/>
      <c r="U258" s="1" t="s">
        <v>11</v>
      </c>
      <c r="V258" s="76">
        <v>7.833333333333333</v>
      </c>
      <c r="W258" s="76">
        <v>0.89752746785575077</v>
      </c>
      <c r="X258" s="77">
        <v>1.2998673672393632</v>
      </c>
      <c r="Y258" s="77">
        <v>4</v>
      </c>
      <c r="Z258" s="76">
        <v>8.3333333333333339</v>
      </c>
      <c r="AA258" s="76">
        <v>0.94280904158206325</v>
      </c>
      <c r="AB258" s="77">
        <v>-0.35355339059327445</v>
      </c>
      <c r="AC258" s="77">
        <v>2</v>
      </c>
      <c r="AD258" s="76">
        <v>8.1666666666666661</v>
      </c>
      <c r="AE258" s="76">
        <v>0.68718427093627688</v>
      </c>
      <c r="AF258" s="77">
        <v>-0.24253562503633208</v>
      </c>
      <c r="AG258" s="77">
        <v>2</v>
      </c>
      <c r="AH258" s="76">
        <v>6.166666666666667</v>
      </c>
      <c r="AI258" s="76">
        <v>1.771690968789108</v>
      </c>
      <c r="AJ258" s="77">
        <v>-1.7873696499288352</v>
      </c>
      <c r="AK258" s="77">
        <v>1</v>
      </c>
      <c r="AL258" s="76"/>
      <c r="AM258" s="76"/>
      <c r="AN258" s="77"/>
      <c r="AO258" s="77"/>
      <c r="AP258" s="76"/>
      <c r="AQ258" s="76"/>
      <c r="AR258" s="77"/>
      <c r="AS258" s="77"/>
      <c r="AT258" s="78">
        <v>0.6875</v>
      </c>
    </row>
    <row r="259" spans="1:46" ht="12.5" x14ac:dyDescent="0.25">
      <c r="A259" s="79">
        <v>44795.322610162038</v>
      </c>
      <c r="B259" s="80" t="s">
        <v>185</v>
      </c>
      <c r="C259" s="80" t="str">
        <f>INDEX(TBL_Name,MATCH(Table2[[#This Row],[Athlete Name]],listNames,0),2)</f>
        <v>Athlete 30</v>
      </c>
      <c r="D259" s="80" t="s">
        <v>130</v>
      </c>
      <c r="E259" s="80">
        <v>10</v>
      </c>
      <c r="F259" s="80">
        <v>4</v>
      </c>
      <c r="G259" s="80">
        <v>6</v>
      </c>
      <c r="H259" s="80" t="s">
        <v>186</v>
      </c>
      <c r="I259" s="80">
        <v>6</v>
      </c>
      <c r="J259" s="80"/>
      <c r="K259" s="80"/>
      <c r="L259" s="80"/>
      <c r="M259" s="1" t="s">
        <v>494</v>
      </c>
      <c r="N259" s="1">
        <v>35</v>
      </c>
      <c r="O259" s="1">
        <v>3</v>
      </c>
      <c r="P259" s="13">
        <v>44795</v>
      </c>
      <c r="Q259" s="1" t="s">
        <v>133</v>
      </c>
      <c r="R259" s="1" t="s">
        <v>64</v>
      </c>
      <c r="S259" s="1">
        <v>1</v>
      </c>
      <c r="T259" s="1"/>
      <c r="U259" s="1" t="s">
        <v>26</v>
      </c>
      <c r="V259" s="76">
        <v>9.4</v>
      </c>
      <c r="W259" s="76">
        <v>0.79999999999999993</v>
      </c>
      <c r="X259" s="77">
        <v>0.74999999999999967</v>
      </c>
      <c r="Y259" s="77">
        <v>3</v>
      </c>
      <c r="Z259" s="76">
        <v>5.2</v>
      </c>
      <c r="AA259" s="76">
        <v>0.74833147735478833</v>
      </c>
      <c r="AB259" s="77">
        <v>-1.6035674514745464</v>
      </c>
      <c r="AC259" s="77">
        <v>1</v>
      </c>
      <c r="AD259" s="76">
        <v>7.6</v>
      </c>
      <c r="AE259" s="76">
        <v>1.2</v>
      </c>
      <c r="AF259" s="77">
        <v>-1.333333333333333</v>
      </c>
      <c r="AG259" s="77">
        <v>1</v>
      </c>
      <c r="AH259" s="76">
        <v>5.4</v>
      </c>
      <c r="AI259" s="76">
        <v>0.79999999999999993</v>
      </c>
      <c r="AJ259" s="77">
        <v>0.74999999999999967</v>
      </c>
      <c r="AK259" s="77">
        <v>3</v>
      </c>
      <c r="AL259" s="76"/>
      <c r="AM259" s="76"/>
      <c r="AN259" s="77"/>
      <c r="AO259" s="77"/>
      <c r="AP259" s="76"/>
      <c r="AQ259" s="76"/>
      <c r="AR259" s="77"/>
      <c r="AS259" s="77"/>
      <c r="AT259" s="78">
        <v>0.375</v>
      </c>
    </row>
    <row r="260" spans="1:46" ht="12.5" x14ac:dyDescent="0.25">
      <c r="A260" s="79">
        <v>44795.334321840273</v>
      </c>
      <c r="B260" s="80" t="s">
        <v>196</v>
      </c>
      <c r="C260" s="80" t="str">
        <f>INDEX(TBL_Name,MATCH(Table2[[#This Row],[Athlete Name]],listNames,0),2)</f>
        <v>Athlete 31</v>
      </c>
      <c r="D260" s="80" t="s">
        <v>130</v>
      </c>
      <c r="E260" s="80">
        <v>8</v>
      </c>
      <c r="F260" s="80">
        <v>8</v>
      </c>
      <c r="G260" s="80">
        <v>9</v>
      </c>
      <c r="H260" s="80" t="s">
        <v>495</v>
      </c>
      <c r="I260" s="80">
        <v>6</v>
      </c>
      <c r="J260" s="80"/>
      <c r="K260" s="80"/>
      <c r="L260" s="80"/>
      <c r="M260" s="1" t="s">
        <v>496</v>
      </c>
      <c r="N260" s="1">
        <v>35</v>
      </c>
      <c r="O260" s="1">
        <v>3</v>
      </c>
      <c r="P260" s="13">
        <v>44795</v>
      </c>
      <c r="Q260" s="1" t="s">
        <v>133</v>
      </c>
      <c r="R260" s="1" t="s">
        <v>64</v>
      </c>
      <c r="S260" s="1">
        <v>1</v>
      </c>
      <c r="T260" s="1"/>
      <c r="U260" s="1" t="s">
        <v>28</v>
      </c>
      <c r="V260" s="76">
        <v>6.833333333333333</v>
      </c>
      <c r="W260" s="76">
        <v>1.0671873729054748</v>
      </c>
      <c r="X260" s="77">
        <v>1.0932163332202427</v>
      </c>
      <c r="Y260" s="77">
        <v>4</v>
      </c>
      <c r="Z260" s="76">
        <v>8.3333333333333339</v>
      </c>
      <c r="AA260" s="76">
        <v>0.74535599249992979</v>
      </c>
      <c r="AB260" s="77">
        <v>-0.44721359549995882</v>
      </c>
      <c r="AC260" s="77">
        <v>2</v>
      </c>
      <c r="AD260" s="76">
        <v>8.4166666666666661</v>
      </c>
      <c r="AE260" s="76">
        <v>0.5335936864527373</v>
      </c>
      <c r="AF260" s="77">
        <v>1.0932163332202438</v>
      </c>
      <c r="AG260" s="77">
        <v>4</v>
      </c>
      <c r="AH260" s="76">
        <v>7.666666666666667</v>
      </c>
      <c r="AI260" s="76">
        <v>0.74535599249993001</v>
      </c>
      <c r="AJ260" s="77">
        <v>-2.2360679774997898</v>
      </c>
      <c r="AK260" s="77">
        <v>1</v>
      </c>
      <c r="AL260" s="76"/>
      <c r="AM260" s="76"/>
      <c r="AN260" s="77"/>
      <c r="AO260" s="77"/>
      <c r="AP260" s="76"/>
      <c r="AQ260" s="76"/>
      <c r="AR260" s="77"/>
      <c r="AS260" s="77"/>
      <c r="AT260" s="78">
        <v>0.875</v>
      </c>
    </row>
    <row r="261" spans="1:46" ht="12.5" x14ac:dyDescent="0.25">
      <c r="A261" s="79">
        <v>44795.349970347219</v>
      </c>
      <c r="B261" s="80" t="s">
        <v>177</v>
      </c>
      <c r="C261" s="80" t="str">
        <f>INDEX(TBL_Name,MATCH(Table2[[#This Row],[Athlete Name]],listNames,0),2)</f>
        <v>Athlete 28</v>
      </c>
      <c r="D261" s="80" t="s">
        <v>130</v>
      </c>
      <c r="E261" s="80">
        <v>2</v>
      </c>
      <c r="F261" s="80">
        <v>3</v>
      </c>
      <c r="G261" s="80">
        <v>5</v>
      </c>
      <c r="H261" s="80" t="s">
        <v>181</v>
      </c>
      <c r="I261" s="80">
        <v>8</v>
      </c>
      <c r="J261" s="80"/>
      <c r="K261" s="80"/>
      <c r="L261" s="80"/>
      <c r="M261" s="1" t="s">
        <v>497</v>
      </c>
      <c r="N261" s="1">
        <v>35</v>
      </c>
      <c r="O261" s="1">
        <v>3</v>
      </c>
      <c r="P261" s="13">
        <v>44795</v>
      </c>
      <c r="Q261" s="1" t="s">
        <v>133</v>
      </c>
      <c r="R261" s="1" t="s">
        <v>64</v>
      </c>
      <c r="S261" s="1">
        <v>1</v>
      </c>
      <c r="T261" s="1"/>
      <c r="U261" s="1" t="s">
        <v>28</v>
      </c>
      <c r="V261" s="76">
        <v>5</v>
      </c>
      <c r="W261" s="76">
        <v>2.1213203435596424</v>
      </c>
      <c r="X261" s="77">
        <v>-1.4142135623730951</v>
      </c>
      <c r="Y261" s="77">
        <v>1</v>
      </c>
      <c r="Z261" s="76">
        <v>5.75</v>
      </c>
      <c r="AA261" s="76">
        <v>1.920286436967152</v>
      </c>
      <c r="AB261" s="77">
        <v>-1.4320780207890627</v>
      </c>
      <c r="AC261" s="77">
        <v>1</v>
      </c>
      <c r="AD261" s="76">
        <v>7.25</v>
      </c>
      <c r="AE261" s="76">
        <v>1.7853571071357126</v>
      </c>
      <c r="AF261" s="77">
        <v>-1.2602520756252087</v>
      </c>
      <c r="AG261" s="77">
        <v>1</v>
      </c>
      <c r="AH261" s="76">
        <v>6.25</v>
      </c>
      <c r="AI261" s="76">
        <v>1.7853571071357126</v>
      </c>
      <c r="AJ261" s="77">
        <v>0.98019605881960681</v>
      </c>
      <c r="AK261" s="77">
        <v>3</v>
      </c>
      <c r="AL261" s="76"/>
      <c r="AM261" s="76"/>
      <c r="AN261" s="77"/>
      <c r="AO261" s="77"/>
      <c r="AP261" s="76"/>
      <c r="AQ261" s="76"/>
      <c r="AR261" s="77"/>
      <c r="AS261" s="77"/>
      <c r="AT261" s="78">
        <v>0.625</v>
      </c>
    </row>
    <row r="262" spans="1:46" ht="12.5" x14ac:dyDescent="0.25">
      <c r="A262" s="79">
        <v>44795.381366967587</v>
      </c>
      <c r="B262" s="80" t="s">
        <v>17</v>
      </c>
      <c r="C262" s="80" t="str">
        <f>INDEX(TBL_Name,MATCH(Table2[[#This Row],[Athlete Name]],listNames,0),2)</f>
        <v>Athlete 10</v>
      </c>
      <c r="D262" s="80" t="s">
        <v>130</v>
      </c>
      <c r="E262" s="80">
        <v>7</v>
      </c>
      <c r="F262" s="80">
        <v>9</v>
      </c>
      <c r="G262" s="80">
        <v>10</v>
      </c>
      <c r="H262" s="80" t="s">
        <v>498</v>
      </c>
      <c r="I262" s="80">
        <v>7</v>
      </c>
      <c r="J262" s="80"/>
      <c r="K262" s="80"/>
      <c r="L262" s="80"/>
      <c r="M262" s="1" t="s">
        <v>499</v>
      </c>
      <c r="N262" s="1">
        <v>35</v>
      </c>
      <c r="O262" s="1">
        <v>3</v>
      </c>
      <c r="P262" s="13">
        <v>44795</v>
      </c>
      <c r="Q262" s="1" t="s">
        <v>133</v>
      </c>
      <c r="R262" s="1" t="s">
        <v>64</v>
      </c>
      <c r="S262" s="1">
        <v>1</v>
      </c>
      <c r="T262" s="1"/>
      <c r="U262" s="1" t="s">
        <v>18</v>
      </c>
      <c r="V262" s="76">
        <v>8.8333333333333339</v>
      </c>
      <c r="W262" s="76">
        <v>0.89752746785575033</v>
      </c>
      <c r="X262" s="77">
        <v>-2.042648719947572</v>
      </c>
      <c r="Y262" s="77">
        <v>1</v>
      </c>
      <c r="Z262" s="76">
        <v>7.666666666666667</v>
      </c>
      <c r="AA262" s="76">
        <v>1.4907119849998596</v>
      </c>
      <c r="AB262" s="77">
        <v>0.89442719099991586</v>
      </c>
      <c r="AC262" s="77">
        <v>3</v>
      </c>
      <c r="AD262" s="76">
        <v>9.1666666666666661</v>
      </c>
      <c r="AE262" s="76">
        <v>0.68718427093627699</v>
      </c>
      <c r="AF262" s="77">
        <v>1.2126781251816654</v>
      </c>
      <c r="AG262" s="77">
        <v>4</v>
      </c>
      <c r="AH262" s="76">
        <v>7.5</v>
      </c>
      <c r="AI262" s="76">
        <v>0.76376261582597327</v>
      </c>
      <c r="AJ262" s="77">
        <v>-0.6546536707079772</v>
      </c>
      <c r="AK262" s="77">
        <v>2</v>
      </c>
      <c r="AL262" s="76"/>
      <c r="AM262" s="76"/>
      <c r="AN262" s="77"/>
      <c r="AO262" s="77"/>
      <c r="AP262" s="76"/>
      <c r="AQ262" s="76"/>
      <c r="AR262" s="77"/>
      <c r="AS262" s="77"/>
      <c r="AT262" s="78">
        <v>0.5625</v>
      </c>
    </row>
    <row r="263" spans="1:46" ht="12.5" x14ac:dyDescent="0.25">
      <c r="A263" s="79">
        <v>44795.397865810184</v>
      </c>
      <c r="B263" s="80" t="s">
        <v>168</v>
      </c>
      <c r="C263" s="80" t="str">
        <f>INDEX(TBL_Name,MATCH(Table2[[#This Row],[Athlete Name]],listNames,0),2)</f>
        <v>Athlete 26</v>
      </c>
      <c r="D263" s="80" t="s">
        <v>130</v>
      </c>
      <c r="E263" s="80">
        <v>8</v>
      </c>
      <c r="F263" s="80">
        <v>6</v>
      </c>
      <c r="G263" s="80">
        <v>7</v>
      </c>
      <c r="H263" s="80" t="s">
        <v>169</v>
      </c>
      <c r="I263" s="80">
        <v>5</v>
      </c>
      <c r="J263" s="80"/>
      <c r="K263" s="80"/>
      <c r="L263" s="80"/>
      <c r="M263" s="1" t="s">
        <v>500</v>
      </c>
      <c r="N263" s="1">
        <v>35</v>
      </c>
      <c r="O263" s="1">
        <v>3</v>
      </c>
      <c r="P263" s="13">
        <v>44795</v>
      </c>
      <c r="Q263" s="1" t="s">
        <v>133</v>
      </c>
      <c r="R263" s="1" t="s">
        <v>64</v>
      </c>
      <c r="S263" s="1">
        <v>1</v>
      </c>
      <c r="T263" s="1"/>
      <c r="U263" s="1" t="s">
        <v>5</v>
      </c>
      <c r="V263" s="76">
        <v>7.4</v>
      </c>
      <c r="W263" s="76">
        <v>1.019803902718557</v>
      </c>
      <c r="X263" s="77">
        <v>0.58834840541455169</v>
      </c>
      <c r="Y263" s="77">
        <v>3</v>
      </c>
      <c r="Z263" s="76">
        <v>7.8</v>
      </c>
      <c r="AA263" s="76">
        <v>1.4696938456699069</v>
      </c>
      <c r="AB263" s="77">
        <v>-1.2247448713915889</v>
      </c>
      <c r="AC263" s="77">
        <v>1</v>
      </c>
      <c r="AD263" s="76">
        <v>8.4</v>
      </c>
      <c r="AE263" s="76">
        <v>0.8</v>
      </c>
      <c r="AF263" s="77">
        <v>-1.7500000000000004</v>
      </c>
      <c r="AG263" s="77">
        <v>1</v>
      </c>
      <c r="AH263" s="76">
        <v>6.4</v>
      </c>
      <c r="AI263" s="76">
        <v>1.2000000000000002</v>
      </c>
      <c r="AJ263" s="77">
        <v>-1.1666666666666667</v>
      </c>
      <c r="AK263" s="77">
        <v>1</v>
      </c>
      <c r="AL263" s="76"/>
      <c r="AM263" s="76"/>
      <c r="AN263" s="77"/>
      <c r="AO263" s="77"/>
      <c r="AP263" s="76"/>
      <c r="AQ263" s="76"/>
      <c r="AR263" s="77"/>
      <c r="AS263" s="77"/>
      <c r="AT263" s="78">
        <v>0.4375</v>
      </c>
    </row>
    <row r="264" spans="1:46" ht="12.5" x14ac:dyDescent="0.25">
      <c r="A264" s="79">
        <v>44795.452129756944</v>
      </c>
      <c r="B264" s="80" t="s">
        <v>25</v>
      </c>
      <c r="C264" s="80" t="str">
        <f>INDEX(TBL_Name,MATCH(Table2[[#This Row],[Athlete Name]],listNames,0),2)</f>
        <v>Athlete 23</v>
      </c>
      <c r="D264" s="80" t="s">
        <v>143</v>
      </c>
      <c r="E264" s="80">
        <v>9</v>
      </c>
      <c r="F264" s="80">
        <v>9</v>
      </c>
      <c r="G264" s="80">
        <v>10</v>
      </c>
      <c r="H264" s="80"/>
      <c r="I264" s="80">
        <v>3</v>
      </c>
      <c r="J264" s="80"/>
      <c r="K264" s="80"/>
      <c r="L264" s="80"/>
      <c r="M264" s="1" t="s">
        <v>501</v>
      </c>
      <c r="N264" s="1">
        <v>35</v>
      </c>
      <c r="O264" s="1">
        <v>3</v>
      </c>
      <c r="P264" s="13">
        <v>44795</v>
      </c>
      <c r="Q264" s="1" t="s">
        <v>133</v>
      </c>
      <c r="R264" s="1" t="s">
        <v>64</v>
      </c>
      <c r="S264" s="1">
        <v>2</v>
      </c>
      <c r="T264" s="1"/>
      <c r="U264" s="1" t="s">
        <v>26</v>
      </c>
      <c r="V264" s="76">
        <v>9</v>
      </c>
      <c r="W264" s="76">
        <v>0.57735026918962573</v>
      </c>
      <c r="X264" s="77">
        <v>0</v>
      </c>
      <c r="Y264" s="77">
        <v>3</v>
      </c>
      <c r="Z264" s="76">
        <v>8.8333333333333339</v>
      </c>
      <c r="AA264" s="76">
        <v>0.37267799624996506</v>
      </c>
      <c r="AB264" s="77">
        <v>0.44721359549995621</v>
      </c>
      <c r="AC264" s="77">
        <v>3</v>
      </c>
      <c r="AD264" s="76">
        <v>9.3333333333333339</v>
      </c>
      <c r="AE264" s="76">
        <v>0.74535599249993001</v>
      </c>
      <c r="AF264" s="77">
        <v>0.89442719099991497</v>
      </c>
      <c r="AG264" s="77">
        <v>3</v>
      </c>
      <c r="AH264" s="76">
        <v>7.5</v>
      </c>
      <c r="AI264" s="76">
        <v>2.0615528128088303</v>
      </c>
      <c r="AJ264" s="77">
        <v>-2.1828206253269968</v>
      </c>
      <c r="AK264" s="77">
        <v>1</v>
      </c>
      <c r="AL264" s="76"/>
      <c r="AM264" s="76"/>
      <c r="AN264" s="77"/>
      <c r="AO264" s="77"/>
      <c r="AP264" s="76"/>
      <c r="AQ264" s="76"/>
      <c r="AR264" s="77"/>
      <c r="AS264" s="77"/>
      <c r="AT264" s="78">
        <v>0.6875</v>
      </c>
    </row>
    <row r="265" spans="1:46" ht="12.5" x14ac:dyDescent="0.25">
      <c r="A265" s="79">
        <v>44795.45367909722</v>
      </c>
      <c r="B265" s="80" t="s">
        <v>6</v>
      </c>
      <c r="C265" s="80" t="str">
        <f>INDEX(TBL_Name,MATCH(Table2[[#This Row],[Athlete Name]],listNames,0),2)</f>
        <v>Athlete 2</v>
      </c>
      <c r="D265" s="80" t="s">
        <v>130</v>
      </c>
      <c r="E265" s="80">
        <v>10</v>
      </c>
      <c r="F265" s="80">
        <v>8</v>
      </c>
      <c r="G265" s="80">
        <v>10</v>
      </c>
      <c r="H265" s="80" t="s">
        <v>231</v>
      </c>
      <c r="I265" s="80">
        <v>7</v>
      </c>
      <c r="J265" s="80"/>
      <c r="K265" s="80"/>
      <c r="L265" s="80"/>
      <c r="M265" s="1" t="s">
        <v>502</v>
      </c>
      <c r="N265" s="1">
        <v>35</v>
      </c>
      <c r="O265" s="1">
        <v>3</v>
      </c>
      <c r="P265" s="13">
        <v>44795</v>
      </c>
      <c r="Q265" s="1" t="s">
        <v>133</v>
      </c>
      <c r="R265" s="1" t="s">
        <v>64</v>
      </c>
      <c r="S265" s="1">
        <v>1</v>
      </c>
      <c r="T265" s="1"/>
      <c r="U265" s="1" t="s">
        <v>5</v>
      </c>
      <c r="V265" s="76">
        <v>9.6666666666666661</v>
      </c>
      <c r="W265" s="76">
        <v>0.47140452079103168</v>
      </c>
      <c r="X265" s="77">
        <v>0.70710678118654879</v>
      </c>
      <c r="Y265" s="77">
        <v>3</v>
      </c>
      <c r="Z265" s="76">
        <v>6</v>
      </c>
      <c r="AA265" s="76">
        <v>1.4142135623730951</v>
      </c>
      <c r="AB265" s="77">
        <v>1.4142135623730949</v>
      </c>
      <c r="AC265" s="77">
        <v>4</v>
      </c>
      <c r="AD265" s="76">
        <v>8.6666666666666661</v>
      </c>
      <c r="AE265" s="76">
        <v>0.94280904158206313</v>
      </c>
      <c r="AF265" s="77">
        <v>1.414213562373096</v>
      </c>
      <c r="AG265" s="77">
        <v>4</v>
      </c>
      <c r="AH265" s="76">
        <v>5.666666666666667</v>
      </c>
      <c r="AI265" s="76">
        <v>0.94280904158206325</v>
      </c>
      <c r="AJ265" s="77">
        <v>1.4142135623730949</v>
      </c>
      <c r="AK265" s="77">
        <v>4</v>
      </c>
      <c r="AL265" s="76"/>
      <c r="AM265" s="76"/>
      <c r="AN265" s="77"/>
      <c r="AO265" s="77"/>
      <c r="AP265" s="76"/>
      <c r="AQ265" s="76"/>
      <c r="AR265" s="77"/>
      <c r="AS265" s="77"/>
      <c r="AT265" s="78">
        <v>0.5</v>
      </c>
    </row>
    <row r="266" spans="1:46" ht="12.5" x14ac:dyDescent="0.25">
      <c r="A266" s="79">
        <v>44795.455457037038</v>
      </c>
      <c r="B266" s="80" t="s">
        <v>13</v>
      </c>
      <c r="C266" s="80" t="str">
        <f>INDEX(TBL_Name,MATCH(Table2[[#This Row],[Athlete Name]],listNames,0),2)</f>
        <v>Athlete 7</v>
      </c>
      <c r="D266" s="80" t="s">
        <v>130</v>
      </c>
      <c r="E266" s="80">
        <v>9</v>
      </c>
      <c r="F266" s="80">
        <v>7</v>
      </c>
      <c r="G266" s="80">
        <v>8</v>
      </c>
      <c r="H266" s="80" t="s">
        <v>251</v>
      </c>
      <c r="I266" s="80">
        <v>3</v>
      </c>
      <c r="J266" s="80"/>
      <c r="K266" s="80"/>
      <c r="L266" s="80"/>
      <c r="M266" s="1" t="s">
        <v>503</v>
      </c>
      <c r="N266" s="1">
        <v>35</v>
      </c>
      <c r="O266" s="1">
        <v>3</v>
      </c>
      <c r="P266" s="13">
        <v>44795</v>
      </c>
      <c r="Q266" s="1" t="s">
        <v>133</v>
      </c>
      <c r="R266" s="1" t="s">
        <v>64</v>
      </c>
      <c r="S266" s="1">
        <v>1</v>
      </c>
      <c r="T266" s="1"/>
      <c r="U266" s="1" t="s">
        <v>14</v>
      </c>
      <c r="V266" s="76">
        <v>7.333333333333333</v>
      </c>
      <c r="W266" s="76">
        <v>1.699673171197595</v>
      </c>
      <c r="X266" s="77">
        <v>0.98058067569092033</v>
      </c>
      <c r="Y266" s="77">
        <v>3</v>
      </c>
      <c r="Z266" s="76">
        <v>6.666666666666667</v>
      </c>
      <c r="AA266" s="76">
        <v>0.47140452079103162</v>
      </c>
      <c r="AB266" s="77">
        <v>0.70710678118654702</v>
      </c>
      <c r="AC266" s="77">
        <v>3</v>
      </c>
      <c r="AD266" s="76">
        <v>8</v>
      </c>
      <c r="AE266" s="76">
        <v>0.81649658092772603</v>
      </c>
      <c r="AF266" s="77">
        <v>0</v>
      </c>
      <c r="AG266" s="77">
        <v>3</v>
      </c>
      <c r="AH266" s="76">
        <v>5.666666666666667</v>
      </c>
      <c r="AI266" s="76">
        <v>1.8856180831641267</v>
      </c>
      <c r="AJ266" s="77">
        <v>-1.4142135623730951</v>
      </c>
      <c r="AK266" s="77">
        <v>1</v>
      </c>
      <c r="AL266" s="76"/>
      <c r="AM266" s="76"/>
      <c r="AN266" s="77"/>
      <c r="AO266" s="77"/>
      <c r="AP266" s="76"/>
      <c r="AQ266" s="76"/>
      <c r="AR266" s="77"/>
      <c r="AS266" s="77"/>
      <c r="AT266" s="78">
        <v>0.5625</v>
      </c>
    </row>
    <row r="267" spans="1:46" ht="12.5" x14ac:dyDescent="0.25">
      <c r="A267" s="79">
        <v>44795.456543275461</v>
      </c>
      <c r="B267" s="80" t="s">
        <v>23</v>
      </c>
      <c r="C267" s="80" t="str">
        <f>INDEX(TBL_Name,MATCH(Table2[[#This Row],[Athlete Name]],listNames,0),2)</f>
        <v>Athlete 15</v>
      </c>
      <c r="D267" s="80" t="s">
        <v>130</v>
      </c>
      <c r="E267" s="80">
        <v>7</v>
      </c>
      <c r="F267" s="80">
        <v>10</v>
      </c>
      <c r="G267" s="80">
        <v>10</v>
      </c>
      <c r="H267" s="80" t="s">
        <v>450</v>
      </c>
      <c r="I267" s="80">
        <v>6</v>
      </c>
      <c r="J267" s="80"/>
      <c r="K267" s="80"/>
      <c r="L267" s="80"/>
      <c r="M267" s="1" t="s">
        <v>504</v>
      </c>
      <c r="N267" s="1">
        <v>35</v>
      </c>
      <c r="O267" s="1">
        <v>3</v>
      </c>
      <c r="P267" s="13">
        <v>44795</v>
      </c>
      <c r="Q267" s="1" t="s">
        <v>133</v>
      </c>
      <c r="R267" s="1" t="s">
        <v>64</v>
      </c>
      <c r="S267" s="1">
        <v>1</v>
      </c>
      <c r="T267" s="1"/>
      <c r="U267" s="1" t="s">
        <v>18</v>
      </c>
      <c r="V267" s="76">
        <v>6</v>
      </c>
      <c r="W267" s="76">
        <v>1.0954451150103321</v>
      </c>
      <c r="X267" s="77">
        <v>0.9128709291752769</v>
      </c>
      <c r="Y267" s="77">
        <v>3</v>
      </c>
      <c r="Z267" s="76">
        <v>9.1999999999999993</v>
      </c>
      <c r="AA267" s="76">
        <v>0.74833147735478844</v>
      </c>
      <c r="AB267" s="77">
        <v>1.0690449676496983</v>
      </c>
      <c r="AC267" s="77">
        <v>4</v>
      </c>
      <c r="AD267" s="76">
        <v>9</v>
      </c>
      <c r="AE267" s="76">
        <v>0.63245553203367588</v>
      </c>
      <c r="AF267" s="77">
        <v>1.5811388300841895</v>
      </c>
      <c r="AG267" s="77">
        <v>4</v>
      </c>
      <c r="AH267" s="76">
        <v>4.2</v>
      </c>
      <c r="AI267" s="76">
        <v>0.9797958971132712</v>
      </c>
      <c r="AJ267" s="77">
        <v>1.8371173070873834</v>
      </c>
      <c r="AK267" s="77">
        <v>4</v>
      </c>
      <c r="AL267" s="76"/>
      <c r="AM267" s="76"/>
      <c r="AN267" s="77"/>
      <c r="AO267" s="77"/>
      <c r="AP267" s="76"/>
      <c r="AQ267" s="76"/>
      <c r="AR267" s="77"/>
      <c r="AS267" s="77"/>
      <c r="AT267" s="78">
        <v>0.875</v>
      </c>
    </row>
    <row r="268" spans="1:46" ht="12.5" x14ac:dyDescent="0.25">
      <c r="A268" s="79">
        <v>44795.497252789355</v>
      </c>
      <c r="B268" s="80" t="s">
        <v>15</v>
      </c>
      <c r="C268" s="80" t="str">
        <f>INDEX(TBL_Name,MATCH(Table2[[#This Row],[Athlete Name]],listNames,0),2)</f>
        <v>Athlete 8</v>
      </c>
      <c r="D268" s="80" t="s">
        <v>130</v>
      </c>
      <c r="E268" s="80">
        <v>10</v>
      </c>
      <c r="F268" s="80">
        <v>10</v>
      </c>
      <c r="G268" s="80">
        <v>9</v>
      </c>
      <c r="H268" s="80" t="s">
        <v>287</v>
      </c>
      <c r="I268" s="80">
        <v>7</v>
      </c>
      <c r="J268" s="80"/>
      <c r="K268" s="80"/>
      <c r="L268" s="80"/>
      <c r="M268" s="1" t="s">
        <v>505</v>
      </c>
      <c r="N268" s="1">
        <v>35</v>
      </c>
      <c r="O268" s="1">
        <v>3</v>
      </c>
      <c r="P268" s="13">
        <v>44795</v>
      </c>
      <c r="Q268" s="1" t="s">
        <v>133</v>
      </c>
      <c r="R268" s="1" t="s">
        <v>64</v>
      </c>
      <c r="S268" s="1">
        <v>1</v>
      </c>
      <c r="T268" s="1"/>
      <c r="U268" s="1" t="s">
        <v>14</v>
      </c>
      <c r="V268" s="76">
        <v>9.75</v>
      </c>
      <c r="W268" s="76">
        <v>0.43301270189221946</v>
      </c>
      <c r="X268" s="77">
        <v>0.57735026918962562</v>
      </c>
      <c r="Y268" s="77">
        <v>3</v>
      </c>
      <c r="Z268" s="76">
        <v>9</v>
      </c>
      <c r="AA268" s="76">
        <v>1</v>
      </c>
      <c r="AB268" s="77">
        <v>1</v>
      </c>
      <c r="AC268" s="77">
        <v>4</v>
      </c>
      <c r="AD268" s="76">
        <v>8.75</v>
      </c>
      <c r="AE268" s="76">
        <v>0.43301270189221946</v>
      </c>
      <c r="AF268" s="77">
        <v>0.57735026918962562</v>
      </c>
      <c r="AG268" s="77">
        <v>3</v>
      </c>
      <c r="AH268" s="76">
        <v>5.5</v>
      </c>
      <c r="AI268" s="76">
        <v>1.1180339887498949</v>
      </c>
      <c r="AJ268" s="77">
        <v>1.3416407864998738</v>
      </c>
      <c r="AK268" s="77">
        <v>4</v>
      </c>
      <c r="AL268" s="76"/>
      <c r="AM268" s="76"/>
      <c r="AN268" s="77"/>
      <c r="AO268" s="77"/>
      <c r="AP268" s="76"/>
      <c r="AQ268" s="76"/>
      <c r="AR268" s="77"/>
      <c r="AS268" s="77"/>
      <c r="AT268" s="78">
        <v>0.5</v>
      </c>
    </row>
    <row r="269" spans="1:46" ht="12.5" x14ac:dyDescent="0.25">
      <c r="A269" s="79">
        <v>44795.555207442128</v>
      </c>
      <c r="B269" s="80" t="s">
        <v>22</v>
      </c>
      <c r="C269" s="80" t="str">
        <f>INDEX(TBL_Name,MATCH(Table2[[#This Row],[Athlete Name]],listNames,0),2)</f>
        <v>Athlete 14</v>
      </c>
      <c r="D269" s="80" t="s">
        <v>130</v>
      </c>
      <c r="E269" s="80">
        <v>7</v>
      </c>
      <c r="F269" s="80">
        <v>6</v>
      </c>
      <c r="G269" s="80">
        <v>9</v>
      </c>
      <c r="H269" s="80" t="s">
        <v>506</v>
      </c>
      <c r="I269" s="80">
        <v>7</v>
      </c>
      <c r="J269" s="80"/>
      <c r="K269" s="80"/>
      <c r="L269" s="80"/>
      <c r="M269" s="1" t="s">
        <v>507</v>
      </c>
      <c r="N269" s="1">
        <v>35</v>
      </c>
      <c r="O269" s="1">
        <v>3</v>
      </c>
      <c r="P269" s="13">
        <v>44795</v>
      </c>
      <c r="Q269" s="1" t="s">
        <v>133</v>
      </c>
      <c r="R269" s="1" t="s">
        <v>64</v>
      </c>
      <c r="S269" s="1">
        <v>1</v>
      </c>
      <c r="T269" s="1"/>
      <c r="U269" s="1" t="s">
        <v>18</v>
      </c>
      <c r="V269" s="76">
        <v>6.75</v>
      </c>
      <c r="W269" s="76">
        <v>0.82915619758884984</v>
      </c>
      <c r="X269" s="77">
        <v>0.30151134457776368</v>
      </c>
      <c r="Y269" s="77">
        <v>3</v>
      </c>
      <c r="Z269" s="76">
        <v>5.5</v>
      </c>
      <c r="AA269" s="76">
        <v>0.86602540378443871</v>
      </c>
      <c r="AB269" s="77">
        <v>0.57735026918962573</v>
      </c>
      <c r="AC269" s="77">
        <v>3</v>
      </c>
      <c r="AD269" s="76">
        <v>8.75</v>
      </c>
      <c r="AE269" s="76">
        <v>0.43301270189221946</v>
      </c>
      <c r="AF269" s="77">
        <v>0.57735026918962562</v>
      </c>
      <c r="AG269" s="77">
        <v>3</v>
      </c>
      <c r="AH269" s="76">
        <v>6</v>
      </c>
      <c r="AI269" s="76">
        <v>0.70710678118654746</v>
      </c>
      <c r="AJ269" s="77">
        <v>1.4142135623730951</v>
      </c>
      <c r="AK269" s="77">
        <v>4</v>
      </c>
      <c r="AL269" s="76"/>
      <c r="AM269" s="76"/>
      <c r="AN269" s="77"/>
      <c r="AO269" s="77"/>
      <c r="AP269" s="76"/>
      <c r="AQ269" s="76"/>
      <c r="AR269" s="77"/>
      <c r="AS269" s="77"/>
      <c r="AT269" s="78">
        <v>0.75</v>
      </c>
    </row>
    <row r="270" spans="1:46" ht="12.5" x14ac:dyDescent="0.25">
      <c r="A270" s="79">
        <v>44795.584419027778</v>
      </c>
      <c r="B270" s="80" t="s">
        <v>21</v>
      </c>
      <c r="C270" s="80" t="str">
        <f>INDEX(TBL_Name,MATCH(Table2[[#This Row],[Athlete Name]],listNames,0),2)</f>
        <v>Athlete 13</v>
      </c>
      <c r="D270" s="80" t="s">
        <v>130</v>
      </c>
      <c r="E270" s="80">
        <v>5</v>
      </c>
      <c r="F270" s="80">
        <v>9</v>
      </c>
      <c r="G270" s="80">
        <v>9</v>
      </c>
      <c r="H270" s="80" t="s">
        <v>508</v>
      </c>
      <c r="I270" s="80">
        <v>5</v>
      </c>
      <c r="J270" s="80"/>
      <c r="K270" s="80"/>
      <c r="L270" s="80"/>
      <c r="M270" s="1" t="s">
        <v>509</v>
      </c>
      <c r="N270" s="1">
        <v>35</v>
      </c>
      <c r="O270" s="1">
        <v>3</v>
      </c>
      <c r="P270" s="13">
        <v>44795</v>
      </c>
      <c r="Q270" s="1" t="s">
        <v>133</v>
      </c>
      <c r="R270" s="1" t="s">
        <v>64</v>
      </c>
      <c r="S270" s="1">
        <v>1</v>
      </c>
      <c r="T270" s="1"/>
      <c r="U270" s="1" t="s">
        <v>18</v>
      </c>
      <c r="V270" s="76">
        <v>5.7142857142857144</v>
      </c>
      <c r="W270" s="76">
        <v>1.1605769149479945</v>
      </c>
      <c r="X270" s="77">
        <v>-0.6154574548966637</v>
      </c>
      <c r="Y270" s="77">
        <v>2</v>
      </c>
      <c r="Z270" s="76">
        <v>7.5714285714285712</v>
      </c>
      <c r="AA270" s="76">
        <v>1.9897697538834456</v>
      </c>
      <c r="AB270" s="77">
        <v>0.71795815861773826</v>
      </c>
      <c r="AC270" s="77">
        <v>3</v>
      </c>
      <c r="AD270" s="76">
        <v>9.1428571428571423</v>
      </c>
      <c r="AE270" s="76">
        <v>0.34992710611188244</v>
      </c>
      <c r="AF270" s="77">
        <v>-0.40824829046386174</v>
      </c>
      <c r="AG270" s="77">
        <v>2</v>
      </c>
      <c r="AH270" s="76">
        <v>4.5714285714285712</v>
      </c>
      <c r="AI270" s="76">
        <v>0.72843135908468348</v>
      </c>
      <c r="AJ270" s="77">
        <v>0.58834840541455247</v>
      </c>
      <c r="AK270" s="77">
        <v>3</v>
      </c>
      <c r="AL270" s="76"/>
      <c r="AM270" s="76"/>
      <c r="AN270" s="77"/>
      <c r="AO270" s="77"/>
      <c r="AP270" s="76"/>
      <c r="AQ270" s="76"/>
      <c r="AR270" s="77"/>
      <c r="AS270" s="77"/>
      <c r="AT270" s="78">
        <v>0.75</v>
      </c>
    </row>
    <row r="271" spans="1:46" ht="12.5" x14ac:dyDescent="0.25">
      <c r="A271" s="79">
        <v>44795.584546388884</v>
      </c>
      <c r="B271" s="80" t="s">
        <v>225</v>
      </c>
      <c r="C271" s="80" t="str">
        <f>INDEX(TBL_Name,MATCH(Table2[[#This Row],[Athlete Name]],listNames,0),2)</f>
        <v>Athlete 32</v>
      </c>
      <c r="D271" s="80" t="s">
        <v>130</v>
      </c>
      <c r="E271" s="80">
        <v>10</v>
      </c>
      <c r="F271" s="80">
        <v>10</v>
      </c>
      <c r="G271" s="80">
        <v>8</v>
      </c>
      <c r="H271" s="80" t="s">
        <v>231</v>
      </c>
      <c r="I271" s="80">
        <v>8</v>
      </c>
      <c r="J271" s="80"/>
      <c r="K271" s="80"/>
      <c r="L271" s="80"/>
      <c r="M271" s="1" t="s">
        <v>510</v>
      </c>
      <c r="N271" s="1">
        <v>35</v>
      </c>
      <c r="O271" s="1">
        <v>3</v>
      </c>
      <c r="P271" s="13">
        <v>44795</v>
      </c>
      <c r="Q271" s="1" t="s">
        <v>133</v>
      </c>
      <c r="R271" s="1" t="s">
        <v>64</v>
      </c>
      <c r="S271" s="1">
        <v>1</v>
      </c>
      <c r="T271" s="1"/>
      <c r="U271" s="1" t="s">
        <v>5</v>
      </c>
      <c r="V271" s="76">
        <v>10</v>
      </c>
      <c r="W271" s="76">
        <v>0</v>
      </c>
      <c r="X271" s="77">
        <v>0</v>
      </c>
      <c r="Y271" s="77">
        <v>3</v>
      </c>
      <c r="Z271" s="76">
        <v>10</v>
      </c>
      <c r="AA271" s="76">
        <v>0</v>
      </c>
      <c r="AB271" s="77">
        <v>0</v>
      </c>
      <c r="AC271" s="77">
        <v>3</v>
      </c>
      <c r="AD271" s="76">
        <v>7.4</v>
      </c>
      <c r="AE271" s="76">
        <v>0.48989794855663554</v>
      </c>
      <c r="AF271" s="77">
        <v>1.2247448713915885</v>
      </c>
      <c r="AG271" s="77">
        <v>4</v>
      </c>
      <c r="AH271" s="76">
        <v>9.1999999999999993</v>
      </c>
      <c r="AI271" s="76">
        <v>0.74833147735478811</v>
      </c>
      <c r="AJ271" s="77">
        <v>-1.6035674514745457</v>
      </c>
      <c r="AK271" s="77">
        <v>1</v>
      </c>
      <c r="AL271" s="76"/>
      <c r="AM271" s="76"/>
      <c r="AN271" s="77"/>
      <c r="AO271" s="77"/>
      <c r="AP271" s="76"/>
      <c r="AQ271" s="76"/>
      <c r="AR271" s="77"/>
      <c r="AS271" s="77"/>
      <c r="AT271" s="78">
        <v>0.75</v>
      </c>
    </row>
    <row r="272" spans="1:46" ht="12.5" x14ac:dyDescent="0.25">
      <c r="A272" s="79">
        <v>44795.611345636571</v>
      </c>
      <c r="B272" s="80" t="s">
        <v>19</v>
      </c>
      <c r="C272" s="80" t="str">
        <f>INDEX(TBL_Name,MATCH(Table2[[#This Row],[Athlete Name]],listNames,0),2)</f>
        <v>Athlete 11</v>
      </c>
      <c r="D272" s="80" t="s">
        <v>130</v>
      </c>
      <c r="E272" s="80">
        <v>8</v>
      </c>
      <c r="F272" s="80">
        <v>7</v>
      </c>
      <c r="G272" s="80">
        <v>7</v>
      </c>
      <c r="H272" s="80" t="s">
        <v>511</v>
      </c>
      <c r="I272" s="80">
        <v>2</v>
      </c>
      <c r="J272" s="80"/>
      <c r="K272" s="80"/>
      <c r="L272" s="80"/>
      <c r="M272" s="1" t="s">
        <v>512</v>
      </c>
      <c r="N272" s="1">
        <v>35</v>
      </c>
      <c r="O272" s="1">
        <v>3</v>
      </c>
      <c r="P272" s="13">
        <v>44795</v>
      </c>
      <c r="Q272" s="1" t="s">
        <v>133</v>
      </c>
      <c r="R272" s="1" t="s">
        <v>64</v>
      </c>
      <c r="S272" s="1">
        <v>1</v>
      </c>
      <c r="T272" s="1"/>
      <c r="U272" s="1" t="s">
        <v>18</v>
      </c>
      <c r="V272" s="76">
        <v>5.166666666666667</v>
      </c>
      <c r="W272" s="76">
        <v>1.4624940645653539</v>
      </c>
      <c r="X272" s="77">
        <v>1.9373297998138446</v>
      </c>
      <c r="Y272" s="77">
        <v>4</v>
      </c>
      <c r="Z272" s="76">
        <v>7</v>
      </c>
      <c r="AA272" s="76">
        <v>0.81649658092772603</v>
      </c>
      <c r="AB272" s="77">
        <v>0</v>
      </c>
      <c r="AC272" s="77">
        <v>3</v>
      </c>
      <c r="AD272" s="76">
        <v>7</v>
      </c>
      <c r="AE272" s="76">
        <v>0.81649658092772603</v>
      </c>
      <c r="AF272" s="77">
        <v>0</v>
      </c>
      <c r="AG272" s="77">
        <v>3</v>
      </c>
      <c r="AH272" s="76">
        <v>4.166666666666667</v>
      </c>
      <c r="AI272" s="76">
        <v>1.0671873729054746</v>
      </c>
      <c r="AJ272" s="77">
        <v>-2.0302589045518795</v>
      </c>
      <c r="AK272" s="77">
        <v>1</v>
      </c>
      <c r="AL272" s="76"/>
      <c r="AM272" s="76"/>
      <c r="AN272" s="77"/>
      <c r="AO272" s="77"/>
      <c r="AP272" s="76"/>
      <c r="AQ272" s="76"/>
      <c r="AR272" s="77"/>
      <c r="AS272" s="77"/>
      <c r="AT272" s="78">
        <v>0.8125</v>
      </c>
    </row>
    <row r="273" spans="1:46" ht="12.5" x14ac:dyDescent="0.25">
      <c r="A273" s="79">
        <v>44795.897958969908</v>
      </c>
      <c r="B273" s="80" t="s">
        <v>136</v>
      </c>
      <c r="C273" s="80" t="str">
        <f>INDEX(TBL_Name,MATCH(Table2[[#This Row],[Athlete Name]],listNames,0),2)</f>
        <v>Athlete 20</v>
      </c>
      <c r="D273" s="80" t="s">
        <v>130</v>
      </c>
      <c r="E273" s="80">
        <v>10</v>
      </c>
      <c r="F273" s="80">
        <v>7</v>
      </c>
      <c r="G273" s="80">
        <v>8</v>
      </c>
      <c r="H273" s="80" t="s">
        <v>191</v>
      </c>
      <c r="I273" s="80">
        <v>4</v>
      </c>
      <c r="J273" s="80"/>
      <c r="K273" s="80"/>
      <c r="L273" s="80"/>
      <c r="M273" s="1" t="s">
        <v>513</v>
      </c>
      <c r="N273" s="1">
        <v>35</v>
      </c>
      <c r="O273" s="1">
        <v>3</v>
      </c>
      <c r="P273" s="13">
        <v>44795</v>
      </c>
      <c r="Q273" s="1" t="s">
        <v>133</v>
      </c>
      <c r="R273" s="1" t="s">
        <v>64</v>
      </c>
      <c r="S273" s="1">
        <v>1</v>
      </c>
      <c r="T273" s="1"/>
      <c r="U273" s="1" t="s">
        <v>18</v>
      </c>
      <c r="V273" s="76">
        <v>8.75</v>
      </c>
      <c r="W273" s="76">
        <v>0.82915619758884984</v>
      </c>
      <c r="X273" s="77">
        <v>1.5075567228888183</v>
      </c>
      <c r="Y273" s="77">
        <v>4</v>
      </c>
      <c r="Z273" s="76">
        <v>7.25</v>
      </c>
      <c r="AA273" s="76">
        <v>1.0897247358851683</v>
      </c>
      <c r="AB273" s="77">
        <v>-0.2294157338705618</v>
      </c>
      <c r="AC273" s="77">
        <v>2</v>
      </c>
      <c r="AD273" s="76">
        <v>8</v>
      </c>
      <c r="AE273" s="76">
        <v>1.2247448713915889</v>
      </c>
      <c r="AF273" s="77">
        <v>0</v>
      </c>
      <c r="AG273" s="77">
        <v>3</v>
      </c>
      <c r="AH273" s="76">
        <v>6</v>
      </c>
      <c r="AI273" s="76">
        <v>1.5811388300841898</v>
      </c>
      <c r="AJ273" s="77">
        <v>-1.2649110640673518</v>
      </c>
      <c r="AK273" s="77">
        <v>1</v>
      </c>
      <c r="AL273" s="76"/>
      <c r="AM273" s="76"/>
      <c r="AN273" s="77"/>
      <c r="AO273" s="77"/>
      <c r="AP273" s="76"/>
      <c r="AQ273" s="76"/>
      <c r="AR273" s="77"/>
      <c r="AS273" s="77"/>
      <c r="AT273" s="78">
        <v>0.5</v>
      </c>
    </row>
    <row r="274" spans="1:46" ht="12.5" x14ac:dyDescent="0.25">
      <c r="A274" s="79">
        <v>44796.272195648147</v>
      </c>
      <c r="B274" s="80" t="s">
        <v>148</v>
      </c>
      <c r="C274" s="80" t="str">
        <f>INDEX(TBL_Name,MATCH(Table2[[#This Row],[Athlete Name]],listNames,0),2)</f>
        <v>Athlete 22</v>
      </c>
      <c r="D274" s="80" t="s">
        <v>130</v>
      </c>
      <c r="E274" s="80">
        <v>10</v>
      </c>
      <c r="F274" s="80">
        <v>9</v>
      </c>
      <c r="G274" s="80">
        <v>8</v>
      </c>
      <c r="H274" s="80"/>
      <c r="I274" s="80">
        <v>10</v>
      </c>
      <c r="J274" s="80"/>
      <c r="K274" s="80"/>
      <c r="L274" s="80"/>
      <c r="M274" s="1" t="s">
        <v>514</v>
      </c>
      <c r="N274" s="1">
        <v>35</v>
      </c>
      <c r="O274" s="1">
        <v>3</v>
      </c>
      <c r="P274" s="13">
        <v>44796</v>
      </c>
      <c r="Q274" s="1" t="s">
        <v>133</v>
      </c>
      <c r="R274" s="1" t="s">
        <v>64</v>
      </c>
      <c r="S274" s="1">
        <v>1</v>
      </c>
      <c r="T274" s="1"/>
      <c r="U274" s="1" t="s">
        <v>11</v>
      </c>
      <c r="V274" s="76">
        <v>9.6</v>
      </c>
      <c r="W274" s="76">
        <v>0.8</v>
      </c>
      <c r="X274" s="77">
        <v>0.50000000000000044</v>
      </c>
      <c r="Y274" s="77">
        <v>3</v>
      </c>
      <c r="Z274" s="76">
        <v>7.6</v>
      </c>
      <c r="AA274" s="76">
        <v>1.8547236990991407</v>
      </c>
      <c r="AB274" s="77">
        <v>0.75482941242406909</v>
      </c>
      <c r="AC274" s="77">
        <v>3</v>
      </c>
      <c r="AD274" s="76">
        <v>8.6</v>
      </c>
      <c r="AE274" s="76">
        <v>1.4966629547095762</v>
      </c>
      <c r="AF274" s="77">
        <v>-0.40089186286863643</v>
      </c>
      <c r="AG274" s="77">
        <v>2</v>
      </c>
      <c r="AH274" s="76">
        <v>9.1999999999999993</v>
      </c>
      <c r="AI274" s="76">
        <v>0.74833147735478844</v>
      </c>
      <c r="AJ274" s="77">
        <v>1.0690449676496983</v>
      </c>
      <c r="AK274" s="77">
        <v>4</v>
      </c>
      <c r="AL274" s="76"/>
      <c r="AM274" s="76"/>
      <c r="AN274" s="77"/>
      <c r="AO274" s="77"/>
      <c r="AP274" s="76"/>
      <c r="AQ274" s="76"/>
      <c r="AR274" s="77"/>
      <c r="AS274" s="77"/>
      <c r="AT274" s="78">
        <v>0.5625</v>
      </c>
    </row>
    <row r="275" spans="1:46" ht="12.5" x14ac:dyDescent="0.25">
      <c r="A275" s="79">
        <v>44796.327946319449</v>
      </c>
      <c r="B275" s="80" t="s">
        <v>185</v>
      </c>
      <c r="C275" s="80" t="str">
        <f>INDEX(TBL_Name,MATCH(Table2[[#This Row],[Athlete Name]],listNames,0),2)</f>
        <v>Athlete 30</v>
      </c>
      <c r="D275" s="80" t="s">
        <v>130</v>
      </c>
      <c r="E275" s="80">
        <v>10</v>
      </c>
      <c r="F275" s="80">
        <v>3</v>
      </c>
      <c r="G275" s="80">
        <v>6</v>
      </c>
      <c r="H275" s="80" t="s">
        <v>186</v>
      </c>
      <c r="I275" s="80">
        <v>6</v>
      </c>
      <c r="J275" s="80"/>
      <c r="K275" s="80"/>
      <c r="L275" s="80"/>
      <c r="M275" s="1" t="s">
        <v>515</v>
      </c>
      <c r="N275" s="1">
        <v>35</v>
      </c>
      <c r="O275" s="1">
        <v>3</v>
      </c>
      <c r="P275" s="13">
        <v>44796</v>
      </c>
      <c r="Q275" s="1" t="s">
        <v>133</v>
      </c>
      <c r="R275" s="1" t="s">
        <v>64</v>
      </c>
      <c r="S275" s="1">
        <v>1</v>
      </c>
      <c r="T275" s="1"/>
      <c r="U275" s="1" t="s">
        <v>26</v>
      </c>
      <c r="V275" s="76">
        <v>9.5</v>
      </c>
      <c r="W275" s="76">
        <v>0.76376261582597327</v>
      </c>
      <c r="X275" s="77">
        <v>0.6546536707079772</v>
      </c>
      <c r="Y275" s="77">
        <v>3</v>
      </c>
      <c r="Z275" s="76">
        <v>4.833333333333333</v>
      </c>
      <c r="AA275" s="76">
        <v>1.0671873729054751</v>
      </c>
      <c r="AB275" s="77">
        <v>-1.717911380774666</v>
      </c>
      <c r="AC275" s="77">
        <v>1</v>
      </c>
      <c r="AD275" s="76">
        <v>7.333333333333333</v>
      </c>
      <c r="AE275" s="76">
        <v>1.247219128924647</v>
      </c>
      <c r="AF275" s="77">
        <v>-1.0690449676496974</v>
      </c>
      <c r="AG275" s="77">
        <v>1</v>
      </c>
      <c r="AH275" s="76">
        <v>5.5</v>
      </c>
      <c r="AI275" s="76">
        <v>0.76376261582597327</v>
      </c>
      <c r="AJ275" s="77">
        <v>0.6546536707079772</v>
      </c>
      <c r="AK275" s="77">
        <v>3</v>
      </c>
      <c r="AL275" s="76"/>
      <c r="AM275" s="76"/>
      <c r="AN275" s="77"/>
      <c r="AO275" s="77"/>
      <c r="AP275" s="76"/>
      <c r="AQ275" s="76"/>
      <c r="AR275" s="77"/>
      <c r="AS275" s="77"/>
      <c r="AT275" s="78">
        <v>0.375</v>
      </c>
    </row>
    <row r="276" spans="1:46" ht="12.5" x14ac:dyDescent="0.25">
      <c r="A276" s="79">
        <v>44796.336142905093</v>
      </c>
      <c r="B276" s="80" t="s">
        <v>196</v>
      </c>
      <c r="C276" s="80" t="str">
        <f>INDEX(TBL_Name,MATCH(Table2[[#This Row],[Athlete Name]],listNames,0),2)</f>
        <v>Athlete 31</v>
      </c>
      <c r="D276" s="80" t="s">
        <v>130</v>
      </c>
      <c r="E276" s="80">
        <v>7</v>
      </c>
      <c r="F276" s="80">
        <v>9</v>
      </c>
      <c r="G276" s="80">
        <v>9</v>
      </c>
      <c r="H276" s="80" t="s">
        <v>66</v>
      </c>
      <c r="I276" s="80">
        <v>9</v>
      </c>
      <c r="J276" s="80"/>
      <c r="K276" s="80"/>
      <c r="L276" s="80"/>
      <c r="M276" s="1" t="s">
        <v>516</v>
      </c>
      <c r="N276" s="1">
        <v>35</v>
      </c>
      <c r="O276" s="1">
        <v>3</v>
      </c>
      <c r="P276" s="13">
        <v>44796</v>
      </c>
      <c r="Q276" s="1" t="s">
        <v>133</v>
      </c>
      <c r="R276" s="1" t="s">
        <v>64</v>
      </c>
      <c r="S276" s="1">
        <v>1</v>
      </c>
      <c r="T276" s="1"/>
      <c r="U276" s="1" t="s">
        <v>28</v>
      </c>
      <c r="V276" s="76">
        <v>6.8571428571428568</v>
      </c>
      <c r="W276" s="76">
        <v>0.98974331861078702</v>
      </c>
      <c r="X276" s="77">
        <v>0.14433756729740682</v>
      </c>
      <c r="Y276" s="77">
        <v>3</v>
      </c>
      <c r="Z276" s="76">
        <v>8.4285714285714288</v>
      </c>
      <c r="AA276" s="76">
        <v>0.72843135908468348</v>
      </c>
      <c r="AB276" s="77">
        <v>0.78446454055273585</v>
      </c>
      <c r="AC276" s="77">
        <v>3</v>
      </c>
      <c r="AD276" s="76">
        <v>8.5</v>
      </c>
      <c r="AE276" s="76">
        <v>0.53452248382484846</v>
      </c>
      <c r="AF276" s="77">
        <v>0.93541434669348589</v>
      </c>
      <c r="AG276" s="77">
        <v>3</v>
      </c>
      <c r="AH276" s="76">
        <v>7.8571428571428568</v>
      </c>
      <c r="AI276" s="76">
        <v>0.83299312783504287</v>
      </c>
      <c r="AJ276" s="77">
        <v>1.3719886811400712</v>
      </c>
      <c r="AK276" s="77">
        <v>4</v>
      </c>
      <c r="AL276" s="76"/>
      <c r="AM276" s="76"/>
      <c r="AN276" s="77"/>
      <c r="AO276" s="77"/>
      <c r="AP276" s="76"/>
      <c r="AQ276" s="76"/>
      <c r="AR276" s="77"/>
      <c r="AS276" s="77"/>
      <c r="AT276" s="78">
        <v>0.9375</v>
      </c>
    </row>
    <row r="277" spans="1:46" ht="12.5" x14ac:dyDescent="0.25">
      <c r="A277" s="79">
        <v>44796.371312928241</v>
      </c>
      <c r="B277" s="80" t="s">
        <v>171</v>
      </c>
      <c r="C277" s="80" t="str">
        <f>INDEX(TBL_Name,MATCH(Table2[[#This Row],[Athlete Name]],listNames,0),2)</f>
        <v>Athlete 27</v>
      </c>
      <c r="D277" s="80" t="s">
        <v>130</v>
      </c>
      <c r="E277" s="80">
        <v>10</v>
      </c>
      <c r="F277" s="80">
        <v>8</v>
      </c>
      <c r="G277" s="80">
        <v>8</v>
      </c>
      <c r="H277" s="80" t="s">
        <v>517</v>
      </c>
      <c r="I277" s="80">
        <v>7</v>
      </c>
      <c r="J277" s="80"/>
      <c r="K277" s="80"/>
      <c r="L277" s="80"/>
      <c r="M277" s="1" t="s">
        <v>518</v>
      </c>
      <c r="N277" s="1">
        <v>35</v>
      </c>
      <c r="O277" s="1">
        <v>3</v>
      </c>
      <c r="P277" s="13">
        <v>44796</v>
      </c>
      <c r="Q277" s="1" t="s">
        <v>133</v>
      </c>
      <c r="R277" s="1" t="s">
        <v>64</v>
      </c>
      <c r="S277" s="1">
        <v>1</v>
      </c>
      <c r="T277" s="1"/>
      <c r="U277" s="1" t="s">
        <v>8</v>
      </c>
      <c r="V277" s="76">
        <v>9.1999999999999993</v>
      </c>
      <c r="W277" s="76">
        <v>1.6</v>
      </c>
      <c r="X277" s="77">
        <v>0.50000000000000044</v>
      </c>
      <c r="Y277" s="77">
        <v>3</v>
      </c>
      <c r="Z277" s="76">
        <v>8.6</v>
      </c>
      <c r="AA277" s="76">
        <v>0.48989794855663565</v>
      </c>
      <c r="AB277" s="77">
        <v>-1.2247448713915883</v>
      </c>
      <c r="AC277" s="77">
        <v>1</v>
      </c>
      <c r="AD277" s="76">
        <v>8</v>
      </c>
      <c r="AE277" s="76">
        <v>0</v>
      </c>
      <c r="AF277" s="77">
        <v>0</v>
      </c>
      <c r="AG277" s="77">
        <v>3</v>
      </c>
      <c r="AH277" s="76">
        <v>7.8</v>
      </c>
      <c r="AI277" s="76">
        <v>1.9390719429665317</v>
      </c>
      <c r="AJ277" s="77">
        <v>-0.41256849850351723</v>
      </c>
      <c r="AK277" s="77">
        <v>2</v>
      </c>
      <c r="AL277" s="76"/>
      <c r="AM277" s="76"/>
      <c r="AN277" s="77"/>
      <c r="AO277" s="77"/>
      <c r="AP277" s="76"/>
      <c r="AQ277" s="76"/>
      <c r="AR277" s="77"/>
      <c r="AS277" s="77"/>
      <c r="AT277" s="78">
        <v>0.5</v>
      </c>
    </row>
    <row r="278" spans="1:46" ht="12.5" x14ac:dyDescent="0.25">
      <c r="A278" s="79">
        <v>44796.387331851853</v>
      </c>
      <c r="B278" s="80" t="s">
        <v>19</v>
      </c>
      <c r="C278" s="80" t="str">
        <f>INDEX(TBL_Name,MATCH(Table2[[#This Row],[Athlete Name]],listNames,0),2)</f>
        <v>Athlete 11</v>
      </c>
      <c r="D278" s="80" t="s">
        <v>130</v>
      </c>
      <c r="E278" s="80">
        <v>6</v>
      </c>
      <c r="F278" s="80">
        <v>9</v>
      </c>
      <c r="G278" s="80">
        <v>9</v>
      </c>
      <c r="H278" s="80" t="s">
        <v>511</v>
      </c>
      <c r="I278" s="80">
        <v>3</v>
      </c>
      <c r="J278" s="80"/>
      <c r="K278" s="80"/>
      <c r="L278" s="80"/>
      <c r="M278" s="1" t="s">
        <v>519</v>
      </c>
      <c r="N278" s="1">
        <v>35</v>
      </c>
      <c r="O278" s="1">
        <v>3</v>
      </c>
      <c r="P278" s="13">
        <v>44796</v>
      </c>
      <c r="Q278" s="1" t="s">
        <v>133</v>
      </c>
      <c r="R278" s="1" t="s">
        <v>64</v>
      </c>
      <c r="S278" s="1">
        <v>1</v>
      </c>
      <c r="T278" s="1"/>
      <c r="U278" s="1" t="s">
        <v>18</v>
      </c>
      <c r="V278" s="76">
        <v>5.166666666666667</v>
      </c>
      <c r="W278" s="76">
        <v>1.4624940645653537</v>
      </c>
      <c r="X278" s="77">
        <v>0.56980288229818954</v>
      </c>
      <c r="Y278" s="77">
        <v>3</v>
      </c>
      <c r="Z278" s="76">
        <v>7.5</v>
      </c>
      <c r="AA278" s="76">
        <v>0.9574271077563381</v>
      </c>
      <c r="AB278" s="77">
        <v>1.5666989036012806</v>
      </c>
      <c r="AC278" s="77">
        <v>4</v>
      </c>
      <c r="AD278" s="76">
        <v>7.5</v>
      </c>
      <c r="AE278" s="76">
        <v>0.9574271077563381</v>
      </c>
      <c r="AF278" s="77">
        <v>1.5666989036012806</v>
      </c>
      <c r="AG278" s="77">
        <v>4</v>
      </c>
      <c r="AH278" s="76">
        <v>4</v>
      </c>
      <c r="AI278" s="76">
        <v>1.1547005383792515</v>
      </c>
      <c r="AJ278" s="77">
        <v>-0.86602540378443871</v>
      </c>
      <c r="AK278" s="77">
        <v>2</v>
      </c>
      <c r="AL278" s="76"/>
      <c r="AM278" s="76"/>
      <c r="AN278" s="77"/>
      <c r="AO278" s="77"/>
      <c r="AP278" s="76"/>
      <c r="AQ278" s="76"/>
      <c r="AR278" s="77"/>
      <c r="AS278" s="77"/>
      <c r="AT278" s="78">
        <v>0.75</v>
      </c>
    </row>
    <row r="279" spans="1:46" ht="12.5" x14ac:dyDescent="0.25">
      <c r="A279" s="79">
        <v>44796.406958680556</v>
      </c>
      <c r="B279" s="80" t="s">
        <v>6</v>
      </c>
      <c r="C279" s="80" t="str">
        <f>INDEX(TBL_Name,MATCH(Table2[[#This Row],[Athlete Name]],listNames,0),2)</f>
        <v>Athlete 2</v>
      </c>
      <c r="D279" s="80" t="s">
        <v>130</v>
      </c>
      <c r="E279" s="80">
        <v>10</v>
      </c>
      <c r="F279" s="80">
        <v>8</v>
      </c>
      <c r="G279" s="80">
        <v>9</v>
      </c>
      <c r="H279" s="80" t="s">
        <v>231</v>
      </c>
      <c r="I279" s="80">
        <v>8</v>
      </c>
      <c r="J279" s="80"/>
      <c r="K279" s="80"/>
      <c r="L279" s="80"/>
      <c r="M279" s="1" t="s">
        <v>520</v>
      </c>
      <c r="N279" s="1">
        <v>35</v>
      </c>
      <c r="O279" s="1">
        <v>3</v>
      </c>
      <c r="P279" s="13">
        <v>44796</v>
      </c>
      <c r="Q279" s="1" t="s">
        <v>133</v>
      </c>
      <c r="R279" s="1" t="s">
        <v>64</v>
      </c>
      <c r="S279" s="1">
        <v>1</v>
      </c>
      <c r="T279" s="1"/>
      <c r="U279" s="1" t="s">
        <v>5</v>
      </c>
      <c r="V279" s="76">
        <v>9.6666666666666661</v>
      </c>
      <c r="W279" s="76">
        <v>0.47140452079103162</v>
      </c>
      <c r="X279" s="77">
        <v>0.70710678118654891</v>
      </c>
      <c r="Y279" s="77">
        <v>3</v>
      </c>
      <c r="Z279" s="76">
        <v>6.166666666666667</v>
      </c>
      <c r="AA279" s="76">
        <v>1.5723301886761007</v>
      </c>
      <c r="AB279" s="77">
        <v>1.1659976680069957</v>
      </c>
      <c r="AC279" s="77">
        <v>4</v>
      </c>
      <c r="AD279" s="76">
        <v>9</v>
      </c>
      <c r="AE279" s="76">
        <v>0.57735026918962573</v>
      </c>
      <c r="AF279" s="77">
        <v>0</v>
      </c>
      <c r="AG279" s="77">
        <v>3</v>
      </c>
      <c r="AH279" s="76">
        <v>6.333333333333333</v>
      </c>
      <c r="AI279" s="76">
        <v>0.94280904158206336</v>
      </c>
      <c r="AJ279" s="77">
        <v>1.7677669529663691</v>
      </c>
      <c r="AK279" s="77">
        <v>4</v>
      </c>
      <c r="AL279" s="76"/>
      <c r="AM279" s="76"/>
      <c r="AN279" s="77"/>
      <c r="AO279" s="77"/>
      <c r="AP279" s="76"/>
      <c r="AQ279" s="76"/>
      <c r="AR279" s="77"/>
      <c r="AS279" s="77"/>
      <c r="AT279" s="78">
        <v>0.375</v>
      </c>
    </row>
    <row r="280" spans="1:46" ht="12.5" x14ac:dyDescent="0.25">
      <c r="A280" s="79">
        <v>44796.412363842595</v>
      </c>
      <c r="B280" s="80" t="s">
        <v>21</v>
      </c>
      <c r="C280" s="80" t="str">
        <f>INDEX(TBL_Name,MATCH(Table2[[#This Row],[Athlete Name]],listNames,0),2)</f>
        <v>Athlete 13</v>
      </c>
      <c r="D280" s="80" t="s">
        <v>130</v>
      </c>
      <c r="E280" s="80">
        <v>6</v>
      </c>
      <c r="F280" s="80">
        <v>7</v>
      </c>
      <c r="G280" s="80">
        <v>9</v>
      </c>
      <c r="H280" s="80" t="s">
        <v>521</v>
      </c>
      <c r="I280" s="80">
        <v>7</v>
      </c>
      <c r="J280" s="80"/>
      <c r="K280" s="80"/>
      <c r="L280" s="80"/>
      <c r="M280" s="1" t="s">
        <v>522</v>
      </c>
      <c r="N280" s="1">
        <v>35</v>
      </c>
      <c r="O280" s="1">
        <v>3</v>
      </c>
      <c r="P280" s="13">
        <v>44796</v>
      </c>
      <c r="Q280" s="1" t="s">
        <v>133</v>
      </c>
      <c r="R280" s="1" t="s">
        <v>64</v>
      </c>
      <c r="S280" s="1">
        <v>1</v>
      </c>
      <c r="T280" s="1"/>
      <c r="U280" s="1" t="s">
        <v>18</v>
      </c>
      <c r="V280" s="76">
        <v>6</v>
      </c>
      <c r="W280" s="76">
        <v>0.92582009977255153</v>
      </c>
      <c r="X280" s="77">
        <v>0</v>
      </c>
      <c r="Y280" s="77">
        <v>3</v>
      </c>
      <c r="Z280" s="76">
        <v>7.2857142857142856</v>
      </c>
      <c r="AA280" s="76">
        <v>1.905952009160905</v>
      </c>
      <c r="AB280" s="77">
        <v>-0.1499063377991722</v>
      </c>
      <c r="AC280" s="77">
        <v>2</v>
      </c>
      <c r="AD280" s="76">
        <v>9.1428571428571423</v>
      </c>
      <c r="AE280" s="76">
        <v>0.34992710611188238</v>
      </c>
      <c r="AF280" s="77">
        <v>-0.4082482904638618</v>
      </c>
      <c r="AG280" s="77">
        <v>2</v>
      </c>
      <c r="AH280" s="76">
        <v>5</v>
      </c>
      <c r="AI280" s="76">
        <v>1.0690449676496978</v>
      </c>
      <c r="AJ280" s="77">
        <v>1.8708286933869702</v>
      </c>
      <c r="AK280" s="77">
        <v>4</v>
      </c>
      <c r="AL280" s="76"/>
      <c r="AM280" s="76"/>
      <c r="AN280" s="77"/>
      <c r="AO280" s="77"/>
      <c r="AP280" s="76"/>
      <c r="AQ280" s="76"/>
      <c r="AR280" s="77"/>
      <c r="AS280" s="77"/>
      <c r="AT280" s="78">
        <v>0.9375</v>
      </c>
    </row>
    <row r="281" spans="1:46" ht="12.5" x14ac:dyDescent="0.25">
      <c r="A281" s="79">
        <v>44796.438377743056</v>
      </c>
      <c r="B281" s="80" t="s">
        <v>136</v>
      </c>
      <c r="C281" s="80" t="str">
        <f>INDEX(TBL_Name,MATCH(Table2[[#This Row],[Athlete Name]],listNames,0),2)</f>
        <v>Athlete 20</v>
      </c>
      <c r="D281" s="80" t="s">
        <v>130</v>
      </c>
      <c r="E281" s="80">
        <v>9</v>
      </c>
      <c r="F281" s="80">
        <v>9</v>
      </c>
      <c r="G281" s="80">
        <v>8.5</v>
      </c>
      <c r="H281" s="80" t="s">
        <v>523</v>
      </c>
      <c r="I281" s="80">
        <v>8</v>
      </c>
      <c r="J281" s="80"/>
      <c r="K281" s="80"/>
      <c r="L281" s="80"/>
      <c r="M281" s="1" t="s">
        <v>524</v>
      </c>
      <c r="N281" s="1">
        <v>35</v>
      </c>
      <c r="O281" s="1">
        <v>3</v>
      </c>
      <c r="P281" s="13">
        <v>44796</v>
      </c>
      <c r="Q281" s="1" t="s">
        <v>133</v>
      </c>
      <c r="R281" s="1" t="s">
        <v>64</v>
      </c>
      <c r="S281" s="1">
        <v>1</v>
      </c>
      <c r="T281" s="1"/>
      <c r="U281" s="1" t="s">
        <v>18</v>
      </c>
      <c r="V281" s="76">
        <v>8.8000000000000007</v>
      </c>
      <c r="W281" s="76">
        <v>0.74833147735478811</v>
      </c>
      <c r="X281" s="77">
        <v>0.26726124191242351</v>
      </c>
      <c r="Y281" s="77">
        <v>3</v>
      </c>
      <c r="Z281" s="76">
        <v>7.6</v>
      </c>
      <c r="AA281" s="76">
        <v>1.2</v>
      </c>
      <c r="AB281" s="77">
        <v>1.166666666666667</v>
      </c>
      <c r="AC281" s="77">
        <v>4</v>
      </c>
      <c r="AD281" s="76">
        <v>8.1</v>
      </c>
      <c r="AE281" s="76">
        <v>1.1135528725660044</v>
      </c>
      <c r="AF281" s="77">
        <v>0.3592106040535501</v>
      </c>
      <c r="AG281" s="77">
        <v>3</v>
      </c>
      <c r="AH281" s="76">
        <v>6.4</v>
      </c>
      <c r="AI281" s="76">
        <v>1.6248076809271921</v>
      </c>
      <c r="AJ281" s="77">
        <v>0.98473192783466168</v>
      </c>
      <c r="AK281" s="77">
        <v>3</v>
      </c>
      <c r="AL281" s="76"/>
      <c r="AM281" s="76"/>
      <c r="AN281" s="77"/>
      <c r="AO281" s="77"/>
      <c r="AP281" s="76"/>
      <c r="AQ281" s="76"/>
      <c r="AR281" s="77"/>
      <c r="AS281" s="77"/>
      <c r="AT281" s="78">
        <v>0.5625</v>
      </c>
    </row>
    <row r="282" spans="1:46" ht="12.5" x14ac:dyDescent="0.25">
      <c r="A282" s="79">
        <v>44796.463813518523</v>
      </c>
      <c r="B282" s="80" t="s">
        <v>20</v>
      </c>
      <c r="C282" s="80" t="str">
        <f>INDEX(TBL_Name,MATCH(Table2[[#This Row],[Athlete Name]],listNames,0),2)</f>
        <v>Athlete 12</v>
      </c>
      <c r="D282" s="80" t="s">
        <v>130</v>
      </c>
      <c r="E282" s="80">
        <v>8</v>
      </c>
      <c r="F282" s="80">
        <v>7</v>
      </c>
      <c r="G282" s="80">
        <v>8</v>
      </c>
      <c r="H282" s="80" t="s">
        <v>525</v>
      </c>
      <c r="I282" s="80">
        <v>6</v>
      </c>
      <c r="J282" s="80"/>
      <c r="K282" s="80"/>
      <c r="L282" s="80"/>
      <c r="M282" s="1" t="s">
        <v>526</v>
      </c>
      <c r="N282" s="1">
        <v>35</v>
      </c>
      <c r="O282" s="1">
        <v>3</v>
      </c>
      <c r="P282" s="13">
        <v>44796</v>
      </c>
      <c r="Q282" s="1" t="s">
        <v>133</v>
      </c>
      <c r="R282" s="1" t="s">
        <v>64</v>
      </c>
      <c r="S282" s="1">
        <v>1</v>
      </c>
      <c r="T282" s="1"/>
      <c r="U282" s="1" t="s">
        <v>18</v>
      </c>
      <c r="V282" s="76">
        <v>7</v>
      </c>
      <c r="W282" s="76">
        <v>1</v>
      </c>
      <c r="X282" s="77">
        <v>1</v>
      </c>
      <c r="Y282" s="77">
        <v>4</v>
      </c>
      <c r="Z282" s="76">
        <v>7</v>
      </c>
      <c r="AA282" s="76">
        <v>0</v>
      </c>
      <c r="AB282" s="77">
        <v>0</v>
      </c>
      <c r="AC282" s="77">
        <v>3</v>
      </c>
      <c r="AD282" s="76">
        <v>8.5</v>
      </c>
      <c r="AE282" s="76">
        <v>0.5</v>
      </c>
      <c r="AF282" s="77">
        <v>-1</v>
      </c>
      <c r="AG282" s="77">
        <v>1</v>
      </c>
      <c r="AH282" s="76">
        <v>7</v>
      </c>
      <c r="AI282" s="76">
        <v>1</v>
      </c>
      <c r="AJ282" s="77">
        <v>-1</v>
      </c>
      <c r="AK282" s="77">
        <v>1</v>
      </c>
      <c r="AL282" s="76"/>
      <c r="AM282" s="76"/>
      <c r="AN282" s="77"/>
      <c r="AO282" s="77"/>
      <c r="AP282" s="76"/>
      <c r="AQ282" s="76"/>
      <c r="AR282" s="77"/>
      <c r="AS282" s="77"/>
      <c r="AT282" s="78">
        <v>0.75</v>
      </c>
    </row>
    <row r="283" spans="1:46" ht="12.5" x14ac:dyDescent="0.25">
      <c r="A283" s="79">
        <v>44796.636610451387</v>
      </c>
      <c r="B283" s="80" t="s">
        <v>10</v>
      </c>
      <c r="C283" s="80" t="str">
        <f>INDEX(TBL_Name,MATCH(Table2[[#This Row],[Athlete Name]],listNames,0),2)</f>
        <v>Athlete 5</v>
      </c>
      <c r="D283" s="80" t="s">
        <v>130</v>
      </c>
      <c r="E283" s="80">
        <v>8</v>
      </c>
      <c r="F283" s="80">
        <v>8</v>
      </c>
      <c r="G283" s="80">
        <v>8</v>
      </c>
      <c r="H283" s="80" t="s">
        <v>215</v>
      </c>
      <c r="I283" s="80">
        <v>6</v>
      </c>
      <c r="J283" s="80"/>
      <c r="K283" s="80"/>
      <c r="L283" s="80"/>
      <c r="M283" s="1" t="s">
        <v>527</v>
      </c>
      <c r="N283" s="1">
        <v>35</v>
      </c>
      <c r="O283" s="1">
        <v>3</v>
      </c>
      <c r="P283" s="13">
        <v>44796</v>
      </c>
      <c r="Q283" s="1" t="s">
        <v>133</v>
      </c>
      <c r="R283" s="1" t="s">
        <v>64</v>
      </c>
      <c r="S283" s="1">
        <v>1</v>
      </c>
      <c r="T283" s="1"/>
      <c r="U283" s="1" t="s">
        <v>11</v>
      </c>
      <c r="V283" s="76">
        <v>7.666666666666667</v>
      </c>
      <c r="W283" s="76">
        <v>0.74535599249993001</v>
      </c>
      <c r="X283" s="77">
        <v>0.44721359549995748</v>
      </c>
      <c r="Y283" s="77">
        <v>3</v>
      </c>
      <c r="Z283" s="76">
        <v>8.1666666666666661</v>
      </c>
      <c r="AA283" s="76">
        <v>0.89752746785575066</v>
      </c>
      <c r="AB283" s="77">
        <v>-0.18569533817705119</v>
      </c>
      <c r="AC283" s="77">
        <v>2</v>
      </c>
      <c r="AD283" s="76">
        <v>8</v>
      </c>
      <c r="AE283" s="76">
        <v>0.57735026918962573</v>
      </c>
      <c r="AF283" s="77">
        <v>0</v>
      </c>
      <c r="AG283" s="77">
        <v>3</v>
      </c>
      <c r="AH283" s="76">
        <v>6.166666666666667</v>
      </c>
      <c r="AI283" s="76">
        <v>1.7716909687891083</v>
      </c>
      <c r="AJ283" s="77">
        <v>-9.4072086838359895E-2</v>
      </c>
      <c r="AK283" s="77">
        <v>2</v>
      </c>
      <c r="AL283" s="76"/>
      <c r="AM283" s="76"/>
      <c r="AN283" s="77"/>
      <c r="AO283" s="77"/>
      <c r="AP283" s="76"/>
      <c r="AQ283" s="76"/>
      <c r="AR283" s="77"/>
      <c r="AS283" s="77"/>
      <c r="AT283" s="78">
        <v>0.625</v>
      </c>
    </row>
    <row r="284" spans="1:46" ht="12.5" x14ac:dyDescent="0.25">
      <c r="A284" s="79">
        <v>44796.674947407402</v>
      </c>
      <c r="B284" s="80" t="s">
        <v>15</v>
      </c>
      <c r="C284" s="80" t="str">
        <f>INDEX(TBL_Name,MATCH(Table2[[#This Row],[Athlete Name]],listNames,0),2)</f>
        <v>Athlete 8</v>
      </c>
      <c r="D284" s="80" t="s">
        <v>130</v>
      </c>
      <c r="E284" s="80">
        <v>10</v>
      </c>
      <c r="F284" s="80">
        <v>9</v>
      </c>
      <c r="G284" s="80">
        <v>9</v>
      </c>
      <c r="H284" s="80" t="s">
        <v>72</v>
      </c>
      <c r="I284" s="80">
        <v>8</v>
      </c>
      <c r="J284" s="80"/>
      <c r="K284" s="80"/>
      <c r="L284" s="80"/>
      <c r="M284" s="1" t="s">
        <v>528</v>
      </c>
      <c r="N284" s="1">
        <v>35</v>
      </c>
      <c r="O284" s="1">
        <v>3</v>
      </c>
      <c r="P284" s="13">
        <v>44796</v>
      </c>
      <c r="Q284" s="1" t="s">
        <v>133</v>
      </c>
      <c r="R284" s="1" t="s">
        <v>64</v>
      </c>
      <c r="S284" s="1">
        <v>1</v>
      </c>
      <c r="T284" s="1"/>
      <c r="U284" s="1" t="s">
        <v>14</v>
      </c>
      <c r="V284" s="76">
        <v>9.8000000000000007</v>
      </c>
      <c r="W284" s="76">
        <v>0.40000000000000008</v>
      </c>
      <c r="X284" s="77">
        <v>0.49999999999999811</v>
      </c>
      <c r="Y284" s="77">
        <v>3</v>
      </c>
      <c r="Z284" s="76">
        <v>9</v>
      </c>
      <c r="AA284" s="76">
        <v>0.89442719099991586</v>
      </c>
      <c r="AB284" s="77">
        <v>0</v>
      </c>
      <c r="AC284" s="77">
        <v>3</v>
      </c>
      <c r="AD284" s="76">
        <v>8.8000000000000007</v>
      </c>
      <c r="AE284" s="76">
        <v>0.40000000000000008</v>
      </c>
      <c r="AF284" s="77">
        <v>0.49999999999999811</v>
      </c>
      <c r="AG284" s="77">
        <v>3</v>
      </c>
      <c r="AH284" s="76">
        <v>6</v>
      </c>
      <c r="AI284" s="76">
        <v>1.4142135623730951</v>
      </c>
      <c r="AJ284" s="77">
        <v>1.4142135623730949</v>
      </c>
      <c r="AK284" s="77">
        <v>4</v>
      </c>
      <c r="AL284" s="76"/>
      <c r="AM284" s="76"/>
      <c r="AN284" s="77"/>
      <c r="AO284" s="77"/>
      <c r="AP284" s="76"/>
      <c r="AQ284" s="76"/>
      <c r="AR284" s="77"/>
      <c r="AS284" s="77"/>
      <c r="AT284" s="78">
        <v>0.375</v>
      </c>
    </row>
    <row r="285" spans="1:46" ht="12.5" x14ac:dyDescent="0.25">
      <c r="A285" s="79">
        <v>44797.276841400468</v>
      </c>
      <c r="B285" s="80" t="s">
        <v>148</v>
      </c>
      <c r="C285" s="80" t="str">
        <f>INDEX(TBL_Name,MATCH(Table2[[#This Row],[Athlete Name]],listNames,0),2)</f>
        <v>Athlete 22</v>
      </c>
      <c r="D285" s="80" t="s">
        <v>130</v>
      </c>
      <c r="E285" s="80">
        <v>10</v>
      </c>
      <c r="F285" s="80">
        <v>8</v>
      </c>
      <c r="G285" s="80">
        <v>9</v>
      </c>
      <c r="H285" s="80"/>
      <c r="I285" s="80">
        <v>10</v>
      </c>
      <c r="J285" s="80"/>
      <c r="K285" s="80"/>
      <c r="L285" s="80"/>
      <c r="M285" s="1" t="s">
        <v>529</v>
      </c>
      <c r="N285" s="1">
        <v>35</v>
      </c>
      <c r="O285" s="1">
        <v>3</v>
      </c>
      <c r="P285" s="13">
        <v>44797</v>
      </c>
      <c r="Q285" s="1" t="s">
        <v>133</v>
      </c>
      <c r="R285" s="1" t="s">
        <v>64</v>
      </c>
      <c r="S285" s="1">
        <v>1</v>
      </c>
      <c r="T285" s="1"/>
      <c r="U285" s="1" t="s">
        <v>11</v>
      </c>
      <c r="V285" s="76">
        <v>9.6</v>
      </c>
      <c r="W285" s="76">
        <v>0.80000000000000016</v>
      </c>
      <c r="X285" s="77">
        <v>0.50000000000000033</v>
      </c>
      <c r="Y285" s="77">
        <v>3</v>
      </c>
      <c r="Z285" s="76">
        <v>7.6</v>
      </c>
      <c r="AA285" s="76">
        <v>1.8547236990991407</v>
      </c>
      <c r="AB285" s="77">
        <v>0.21566554640687702</v>
      </c>
      <c r="AC285" s="77">
        <v>3</v>
      </c>
      <c r="AD285" s="76">
        <v>8.4</v>
      </c>
      <c r="AE285" s="76">
        <v>1.3564659966250534</v>
      </c>
      <c r="AF285" s="77">
        <v>0.44232586846469119</v>
      </c>
      <c r="AG285" s="77">
        <v>3</v>
      </c>
      <c r="AH285" s="76">
        <v>9.6</v>
      </c>
      <c r="AI285" s="76">
        <v>0.48989794855663549</v>
      </c>
      <c r="AJ285" s="77">
        <v>0.81649658092772703</v>
      </c>
      <c r="AK285" s="77">
        <v>3</v>
      </c>
      <c r="AL285" s="76"/>
      <c r="AM285" s="76"/>
      <c r="AN285" s="77"/>
      <c r="AO285" s="77"/>
      <c r="AP285" s="76"/>
      <c r="AQ285" s="76"/>
      <c r="AR285" s="77"/>
      <c r="AS285" s="77"/>
      <c r="AT285" s="78">
        <v>0.5625</v>
      </c>
    </row>
    <row r="286" spans="1:46" ht="12.5" x14ac:dyDescent="0.25">
      <c r="A286" s="79">
        <v>44797.340155289348</v>
      </c>
      <c r="B286" s="80" t="s">
        <v>196</v>
      </c>
      <c r="C286" s="80" t="str">
        <f>INDEX(TBL_Name,MATCH(Table2[[#This Row],[Athlete Name]],listNames,0),2)</f>
        <v>Athlete 31</v>
      </c>
      <c r="D286" s="80" t="s">
        <v>130</v>
      </c>
      <c r="E286" s="80">
        <v>7</v>
      </c>
      <c r="F286" s="80">
        <v>6</v>
      </c>
      <c r="G286" s="80">
        <v>8</v>
      </c>
      <c r="H286" s="80" t="s">
        <v>66</v>
      </c>
      <c r="I286" s="80">
        <v>8</v>
      </c>
      <c r="J286" s="80"/>
      <c r="K286" s="80"/>
      <c r="L286" s="80"/>
      <c r="M286" s="1" t="s">
        <v>530</v>
      </c>
      <c r="N286" s="1">
        <v>35</v>
      </c>
      <c r="O286" s="1">
        <v>3</v>
      </c>
      <c r="P286" s="13">
        <v>44797</v>
      </c>
      <c r="Q286" s="1" t="s">
        <v>133</v>
      </c>
      <c r="R286" s="1" t="s">
        <v>64</v>
      </c>
      <c r="S286" s="1">
        <v>1</v>
      </c>
      <c r="T286" s="1"/>
      <c r="U286" s="1" t="s">
        <v>28</v>
      </c>
      <c r="V286" s="76">
        <v>7.1428571428571432</v>
      </c>
      <c r="W286" s="76">
        <v>0.63887656499993983</v>
      </c>
      <c r="X286" s="77">
        <v>-0.2236067977499796</v>
      </c>
      <c r="Y286" s="77">
        <v>2</v>
      </c>
      <c r="Z286" s="76">
        <v>8</v>
      </c>
      <c r="AA286" s="76">
        <v>1.0690449676496974</v>
      </c>
      <c r="AB286" s="77">
        <v>-1.8708286933869711</v>
      </c>
      <c r="AC286" s="77">
        <v>1</v>
      </c>
      <c r="AD286" s="76">
        <v>8.3571428571428577</v>
      </c>
      <c r="AE286" s="76">
        <v>0.51507875363771261</v>
      </c>
      <c r="AF286" s="77">
        <v>-0.6933752452815376</v>
      </c>
      <c r="AG286" s="77">
        <v>2</v>
      </c>
      <c r="AH286" s="76">
        <v>7.8571428571428568</v>
      </c>
      <c r="AI286" s="76">
        <v>0.83299312783504298</v>
      </c>
      <c r="AJ286" s="77">
        <v>0.17149858514250929</v>
      </c>
      <c r="AK286" s="77">
        <v>3</v>
      </c>
      <c r="AL286" s="76"/>
      <c r="AM286" s="76"/>
      <c r="AN286" s="77"/>
      <c r="AO286" s="77"/>
      <c r="AP286" s="76"/>
      <c r="AQ286" s="76"/>
      <c r="AR286" s="77"/>
      <c r="AS286" s="77"/>
      <c r="AT286" s="78">
        <v>0.6875</v>
      </c>
    </row>
    <row r="287" spans="1:46" ht="12.5" x14ac:dyDescent="0.25">
      <c r="A287" s="79">
        <v>44797.344058715273</v>
      </c>
      <c r="B287" s="80" t="s">
        <v>185</v>
      </c>
      <c r="C287" s="80" t="str">
        <f>INDEX(TBL_Name,MATCH(Table2[[#This Row],[Athlete Name]],listNames,0),2)</f>
        <v>Athlete 30</v>
      </c>
      <c r="D287" s="80" t="s">
        <v>130</v>
      </c>
      <c r="E287" s="80">
        <v>9</v>
      </c>
      <c r="F287" s="80">
        <v>5</v>
      </c>
      <c r="G287" s="80">
        <v>7</v>
      </c>
      <c r="H287" s="80" t="s">
        <v>531</v>
      </c>
      <c r="I287" s="80">
        <v>6</v>
      </c>
      <c r="J287" s="80"/>
      <c r="K287" s="80"/>
      <c r="L287" s="80"/>
      <c r="M287" s="1" t="s">
        <v>532</v>
      </c>
      <c r="N287" s="1">
        <v>35</v>
      </c>
      <c r="O287" s="1">
        <v>3</v>
      </c>
      <c r="P287" s="13">
        <v>44797</v>
      </c>
      <c r="Q287" s="1" t="s">
        <v>133</v>
      </c>
      <c r="R287" s="1" t="s">
        <v>64</v>
      </c>
      <c r="S287" s="1">
        <v>1</v>
      </c>
      <c r="T287" s="1"/>
      <c r="U287" s="1" t="s">
        <v>26</v>
      </c>
      <c r="V287" s="76">
        <v>9.6666666666666661</v>
      </c>
      <c r="W287" s="76">
        <v>0.47140452079103184</v>
      </c>
      <c r="X287" s="77">
        <v>-1.4142135623730934</v>
      </c>
      <c r="Y287" s="77">
        <v>1</v>
      </c>
      <c r="Z287" s="76">
        <v>4.666666666666667</v>
      </c>
      <c r="AA287" s="76">
        <v>0.94280904158206336</v>
      </c>
      <c r="AB287" s="77">
        <v>0.35355339059327345</v>
      </c>
      <c r="AC287" s="77">
        <v>3</v>
      </c>
      <c r="AD287" s="76">
        <v>7</v>
      </c>
      <c r="AE287" s="76">
        <v>1</v>
      </c>
      <c r="AF287" s="77">
        <v>0</v>
      </c>
      <c r="AG287" s="77">
        <v>3</v>
      </c>
      <c r="AH287" s="76">
        <v>5.833333333333333</v>
      </c>
      <c r="AI287" s="76">
        <v>0.37267799624996489</v>
      </c>
      <c r="AJ287" s="77">
        <v>0.44721359549995882</v>
      </c>
      <c r="AK287" s="77">
        <v>3</v>
      </c>
      <c r="AL287" s="76"/>
      <c r="AM287" s="76"/>
      <c r="AN287" s="77"/>
      <c r="AO287" s="77"/>
      <c r="AP287" s="76"/>
      <c r="AQ287" s="76"/>
      <c r="AR287" s="77"/>
      <c r="AS287" s="77"/>
      <c r="AT287" s="78">
        <v>0.25</v>
      </c>
    </row>
    <row r="288" spans="1:46" ht="12.5" x14ac:dyDescent="0.25">
      <c r="A288" s="79">
        <v>44797.359654965279</v>
      </c>
      <c r="B288" s="80" t="s">
        <v>10</v>
      </c>
      <c r="C288" s="80" t="str">
        <f>INDEX(TBL_Name,MATCH(Table2[[#This Row],[Athlete Name]],listNames,0),2)</f>
        <v>Athlete 5</v>
      </c>
      <c r="D288" s="80" t="s">
        <v>130</v>
      </c>
      <c r="E288" s="80">
        <v>9</v>
      </c>
      <c r="F288" s="80">
        <v>9</v>
      </c>
      <c r="G288" s="80">
        <v>9</v>
      </c>
      <c r="H288" s="80" t="s">
        <v>215</v>
      </c>
      <c r="I288" s="80">
        <v>6</v>
      </c>
      <c r="J288" s="80"/>
      <c r="K288" s="80"/>
      <c r="L288" s="80"/>
      <c r="M288" s="1" t="s">
        <v>533</v>
      </c>
      <c r="N288" s="1">
        <v>35</v>
      </c>
      <c r="O288" s="1">
        <v>3</v>
      </c>
      <c r="P288" s="13">
        <v>44797</v>
      </c>
      <c r="Q288" s="1" t="s">
        <v>133</v>
      </c>
      <c r="R288" s="1" t="s">
        <v>64</v>
      </c>
      <c r="S288" s="1">
        <v>1</v>
      </c>
      <c r="T288" s="1"/>
      <c r="U288" s="1" t="s">
        <v>11</v>
      </c>
      <c r="V288" s="76">
        <v>8</v>
      </c>
      <c r="W288" s="76">
        <v>0.81649658092772615</v>
      </c>
      <c r="X288" s="77">
        <v>1.2247448713915889</v>
      </c>
      <c r="Y288" s="77">
        <v>4</v>
      </c>
      <c r="Z288" s="76">
        <v>8</v>
      </c>
      <c r="AA288" s="76">
        <v>0.57735026918962573</v>
      </c>
      <c r="AB288" s="77">
        <v>1.7320508075688774</v>
      </c>
      <c r="AC288" s="77">
        <v>4</v>
      </c>
      <c r="AD288" s="76">
        <v>8</v>
      </c>
      <c r="AE288" s="76">
        <v>0.57735026918962573</v>
      </c>
      <c r="AF288" s="77">
        <v>1.7320508075688774</v>
      </c>
      <c r="AG288" s="77">
        <v>4</v>
      </c>
      <c r="AH288" s="76">
        <v>5.833333333333333</v>
      </c>
      <c r="AI288" s="76">
        <v>1.5723301886761007</v>
      </c>
      <c r="AJ288" s="77">
        <v>0.10599978800063618</v>
      </c>
      <c r="AK288" s="77">
        <v>3</v>
      </c>
      <c r="AL288" s="76"/>
      <c r="AM288" s="76"/>
      <c r="AN288" s="77"/>
      <c r="AO288" s="77"/>
      <c r="AP288" s="76"/>
      <c r="AQ288" s="76"/>
      <c r="AR288" s="77"/>
      <c r="AS288" s="77"/>
      <c r="AT288" s="78">
        <v>0.8125</v>
      </c>
    </row>
    <row r="289" spans="1:46" ht="12.5" x14ac:dyDescent="0.25">
      <c r="A289" s="79">
        <v>44797.387037546301</v>
      </c>
      <c r="B289" s="80" t="s">
        <v>171</v>
      </c>
      <c r="C289" s="80" t="str">
        <f>INDEX(TBL_Name,MATCH(Table2[[#This Row],[Athlete Name]],listNames,0),2)</f>
        <v>Athlete 27</v>
      </c>
      <c r="D289" s="80" t="s">
        <v>130</v>
      </c>
      <c r="E289" s="80">
        <v>10</v>
      </c>
      <c r="F289" s="80">
        <v>10</v>
      </c>
      <c r="G289" s="80">
        <v>9</v>
      </c>
      <c r="H289" s="80" t="s">
        <v>68</v>
      </c>
      <c r="I289" s="80">
        <v>8</v>
      </c>
      <c r="J289" s="80"/>
      <c r="K289" s="80"/>
      <c r="L289" s="80"/>
      <c r="M289" s="1" t="s">
        <v>534</v>
      </c>
      <c r="N289" s="1">
        <v>35</v>
      </c>
      <c r="O289" s="1">
        <v>3</v>
      </c>
      <c r="P289" s="13">
        <v>44797</v>
      </c>
      <c r="Q289" s="1" t="s">
        <v>133</v>
      </c>
      <c r="R289" s="1" t="s">
        <v>64</v>
      </c>
      <c r="S289" s="1">
        <v>1</v>
      </c>
      <c r="T289" s="1"/>
      <c r="U289" s="1" t="s">
        <v>8</v>
      </c>
      <c r="V289" s="76">
        <v>9.3333333333333339</v>
      </c>
      <c r="W289" s="76">
        <v>1.49071198499986</v>
      </c>
      <c r="X289" s="77">
        <v>0.44721359549995748</v>
      </c>
      <c r="Y289" s="77">
        <v>3</v>
      </c>
      <c r="Z289" s="76">
        <v>8.8333333333333339</v>
      </c>
      <c r="AA289" s="76">
        <v>0.68718427093627699</v>
      </c>
      <c r="AB289" s="77">
        <v>1.6977493752543293</v>
      </c>
      <c r="AC289" s="77">
        <v>4</v>
      </c>
      <c r="AD289" s="76">
        <v>8.1666666666666661</v>
      </c>
      <c r="AE289" s="76">
        <v>0.37267799624996506</v>
      </c>
      <c r="AF289" s="77">
        <v>2.2360679774997907</v>
      </c>
      <c r="AG289" s="77">
        <v>4</v>
      </c>
      <c r="AH289" s="76">
        <v>7.833333333333333</v>
      </c>
      <c r="AI289" s="76">
        <v>1.7716909687891083</v>
      </c>
      <c r="AJ289" s="77">
        <v>9.4072086838359895E-2</v>
      </c>
      <c r="AK289" s="77">
        <v>3</v>
      </c>
      <c r="AL289" s="76"/>
      <c r="AM289" s="76"/>
      <c r="AN289" s="77"/>
      <c r="AO289" s="77"/>
      <c r="AP289" s="76"/>
      <c r="AQ289" s="76"/>
      <c r="AR289" s="77"/>
      <c r="AS289" s="77"/>
      <c r="AT289" s="78">
        <v>0.625</v>
      </c>
    </row>
    <row r="290" spans="1:46" ht="12.5" x14ac:dyDescent="0.25">
      <c r="A290" s="79">
        <v>44797.422989652783</v>
      </c>
      <c r="B290" s="80" t="s">
        <v>23</v>
      </c>
      <c r="C290" s="80" t="str">
        <f>INDEX(TBL_Name,MATCH(Table2[[#This Row],[Athlete Name]],listNames,0),2)</f>
        <v>Athlete 15</v>
      </c>
      <c r="D290" s="80" t="s">
        <v>130</v>
      </c>
      <c r="E290" s="80">
        <v>4</v>
      </c>
      <c r="F290" s="80">
        <v>10</v>
      </c>
      <c r="G290" s="80">
        <v>9</v>
      </c>
      <c r="H290" s="80" t="s">
        <v>280</v>
      </c>
      <c r="I290" s="80">
        <v>4</v>
      </c>
      <c r="J290" s="80"/>
      <c r="K290" s="80"/>
      <c r="L290" s="80"/>
      <c r="M290" s="1" t="s">
        <v>535</v>
      </c>
      <c r="N290" s="1">
        <v>35</v>
      </c>
      <c r="O290" s="1">
        <v>3</v>
      </c>
      <c r="P290" s="13">
        <v>44797</v>
      </c>
      <c r="Q290" s="1" t="s">
        <v>133</v>
      </c>
      <c r="R290" s="1" t="s">
        <v>64</v>
      </c>
      <c r="S290" s="1">
        <v>1</v>
      </c>
      <c r="T290" s="1"/>
      <c r="U290" s="1" t="s">
        <v>18</v>
      </c>
      <c r="V290" s="76">
        <v>6</v>
      </c>
      <c r="W290" s="76">
        <v>1.0954451150103321</v>
      </c>
      <c r="X290" s="77">
        <v>-1.8257418583505538</v>
      </c>
      <c r="Y290" s="77">
        <v>1</v>
      </c>
      <c r="Z290" s="76">
        <v>9.1999999999999993</v>
      </c>
      <c r="AA290" s="76">
        <v>0.74833147735478833</v>
      </c>
      <c r="AB290" s="77">
        <v>1.0690449676496985</v>
      </c>
      <c r="AC290" s="77">
        <v>4</v>
      </c>
      <c r="AD290" s="76">
        <v>9</v>
      </c>
      <c r="AE290" s="76">
        <v>0.63245553203367599</v>
      </c>
      <c r="AF290" s="77">
        <v>0</v>
      </c>
      <c r="AG290" s="77">
        <v>3</v>
      </c>
      <c r="AH290" s="76">
        <v>4.2</v>
      </c>
      <c r="AI290" s="76">
        <v>0.97979589711327131</v>
      </c>
      <c r="AJ290" s="77">
        <v>-0.20412414523193168</v>
      </c>
      <c r="AK290" s="77">
        <v>2</v>
      </c>
      <c r="AL290" s="76"/>
      <c r="AM290" s="76"/>
      <c r="AN290" s="77"/>
      <c r="AO290" s="77"/>
      <c r="AP290" s="76"/>
      <c r="AQ290" s="76"/>
      <c r="AR290" s="77"/>
      <c r="AS290" s="77"/>
      <c r="AT290" s="78">
        <v>0.625</v>
      </c>
    </row>
    <row r="291" spans="1:46" ht="12.5" x14ac:dyDescent="0.25">
      <c r="A291" s="79">
        <v>44797.446322187505</v>
      </c>
      <c r="B291" s="80" t="s">
        <v>177</v>
      </c>
      <c r="C291" s="80" t="str">
        <f>INDEX(TBL_Name,MATCH(Table2[[#This Row],[Athlete Name]],listNames,0),2)</f>
        <v>Athlete 28</v>
      </c>
      <c r="D291" s="80" t="s">
        <v>130</v>
      </c>
      <c r="E291" s="80">
        <v>4</v>
      </c>
      <c r="F291" s="80">
        <v>9</v>
      </c>
      <c r="G291" s="80">
        <v>11</v>
      </c>
      <c r="H291" s="80" t="s">
        <v>71</v>
      </c>
      <c r="I291" s="80">
        <v>9</v>
      </c>
      <c r="J291" s="80"/>
      <c r="K291" s="80"/>
      <c r="L291" s="80"/>
      <c r="M291" s="1" t="s">
        <v>536</v>
      </c>
      <c r="N291" s="1">
        <v>35</v>
      </c>
      <c r="O291" s="1">
        <v>3</v>
      </c>
      <c r="P291" s="13">
        <v>44797</v>
      </c>
      <c r="Q291" s="1" t="s">
        <v>133</v>
      </c>
      <c r="R291" s="1" t="s">
        <v>64</v>
      </c>
      <c r="S291" s="1">
        <v>1</v>
      </c>
      <c r="T291" s="1"/>
      <c r="U291" s="1" t="s">
        <v>28</v>
      </c>
      <c r="V291" s="76">
        <v>3.3333333333333335</v>
      </c>
      <c r="W291" s="76">
        <v>0.94280904158206336</v>
      </c>
      <c r="X291" s="77">
        <v>0.70710678118654735</v>
      </c>
      <c r="Y291" s="77">
        <v>3</v>
      </c>
      <c r="Z291" s="76">
        <v>6.333333333333333</v>
      </c>
      <c r="AA291" s="76">
        <v>2.4944382578492941</v>
      </c>
      <c r="AB291" s="77">
        <v>1.0690449676496978</v>
      </c>
      <c r="AC291" s="77">
        <v>4</v>
      </c>
      <c r="AD291" s="76">
        <v>8.3333333333333339</v>
      </c>
      <c r="AE291" s="76">
        <v>2.4944382578492941</v>
      </c>
      <c r="AF291" s="77">
        <v>1.0690449676496974</v>
      </c>
      <c r="AG291" s="77">
        <v>4</v>
      </c>
      <c r="AH291" s="76">
        <v>8.3333333333333339</v>
      </c>
      <c r="AI291" s="76">
        <v>0.47140452079103146</v>
      </c>
      <c r="AJ291" s="77">
        <v>1.4142135623730945</v>
      </c>
      <c r="AK291" s="77">
        <v>4</v>
      </c>
      <c r="AL291" s="76"/>
      <c r="AM291" s="76"/>
      <c r="AN291" s="77"/>
      <c r="AO291" s="77"/>
      <c r="AP291" s="76"/>
      <c r="AQ291" s="76"/>
      <c r="AR291" s="77"/>
      <c r="AS291" s="77"/>
      <c r="AT291" s="78">
        <v>0.9375</v>
      </c>
    </row>
    <row r="292" spans="1:46" ht="12.5" x14ac:dyDescent="0.25">
      <c r="A292" s="79">
        <v>44797.456669583335</v>
      </c>
      <c r="B292" s="80" t="s">
        <v>15</v>
      </c>
      <c r="C292" s="80" t="str">
        <f>INDEX(TBL_Name,MATCH(Table2[[#This Row],[Athlete Name]],listNames,0),2)</f>
        <v>Athlete 8</v>
      </c>
      <c r="D292" s="80" t="s">
        <v>130</v>
      </c>
      <c r="E292" s="80">
        <v>10</v>
      </c>
      <c r="F292" s="80">
        <v>10</v>
      </c>
      <c r="G292" s="80">
        <v>9</v>
      </c>
      <c r="H292" s="80" t="s">
        <v>287</v>
      </c>
      <c r="I292" s="80">
        <v>6</v>
      </c>
      <c r="J292" s="80"/>
      <c r="K292" s="80"/>
      <c r="L292" s="80"/>
      <c r="M292" s="1" t="s">
        <v>537</v>
      </c>
      <c r="N292" s="1">
        <v>35</v>
      </c>
      <c r="O292" s="1">
        <v>3</v>
      </c>
      <c r="P292" s="13">
        <v>44797</v>
      </c>
      <c r="Q292" s="1" t="s">
        <v>133</v>
      </c>
      <c r="R292" s="1" t="s">
        <v>64</v>
      </c>
      <c r="S292" s="1">
        <v>1</v>
      </c>
      <c r="T292" s="1"/>
      <c r="U292" s="1" t="s">
        <v>14</v>
      </c>
      <c r="V292" s="76">
        <v>10</v>
      </c>
      <c r="W292" s="76">
        <v>0</v>
      </c>
      <c r="X292" s="77">
        <v>0</v>
      </c>
      <c r="Y292" s="77">
        <v>3</v>
      </c>
      <c r="Z292" s="76">
        <v>9</v>
      </c>
      <c r="AA292" s="76">
        <v>0.89442719099991608</v>
      </c>
      <c r="AB292" s="77">
        <v>1.1180339887498947</v>
      </c>
      <c r="AC292" s="77">
        <v>4</v>
      </c>
      <c r="AD292" s="76">
        <v>8.8000000000000007</v>
      </c>
      <c r="AE292" s="76">
        <v>0.40000000000000008</v>
      </c>
      <c r="AF292" s="77">
        <v>0.49999999999999811</v>
      </c>
      <c r="AG292" s="77">
        <v>3</v>
      </c>
      <c r="AH292" s="76">
        <v>6</v>
      </c>
      <c r="AI292" s="76">
        <v>1.4142135623730951</v>
      </c>
      <c r="AJ292" s="77">
        <v>0</v>
      </c>
      <c r="AK292" s="77">
        <v>3</v>
      </c>
      <c r="AL292" s="76"/>
      <c r="AM292" s="76"/>
      <c r="AN292" s="77"/>
      <c r="AO292" s="77"/>
      <c r="AP292" s="76"/>
      <c r="AQ292" s="76"/>
      <c r="AR292" s="77"/>
      <c r="AS292" s="77"/>
      <c r="AT292" s="78">
        <v>0.75</v>
      </c>
    </row>
    <row r="293" spans="1:46" ht="12.5" x14ac:dyDescent="0.25">
      <c r="A293" s="79">
        <v>44797.466111655092</v>
      </c>
      <c r="B293" s="80" t="s">
        <v>156</v>
      </c>
      <c r="C293" s="80" t="str">
        <f>INDEX(TBL_Name,MATCH(Table2[[#This Row],[Athlete Name]],listNames,0),2)</f>
        <v>Athlete 24</v>
      </c>
      <c r="D293" s="80" t="s">
        <v>130</v>
      </c>
      <c r="E293" s="80">
        <v>6</v>
      </c>
      <c r="F293" s="80">
        <v>7</v>
      </c>
      <c r="G293" s="80">
        <v>7</v>
      </c>
      <c r="H293" s="80" t="s">
        <v>66</v>
      </c>
      <c r="I293" s="80">
        <v>5</v>
      </c>
      <c r="J293" s="80"/>
      <c r="K293" s="80"/>
      <c r="L293" s="80"/>
      <c r="M293" s="1" t="s">
        <v>538</v>
      </c>
      <c r="N293" s="1">
        <v>35</v>
      </c>
      <c r="O293" s="1">
        <v>3</v>
      </c>
      <c r="P293" s="13">
        <v>44797</v>
      </c>
      <c r="Q293" s="1" t="s">
        <v>133</v>
      </c>
      <c r="R293" s="1" t="s">
        <v>64</v>
      </c>
      <c r="S293" s="1">
        <v>1</v>
      </c>
      <c r="T293" s="1"/>
      <c r="U293" s="1" t="s">
        <v>11</v>
      </c>
      <c r="V293" s="76">
        <v>6</v>
      </c>
      <c r="W293" s="76">
        <v>0</v>
      </c>
      <c r="X293" s="77">
        <v>0</v>
      </c>
      <c r="Y293" s="77">
        <v>3</v>
      </c>
      <c r="Z293" s="76">
        <v>7</v>
      </c>
      <c r="AA293" s="76">
        <v>0</v>
      </c>
      <c r="AB293" s="77">
        <v>0</v>
      </c>
      <c r="AC293" s="77">
        <v>3</v>
      </c>
      <c r="AD293" s="76">
        <v>7</v>
      </c>
      <c r="AE293" s="76">
        <v>0</v>
      </c>
      <c r="AF293" s="77">
        <v>0</v>
      </c>
      <c r="AG293" s="77">
        <v>3</v>
      </c>
      <c r="AH293" s="76">
        <v>5</v>
      </c>
      <c r="AI293" s="76">
        <v>0</v>
      </c>
      <c r="AJ293" s="77">
        <v>0</v>
      </c>
      <c r="AK293" s="77">
        <v>3</v>
      </c>
      <c r="AL293" s="76"/>
      <c r="AM293" s="76"/>
      <c r="AN293" s="77"/>
      <c r="AO293" s="77"/>
      <c r="AP293" s="76"/>
      <c r="AQ293" s="76"/>
      <c r="AR293" s="77"/>
      <c r="AS293" s="77"/>
      <c r="AT293" s="78">
        <v>0.75</v>
      </c>
    </row>
    <row r="294" spans="1:46" ht="12.5" x14ac:dyDescent="0.25">
      <c r="A294" s="79">
        <v>44797.466250555561</v>
      </c>
      <c r="B294" s="80" t="s">
        <v>16</v>
      </c>
      <c r="C294" s="80" t="str">
        <f>INDEX(TBL_Name,MATCH(Table2[[#This Row],[Athlete Name]],listNames,0),2)</f>
        <v>Athlete 9</v>
      </c>
      <c r="D294" s="80" t="s">
        <v>130</v>
      </c>
      <c r="E294" s="80">
        <v>6</v>
      </c>
      <c r="F294" s="80">
        <v>5</v>
      </c>
      <c r="G294" s="80">
        <v>8</v>
      </c>
      <c r="H294" s="80" t="s">
        <v>415</v>
      </c>
      <c r="I294" s="80">
        <v>6</v>
      </c>
      <c r="J294" s="80"/>
      <c r="K294" s="80"/>
      <c r="L294" s="80"/>
      <c r="M294" s="1" t="s">
        <v>539</v>
      </c>
      <c r="N294" s="1">
        <v>35</v>
      </c>
      <c r="O294" s="1">
        <v>3</v>
      </c>
      <c r="P294" s="13">
        <v>44797</v>
      </c>
      <c r="Q294" s="1" t="s">
        <v>133</v>
      </c>
      <c r="R294" s="1" t="s">
        <v>64</v>
      </c>
      <c r="S294" s="1">
        <v>1</v>
      </c>
      <c r="T294" s="1"/>
      <c r="U294" s="1" t="s">
        <v>14</v>
      </c>
      <c r="V294" s="76">
        <v>6</v>
      </c>
      <c r="W294" s="76">
        <v>0</v>
      </c>
      <c r="X294" s="77">
        <v>0</v>
      </c>
      <c r="Y294" s="77">
        <v>3</v>
      </c>
      <c r="Z294" s="76">
        <v>5</v>
      </c>
      <c r="AA294" s="76">
        <v>0</v>
      </c>
      <c r="AB294" s="77">
        <v>0</v>
      </c>
      <c r="AC294" s="77">
        <v>3</v>
      </c>
      <c r="AD294" s="76">
        <v>8</v>
      </c>
      <c r="AE294" s="76">
        <v>0</v>
      </c>
      <c r="AF294" s="77">
        <v>0</v>
      </c>
      <c r="AG294" s="77">
        <v>3</v>
      </c>
      <c r="AH294" s="76">
        <v>6</v>
      </c>
      <c r="AI294" s="76">
        <v>0</v>
      </c>
      <c r="AJ294" s="77">
        <v>0</v>
      </c>
      <c r="AK294" s="77">
        <v>3</v>
      </c>
      <c r="AL294" s="76"/>
      <c r="AM294" s="76"/>
      <c r="AN294" s="77"/>
      <c r="AO294" s="77"/>
      <c r="AP294" s="76"/>
      <c r="AQ294" s="76"/>
      <c r="AR294" s="77"/>
      <c r="AS294" s="77"/>
      <c r="AT294" s="78">
        <v>0.75</v>
      </c>
    </row>
    <row r="295" spans="1:46" ht="12.5" x14ac:dyDescent="0.25">
      <c r="A295" s="79">
        <v>44797.466619340281</v>
      </c>
      <c r="B295" s="80" t="s">
        <v>180</v>
      </c>
      <c r="C295" s="80" t="str">
        <f>INDEX(TBL_Name,MATCH(Table2[[#This Row],[Athlete Name]],listNames,0),2)</f>
        <v>Athlete 29</v>
      </c>
      <c r="D295" s="80" t="s">
        <v>143</v>
      </c>
      <c r="E295" s="80">
        <v>7</v>
      </c>
      <c r="F295" s="80">
        <v>9</v>
      </c>
      <c r="G295" s="80">
        <v>8.5</v>
      </c>
      <c r="H295" s="80" t="s">
        <v>540</v>
      </c>
      <c r="I295" s="80">
        <v>4</v>
      </c>
      <c r="J295" s="80"/>
      <c r="K295" s="80"/>
      <c r="L295" s="80"/>
      <c r="M295" s="1" t="s">
        <v>541</v>
      </c>
      <c r="N295" s="1">
        <v>35</v>
      </c>
      <c r="O295" s="1">
        <v>3</v>
      </c>
      <c r="P295" s="13">
        <v>44797</v>
      </c>
      <c r="Q295" s="1" t="s">
        <v>133</v>
      </c>
      <c r="R295" s="1" t="s">
        <v>64</v>
      </c>
      <c r="S295" s="1">
        <v>2</v>
      </c>
      <c r="T295" s="1"/>
      <c r="U295" s="1" t="s">
        <v>5</v>
      </c>
      <c r="V295" s="76">
        <v>7.5</v>
      </c>
      <c r="W295" s="76">
        <v>0.5</v>
      </c>
      <c r="X295" s="77">
        <v>-1</v>
      </c>
      <c r="Y295" s="77">
        <v>1</v>
      </c>
      <c r="Z295" s="76">
        <v>7.5</v>
      </c>
      <c r="AA295" s="76">
        <v>1.5</v>
      </c>
      <c r="AB295" s="77">
        <v>1</v>
      </c>
      <c r="AC295" s="77">
        <v>4</v>
      </c>
      <c r="AD295" s="76">
        <v>8.25</v>
      </c>
      <c r="AE295" s="76">
        <v>0.25</v>
      </c>
      <c r="AF295" s="77">
        <v>1</v>
      </c>
      <c r="AG295" s="77">
        <v>4</v>
      </c>
      <c r="AH295" s="76">
        <v>5</v>
      </c>
      <c r="AI295" s="76">
        <v>1</v>
      </c>
      <c r="AJ295" s="77">
        <v>-1</v>
      </c>
      <c r="AK295" s="77">
        <v>1</v>
      </c>
      <c r="AL295" s="76"/>
      <c r="AM295" s="76"/>
      <c r="AN295" s="77"/>
      <c r="AO295" s="77"/>
      <c r="AP295" s="76"/>
      <c r="AQ295" s="76"/>
      <c r="AR295" s="77"/>
      <c r="AS295" s="77"/>
      <c r="AT295" s="78">
        <v>0.625</v>
      </c>
    </row>
    <row r="296" spans="1:46" ht="12.5" x14ac:dyDescent="0.25">
      <c r="A296" s="79">
        <v>44797.491905428236</v>
      </c>
      <c r="B296" s="80" t="s">
        <v>25</v>
      </c>
      <c r="C296" s="80" t="str">
        <f>INDEX(TBL_Name,MATCH(Table2[[#This Row],[Athlete Name]],listNames,0),2)</f>
        <v>Athlete 23</v>
      </c>
      <c r="D296" s="80" t="s">
        <v>143</v>
      </c>
      <c r="E296" s="80">
        <v>9</v>
      </c>
      <c r="F296" s="80">
        <v>9</v>
      </c>
      <c r="G296" s="80">
        <v>10</v>
      </c>
      <c r="H296" s="80" t="s">
        <v>542</v>
      </c>
      <c r="I296" s="80">
        <v>5</v>
      </c>
      <c r="J296" s="80"/>
      <c r="K296" s="80"/>
      <c r="L296" s="80"/>
      <c r="M296" s="1" t="s">
        <v>543</v>
      </c>
      <c r="N296" s="1">
        <v>35</v>
      </c>
      <c r="O296" s="1">
        <v>3</v>
      </c>
      <c r="P296" s="13">
        <v>44797</v>
      </c>
      <c r="Q296" s="1" t="s">
        <v>133</v>
      </c>
      <c r="R296" s="1" t="s">
        <v>64</v>
      </c>
      <c r="S296" s="1">
        <v>2</v>
      </c>
      <c r="T296" s="1"/>
      <c r="U296" s="1" t="s">
        <v>26</v>
      </c>
      <c r="V296" s="76">
        <v>9</v>
      </c>
      <c r="W296" s="76">
        <v>0.63245553203367588</v>
      </c>
      <c r="X296" s="77">
        <v>0</v>
      </c>
      <c r="Y296" s="77">
        <v>3</v>
      </c>
      <c r="Z296" s="76">
        <v>8.8000000000000007</v>
      </c>
      <c r="AA296" s="76">
        <v>0.39999999999999986</v>
      </c>
      <c r="AB296" s="77">
        <v>0.49999999999999839</v>
      </c>
      <c r="AC296" s="77">
        <v>3</v>
      </c>
      <c r="AD296" s="76">
        <v>9.4</v>
      </c>
      <c r="AE296" s="76">
        <v>0.79999999999999993</v>
      </c>
      <c r="AF296" s="77">
        <v>0.74999999999999967</v>
      </c>
      <c r="AG296" s="77">
        <v>3</v>
      </c>
      <c r="AH296" s="76">
        <v>6.6</v>
      </c>
      <c r="AI296" s="76">
        <v>2.2449944320643649</v>
      </c>
      <c r="AJ296" s="77">
        <v>-0.71269664509979813</v>
      </c>
      <c r="AK296" s="77">
        <v>2</v>
      </c>
      <c r="AL296" s="76"/>
      <c r="AM296" s="76"/>
      <c r="AN296" s="77"/>
      <c r="AO296" s="77"/>
      <c r="AP296" s="76"/>
      <c r="AQ296" s="76"/>
      <c r="AR296" s="77"/>
      <c r="AS296" s="77"/>
      <c r="AT296" s="78">
        <v>0.6875</v>
      </c>
    </row>
    <row r="297" spans="1:46" ht="12.5" x14ac:dyDescent="0.25">
      <c r="A297" s="79">
        <v>44797.494537569444</v>
      </c>
      <c r="B297" s="80" t="s">
        <v>22</v>
      </c>
      <c r="C297" s="80" t="str">
        <f>INDEX(TBL_Name,MATCH(Table2[[#This Row],[Athlete Name]],listNames,0),2)</f>
        <v>Athlete 14</v>
      </c>
      <c r="D297" s="80" t="s">
        <v>130</v>
      </c>
      <c r="E297" s="80">
        <v>7</v>
      </c>
      <c r="F297" s="80">
        <v>7</v>
      </c>
      <c r="G297" s="80">
        <v>9</v>
      </c>
      <c r="H297" s="80" t="s">
        <v>506</v>
      </c>
      <c r="I297" s="80">
        <v>5</v>
      </c>
      <c r="J297" s="80"/>
      <c r="K297" s="80"/>
      <c r="L297" s="80"/>
      <c r="M297" s="1" t="s">
        <v>544</v>
      </c>
      <c r="N297" s="1">
        <v>35</v>
      </c>
      <c r="O297" s="1">
        <v>3</v>
      </c>
      <c r="P297" s="13">
        <v>44797</v>
      </c>
      <c r="Q297" s="1" t="s">
        <v>133</v>
      </c>
      <c r="R297" s="1" t="s">
        <v>64</v>
      </c>
      <c r="S297" s="1">
        <v>1</v>
      </c>
      <c r="T297" s="1"/>
      <c r="U297" s="1" t="s">
        <v>18</v>
      </c>
      <c r="V297" s="76">
        <v>7.333333333333333</v>
      </c>
      <c r="W297" s="76">
        <v>0.47140452079103162</v>
      </c>
      <c r="X297" s="77">
        <v>-0.70710678118654702</v>
      </c>
      <c r="Y297" s="77">
        <v>2</v>
      </c>
      <c r="Z297" s="76">
        <v>6.333333333333333</v>
      </c>
      <c r="AA297" s="76">
        <v>0.47140452079103179</v>
      </c>
      <c r="AB297" s="77">
        <v>1.4142135623730954</v>
      </c>
      <c r="AC297" s="77">
        <v>4</v>
      </c>
      <c r="AD297" s="76">
        <v>9</v>
      </c>
      <c r="AE297" s="76">
        <v>0</v>
      </c>
      <c r="AF297" s="77">
        <v>0</v>
      </c>
      <c r="AG297" s="77">
        <v>3</v>
      </c>
      <c r="AH297" s="76">
        <v>6</v>
      </c>
      <c r="AI297" s="76">
        <v>0.81649658092772603</v>
      </c>
      <c r="AJ297" s="77">
        <v>-1.2247448713915889</v>
      </c>
      <c r="AK297" s="77">
        <v>1</v>
      </c>
      <c r="AL297" s="76"/>
      <c r="AM297" s="76"/>
      <c r="AN297" s="77"/>
      <c r="AO297" s="77"/>
      <c r="AP297" s="76"/>
      <c r="AQ297" s="76"/>
      <c r="AR297" s="77"/>
      <c r="AS297" s="77"/>
      <c r="AT297" s="78">
        <v>0.5625</v>
      </c>
    </row>
    <row r="298" spans="1:46" ht="12.5" x14ac:dyDescent="0.25">
      <c r="A298" s="79">
        <v>44797.58439822917</v>
      </c>
      <c r="B298" s="80" t="s">
        <v>142</v>
      </c>
      <c r="C298" s="80" t="str">
        <f>INDEX(TBL_Name,MATCH(Table2[[#This Row],[Athlete Name]],listNames,0),2)</f>
        <v>Athlete 21</v>
      </c>
      <c r="D298" s="80" t="s">
        <v>130</v>
      </c>
      <c r="E298" s="80">
        <v>6</v>
      </c>
      <c r="F298" s="80">
        <v>7</v>
      </c>
      <c r="G298" s="80">
        <v>8</v>
      </c>
      <c r="H298" s="80" t="s">
        <v>228</v>
      </c>
      <c r="I298" s="80">
        <v>5</v>
      </c>
      <c r="J298" s="80"/>
      <c r="K298" s="80"/>
      <c r="L298" s="80"/>
      <c r="M298" s="1" t="s">
        <v>545</v>
      </c>
      <c r="N298" s="1">
        <v>35</v>
      </c>
      <c r="O298" s="1">
        <v>3</v>
      </c>
      <c r="P298" s="13">
        <v>44797</v>
      </c>
      <c r="Q298" s="1" t="s">
        <v>133</v>
      </c>
      <c r="R298" s="1" t="s">
        <v>64</v>
      </c>
      <c r="S298" s="1">
        <v>1</v>
      </c>
      <c r="T298" s="1"/>
      <c r="U298" s="1" t="s">
        <v>18</v>
      </c>
      <c r="V298" s="76">
        <v>6</v>
      </c>
      <c r="W298" s="76">
        <v>0</v>
      </c>
      <c r="X298" s="77">
        <v>0</v>
      </c>
      <c r="Y298" s="77">
        <v>3</v>
      </c>
      <c r="Z298" s="76">
        <v>8</v>
      </c>
      <c r="AA298" s="76">
        <v>1</v>
      </c>
      <c r="AB298" s="77">
        <v>-1</v>
      </c>
      <c r="AC298" s="77">
        <v>1</v>
      </c>
      <c r="AD298" s="76">
        <v>8.5</v>
      </c>
      <c r="AE298" s="76">
        <v>0.5</v>
      </c>
      <c r="AF298" s="77">
        <v>-1</v>
      </c>
      <c r="AG298" s="77">
        <v>1</v>
      </c>
      <c r="AH298" s="76">
        <v>6</v>
      </c>
      <c r="AI298" s="76">
        <v>1</v>
      </c>
      <c r="AJ298" s="77">
        <v>-1</v>
      </c>
      <c r="AK298" s="77">
        <v>1</v>
      </c>
      <c r="AL298" s="76"/>
      <c r="AM298" s="76"/>
      <c r="AN298" s="77"/>
      <c r="AO298" s="77"/>
      <c r="AP298" s="76"/>
      <c r="AQ298" s="76"/>
      <c r="AR298" s="77"/>
      <c r="AS298" s="77"/>
      <c r="AT298" s="78">
        <v>0.75</v>
      </c>
    </row>
    <row r="299" spans="1:46" ht="12.5" x14ac:dyDescent="0.25">
      <c r="A299" s="79">
        <v>44797.584631331018</v>
      </c>
      <c r="B299" s="80" t="s">
        <v>168</v>
      </c>
      <c r="C299" s="80" t="str">
        <f>INDEX(TBL_Name,MATCH(Table2[[#This Row],[Athlete Name]],listNames,0),2)</f>
        <v>Athlete 26</v>
      </c>
      <c r="D299" s="80" t="s">
        <v>130</v>
      </c>
      <c r="E299" s="80">
        <v>8</v>
      </c>
      <c r="F299" s="80">
        <v>9</v>
      </c>
      <c r="G299" s="80">
        <v>9</v>
      </c>
      <c r="H299" s="80" t="s">
        <v>203</v>
      </c>
      <c r="I299" s="80">
        <v>4</v>
      </c>
      <c r="J299" s="80"/>
      <c r="K299" s="80"/>
      <c r="L299" s="80"/>
      <c r="M299" s="1" t="s">
        <v>546</v>
      </c>
      <c r="N299" s="1">
        <v>35</v>
      </c>
      <c r="O299" s="1">
        <v>3</v>
      </c>
      <c r="P299" s="13">
        <v>44797</v>
      </c>
      <c r="Q299" s="1" t="s">
        <v>133</v>
      </c>
      <c r="R299" s="1" t="s">
        <v>64</v>
      </c>
      <c r="S299" s="1">
        <v>1</v>
      </c>
      <c r="T299" s="1"/>
      <c r="U299" s="1" t="s">
        <v>5</v>
      </c>
      <c r="V299" s="76">
        <v>8</v>
      </c>
      <c r="W299" s="76">
        <v>0.70710678118654757</v>
      </c>
      <c r="X299" s="77">
        <v>0</v>
      </c>
      <c r="Y299" s="77">
        <v>3</v>
      </c>
      <c r="Z299" s="76">
        <v>7.5</v>
      </c>
      <c r="AA299" s="76">
        <v>1.5</v>
      </c>
      <c r="AB299" s="77">
        <v>1</v>
      </c>
      <c r="AC299" s="77">
        <v>4</v>
      </c>
      <c r="AD299" s="76">
        <v>8.25</v>
      </c>
      <c r="AE299" s="76">
        <v>0.82915619758884995</v>
      </c>
      <c r="AF299" s="77">
        <v>0.90453403373329089</v>
      </c>
      <c r="AG299" s="77">
        <v>3</v>
      </c>
      <c r="AH299" s="76">
        <v>5.25</v>
      </c>
      <c r="AI299" s="76">
        <v>1.0897247358851685</v>
      </c>
      <c r="AJ299" s="77">
        <v>-1.1470786693528088</v>
      </c>
      <c r="AK299" s="77">
        <v>1</v>
      </c>
      <c r="AL299" s="76"/>
      <c r="AM299" s="76"/>
      <c r="AN299" s="77"/>
      <c r="AO299" s="77"/>
      <c r="AP299" s="76"/>
      <c r="AQ299" s="76"/>
      <c r="AR299" s="77"/>
      <c r="AS299" s="77"/>
      <c r="AT299" s="78">
        <v>0.75</v>
      </c>
    </row>
    <row r="300" spans="1:46" ht="12.5" x14ac:dyDescent="0.25">
      <c r="A300" s="79">
        <v>44797.594072442131</v>
      </c>
      <c r="B300" s="80" t="s">
        <v>17</v>
      </c>
      <c r="C300" s="80" t="str">
        <f>INDEX(TBL_Name,MATCH(Table2[[#This Row],[Athlete Name]],listNames,0),2)</f>
        <v>Athlete 10</v>
      </c>
      <c r="D300" s="80" t="s">
        <v>143</v>
      </c>
      <c r="E300" s="80">
        <v>7</v>
      </c>
      <c r="F300" s="80">
        <v>9</v>
      </c>
      <c r="G300" s="80">
        <v>10</v>
      </c>
      <c r="H300" s="80" t="s">
        <v>498</v>
      </c>
      <c r="I300" s="80">
        <v>7</v>
      </c>
      <c r="J300" s="80"/>
      <c r="K300" s="80"/>
      <c r="L300" s="80"/>
      <c r="M300" s="1" t="s">
        <v>547</v>
      </c>
      <c r="N300" s="1">
        <v>35</v>
      </c>
      <c r="O300" s="1">
        <v>3</v>
      </c>
      <c r="P300" s="13">
        <v>44797</v>
      </c>
      <c r="Q300" s="1" t="s">
        <v>133</v>
      </c>
      <c r="R300" s="1" t="s">
        <v>64</v>
      </c>
      <c r="S300" s="1">
        <v>2</v>
      </c>
      <c r="T300" s="1"/>
      <c r="U300" s="1" t="s">
        <v>18</v>
      </c>
      <c r="V300" s="76">
        <v>8.4</v>
      </c>
      <c r="W300" s="76">
        <v>1.2000000000000002</v>
      </c>
      <c r="X300" s="77">
        <v>-1.1666666666666667</v>
      </c>
      <c r="Y300" s="77">
        <v>1</v>
      </c>
      <c r="Z300" s="76">
        <v>7.8</v>
      </c>
      <c r="AA300" s="76">
        <v>1.1661903789690602</v>
      </c>
      <c r="AB300" s="77">
        <v>1.0289915108550531</v>
      </c>
      <c r="AC300" s="77">
        <v>4</v>
      </c>
      <c r="AD300" s="76">
        <v>9.1999999999999993</v>
      </c>
      <c r="AE300" s="76">
        <v>0.74833147735478844</v>
      </c>
      <c r="AF300" s="77">
        <v>1.0690449676496983</v>
      </c>
      <c r="AG300" s="77">
        <v>4</v>
      </c>
      <c r="AH300" s="76">
        <v>7.2</v>
      </c>
      <c r="AI300" s="76">
        <v>0.74833147735478822</v>
      </c>
      <c r="AJ300" s="77">
        <v>-0.26726124191242462</v>
      </c>
      <c r="AK300" s="77">
        <v>2</v>
      </c>
      <c r="AL300" s="76"/>
      <c r="AM300" s="76"/>
      <c r="AN300" s="77"/>
      <c r="AO300" s="77"/>
      <c r="AP300" s="76"/>
      <c r="AQ300" s="76"/>
      <c r="AR300" s="77"/>
      <c r="AS300" s="77"/>
      <c r="AT300" s="78">
        <v>0.5625</v>
      </c>
    </row>
    <row r="301" spans="1:46" ht="12.5" x14ac:dyDescent="0.25">
      <c r="A301" s="79">
        <v>44797.615400625</v>
      </c>
      <c r="B301" s="80" t="s">
        <v>129</v>
      </c>
      <c r="C301" s="80" t="str">
        <f>INDEX(TBL_Name,MATCH(Table2[[#This Row],[Athlete Name]],listNames,0),2)</f>
        <v>Athlete 19</v>
      </c>
      <c r="D301" s="80" t="s">
        <v>130</v>
      </c>
      <c r="E301" s="80">
        <v>6</v>
      </c>
      <c r="F301" s="80">
        <v>4</v>
      </c>
      <c r="G301" s="80">
        <v>7</v>
      </c>
      <c r="H301" s="80" t="s">
        <v>489</v>
      </c>
      <c r="I301" s="80">
        <v>4</v>
      </c>
      <c r="J301" s="80"/>
      <c r="K301" s="80"/>
      <c r="L301" s="80"/>
      <c r="M301" s="1" t="s">
        <v>548</v>
      </c>
      <c r="N301" s="1">
        <v>35</v>
      </c>
      <c r="O301" s="1">
        <v>3</v>
      </c>
      <c r="P301" s="13">
        <v>44797</v>
      </c>
      <c r="Q301" s="1" t="s">
        <v>133</v>
      </c>
      <c r="R301" s="1" t="s">
        <v>64</v>
      </c>
      <c r="S301" s="1">
        <v>1</v>
      </c>
      <c r="T301" s="1"/>
      <c r="U301" s="1" t="s">
        <v>18</v>
      </c>
      <c r="V301" s="76">
        <v>6.8</v>
      </c>
      <c r="W301" s="76">
        <v>1.1661903789690602</v>
      </c>
      <c r="X301" s="77">
        <v>-0.68599434057003517</v>
      </c>
      <c r="Y301" s="77">
        <v>2</v>
      </c>
      <c r="Z301" s="76">
        <v>6.8</v>
      </c>
      <c r="AA301" s="76">
        <v>1.5999999999999999</v>
      </c>
      <c r="AB301" s="77">
        <v>-1.75</v>
      </c>
      <c r="AC301" s="77">
        <v>1</v>
      </c>
      <c r="AD301" s="76">
        <v>8.1999999999999993</v>
      </c>
      <c r="AE301" s="76">
        <v>0.97979589711327109</v>
      </c>
      <c r="AF301" s="77">
        <v>-1.2247448713915885</v>
      </c>
      <c r="AG301" s="77">
        <v>1</v>
      </c>
      <c r="AH301" s="76">
        <v>4.8</v>
      </c>
      <c r="AI301" s="76">
        <v>0.74833147735478811</v>
      </c>
      <c r="AJ301" s="77">
        <v>-1.0690449676496976</v>
      </c>
      <c r="AK301" s="77">
        <v>1</v>
      </c>
      <c r="AL301" s="76"/>
      <c r="AM301" s="76"/>
      <c r="AN301" s="77"/>
      <c r="AO301" s="77"/>
      <c r="AP301" s="76"/>
      <c r="AQ301" s="76"/>
      <c r="AR301" s="77"/>
      <c r="AS301" s="77"/>
      <c r="AT301" s="78">
        <v>0.4375</v>
      </c>
    </row>
    <row r="302" spans="1:46" ht="12.5" x14ac:dyDescent="0.25">
      <c r="A302" s="79">
        <v>44797.617253298609</v>
      </c>
      <c r="B302" s="80" t="s">
        <v>21</v>
      </c>
      <c r="C302" s="80" t="str">
        <f>INDEX(TBL_Name,MATCH(Table2[[#This Row],[Athlete Name]],listNames,0),2)</f>
        <v>Athlete 13</v>
      </c>
      <c r="D302" s="80" t="s">
        <v>130</v>
      </c>
      <c r="E302" s="80">
        <v>7</v>
      </c>
      <c r="F302" s="80">
        <v>8</v>
      </c>
      <c r="G302" s="80">
        <v>9</v>
      </c>
      <c r="H302" s="80" t="s">
        <v>549</v>
      </c>
      <c r="I302" s="80">
        <v>5</v>
      </c>
      <c r="J302" s="80"/>
      <c r="K302" s="80"/>
      <c r="L302" s="80"/>
      <c r="M302" s="1" t="s">
        <v>550</v>
      </c>
      <c r="N302" s="1">
        <v>35</v>
      </c>
      <c r="O302" s="1">
        <v>3</v>
      </c>
      <c r="P302" s="13">
        <v>44797</v>
      </c>
      <c r="Q302" s="1" t="s">
        <v>133</v>
      </c>
      <c r="R302" s="1" t="s">
        <v>64</v>
      </c>
      <c r="S302" s="1">
        <v>1</v>
      </c>
      <c r="T302" s="1"/>
      <c r="U302" s="1" t="s">
        <v>18</v>
      </c>
      <c r="V302" s="76">
        <v>6.2857142857142856</v>
      </c>
      <c r="W302" s="76">
        <v>0.88063057185271099</v>
      </c>
      <c r="X302" s="77">
        <v>0.81110710565381272</v>
      </c>
      <c r="Y302" s="77">
        <v>3</v>
      </c>
      <c r="Z302" s="76">
        <v>7.2857142857142856</v>
      </c>
      <c r="AA302" s="76">
        <v>1.905952009160905</v>
      </c>
      <c r="AB302" s="77">
        <v>0.37476584449793077</v>
      </c>
      <c r="AC302" s="77">
        <v>3</v>
      </c>
      <c r="AD302" s="76">
        <v>9.1428571428571423</v>
      </c>
      <c r="AE302" s="76">
        <v>0.34992710611188255</v>
      </c>
      <c r="AF302" s="77">
        <v>-0.40824829046386163</v>
      </c>
      <c r="AG302" s="77">
        <v>2</v>
      </c>
      <c r="AH302" s="76">
        <v>5</v>
      </c>
      <c r="AI302" s="76">
        <v>1.0690449676496976</v>
      </c>
      <c r="AJ302" s="77">
        <v>0</v>
      </c>
      <c r="AK302" s="77">
        <v>3</v>
      </c>
      <c r="AL302" s="76"/>
      <c r="AM302" s="76"/>
      <c r="AN302" s="77"/>
      <c r="AO302" s="77"/>
      <c r="AP302" s="76"/>
      <c r="AQ302" s="76"/>
      <c r="AR302" s="77"/>
      <c r="AS302" s="77"/>
      <c r="AT302" s="78">
        <v>0.75</v>
      </c>
    </row>
    <row r="303" spans="1:46" ht="12.5" x14ac:dyDescent="0.25">
      <c r="A303" s="79">
        <v>44798.27983881945</v>
      </c>
      <c r="B303" s="80" t="s">
        <v>148</v>
      </c>
      <c r="C303" s="80" t="str">
        <f>INDEX(TBL_Name,MATCH(Table2[[#This Row],[Athlete Name]],listNames,0),2)</f>
        <v>Athlete 22</v>
      </c>
      <c r="D303" s="80" t="s">
        <v>130</v>
      </c>
      <c r="E303" s="80">
        <v>10</v>
      </c>
      <c r="F303" s="80">
        <v>9</v>
      </c>
      <c r="G303" s="80">
        <v>10</v>
      </c>
      <c r="H303" s="80"/>
      <c r="I303" s="80">
        <v>9</v>
      </c>
      <c r="J303" s="80"/>
      <c r="K303" s="80"/>
      <c r="L303" s="80"/>
      <c r="M303" s="1" t="s">
        <v>551</v>
      </c>
      <c r="N303" s="1">
        <v>35</v>
      </c>
      <c r="O303" s="1">
        <v>3</v>
      </c>
      <c r="P303" s="13">
        <v>44798</v>
      </c>
      <c r="Q303" s="1" t="s">
        <v>133</v>
      </c>
      <c r="R303" s="1" t="s">
        <v>64</v>
      </c>
      <c r="S303" s="1">
        <v>1</v>
      </c>
      <c r="T303" s="1"/>
      <c r="U303" s="1" t="s">
        <v>11</v>
      </c>
      <c r="V303" s="76">
        <v>9.6</v>
      </c>
      <c r="W303" s="76">
        <v>0.79999999999999993</v>
      </c>
      <c r="X303" s="77">
        <v>0.50000000000000044</v>
      </c>
      <c r="Y303" s="77">
        <v>3</v>
      </c>
      <c r="Z303" s="76">
        <v>8.6</v>
      </c>
      <c r="AA303" s="76">
        <v>0.48989794855663565</v>
      </c>
      <c r="AB303" s="77">
        <v>0.8164965809277267</v>
      </c>
      <c r="AC303" s="77">
        <v>3</v>
      </c>
      <c r="AD303" s="76">
        <v>9.1999999999999993</v>
      </c>
      <c r="AE303" s="76">
        <v>0.74833147735478833</v>
      </c>
      <c r="AF303" s="77">
        <v>1.0690449676496985</v>
      </c>
      <c r="AG303" s="77">
        <v>4</v>
      </c>
      <c r="AH303" s="76">
        <v>9.6</v>
      </c>
      <c r="AI303" s="76">
        <v>0.48989794855663565</v>
      </c>
      <c r="AJ303" s="77">
        <v>-1.2247448713915883</v>
      </c>
      <c r="AK303" s="77">
        <v>1</v>
      </c>
      <c r="AL303" s="76"/>
      <c r="AM303" s="76"/>
      <c r="AN303" s="77"/>
      <c r="AO303" s="77"/>
      <c r="AP303" s="76"/>
      <c r="AQ303" s="76"/>
      <c r="AR303" s="77"/>
      <c r="AS303" s="77"/>
      <c r="AT303" s="78">
        <v>0.625</v>
      </c>
    </row>
    <row r="304" spans="1:46" ht="12.5" x14ac:dyDescent="0.25">
      <c r="A304" s="79">
        <v>44798.29243425926</v>
      </c>
      <c r="B304" s="80" t="s">
        <v>17</v>
      </c>
      <c r="C304" s="80" t="str">
        <f>INDEX(TBL_Name,MATCH(Table2[[#This Row],[Athlete Name]],listNames,0),2)</f>
        <v>Athlete 10</v>
      </c>
      <c r="D304" s="80" t="s">
        <v>130</v>
      </c>
      <c r="E304" s="80">
        <v>7</v>
      </c>
      <c r="F304" s="80">
        <v>8</v>
      </c>
      <c r="G304" s="80">
        <v>9</v>
      </c>
      <c r="H304" s="80" t="s">
        <v>498</v>
      </c>
      <c r="I304" s="80">
        <v>8</v>
      </c>
      <c r="J304" s="80"/>
      <c r="K304" s="80"/>
      <c r="L304" s="80"/>
      <c r="M304" s="1" t="s">
        <v>552</v>
      </c>
      <c r="N304" s="1">
        <v>35</v>
      </c>
      <c r="O304" s="1">
        <v>3</v>
      </c>
      <c r="P304" s="13">
        <v>44798</v>
      </c>
      <c r="Q304" s="1" t="s">
        <v>133</v>
      </c>
      <c r="R304" s="1" t="s">
        <v>64</v>
      </c>
      <c r="S304" s="1">
        <v>1</v>
      </c>
      <c r="T304" s="1"/>
      <c r="U304" s="1" t="s">
        <v>18</v>
      </c>
      <c r="V304" s="76">
        <v>8</v>
      </c>
      <c r="W304" s="76">
        <v>1.1547005383792515</v>
      </c>
      <c r="X304" s="77">
        <v>-0.86602540378443871</v>
      </c>
      <c r="Y304" s="77">
        <v>2</v>
      </c>
      <c r="Z304" s="76">
        <v>8.1666666666666661</v>
      </c>
      <c r="AA304" s="76">
        <v>0.68718427093627676</v>
      </c>
      <c r="AB304" s="77">
        <v>-0.24253562503633211</v>
      </c>
      <c r="AC304" s="77">
        <v>2</v>
      </c>
      <c r="AD304" s="76">
        <v>9.1666666666666661</v>
      </c>
      <c r="AE304" s="76">
        <v>0.68718427093627676</v>
      </c>
      <c r="AF304" s="77">
        <v>-0.24253562503633211</v>
      </c>
      <c r="AG304" s="77">
        <v>2</v>
      </c>
      <c r="AH304" s="76">
        <v>7.666666666666667</v>
      </c>
      <c r="AI304" s="76">
        <v>0.4714045207910319</v>
      </c>
      <c r="AJ304" s="77">
        <v>0.70710678118654657</v>
      </c>
      <c r="AK304" s="77">
        <v>3</v>
      </c>
      <c r="AL304" s="76"/>
      <c r="AM304" s="76"/>
      <c r="AN304" s="77"/>
      <c r="AO304" s="77"/>
      <c r="AP304" s="76"/>
      <c r="AQ304" s="76"/>
      <c r="AR304" s="77"/>
      <c r="AS304" s="77"/>
      <c r="AT304" s="78">
        <v>0.6875</v>
      </c>
    </row>
    <row r="305" spans="1:46" ht="12.5" x14ac:dyDescent="0.25">
      <c r="A305" s="79">
        <v>44798.292628090276</v>
      </c>
      <c r="B305" s="80" t="s">
        <v>10</v>
      </c>
      <c r="C305" s="80" t="str">
        <f>INDEX(TBL_Name,MATCH(Table2[[#This Row],[Athlete Name]],listNames,0),2)</f>
        <v>Athlete 5</v>
      </c>
      <c r="D305" s="80" t="s">
        <v>130</v>
      </c>
      <c r="E305" s="80">
        <v>8</v>
      </c>
      <c r="F305" s="80">
        <v>8</v>
      </c>
      <c r="G305" s="80">
        <v>8</v>
      </c>
      <c r="H305" s="80" t="s">
        <v>511</v>
      </c>
      <c r="I305" s="80">
        <v>5</v>
      </c>
      <c r="J305" s="80"/>
      <c r="K305" s="80"/>
      <c r="L305" s="80"/>
      <c r="M305" s="1" t="s">
        <v>553</v>
      </c>
      <c r="N305" s="1">
        <v>35</v>
      </c>
      <c r="O305" s="1">
        <v>3</v>
      </c>
      <c r="P305" s="13">
        <v>44798</v>
      </c>
      <c r="Q305" s="1" t="s">
        <v>133</v>
      </c>
      <c r="R305" s="1" t="s">
        <v>64</v>
      </c>
      <c r="S305" s="1">
        <v>1</v>
      </c>
      <c r="T305" s="1"/>
      <c r="U305" s="1" t="s">
        <v>11</v>
      </c>
      <c r="V305" s="76">
        <v>8.1666666666666661</v>
      </c>
      <c r="W305" s="76">
        <v>0.68718427093627688</v>
      </c>
      <c r="X305" s="77">
        <v>-0.24253562503633208</v>
      </c>
      <c r="Y305" s="77">
        <v>2</v>
      </c>
      <c r="Z305" s="76">
        <v>8.1666666666666661</v>
      </c>
      <c r="AA305" s="76">
        <v>0.37267799624996506</v>
      </c>
      <c r="AB305" s="77">
        <v>-0.44721359549995621</v>
      </c>
      <c r="AC305" s="77">
        <v>2</v>
      </c>
      <c r="AD305" s="76">
        <v>8.1666666666666661</v>
      </c>
      <c r="AE305" s="76">
        <v>0.37267799624996506</v>
      </c>
      <c r="AF305" s="77">
        <v>-0.44721359549995621</v>
      </c>
      <c r="AG305" s="77">
        <v>2</v>
      </c>
      <c r="AH305" s="76">
        <v>5.5</v>
      </c>
      <c r="AI305" s="76">
        <v>1.5</v>
      </c>
      <c r="AJ305" s="77">
        <v>-0.33333333333333331</v>
      </c>
      <c r="AK305" s="77">
        <v>2</v>
      </c>
      <c r="AL305" s="76"/>
      <c r="AM305" s="76"/>
      <c r="AN305" s="77"/>
      <c r="AO305" s="77"/>
      <c r="AP305" s="76"/>
      <c r="AQ305" s="76"/>
      <c r="AR305" s="77"/>
      <c r="AS305" s="77"/>
      <c r="AT305" s="78">
        <v>0.4375</v>
      </c>
    </row>
    <row r="306" spans="1:46" ht="12.5" x14ac:dyDescent="0.25">
      <c r="A306" s="79">
        <v>44798.327182002315</v>
      </c>
      <c r="B306" s="80" t="s">
        <v>129</v>
      </c>
      <c r="C306" s="80" t="str">
        <f>INDEX(TBL_Name,MATCH(Table2[[#This Row],[Athlete Name]],listNames,0),2)</f>
        <v>Athlete 19</v>
      </c>
      <c r="D306" s="80" t="s">
        <v>130</v>
      </c>
      <c r="E306" s="80">
        <v>6</v>
      </c>
      <c r="F306" s="80">
        <v>5</v>
      </c>
      <c r="G306" s="80">
        <v>7</v>
      </c>
      <c r="H306" s="80" t="s">
        <v>554</v>
      </c>
      <c r="I306" s="80">
        <v>5</v>
      </c>
      <c r="J306" s="80"/>
      <c r="K306" s="80"/>
      <c r="L306" s="80"/>
      <c r="M306" s="1" t="s">
        <v>555</v>
      </c>
      <c r="N306" s="1">
        <v>35</v>
      </c>
      <c r="O306" s="1">
        <v>3</v>
      </c>
      <c r="P306" s="13">
        <v>44798</v>
      </c>
      <c r="Q306" s="1" t="s">
        <v>133</v>
      </c>
      <c r="R306" s="1" t="s">
        <v>64</v>
      </c>
      <c r="S306" s="1">
        <v>1</v>
      </c>
      <c r="T306" s="1"/>
      <c r="U306" s="1" t="s">
        <v>18</v>
      </c>
      <c r="V306" s="76">
        <v>6.4</v>
      </c>
      <c r="W306" s="76">
        <v>1.019803902718557</v>
      </c>
      <c r="X306" s="77">
        <v>-0.39223227027636837</v>
      </c>
      <c r="Y306" s="77">
        <v>2</v>
      </c>
      <c r="Z306" s="76">
        <v>6</v>
      </c>
      <c r="AA306" s="76">
        <v>1.2649110640673518</v>
      </c>
      <c r="AB306" s="77">
        <v>-0.79056941504209477</v>
      </c>
      <c r="AC306" s="77">
        <v>2</v>
      </c>
      <c r="AD306" s="76">
        <v>8</v>
      </c>
      <c r="AE306" s="76">
        <v>1.0954451150103321</v>
      </c>
      <c r="AF306" s="77">
        <v>-0.9128709291752769</v>
      </c>
      <c r="AG306" s="77">
        <v>2</v>
      </c>
      <c r="AH306" s="76">
        <v>4.8</v>
      </c>
      <c r="AI306" s="76">
        <v>0.74833147735478822</v>
      </c>
      <c r="AJ306" s="77">
        <v>0.26726124191242462</v>
      </c>
      <c r="AK306" s="77">
        <v>3</v>
      </c>
      <c r="AL306" s="76"/>
      <c r="AM306" s="76"/>
      <c r="AN306" s="77"/>
      <c r="AO306" s="77"/>
      <c r="AP306" s="76"/>
      <c r="AQ306" s="76"/>
      <c r="AR306" s="77"/>
      <c r="AS306" s="77"/>
      <c r="AT306" s="78">
        <v>0.4375</v>
      </c>
    </row>
    <row r="307" spans="1:46" ht="12.5" x14ac:dyDescent="0.25">
      <c r="A307" s="79">
        <v>44798.328182546291</v>
      </c>
      <c r="B307" s="80" t="s">
        <v>185</v>
      </c>
      <c r="C307" s="80" t="str">
        <f>INDEX(TBL_Name,MATCH(Table2[[#This Row],[Athlete Name]],listNames,0),2)</f>
        <v>Athlete 30</v>
      </c>
      <c r="D307" s="80" t="s">
        <v>130</v>
      </c>
      <c r="E307" s="80">
        <v>9</v>
      </c>
      <c r="F307" s="80">
        <v>6</v>
      </c>
      <c r="G307" s="80">
        <v>7</v>
      </c>
      <c r="H307" s="80" t="s">
        <v>531</v>
      </c>
      <c r="I307" s="80">
        <v>5</v>
      </c>
      <c r="J307" s="80"/>
      <c r="K307" s="80"/>
      <c r="L307" s="80"/>
      <c r="M307" s="1" t="s">
        <v>556</v>
      </c>
      <c r="N307" s="1">
        <v>35</v>
      </c>
      <c r="O307" s="1">
        <v>3</v>
      </c>
      <c r="P307" s="13">
        <v>44798</v>
      </c>
      <c r="Q307" s="1" t="s">
        <v>133</v>
      </c>
      <c r="R307" s="1" t="s">
        <v>64</v>
      </c>
      <c r="S307" s="1">
        <v>1</v>
      </c>
      <c r="T307" s="1"/>
      <c r="U307" s="1" t="s">
        <v>26</v>
      </c>
      <c r="V307" s="76">
        <v>9.5714285714285712</v>
      </c>
      <c r="W307" s="76">
        <v>0.4948716593053939</v>
      </c>
      <c r="X307" s="77">
        <v>-1.1547005383792501</v>
      </c>
      <c r="Y307" s="77">
        <v>1</v>
      </c>
      <c r="Z307" s="76">
        <v>4.8571428571428568</v>
      </c>
      <c r="AA307" s="76">
        <v>0.98974331861078702</v>
      </c>
      <c r="AB307" s="77">
        <v>1.1547005383792519</v>
      </c>
      <c r="AC307" s="77">
        <v>4</v>
      </c>
      <c r="AD307" s="76">
        <v>7</v>
      </c>
      <c r="AE307" s="76">
        <v>0.92582009977255142</v>
      </c>
      <c r="AF307" s="77">
        <v>0</v>
      </c>
      <c r="AG307" s="77">
        <v>3</v>
      </c>
      <c r="AH307" s="76">
        <v>5.7142857142857144</v>
      </c>
      <c r="AI307" s="76">
        <v>0.45175395145262559</v>
      </c>
      <c r="AJ307" s="77">
        <v>-1.58113883008419</v>
      </c>
      <c r="AK307" s="77">
        <v>1</v>
      </c>
      <c r="AL307" s="76"/>
      <c r="AM307" s="76"/>
      <c r="AN307" s="77"/>
      <c r="AO307" s="77"/>
      <c r="AP307" s="76"/>
      <c r="AQ307" s="76"/>
      <c r="AR307" s="77"/>
      <c r="AS307" s="77"/>
      <c r="AT307" s="78">
        <v>0.25</v>
      </c>
    </row>
    <row r="308" spans="1:46" ht="12.5" x14ac:dyDescent="0.25">
      <c r="A308" s="79">
        <v>44798.334358344902</v>
      </c>
      <c r="B308" s="80" t="s">
        <v>196</v>
      </c>
      <c r="C308" s="80" t="str">
        <f>INDEX(TBL_Name,MATCH(Table2[[#This Row],[Athlete Name]],listNames,0),2)</f>
        <v>Athlete 31</v>
      </c>
      <c r="D308" s="80" t="s">
        <v>130</v>
      </c>
      <c r="E308" s="80">
        <v>7</v>
      </c>
      <c r="F308" s="80">
        <v>8</v>
      </c>
      <c r="G308" s="80">
        <v>9</v>
      </c>
      <c r="H308" s="80" t="s">
        <v>66</v>
      </c>
      <c r="I308" s="80">
        <v>8</v>
      </c>
      <c r="J308" s="80"/>
      <c r="K308" s="80"/>
      <c r="L308" s="80"/>
      <c r="M308" s="1" t="s">
        <v>557</v>
      </c>
      <c r="N308" s="1">
        <v>35</v>
      </c>
      <c r="O308" s="1">
        <v>3</v>
      </c>
      <c r="P308" s="13">
        <v>44798</v>
      </c>
      <c r="Q308" s="1" t="s">
        <v>133</v>
      </c>
      <c r="R308" s="1" t="s">
        <v>64</v>
      </c>
      <c r="S308" s="1">
        <v>1</v>
      </c>
      <c r="T308" s="1"/>
      <c r="U308" s="1" t="s">
        <v>28</v>
      </c>
      <c r="V308" s="76">
        <v>7</v>
      </c>
      <c r="W308" s="76">
        <v>0.53452248382484879</v>
      </c>
      <c r="X308" s="77">
        <v>0</v>
      </c>
      <c r="Y308" s="77">
        <v>3</v>
      </c>
      <c r="Z308" s="76">
        <v>8.1428571428571423</v>
      </c>
      <c r="AA308" s="76">
        <v>0.98974331861078679</v>
      </c>
      <c r="AB308" s="77">
        <v>-0.14433756729740596</v>
      </c>
      <c r="AC308" s="77">
        <v>2</v>
      </c>
      <c r="AD308" s="76">
        <v>8.5</v>
      </c>
      <c r="AE308" s="76">
        <v>0.53452248382484879</v>
      </c>
      <c r="AF308" s="77">
        <v>0.93541434669348533</v>
      </c>
      <c r="AG308" s="77">
        <v>3</v>
      </c>
      <c r="AH308" s="76">
        <v>7.8571428571428568</v>
      </c>
      <c r="AI308" s="76">
        <v>0.83299312783504298</v>
      </c>
      <c r="AJ308" s="77">
        <v>0.17149858514250929</v>
      </c>
      <c r="AK308" s="77">
        <v>3</v>
      </c>
      <c r="AL308" s="76"/>
      <c r="AM308" s="76"/>
      <c r="AN308" s="77"/>
      <c r="AO308" s="77"/>
      <c r="AP308" s="76"/>
      <c r="AQ308" s="76"/>
      <c r="AR308" s="77"/>
      <c r="AS308" s="77"/>
      <c r="AT308" s="78">
        <v>0.9375</v>
      </c>
    </row>
    <row r="309" spans="1:46" ht="12.5" x14ac:dyDescent="0.25">
      <c r="A309" s="79">
        <v>44798.433100300928</v>
      </c>
      <c r="B309" s="80" t="s">
        <v>6</v>
      </c>
      <c r="C309" s="80" t="str">
        <f>INDEX(TBL_Name,MATCH(Table2[[#This Row],[Athlete Name]],listNames,0),2)</f>
        <v>Athlete 2</v>
      </c>
      <c r="D309" s="80" t="s">
        <v>130</v>
      </c>
      <c r="E309" s="80">
        <v>9</v>
      </c>
      <c r="F309" s="80">
        <v>7</v>
      </c>
      <c r="G309" s="80">
        <v>9</v>
      </c>
      <c r="H309" s="80" t="s">
        <v>231</v>
      </c>
      <c r="I309" s="80">
        <v>6</v>
      </c>
      <c r="J309" s="80"/>
      <c r="K309" s="80"/>
      <c r="L309" s="80"/>
      <c r="M309" s="1" t="s">
        <v>558</v>
      </c>
      <c r="N309" s="1">
        <v>35</v>
      </c>
      <c r="O309" s="1">
        <v>3</v>
      </c>
      <c r="P309" s="13">
        <v>44798</v>
      </c>
      <c r="Q309" s="1" t="s">
        <v>133</v>
      </c>
      <c r="R309" s="1" t="s">
        <v>64</v>
      </c>
      <c r="S309" s="1">
        <v>1</v>
      </c>
      <c r="T309" s="1"/>
      <c r="U309" s="1" t="s">
        <v>5</v>
      </c>
      <c r="V309" s="76">
        <v>9.4</v>
      </c>
      <c r="W309" s="76">
        <v>0.48989794855663549</v>
      </c>
      <c r="X309" s="77">
        <v>-0.81649658092772703</v>
      </c>
      <c r="Y309" s="77">
        <v>2</v>
      </c>
      <c r="Z309" s="76">
        <v>6.4</v>
      </c>
      <c r="AA309" s="76">
        <v>1.6248076809271921</v>
      </c>
      <c r="AB309" s="77">
        <v>0.36927447293799798</v>
      </c>
      <c r="AC309" s="77">
        <v>3</v>
      </c>
      <c r="AD309" s="76">
        <v>9</v>
      </c>
      <c r="AE309" s="76">
        <v>0.63245553203367588</v>
      </c>
      <c r="AF309" s="77">
        <v>0</v>
      </c>
      <c r="AG309" s="77">
        <v>3</v>
      </c>
      <c r="AH309" s="76">
        <v>6.4</v>
      </c>
      <c r="AI309" s="76">
        <v>1.019803902718557</v>
      </c>
      <c r="AJ309" s="77">
        <v>-0.39223227027636837</v>
      </c>
      <c r="AK309" s="77">
        <v>2</v>
      </c>
      <c r="AL309" s="76"/>
      <c r="AM309" s="76"/>
      <c r="AN309" s="77"/>
      <c r="AO309" s="77"/>
      <c r="AP309" s="76"/>
      <c r="AQ309" s="76"/>
      <c r="AR309" s="77"/>
      <c r="AS309" s="77"/>
      <c r="AT309" s="78">
        <v>0.375</v>
      </c>
    </row>
    <row r="310" spans="1:46" ht="12.5" x14ac:dyDescent="0.25">
      <c r="A310" s="79">
        <v>44798.433191168981</v>
      </c>
      <c r="B310" s="80" t="s">
        <v>21</v>
      </c>
      <c r="C310" s="80" t="str">
        <f>INDEX(TBL_Name,MATCH(Table2[[#This Row],[Athlete Name]],listNames,0),2)</f>
        <v>Athlete 13</v>
      </c>
      <c r="D310" s="80" t="s">
        <v>130</v>
      </c>
      <c r="E310" s="80">
        <v>7</v>
      </c>
      <c r="F310" s="80">
        <v>7</v>
      </c>
      <c r="G310" s="80">
        <v>9</v>
      </c>
      <c r="H310" s="80" t="s">
        <v>559</v>
      </c>
      <c r="I310" s="80">
        <v>6</v>
      </c>
      <c r="J310" s="80"/>
      <c r="K310" s="80"/>
      <c r="L310" s="80"/>
      <c r="M310" s="1" t="s">
        <v>560</v>
      </c>
      <c r="N310" s="1">
        <v>35</v>
      </c>
      <c r="O310" s="1">
        <v>3</v>
      </c>
      <c r="P310" s="13">
        <v>44798</v>
      </c>
      <c r="Q310" s="1" t="s">
        <v>133</v>
      </c>
      <c r="R310" s="1" t="s">
        <v>64</v>
      </c>
      <c r="S310" s="1">
        <v>1</v>
      </c>
      <c r="T310" s="1"/>
      <c r="U310" s="1" t="s">
        <v>18</v>
      </c>
      <c r="V310" s="76">
        <v>6.2857142857142856</v>
      </c>
      <c r="W310" s="76">
        <v>0.88063057185271076</v>
      </c>
      <c r="X310" s="77">
        <v>0.81110710565381294</v>
      </c>
      <c r="Y310" s="77">
        <v>3</v>
      </c>
      <c r="Z310" s="76">
        <v>7</v>
      </c>
      <c r="AA310" s="76">
        <v>1.7728105208558367</v>
      </c>
      <c r="AB310" s="77">
        <v>0</v>
      </c>
      <c r="AC310" s="77">
        <v>3</v>
      </c>
      <c r="AD310" s="76">
        <v>9.1428571428571423</v>
      </c>
      <c r="AE310" s="76">
        <v>0.34992710611188255</v>
      </c>
      <c r="AF310" s="77">
        <v>-0.40824829046386163</v>
      </c>
      <c r="AG310" s="77">
        <v>2</v>
      </c>
      <c r="AH310" s="76">
        <v>5.4285714285714288</v>
      </c>
      <c r="AI310" s="76">
        <v>0.72843135908468348</v>
      </c>
      <c r="AJ310" s="77">
        <v>0.78446454055273585</v>
      </c>
      <c r="AK310" s="77">
        <v>3</v>
      </c>
      <c r="AL310" s="76"/>
      <c r="AM310" s="76"/>
      <c r="AN310" s="77"/>
      <c r="AO310" s="77"/>
      <c r="AP310" s="76"/>
      <c r="AQ310" s="76"/>
      <c r="AR310" s="77"/>
      <c r="AS310" s="77"/>
      <c r="AT310" s="78">
        <v>0.75</v>
      </c>
    </row>
    <row r="311" spans="1:46" ht="12.5" x14ac:dyDescent="0.25">
      <c r="A311" s="79">
        <v>44798.435561307866</v>
      </c>
      <c r="B311" s="80" t="s">
        <v>171</v>
      </c>
      <c r="C311" s="80" t="str">
        <f>INDEX(TBL_Name,MATCH(Table2[[#This Row],[Athlete Name]],listNames,0),2)</f>
        <v>Athlete 27</v>
      </c>
      <c r="D311" s="80" t="s">
        <v>130</v>
      </c>
      <c r="E311" s="80">
        <v>4</v>
      </c>
      <c r="F311" s="80">
        <v>10</v>
      </c>
      <c r="G311" s="80">
        <v>10</v>
      </c>
      <c r="H311" s="80" t="s">
        <v>561</v>
      </c>
      <c r="I311" s="80">
        <v>7</v>
      </c>
      <c r="J311" s="80"/>
      <c r="K311" s="80"/>
      <c r="L311" s="80"/>
      <c r="M311" s="1" t="s">
        <v>562</v>
      </c>
      <c r="N311" s="1">
        <v>35</v>
      </c>
      <c r="O311" s="1">
        <v>3</v>
      </c>
      <c r="P311" s="13">
        <v>44798</v>
      </c>
      <c r="Q311" s="1" t="s">
        <v>133</v>
      </c>
      <c r="R311" s="1" t="s">
        <v>64</v>
      </c>
      <c r="S311" s="1">
        <v>1</v>
      </c>
      <c r="T311" s="1"/>
      <c r="U311" s="1" t="s">
        <v>8</v>
      </c>
      <c r="V311" s="76">
        <v>8.3333333333333339</v>
      </c>
      <c r="W311" s="76">
        <v>2.4267032964268389</v>
      </c>
      <c r="X311" s="77">
        <v>-1.785687331332958</v>
      </c>
      <c r="Y311" s="77">
        <v>1</v>
      </c>
      <c r="Z311" s="76">
        <v>9</v>
      </c>
      <c r="AA311" s="76">
        <v>0.81649658092772592</v>
      </c>
      <c r="AB311" s="77">
        <v>1.2247448713915892</v>
      </c>
      <c r="AC311" s="77">
        <v>4</v>
      </c>
      <c r="AD311" s="76">
        <v>8.5</v>
      </c>
      <c r="AE311" s="76">
        <v>0.76376261582597349</v>
      </c>
      <c r="AF311" s="77">
        <v>1.963961012123931</v>
      </c>
      <c r="AG311" s="77">
        <v>4</v>
      </c>
      <c r="AH311" s="76">
        <v>8.1666666666666661</v>
      </c>
      <c r="AI311" s="76">
        <v>1.3437096247164249</v>
      </c>
      <c r="AJ311" s="77">
        <v>-0.86824314212445886</v>
      </c>
      <c r="AK311" s="77">
        <v>2</v>
      </c>
      <c r="AL311" s="76"/>
      <c r="AM311" s="76"/>
      <c r="AN311" s="77"/>
      <c r="AO311" s="77"/>
      <c r="AP311" s="76"/>
      <c r="AQ311" s="76"/>
      <c r="AR311" s="77"/>
      <c r="AS311" s="77"/>
      <c r="AT311" s="78">
        <v>0.5625</v>
      </c>
    </row>
    <row r="312" spans="1:46" ht="12.5" x14ac:dyDescent="0.25">
      <c r="A312" s="79">
        <v>44798.435679664355</v>
      </c>
      <c r="B312" s="80" t="s">
        <v>15</v>
      </c>
      <c r="C312" s="80" t="str">
        <f>INDEX(TBL_Name,MATCH(Table2[[#This Row],[Athlete Name]],listNames,0),2)</f>
        <v>Athlete 8</v>
      </c>
      <c r="D312" s="80" t="s">
        <v>130</v>
      </c>
      <c r="E312" s="80">
        <v>7</v>
      </c>
      <c r="F312" s="80">
        <v>10</v>
      </c>
      <c r="G312" s="80">
        <v>9</v>
      </c>
      <c r="H312" s="80" t="s">
        <v>287</v>
      </c>
      <c r="I312" s="80">
        <v>6</v>
      </c>
      <c r="J312" s="80"/>
      <c r="K312" s="80"/>
      <c r="L312" s="80"/>
      <c r="M312" s="1" t="s">
        <v>563</v>
      </c>
      <c r="N312" s="1">
        <v>35</v>
      </c>
      <c r="O312" s="1">
        <v>3</v>
      </c>
      <c r="P312" s="13">
        <v>44798</v>
      </c>
      <c r="Q312" s="1" t="s">
        <v>133</v>
      </c>
      <c r="R312" s="1" t="s">
        <v>64</v>
      </c>
      <c r="S312" s="1">
        <v>1</v>
      </c>
      <c r="T312" s="1"/>
      <c r="U312" s="1" t="s">
        <v>14</v>
      </c>
      <c r="V312" s="76">
        <v>9.4</v>
      </c>
      <c r="W312" s="76">
        <v>1.2000000000000002</v>
      </c>
      <c r="X312" s="77">
        <v>-2</v>
      </c>
      <c r="Y312" s="77">
        <v>1</v>
      </c>
      <c r="Z312" s="76">
        <v>9.4</v>
      </c>
      <c r="AA312" s="76">
        <v>0.79999999999999993</v>
      </c>
      <c r="AB312" s="77">
        <v>0.74999999999999967</v>
      </c>
      <c r="AC312" s="77">
        <v>3</v>
      </c>
      <c r="AD312" s="76">
        <v>9</v>
      </c>
      <c r="AE312" s="76">
        <v>0</v>
      </c>
      <c r="AF312" s="77">
        <v>0</v>
      </c>
      <c r="AG312" s="77">
        <v>3</v>
      </c>
      <c r="AH312" s="76">
        <v>6.2</v>
      </c>
      <c r="AI312" s="76">
        <v>1.3266499161421601</v>
      </c>
      <c r="AJ312" s="77">
        <v>-0.15075567228888193</v>
      </c>
      <c r="AK312" s="77">
        <v>2</v>
      </c>
      <c r="AL312" s="76"/>
      <c r="AM312" s="76"/>
      <c r="AN312" s="77"/>
      <c r="AO312" s="77"/>
      <c r="AP312" s="76"/>
      <c r="AQ312" s="76"/>
      <c r="AR312" s="77"/>
      <c r="AS312" s="77"/>
      <c r="AT312" s="78">
        <v>0.4375</v>
      </c>
    </row>
    <row r="313" spans="1:46" ht="12.5" x14ac:dyDescent="0.25">
      <c r="A313" s="79">
        <v>44798.45393797454</v>
      </c>
      <c r="B313" s="80" t="s">
        <v>25</v>
      </c>
      <c r="C313" s="80" t="str">
        <f>INDEX(TBL_Name,MATCH(Table2[[#This Row],[Athlete Name]],listNames,0),2)</f>
        <v>Athlete 23</v>
      </c>
      <c r="D313" s="80" t="s">
        <v>143</v>
      </c>
      <c r="E313" s="80">
        <v>9</v>
      </c>
      <c r="F313" s="80">
        <v>9</v>
      </c>
      <c r="G313" s="80">
        <v>10</v>
      </c>
      <c r="H313" s="80" t="s">
        <v>193</v>
      </c>
      <c r="I313" s="80">
        <v>5</v>
      </c>
      <c r="J313" s="80"/>
      <c r="K313" s="80"/>
      <c r="L313" s="80"/>
      <c r="M313" s="1" t="s">
        <v>564</v>
      </c>
      <c r="N313" s="1">
        <v>35</v>
      </c>
      <c r="O313" s="1">
        <v>3</v>
      </c>
      <c r="P313" s="13">
        <v>44798</v>
      </c>
      <c r="Q313" s="1" t="s">
        <v>133</v>
      </c>
      <c r="R313" s="1" t="s">
        <v>64</v>
      </c>
      <c r="S313" s="1">
        <v>2</v>
      </c>
      <c r="T313" s="1"/>
      <c r="U313" s="1" t="s">
        <v>26</v>
      </c>
      <c r="V313" s="76">
        <v>9</v>
      </c>
      <c r="W313" s="76">
        <v>0.57735026918962573</v>
      </c>
      <c r="X313" s="77">
        <v>0</v>
      </c>
      <c r="Y313" s="77">
        <v>3</v>
      </c>
      <c r="Z313" s="76">
        <v>8.8333333333333339</v>
      </c>
      <c r="AA313" s="76">
        <v>0.37267799624996478</v>
      </c>
      <c r="AB313" s="77">
        <v>0.44721359549995654</v>
      </c>
      <c r="AC313" s="77">
        <v>3</v>
      </c>
      <c r="AD313" s="76">
        <v>9.5</v>
      </c>
      <c r="AE313" s="76">
        <v>0.76376261582597327</v>
      </c>
      <c r="AF313" s="77">
        <v>0.6546536707079772</v>
      </c>
      <c r="AG313" s="77">
        <v>3</v>
      </c>
      <c r="AH313" s="76">
        <v>6.333333333333333</v>
      </c>
      <c r="AI313" s="76">
        <v>2.1343747458109497</v>
      </c>
      <c r="AJ313" s="77">
        <v>-0.62469504755442407</v>
      </c>
      <c r="AK313" s="77">
        <v>2</v>
      </c>
      <c r="AL313" s="76"/>
      <c r="AM313" s="76"/>
      <c r="AN313" s="77"/>
      <c r="AO313" s="77"/>
      <c r="AP313" s="76"/>
      <c r="AQ313" s="76"/>
      <c r="AR313" s="77"/>
      <c r="AS313" s="77"/>
      <c r="AT313" s="78">
        <v>0.6875</v>
      </c>
    </row>
    <row r="314" spans="1:46" ht="12.5" x14ac:dyDescent="0.25">
      <c r="A314" s="79">
        <v>44798.477838125</v>
      </c>
      <c r="B314" s="80" t="s">
        <v>17</v>
      </c>
      <c r="C314" s="80" t="str">
        <f>INDEX(TBL_Name,MATCH(Table2[[#This Row],[Athlete Name]],listNames,0),2)</f>
        <v>Athlete 10</v>
      </c>
      <c r="D314" s="80" t="s">
        <v>143</v>
      </c>
      <c r="E314" s="80">
        <v>8</v>
      </c>
      <c r="F314" s="80">
        <v>8</v>
      </c>
      <c r="G314" s="80">
        <v>9</v>
      </c>
      <c r="H314" s="80" t="s">
        <v>498</v>
      </c>
      <c r="I314" s="80">
        <v>8</v>
      </c>
      <c r="J314" s="80"/>
      <c r="K314" s="80"/>
      <c r="L314" s="80"/>
      <c r="M314" s="1" t="s">
        <v>552</v>
      </c>
      <c r="N314" s="1">
        <v>35</v>
      </c>
      <c r="O314" s="1">
        <v>3</v>
      </c>
      <c r="P314" s="13">
        <v>44798</v>
      </c>
      <c r="Q314" s="1" t="s">
        <v>133</v>
      </c>
      <c r="R314" s="1" t="s">
        <v>64</v>
      </c>
      <c r="S314" s="1">
        <v>2</v>
      </c>
      <c r="T314" s="1"/>
      <c r="U314" s="1" t="s">
        <v>18</v>
      </c>
      <c r="V314" s="76">
        <v>8</v>
      </c>
      <c r="W314" s="76">
        <v>1.1547005383792515</v>
      </c>
      <c r="X314" s="77">
        <v>0</v>
      </c>
      <c r="Y314" s="77">
        <v>3</v>
      </c>
      <c r="Z314" s="76">
        <v>8.1666666666666661</v>
      </c>
      <c r="AA314" s="76">
        <v>0.68718427093627676</v>
      </c>
      <c r="AB314" s="77">
        <v>-0.24253562503633211</v>
      </c>
      <c r="AC314" s="77">
        <v>2</v>
      </c>
      <c r="AD314" s="76">
        <v>9.1666666666666661</v>
      </c>
      <c r="AE314" s="76">
        <v>0.68718427093627676</v>
      </c>
      <c r="AF314" s="77">
        <v>-0.24253562503633211</v>
      </c>
      <c r="AG314" s="77">
        <v>2</v>
      </c>
      <c r="AH314" s="76">
        <v>7.666666666666667</v>
      </c>
      <c r="AI314" s="76">
        <v>0.4714045207910319</v>
      </c>
      <c r="AJ314" s="77">
        <v>0.70710678118654657</v>
      </c>
      <c r="AK314" s="77">
        <v>3</v>
      </c>
      <c r="AL314" s="76"/>
      <c r="AM314" s="76"/>
      <c r="AN314" s="77"/>
      <c r="AO314" s="77"/>
      <c r="AP314" s="76"/>
      <c r="AQ314" s="76"/>
      <c r="AR314" s="77"/>
      <c r="AS314" s="77"/>
      <c r="AT314" s="78">
        <v>0.75</v>
      </c>
    </row>
    <row r="315" spans="1:46" ht="12.5" x14ac:dyDescent="0.25">
      <c r="A315" s="79">
        <v>44798.479379074073</v>
      </c>
      <c r="B315" s="80" t="s">
        <v>177</v>
      </c>
      <c r="C315" s="80" t="str">
        <f>INDEX(TBL_Name,MATCH(Table2[[#This Row],[Athlete Name]],listNames,0),2)</f>
        <v>Athlete 28</v>
      </c>
      <c r="D315" s="80" t="s">
        <v>130</v>
      </c>
      <c r="E315" s="80">
        <v>4</v>
      </c>
      <c r="F315" s="80">
        <v>9</v>
      </c>
      <c r="G315" s="80">
        <v>10</v>
      </c>
      <c r="H315" s="80" t="s">
        <v>228</v>
      </c>
      <c r="I315" s="80">
        <v>9</v>
      </c>
      <c r="J315" s="80"/>
      <c r="K315" s="80"/>
      <c r="L315" s="80"/>
      <c r="M315" s="1" t="s">
        <v>565</v>
      </c>
      <c r="N315" s="1">
        <v>35</v>
      </c>
      <c r="O315" s="1">
        <v>3</v>
      </c>
      <c r="P315" s="13">
        <v>44798</v>
      </c>
      <c r="Q315" s="1" t="s">
        <v>133</v>
      </c>
      <c r="R315" s="1" t="s">
        <v>64</v>
      </c>
      <c r="S315" s="1">
        <v>1</v>
      </c>
      <c r="T315" s="1"/>
      <c r="U315" s="1" t="s">
        <v>28</v>
      </c>
      <c r="V315" s="76">
        <v>3.5</v>
      </c>
      <c r="W315" s="76">
        <v>0.8660254037844386</v>
      </c>
      <c r="X315" s="77">
        <v>0.57735026918962584</v>
      </c>
      <c r="Y315" s="77">
        <v>3</v>
      </c>
      <c r="Z315" s="76">
        <v>7</v>
      </c>
      <c r="AA315" s="76">
        <v>2.4494897427831779</v>
      </c>
      <c r="AB315" s="77">
        <v>0.81649658092772615</v>
      </c>
      <c r="AC315" s="77">
        <v>3</v>
      </c>
      <c r="AD315" s="76">
        <v>8.75</v>
      </c>
      <c r="AE315" s="76">
        <v>2.2776083947860744</v>
      </c>
      <c r="AF315" s="77">
        <v>0.54882129994845186</v>
      </c>
      <c r="AG315" s="77">
        <v>3</v>
      </c>
      <c r="AH315" s="76">
        <v>8.5</v>
      </c>
      <c r="AI315" s="76">
        <v>0.49999999999999978</v>
      </c>
      <c r="AJ315" s="77">
        <v>1.0000000000000004</v>
      </c>
      <c r="AK315" s="77">
        <v>4</v>
      </c>
      <c r="AL315" s="76"/>
      <c r="AM315" s="76"/>
      <c r="AN315" s="77"/>
      <c r="AO315" s="77"/>
      <c r="AP315" s="76"/>
      <c r="AQ315" s="76"/>
      <c r="AR315" s="77"/>
      <c r="AS315" s="77"/>
      <c r="AT315" s="78">
        <v>0.9375</v>
      </c>
    </row>
    <row r="316" spans="1:46" ht="12.5" x14ac:dyDescent="0.25">
      <c r="A316" s="79">
        <v>44798.568154085646</v>
      </c>
      <c r="B316" s="80" t="s">
        <v>13</v>
      </c>
      <c r="C316" s="80" t="str">
        <f>INDEX(TBL_Name,MATCH(Table2[[#This Row],[Athlete Name]],listNames,0),2)</f>
        <v>Athlete 7</v>
      </c>
      <c r="D316" s="80" t="s">
        <v>130</v>
      </c>
      <c r="E316" s="80">
        <v>4</v>
      </c>
      <c r="F316" s="80">
        <v>7</v>
      </c>
      <c r="G316" s="80">
        <v>8</v>
      </c>
      <c r="H316" s="80" t="s">
        <v>432</v>
      </c>
      <c r="I316" s="80">
        <v>8</v>
      </c>
      <c r="J316" s="80"/>
      <c r="K316" s="80"/>
      <c r="L316" s="80"/>
      <c r="M316" s="1" t="s">
        <v>566</v>
      </c>
      <c r="N316" s="1">
        <v>35</v>
      </c>
      <c r="O316" s="1">
        <v>3</v>
      </c>
      <c r="P316" s="13">
        <v>44798</v>
      </c>
      <c r="Q316" s="1" t="s">
        <v>133</v>
      </c>
      <c r="R316" s="1" t="s">
        <v>64</v>
      </c>
      <c r="S316" s="1">
        <v>1</v>
      </c>
      <c r="T316" s="1"/>
      <c r="U316" s="1" t="s">
        <v>14</v>
      </c>
      <c r="V316" s="76">
        <v>7</v>
      </c>
      <c r="W316" s="76">
        <v>2.1602468994692869</v>
      </c>
      <c r="X316" s="77">
        <v>-1.3887301496588271</v>
      </c>
      <c r="Y316" s="77">
        <v>1</v>
      </c>
      <c r="Z316" s="76">
        <v>6.666666666666667</v>
      </c>
      <c r="AA316" s="76">
        <v>0.47140452079103162</v>
      </c>
      <c r="AB316" s="77">
        <v>0.70710678118654702</v>
      </c>
      <c r="AC316" s="77">
        <v>3</v>
      </c>
      <c r="AD316" s="76">
        <v>7.666666666666667</v>
      </c>
      <c r="AE316" s="76">
        <v>0.47140452079103162</v>
      </c>
      <c r="AF316" s="77">
        <v>0.70710678118654702</v>
      </c>
      <c r="AG316" s="77">
        <v>3</v>
      </c>
      <c r="AH316" s="76">
        <v>6</v>
      </c>
      <c r="AI316" s="76">
        <v>2.1602468994692869</v>
      </c>
      <c r="AJ316" s="77">
        <v>0.92582009977255142</v>
      </c>
      <c r="AK316" s="77">
        <v>3</v>
      </c>
      <c r="AL316" s="76"/>
      <c r="AM316" s="76"/>
      <c r="AN316" s="77"/>
      <c r="AO316" s="77"/>
      <c r="AP316" s="76"/>
      <c r="AQ316" s="76"/>
      <c r="AR316" s="77"/>
      <c r="AS316" s="77"/>
      <c r="AT316" s="78">
        <v>0.625</v>
      </c>
    </row>
    <row r="317" spans="1:46" ht="12.5" x14ac:dyDescent="0.25">
      <c r="A317" s="79">
        <v>44798.573368171295</v>
      </c>
      <c r="B317" s="80" t="s">
        <v>180</v>
      </c>
      <c r="C317" s="80" t="str">
        <f>INDEX(TBL_Name,MATCH(Table2[[#This Row],[Athlete Name]],listNames,0),2)</f>
        <v>Athlete 29</v>
      </c>
      <c r="D317" s="80" t="s">
        <v>143</v>
      </c>
      <c r="E317" s="80">
        <v>8</v>
      </c>
      <c r="F317" s="80">
        <v>10</v>
      </c>
      <c r="G317" s="80">
        <v>9</v>
      </c>
      <c r="H317" s="80" t="s">
        <v>540</v>
      </c>
      <c r="I317" s="80">
        <v>6</v>
      </c>
      <c r="J317" s="80"/>
      <c r="K317" s="80"/>
      <c r="L317" s="80"/>
      <c r="M317" s="1" t="s">
        <v>567</v>
      </c>
      <c r="N317" s="1">
        <v>35</v>
      </c>
      <c r="O317" s="1">
        <v>3</v>
      </c>
      <c r="P317" s="13">
        <v>44798</v>
      </c>
      <c r="Q317" s="1" t="s">
        <v>133</v>
      </c>
      <c r="R317" s="1" t="s">
        <v>64</v>
      </c>
      <c r="S317" s="1">
        <v>2</v>
      </c>
      <c r="T317" s="1"/>
      <c r="U317" s="1" t="s">
        <v>5</v>
      </c>
      <c r="V317" s="76">
        <v>7.666666666666667</v>
      </c>
      <c r="W317" s="76">
        <v>0.47140452079103162</v>
      </c>
      <c r="X317" s="77">
        <v>0.70710678118654702</v>
      </c>
      <c r="Y317" s="77">
        <v>3</v>
      </c>
      <c r="Z317" s="76">
        <v>8.3333333333333339</v>
      </c>
      <c r="AA317" s="76">
        <v>1.6996731711975948</v>
      </c>
      <c r="AB317" s="77">
        <v>0.98058067569091989</v>
      </c>
      <c r="AC317" s="77">
        <v>3</v>
      </c>
      <c r="AD317" s="76">
        <v>8.5</v>
      </c>
      <c r="AE317" s="76">
        <v>0.40824829046386302</v>
      </c>
      <c r="AF317" s="77">
        <v>1.2247448713915889</v>
      </c>
      <c r="AG317" s="77">
        <v>4</v>
      </c>
      <c r="AH317" s="76">
        <v>5.333333333333333</v>
      </c>
      <c r="AI317" s="76">
        <v>0.94280904158206336</v>
      </c>
      <c r="AJ317" s="77">
        <v>0.70710678118654779</v>
      </c>
      <c r="AK317" s="77">
        <v>3</v>
      </c>
      <c r="AL317" s="76"/>
      <c r="AM317" s="76"/>
      <c r="AN317" s="77"/>
      <c r="AO317" s="77"/>
      <c r="AP317" s="76"/>
      <c r="AQ317" s="76"/>
      <c r="AR317" s="77"/>
      <c r="AS317" s="77"/>
      <c r="AT317" s="78">
        <v>0.75</v>
      </c>
    </row>
    <row r="318" spans="1:46" ht="12.5" x14ac:dyDescent="0.25">
      <c r="A318" s="79">
        <v>44798.586846099541</v>
      </c>
      <c r="B318" s="80" t="s">
        <v>19</v>
      </c>
      <c r="C318" s="80" t="str">
        <f>INDEX(TBL_Name,MATCH(Table2[[#This Row],[Athlete Name]],listNames,0),2)</f>
        <v>Athlete 11</v>
      </c>
      <c r="D318" s="80" t="s">
        <v>130</v>
      </c>
      <c r="E318" s="80">
        <v>3</v>
      </c>
      <c r="F318" s="80">
        <v>9</v>
      </c>
      <c r="G318" s="80">
        <v>9</v>
      </c>
      <c r="H318" s="80" t="s">
        <v>215</v>
      </c>
      <c r="I318" s="80">
        <v>6</v>
      </c>
      <c r="J318" s="80"/>
      <c r="K318" s="80"/>
      <c r="L318" s="80"/>
      <c r="M318" s="1" t="s">
        <v>568</v>
      </c>
      <c r="N318" s="1">
        <v>35</v>
      </c>
      <c r="O318" s="1">
        <v>3</v>
      </c>
      <c r="P318" s="13">
        <v>44798</v>
      </c>
      <c r="Q318" s="1" t="s">
        <v>133</v>
      </c>
      <c r="R318" s="1" t="s">
        <v>64</v>
      </c>
      <c r="S318" s="1">
        <v>1</v>
      </c>
      <c r="T318" s="1"/>
      <c r="U318" s="1" t="s">
        <v>18</v>
      </c>
      <c r="V318" s="76">
        <v>5</v>
      </c>
      <c r="W318" s="76">
        <v>1.7888543819998317</v>
      </c>
      <c r="X318" s="77">
        <v>-1.1180339887498949</v>
      </c>
      <c r="Y318" s="77">
        <v>1</v>
      </c>
      <c r="Z318" s="76">
        <v>8.1999999999999993</v>
      </c>
      <c r="AA318" s="76">
        <v>0.74833147735478833</v>
      </c>
      <c r="AB318" s="77">
        <v>1.0690449676496985</v>
      </c>
      <c r="AC318" s="77">
        <v>4</v>
      </c>
      <c r="AD318" s="76">
        <v>8.1999999999999993</v>
      </c>
      <c r="AE318" s="76">
        <v>0.74833147735478833</v>
      </c>
      <c r="AF318" s="77">
        <v>1.0690449676496985</v>
      </c>
      <c r="AG318" s="77">
        <v>4</v>
      </c>
      <c r="AH318" s="76">
        <v>4</v>
      </c>
      <c r="AI318" s="76">
        <v>1.4142135623730951</v>
      </c>
      <c r="AJ318" s="77">
        <v>1.4142135623730949</v>
      </c>
      <c r="AK318" s="77">
        <v>4</v>
      </c>
      <c r="AL318" s="76"/>
      <c r="AM318" s="76"/>
      <c r="AN318" s="77"/>
      <c r="AO318" s="77"/>
      <c r="AP318" s="76"/>
      <c r="AQ318" s="76"/>
      <c r="AR318" s="77"/>
      <c r="AS318" s="77"/>
      <c r="AT318" s="78">
        <v>0.75</v>
      </c>
    </row>
    <row r="319" spans="1:46" ht="12.5" x14ac:dyDescent="0.25">
      <c r="A319" s="79">
        <v>44799.316099224539</v>
      </c>
      <c r="B319" s="80" t="s">
        <v>196</v>
      </c>
      <c r="C319" s="80" t="str">
        <f>INDEX(TBL_Name,MATCH(Table2[[#This Row],[Athlete Name]],listNames,0),2)</f>
        <v>Athlete 31</v>
      </c>
      <c r="D319" s="80" t="s">
        <v>130</v>
      </c>
      <c r="E319" s="80">
        <v>7</v>
      </c>
      <c r="F319" s="80">
        <v>7</v>
      </c>
      <c r="G319" s="80">
        <v>9</v>
      </c>
      <c r="H319" s="80" t="s">
        <v>569</v>
      </c>
      <c r="I319" s="80">
        <v>5</v>
      </c>
      <c r="J319" s="80"/>
      <c r="K319" s="80"/>
      <c r="L319" s="80"/>
      <c r="M319" s="1" t="s">
        <v>570</v>
      </c>
      <c r="N319" s="1">
        <v>35</v>
      </c>
      <c r="O319" s="1">
        <v>3</v>
      </c>
      <c r="P319" s="13">
        <v>44799</v>
      </c>
      <c r="Q319" s="1" t="s">
        <v>133</v>
      </c>
      <c r="R319" s="1" t="s">
        <v>64</v>
      </c>
      <c r="S319" s="1">
        <v>1</v>
      </c>
      <c r="T319" s="1"/>
      <c r="U319" s="1" t="s">
        <v>28</v>
      </c>
      <c r="V319" s="76">
        <v>7</v>
      </c>
      <c r="W319" s="76">
        <v>0.53452248382484879</v>
      </c>
      <c r="X319" s="77">
        <v>0</v>
      </c>
      <c r="Y319" s="77">
        <v>3</v>
      </c>
      <c r="Z319" s="76">
        <v>7.8571428571428568</v>
      </c>
      <c r="AA319" s="76">
        <v>0.98974331861078702</v>
      </c>
      <c r="AB319" s="77">
        <v>-0.86602540378443826</v>
      </c>
      <c r="AC319" s="77">
        <v>2</v>
      </c>
      <c r="AD319" s="76">
        <v>8.5714285714285712</v>
      </c>
      <c r="AE319" s="76">
        <v>0.56242913385798643</v>
      </c>
      <c r="AF319" s="77">
        <v>0.76200076200114353</v>
      </c>
      <c r="AG319" s="77">
        <v>3</v>
      </c>
      <c r="AH319" s="76">
        <v>7.4285714285714288</v>
      </c>
      <c r="AI319" s="76">
        <v>1.293626448305345</v>
      </c>
      <c r="AJ319" s="77">
        <v>-1.8773359432723917</v>
      </c>
      <c r="AK319" s="77">
        <v>1</v>
      </c>
      <c r="AL319" s="76"/>
      <c r="AM319" s="76"/>
      <c r="AN319" s="77"/>
      <c r="AO319" s="77"/>
      <c r="AP319" s="76"/>
      <c r="AQ319" s="76"/>
      <c r="AR319" s="77"/>
      <c r="AS319" s="77"/>
      <c r="AT319" s="78">
        <v>0.6875</v>
      </c>
    </row>
    <row r="320" spans="1:46" ht="12.5" x14ac:dyDescent="0.25">
      <c r="A320" s="79">
        <v>44799.317179050922</v>
      </c>
      <c r="B320" s="80" t="s">
        <v>185</v>
      </c>
      <c r="C320" s="80" t="str">
        <f>INDEX(TBL_Name,MATCH(Table2[[#This Row],[Athlete Name]],listNames,0),2)</f>
        <v>Athlete 30</v>
      </c>
      <c r="D320" s="80" t="s">
        <v>130</v>
      </c>
      <c r="E320" s="80">
        <v>9</v>
      </c>
      <c r="F320" s="80">
        <v>3</v>
      </c>
      <c r="G320" s="80">
        <v>5</v>
      </c>
      <c r="H320" s="80" t="s">
        <v>531</v>
      </c>
      <c r="I320" s="80">
        <v>6</v>
      </c>
      <c r="J320" s="80"/>
      <c r="K320" s="80"/>
      <c r="L320" s="80"/>
      <c r="M320" s="1" t="s">
        <v>571</v>
      </c>
      <c r="N320" s="1">
        <v>35</v>
      </c>
      <c r="O320" s="1">
        <v>3</v>
      </c>
      <c r="P320" s="13">
        <v>44799</v>
      </c>
      <c r="Q320" s="1" t="s">
        <v>133</v>
      </c>
      <c r="R320" s="1" t="s">
        <v>64</v>
      </c>
      <c r="S320" s="1">
        <v>1</v>
      </c>
      <c r="T320" s="1"/>
      <c r="U320" s="1" t="s">
        <v>26</v>
      </c>
      <c r="V320" s="76">
        <v>9.4285714285714288</v>
      </c>
      <c r="W320" s="76">
        <v>0.49487165930539351</v>
      </c>
      <c r="X320" s="77">
        <v>-0.86602540378443915</v>
      </c>
      <c r="Y320" s="77">
        <v>2</v>
      </c>
      <c r="Z320" s="76">
        <v>4.5714285714285712</v>
      </c>
      <c r="AA320" s="76">
        <v>1.1780301787479031</v>
      </c>
      <c r="AB320" s="77">
        <v>-1.3339459376998311</v>
      </c>
      <c r="AC320" s="77">
        <v>1</v>
      </c>
      <c r="AD320" s="76">
        <v>6.7142857142857144</v>
      </c>
      <c r="AE320" s="76">
        <v>1.1605769149479943</v>
      </c>
      <c r="AF320" s="77">
        <v>-1.477097891751993</v>
      </c>
      <c r="AG320" s="77">
        <v>1</v>
      </c>
      <c r="AH320" s="76">
        <v>5.8571428571428568</v>
      </c>
      <c r="AI320" s="76">
        <v>0.34992710611188255</v>
      </c>
      <c r="AJ320" s="77">
        <v>0.40824829046386413</v>
      </c>
      <c r="AK320" s="77">
        <v>3</v>
      </c>
      <c r="AL320" s="76"/>
      <c r="AM320" s="76"/>
      <c r="AN320" s="77"/>
      <c r="AO320" s="77"/>
      <c r="AP320" s="76"/>
      <c r="AQ320" s="76"/>
      <c r="AR320" s="77"/>
      <c r="AS320" s="77"/>
      <c r="AT320" s="78">
        <v>0.3125</v>
      </c>
    </row>
    <row r="321" spans="1:46" ht="12.5" x14ac:dyDescent="0.25">
      <c r="A321" s="79">
        <v>44799.335310381939</v>
      </c>
      <c r="B321" s="80" t="s">
        <v>177</v>
      </c>
      <c r="C321" s="80" t="str">
        <f>INDEX(TBL_Name,MATCH(Table2[[#This Row],[Athlete Name]],listNames,0),2)</f>
        <v>Athlete 28</v>
      </c>
      <c r="D321" s="80" t="s">
        <v>130</v>
      </c>
      <c r="E321" s="80">
        <v>8</v>
      </c>
      <c r="F321" s="80">
        <v>7</v>
      </c>
      <c r="G321" s="80">
        <v>8</v>
      </c>
      <c r="H321" s="80" t="s">
        <v>572</v>
      </c>
      <c r="I321" s="80">
        <v>7</v>
      </c>
      <c r="J321" s="80"/>
      <c r="K321" s="80"/>
      <c r="L321" s="80"/>
      <c r="M321" s="1" t="s">
        <v>573</v>
      </c>
      <c r="N321" s="1">
        <v>35</v>
      </c>
      <c r="O321" s="1">
        <v>3</v>
      </c>
      <c r="P321" s="13">
        <v>44799</v>
      </c>
      <c r="Q321" s="1" t="s">
        <v>133</v>
      </c>
      <c r="R321" s="1" t="s">
        <v>64</v>
      </c>
      <c r="S321" s="1">
        <v>1</v>
      </c>
      <c r="T321" s="1"/>
      <c r="U321" s="1" t="s">
        <v>28</v>
      </c>
      <c r="V321" s="76">
        <v>4.5</v>
      </c>
      <c r="W321" s="76">
        <v>2.179449471770337</v>
      </c>
      <c r="X321" s="77">
        <v>1.6059101370939322</v>
      </c>
      <c r="Y321" s="77">
        <v>4</v>
      </c>
      <c r="Z321" s="76">
        <v>7</v>
      </c>
      <c r="AA321" s="76">
        <v>2.4494897427831779</v>
      </c>
      <c r="AB321" s="77">
        <v>0</v>
      </c>
      <c r="AC321" s="77">
        <v>3</v>
      </c>
      <c r="AD321" s="76">
        <v>8.5</v>
      </c>
      <c r="AE321" s="76">
        <v>2.2912878474779199</v>
      </c>
      <c r="AF321" s="77">
        <v>-0.21821789023599239</v>
      </c>
      <c r="AG321" s="77">
        <v>2</v>
      </c>
      <c r="AH321" s="76">
        <v>8.25</v>
      </c>
      <c r="AI321" s="76">
        <v>0.82915619758884984</v>
      </c>
      <c r="AJ321" s="77">
        <v>-1.5075567228888183</v>
      </c>
      <c r="AK321" s="77">
        <v>1</v>
      </c>
      <c r="AL321" s="76"/>
      <c r="AM321" s="76"/>
      <c r="AN321" s="77"/>
      <c r="AO321" s="77"/>
      <c r="AP321" s="76"/>
      <c r="AQ321" s="76"/>
      <c r="AR321" s="77"/>
      <c r="AS321" s="77"/>
      <c r="AT321" s="78">
        <v>1</v>
      </c>
    </row>
    <row r="322" spans="1:46" ht="12.5" x14ac:dyDescent="0.25">
      <c r="A322" s="79">
        <v>44799.360955219905</v>
      </c>
      <c r="B322" s="80" t="s">
        <v>129</v>
      </c>
      <c r="C322" s="80" t="str">
        <f>INDEX(TBL_Name,MATCH(Table2[[#This Row],[Athlete Name]],listNames,0),2)</f>
        <v>Athlete 19</v>
      </c>
      <c r="D322" s="80" t="s">
        <v>130</v>
      </c>
      <c r="E322" s="80">
        <v>8</v>
      </c>
      <c r="F322" s="80">
        <v>7</v>
      </c>
      <c r="G322" s="80">
        <v>8</v>
      </c>
      <c r="H322" s="80" t="s">
        <v>574</v>
      </c>
      <c r="I322" s="80">
        <v>4</v>
      </c>
      <c r="J322" s="80"/>
      <c r="K322" s="80"/>
      <c r="L322" s="80"/>
      <c r="M322" s="1" t="s">
        <v>575</v>
      </c>
      <c r="N322" s="1">
        <v>35</v>
      </c>
      <c r="O322" s="1">
        <v>3</v>
      </c>
      <c r="P322" s="13">
        <v>44799</v>
      </c>
      <c r="Q322" s="1" t="s">
        <v>133</v>
      </c>
      <c r="R322" s="1" t="s">
        <v>64</v>
      </c>
      <c r="S322" s="1">
        <v>1</v>
      </c>
      <c r="T322" s="1"/>
      <c r="U322" s="1" t="s">
        <v>18</v>
      </c>
      <c r="V322" s="76">
        <v>6.6</v>
      </c>
      <c r="W322" s="76">
        <v>1.2</v>
      </c>
      <c r="X322" s="77">
        <v>1.166666666666667</v>
      </c>
      <c r="Y322" s="77">
        <v>4</v>
      </c>
      <c r="Z322" s="76">
        <v>6</v>
      </c>
      <c r="AA322" s="76">
        <v>1.2649110640673518</v>
      </c>
      <c r="AB322" s="77">
        <v>0.79056941504209477</v>
      </c>
      <c r="AC322" s="77">
        <v>3</v>
      </c>
      <c r="AD322" s="76">
        <v>7.6</v>
      </c>
      <c r="AE322" s="76">
        <v>0.48989794855663577</v>
      </c>
      <c r="AF322" s="77">
        <v>0.81649658092772648</v>
      </c>
      <c r="AG322" s="77">
        <v>3</v>
      </c>
      <c r="AH322" s="76">
        <v>4.4000000000000004</v>
      </c>
      <c r="AI322" s="76">
        <v>0.48989794855663565</v>
      </c>
      <c r="AJ322" s="77">
        <v>-0.8164965809277267</v>
      </c>
      <c r="AK322" s="77">
        <v>2</v>
      </c>
      <c r="AL322" s="76"/>
      <c r="AM322" s="76"/>
      <c r="AN322" s="77"/>
      <c r="AO322" s="77"/>
      <c r="AP322" s="76"/>
      <c r="AQ322" s="76"/>
      <c r="AR322" s="77"/>
      <c r="AS322" s="77"/>
      <c r="AT322" s="78">
        <v>0.75</v>
      </c>
    </row>
    <row r="323" spans="1:46" ht="12.5" x14ac:dyDescent="0.25">
      <c r="A323" s="79">
        <v>44799.370801030091</v>
      </c>
      <c r="B323" s="80" t="s">
        <v>19</v>
      </c>
      <c r="C323" s="80" t="str">
        <f>INDEX(TBL_Name,MATCH(Table2[[#This Row],[Athlete Name]],listNames,0),2)</f>
        <v>Athlete 11</v>
      </c>
      <c r="D323" s="80" t="s">
        <v>130</v>
      </c>
      <c r="E323" s="80">
        <v>7</v>
      </c>
      <c r="F323" s="80">
        <v>9</v>
      </c>
      <c r="G323" s="80">
        <v>9</v>
      </c>
      <c r="H323" s="80" t="s">
        <v>212</v>
      </c>
      <c r="I323" s="80">
        <v>2</v>
      </c>
      <c r="J323" s="80"/>
      <c r="K323" s="80"/>
      <c r="L323" s="80"/>
      <c r="M323" s="1" t="s">
        <v>576</v>
      </c>
      <c r="N323" s="1">
        <v>35</v>
      </c>
      <c r="O323" s="1">
        <v>3</v>
      </c>
      <c r="P323" s="13">
        <v>44799</v>
      </c>
      <c r="Q323" s="1" t="s">
        <v>133</v>
      </c>
      <c r="R323" s="1" t="s">
        <v>64</v>
      </c>
      <c r="S323" s="1">
        <v>1</v>
      </c>
      <c r="T323" s="1"/>
      <c r="U323" s="1" t="s">
        <v>18</v>
      </c>
      <c r="V323" s="76">
        <v>5.6</v>
      </c>
      <c r="W323" s="76">
        <v>1.8547236990991407</v>
      </c>
      <c r="X323" s="77">
        <v>0.75482941242406909</v>
      </c>
      <c r="Y323" s="77">
        <v>3</v>
      </c>
      <c r="Z323" s="76">
        <v>8.4</v>
      </c>
      <c r="AA323" s="76">
        <v>0.79999999999999993</v>
      </c>
      <c r="AB323" s="77">
        <v>0.74999999999999967</v>
      </c>
      <c r="AC323" s="77">
        <v>3</v>
      </c>
      <c r="AD323" s="76">
        <v>8.4</v>
      </c>
      <c r="AE323" s="76">
        <v>0.79999999999999993</v>
      </c>
      <c r="AF323" s="77">
        <v>0.74999999999999967</v>
      </c>
      <c r="AG323" s="77">
        <v>3</v>
      </c>
      <c r="AH323" s="76">
        <v>3.4</v>
      </c>
      <c r="AI323" s="76">
        <v>1.4966629547095764</v>
      </c>
      <c r="AJ323" s="77">
        <v>-0.93541434669348533</v>
      </c>
      <c r="AK323" s="77">
        <v>2</v>
      </c>
      <c r="AL323" s="76"/>
      <c r="AM323" s="76"/>
      <c r="AN323" s="77"/>
      <c r="AO323" s="77"/>
      <c r="AP323" s="76"/>
      <c r="AQ323" s="76"/>
      <c r="AR323" s="77"/>
      <c r="AS323" s="77"/>
      <c r="AT323" s="78">
        <v>0.75</v>
      </c>
    </row>
    <row r="324" spans="1:46" ht="12.5" x14ac:dyDescent="0.25">
      <c r="A324" s="79">
        <v>44799.378327662038</v>
      </c>
      <c r="B324" s="80" t="s">
        <v>21</v>
      </c>
      <c r="C324" s="80" t="str">
        <f>INDEX(TBL_Name,MATCH(Table2[[#This Row],[Athlete Name]],listNames,0),2)</f>
        <v>Athlete 13</v>
      </c>
      <c r="D324" s="80" t="s">
        <v>130</v>
      </c>
      <c r="E324" s="80">
        <v>6</v>
      </c>
      <c r="F324" s="80">
        <v>8</v>
      </c>
      <c r="G324" s="80">
        <v>9</v>
      </c>
      <c r="H324" s="80" t="s">
        <v>340</v>
      </c>
      <c r="I324" s="80">
        <v>5</v>
      </c>
      <c r="J324" s="80"/>
      <c r="K324" s="80"/>
      <c r="L324" s="80"/>
      <c r="M324" s="1" t="s">
        <v>577</v>
      </c>
      <c r="N324" s="1">
        <v>35</v>
      </c>
      <c r="O324" s="1">
        <v>3</v>
      </c>
      <c r="P324" s="13">
        <v>44799</v>
      </c>
      <c r="Q324" s="1" t="s">
        <v>133</v>
      </c>
      <c r="R324" s="1" t="s">
        <v>64</v>
      </c>
      <c r="S324" s="1">
        <v>1</v>
      </c>
      <c r="T324" s="1"/>
      <c r="U324" s="1" t="s">
        <v>18</v>
      </c>
      <c r="V324" s="76">
        <v>6.1428571428571432</v>
      </c>
      <c r="W324" s="76">
        <v>0.83299312783504287</v>
      </c>
      <c r="X324" s="77">
        <v>-0.17149858514250932</v>
      </c>
      <c r="Y324" s="77">
        <v>2</v>
      </c>
      <c r="Z324" s="76">
        <v>6.8571428571428568</v>
      </c>
      <c r="AA324" s="76">
        <v>1.6413036132965795</v>
      </c>
      <c r="AB324" s="77">
        <v>0.69631062382279163</v>
      </c>
      <c r="AC324" s="77">
        <v>3</v>
      </c>
      <c r="AD324" s="76">
        <v>9</v>
      </c>
      <c r="AE324" s="76">
        <v>0</v>
      </c>
      <c r="AF324" s="77">
        <v>0</v>
      </c>
      <c r="AG324" s="77">
        <v>3</v>
      </c>
      <c r="AH324" s="76">
        <v>5.4285714285714288</v>
      </c>
      <c r="AI324" s="76">
        <v>0.72843135908468359</v>
      </c>
      <c r="AJ324" s="77">
        <v>-0.58834840541455236</v>
      </c>
      <c r="AK324" s="77">
        <v>2</v>
      </c>
      <c r="AL324" s="76"/>
      <c r="AM324" s="76"/>
      <c r="AN324" s="77"/>
      <c r="AO324" s="77"/>
      <c r="AP324" s="76"/>
      <c r="AQ324" s="76"/>
      <c r="AR324" s="77"/>
      <c r="AS324" s="77"/>
      <c r="AT324" s="78">
        <v>0.6875</v>
      </c>
    </row>
    <row r="325" spans="1:46" ht="12.5" x14ac:dyDescent="0.25">
      <c r="A325" s="79">
        <v>44799.396735844908</v>
      </c>
      <c r="B325" s="80" t="s">
        <v>6</v>
      </c>
      <c r="C325" s="80" t="str">
        <f>INDEX(TBL_Name,MATCH(Table2[[#This Row],[Athlete Name]],listNames,0),2)</f>
        <v>Athlete 2</v>
      </c>
      <c r="D325" s="80" t="s">
        <v>130</v>
      </c>
      <c r="E325" s="80">
        <v>10</v>
      </c>
      <c r="F325" s="80">
        <v>7</v>
      </c>
      <c r="G325" s="80">
        <v>8</v>
      </c>
      <c r="H325" s="80" t="s">
        <v>231</v>
      </c>
      <c r="I325" s="80">
        <v>6</v>
      </c>
      <c r="J325" s="80"/>
      <c r="K325" s="80"/>
      <c r="L325" s="80"/>
      <c r="M325" s="1" t="s">
        <v>578</v>
      </c>
      <c r="N325" s="1">
        <v>35</v>
      </c>
      <c r="O325" s="1">
        <v>3</v>
      </c>
      <c r="P325" s="13">
        <v>44799</v>
      </c>
      <c r="Q325" s="1" t="s">
        <v>133</v>
      </c>
      <c r="R325" s="1" t="s">
        <v>64</v>
      </c>
      <c r="S325" s="1">
        <v>1</v>
      </c>
      <c r="T325" s="1"/>
      <c r="U325" s="1" t="s">
        <v>5</v>
      </c>
      <c r="V325" s="76">
        <v>9.6</v>
      </c>
      <c r="W325" s="76">
        <v>0.48989794855663565</v>
      </c>
      <c r="X325" s="77">
        <v>0.8164965809277267</v>
      </c>
      <c r="Y325" s="77">
        <v>3</v>
      </c>
      <c r="Z325" s="76">
        <v>6.8</v>
      </c>
      <c r="AA325" s="76">
        <v>1.4696938456699069</v>
      </c>
      <c r="AB325" s="77">
        <v>0.13608276348795445</v>
      </c>
      <c r="AC325" s="77">
        <v>3</v>
      </c>
      <c r="AD325" s="76">
        <v>9</v>
      </c>
      <c r="AE325" s="76">
        <v>0.63245553203367588</v>
      </c>
      <c r="AF325" s="77">
        <v>-1.5811388300841895</v>
      </c>
      <c r="AG325" s="77">
        <v>1</v>
      </c>
      <c r="AH325" s="76">
        <v>6.6</v>
      </c>
      <c r="AI325" s="76">
        <v>0.79999999999999993</v>
      </c>
      <c r="AJ325" s="77">
        <v>-0.74999999999999967</v>
      </c>
      <c r="AK325" s="77">
        <v>2</v>
      </c>
      <c r="AL325" s="76"/>
      <c r="AM325" s="76"/>
      <c r="AN325" s="77"/>
      <c r="AO325" s="77"/>
      <c r="AP325" s="76"/>
      <c r="AQ325" s="76"/>
      <c r="AR325" s="77"/>
      <c r="AS325" s="77"/>
      <c r="AT325" s="78">
        <v>0.375</v>
      </c>
    </row>
    <row r="326" spans="1:46" ht="12.5" x14ac:dyDescent="0.25">
      <c r="A326" s="79">
        <v>44799.412128229167</v>
      </c>
      <c r="B326" s="80" t="s">
        <v>168</v>
      </c>
      <c r="C326" s="80" t="str">
        <f>INDEX(TBL_Name,MATCH(Table2[[#This Row],[Athlete Name]],listNames,0),2)</f>
        <v>Athlete 26</v>
      </c>
      <c r="D326" s="80" t="s">
        <v>130</v>
      </c>
      <c r="E326" s="80">
        <v>5</v>
      </c>
      <c r="F326" s="80">
        <v>7</v>
      </c>
      <c r="G326" s="80">
        <v>7</v>
      </c>
      <c r="H326" s="80" t="s">
        <v>181</v>
      </c>
      <c r="I326" s="80">
        <v>5</v>
      </c>
      <c r="J326" s="80"/>
      <c r="K326" s="80"/>
      <c r="L326" s="80"/>
      <c r="M326" s="1" t="s">
        <v>579</v>
      </c>
      <c r="N326" s="1">
        <v>35</v>
      </c>
      <c r="O326" s="1">
        <v>3</v>
      </c>
      <c r="P326" s="13">
        <v>44799</v>
      </c>
      <c r="Q326" s="1" t="s">
        <v>133</v>
      </c>
      <c r="R326" s="1" t="s">
        <v>64</v>
      </c>
      <c r="S326" s="1">
        <v>1</v>
      </c>
      <c r="T326" s="1"/>
      <c r="U326" s="1" t="s">
        <v>5</v>
      </c>
      <c r="V326" s="76">
        <v>7</v>
      </c>
      <c r="W326" s="76">
        <v>1.2247448713915889</v>
      </c>
      <c r="X326" s="77">
        <v>-1.6329931618554523</v>
      </c>
      <c r="Y326" s="77">
        <v>1</v>
      </c>
      <c r="Z326" s="76">
        <v>7</v>
      </c>
      <c r="AA326" s="76">
        <v>1.2247448713915889</v>
      </c>
      <c r="AB326" s="77">
        <v>0</v>
      </c>
      <c r="AC326" s="77">
        <v>3</v>
      </c>
      <c r="AD326" s="76">
        <v>8</v>
      </c>
      <c r="AE326" s="76">
        <v>1</v>
      </c>
      <c r="AF326" s="77">
        <v>-1</v>
      </c>
      <c r="AG326" s="77">
        <v>1</v>
      </c>
      <c r="AH326" s="76">
        <v>4.75</v>
      </c>
      <c r="AI326" s="76">
        <v>0.43301270189221941</v>
      </c>
      <c r="AJ326" s="77">
        <v>0.57735026918962562</v>
      </c>
      <c r="AK326" s="77">
        <v>3</v>
      </c>
      <c r="AL326" s="76"/>
      <c r="AM326" s="76"/>
      <c r="AN326" s="77"/>
      <c r="AO326" s="77"/>
      <c r="AP326" s="76"/>
      <c r="AQ326" s="76"/>
      <c r="AR326" s="77"/>
      <c r="AS326" s="77"/>
      <c r="AT326" s="78">
        <v>0.5</v>
      </c>
    </row>
    <row r="327" spans="1:46" ht="12.5" x14ac:dyDescent="0.25">
      <c r="A327" s="79">
        <v>44799.414948993057</v>
      </c>
      <c r="B327" s="80" t="s">
        <v>17</v>
      </c>
      <c r="C327" s="80" t="str">
        <f>INDEX(TBL_Name,MATCH(Table2[[#This Row],[Athlete Name]],listNames,0),2)</f>
        <v>Athlete 10</v>
      </c>
      <c r="D327" s="80" t="s">
        <v>130</v>
      </c>
      <c r="E327" s="80">
        <v>9</v>
      </c>
      <c r="F327" s="80">
        <v>4</v>
      </c>
      <c r="G327" s="80">
        <v>7</v>
      </c>
      <c r="H327" s="80" t="s">
        <v>508</v>
      </c>
      <c r="I327" s="80">
        <v>6</v>
      </c>
      <c r="J327" s="80"/>
      <c r="K327" s="80"/>
      <c r="L327" s="80"/>
      <c r="M327" s="1" t="s">
        <v>580</v>
      </c>
      <c r="N327" s="1">
        <v>35</v>
      </c>
      <c r="O327" s="1">
        <v>3</v>
      </c>
      <c r="P327" s="13">
        <v>44799</v>
      </c>
      <c r="Q327" s="1" t="s">
        <v>133</v>
      </c>
      <c r="R327" s="1" t="s">
        <v>64</v>
      </c>
      <c r="S327" s="1">
        <v>1</v>
      </c>
      <c r="T327" s="1"/>
      <c r="U327" s="1" t="s">
        <v>18</v>
      </c>
      <c r="V327" s="76">
        <v>7.833333333333333</v>
      </c>
      <c r="W327" s="76">
        <v>0.89752746785575077</v>
      </c>
      <c r="X327" s="77">
        <v>1.2998673672393632</v>
      </c>
      <c r="Y327" s="77">
        <v>4</v>
      </c>
      <c r="Z327" s="76">
        <v>7.666666666666667</v>
      </c>
      <c r="AA327" s="76">
        <v>1.699673171197595</v>
      </c>
      <c r="AB327" s="77">
        <v>-2.1572774865200244</v>
      </c>
      <c r="AC327" s="77">
        <v>1</v>
      </c>
      <c r="AD327" s="76">
        <v>9</v>
      </c>
      <c r="AE327" s="76">
        <v>1</v>
      </c>
      <c r="AF327" s="77">
        <v>-2</v>
      </c>
      <c r="AG327" s="77">
        <v>1</v>
      </c>
      <c r="AH327" s="76">
        <v>7.333333333333333</v>
      </c>
      <c r="AI327" s="76">
        <v>0.74535599249992979</v>
      </c>
      <c r="AJ327" s="77">
        <v>-1.7888543819998317</v>
      </c>
      <c r="AK327" s="77">
        <v>1</v>
      </c>
      <c r="AL327" s="76"/>
      <c r="AM327" s="76"/>
      <c r="AN327" s="77"/>
      <c r="AO327" s="77"/>
      <c r="AP327" s="76"/>
      <c r="AQ327" s="76"/>
      <c r="AR327" s="77"/>
      <c r="AS327" s="77"/>
      <c r="AT327" s="78">
        <v>0.5</v>
      </c>
    </row>
    <row r="328" spans="1:46" ht="12.5" x14ac:dyDescent="0.25">
      <c r="A328" s="79">
        <v>44799.453513958331</v>
      </c>
      <c r="B328" s="80" t="s">
        <v>13</v>
      </c>
      <c r="C328" s="80" t="str">
        <f>INDEX(TBL_Name,MATCH(Table2[[#This Row],[Athlete Name]],listNames,0),2)</f>
        <v>Athlete 7</v>
      </c>
      <c r="D328" s="80" t="s">
        <v>130</v>
      </c>
      <c r="E328" s="80">
        <v>10</v>
      </c>
      <c r="F328" s="80">
        <v>7</v>
      </c>
      <c r="G328" s="80">
        <v>7</v>
      </c>
      <c r="H328" s="80" t="s">
        <v>205</v>
      </c>
      <c r="I328" s="80">
        <v>3</v>
      </c>
      <c r="J328" s="80"/>
      <c r="K328" s="80"/>
      <c r="L328" s="80"/>
      <c r="M328" s="1" t="s">
        <v>581</v>
      </c>
      <c r="N328" s="1">
        <v>35</v>
      </c>
      <c r="O328" s="1">
        <v>3</v>
      </c>
      <c r="P328" s="13">
        <v>44799</v>
      </c>
      <c r="Q328" s="1" t="s">
        <v>133</v>
      </c>
      <c r="R328" s="1" t="s">
        <v>64</v>
      </c>
      <c r="S328" s="1">
        <v>1</v>
      </c>
      <c r="T328" s="1"/>
      <c r="U328" s="1" t="s">
        <v>14</v>
      </c>
      <c r="V328" s="76">
        <v>7.666666666666667</v>
      </c>
      <c r="W328" s="76">
        <v>2.6246692913372702</v>
      </c>
      <c r="X328" s="77">
        <v>0.88900088900133345</v>
      </c>
      <c r="Y328" s="77">
        <v>3</v>
      </c>
      <c r="Z328" s="76">
        <v>7</v>
      </c>
      <c r="AA328" s="76">
        <v>0</v>
      </c>
      <c r="AB328" s="77">
        <v>0</v>
      </c>
      <c r="AC328" s="77">
        <v>3</v>
      </c>
      <c r="AD328" s="76">
        <v>7.666666666666667</v>
      </c>
      <c r="AE328" s="76">
        <v>0.47140452079103179</v>
      </c>
      <c r="AF328" s="77">
        <v>-1.4142135623730954</v>
      </c>
      <c r="AG328" s="77">
        <v>1</v>
      </c>
      <c r="AH328" s="76">
        <v>4.666666666666667</v>
      </c>
      <c r="AI328" s="76">
        <v>2.3570226039551585</v>
      </c>
      <c r="AJ328" s="77">
        <v>-0.70710678118654757</v>
      </c>
      <c r="AK328" s="77">
        <v>2</v>
      </c>
      <c r="AL328" s="76"/>
      <c r="AM328" s="76"/>
      <c r="AN328" s="77"/>
      <c r="AO328" s="77"/>
      <c r="AP328" s="76"/>
      <c r="AQ328" s="76"/>
      <c r="AR328" s="77"/>
      <c r="AS328" s="77"/>
      <c r="AT328" s="78">
        <v>0.5</v>
      </c>
    </row>
    <row r="329" spans="1:46" ht="12.5" x14ac:dyDescent="0.25">
      <c r="A329" s="79">
        <v>44799.811230300926</v>
      </c>
      <c r="B329" s="80" t="s">
        <v>9</v>
      </c>
      <c r="C329" s="80" t="str">
        <f>INDEX(TBL_Name,MATCH(Table2[[#This Row],[Athlete Name]],listNames,0),2)</f>
        <v>Athlete 4</v>
      </c>
      <c r="D329" s="80" t="s">
        <v>130</v>
      </c>
      <c r="E329" s="80">
        <v>5</v>
      </c>
      <c r="F329" s="80">
        <v>8</v>
      </c>
      <c r="G329" s="80">
        <v>8</v>
      </c>
      <c r="H329" s="80" t="s">
        <v>582</v>
      </c>
      <c r="I329" s="80">
        <v>6</v>
      </c>
      <c r="J329" s="80"/>
      <c r="K329" s="80"/>
      <c r="L329" s="80"/>
      <c r="M329" s="1" t="s">
        <v>583</v>
      </c>
      <c r="N329" s="1">
        <v>35</v>
      </c>
      <c r="O329" s="1">
        <v>3</v>
      </c>
      <c r="P329" s="13">
        <v>44799</v>
      </c>
      <c r="Q329" s="1" t="s">
        <v>133</v>
      </c>
      <c r="R329" s="1" t="s">
        <v>64</v>
      </c>
      <c r="S329" s="1">
        <v>1</v>
      </c>
      <c r="T329" s="1"/>
      <c r="U329" s="1" t="s">
        <v>8</v>
      </c>
      <c r="V329" s="76">
        <v>6</v>
      </c>
      <c r="W329" s="76">
        <v>1</v>
      </c>
      <c r="X329" s="77">
        <v>-1</v>
      </c>
      <c r="Y329" s="77">
        <v>1</v>
      </c>
      <c r="Z329" s="76">
        <v>7.5</v>
      </c>
      <c r="AA329" s="76">
        <v>0.5</v>
      </c>
      <c r="AB329" s="77">
        <v>1</v>
      </c>
      <c r="AC329" s="77">
        <v>4</v>
      </c>
      <c r="AD329" s="76">
        <v>8</v>
      </c>
      <c r="AE329" s="76">
        <v>0</v>
      </c>
      <c r="AF329" s="77">
        <v>0</v>
      </c>
      <c r="AG329" s="77">
        <v>3</v>
      </c>
      <c r="AH329" s="76">
        <v>6</v>
      </c>
      <c r="AI329" s="76">
        <v>0</v>
      </c>
      <c r="AJ329" s="77">
        <v>0</v>
      </c>
      <c r="AK329" s="77">
        <v>3</v>
      </c>
      <c r="AL329" s="76"/>
      <c r="AM329" s="76"/>
      <c r="AN329" s="77"/>
      <c r="AO329" s="77"/>
      <c r="AP329" s="76"/>
      <c r="AQ329" s="76"/>
      <c r="AR329" s="77"/>
      <c r="AS329" s="77"/>
      <c r="AT329" s="78">
        <v>0.75</v>
      </c>
    </row>
    <row r="330" spans="1:46" ht="12.5" x14ac:dyDescent="0.25">
      <c r="A330" s="79">
        <v>44800.31724152778</v>
      </c>
      <c r="B330" s="80" t="s">
        <v>17</v>
      </c>
      <c r="C330" s="80" t="str">
        <f>INDEX(TBL_Name,MATCH(Table2[[#This Row],[Athlete Name]],listNames,0),2)</f>
        <v>Athlete 10</v>
      </c>
      <c r="D330" s="80" t="s">
        <v>130</v>
      </c>
      <c r="E330" s="80">
        <v>9</v>
      </c>
      <c r="F330" s="80">
        <v>7</v>
      </c>
      <c r="G330" s="80">
        <v>9</v>
      </c>
      <c r="H330" s="80" t="s">
        <v>584</v>
      </c>
      <c r="I330" s="80">
        <v>7</v>
      </c>
      <c r="J330" s="80"/>
      <c r="K330" s="80"/>
      <c r="L330" s="80"/>
      <c r="M330" s="1" t="s">
        <v>585</v>
      </c>
      <c r="N330" s="1">
        <v>35</v>
      </c>
      <c r="O330" s="1">
        <v>3</v>
      </c>
      <c r="P330" s="13">
        <v>44800</v>
      </c>
      <c r="Q330" s="1" t="s">
        <v>133</v>
      </c>
      <c r="R330" s="1" t="s">
        <v>64</v>
      </c>
      <c r="S330" s="1">
        <v>1</v>
      </c>
      <c r="T330" s="1"/>
      <c r="U330" s="1" t="s">
        <v>18</v>
      </c>
      <c r="V330" s="76">
        <v>7.833333333333333</v>
      </c>
      <c r="W330" s="76">
        <v>0.89752746785575077</v>
      </c>
      <c r="X330" s="77">
        <v>1.2998673672393632</v>
      </c>
      <c r="Y330" s="77">
        <v>4</v>
      </c>
      <c r="Z330" s="76">
        <v>7.5</v>
      </c>
      <c r="AA330" s="76">
        <v>1.707825127659933</v>
      </c>
      <c r="AB330" s="77">
        <v>-0.29277002188455997</v>
      </c>
      <c r="AC330" s="77">
        <v>2</v>
      </c>
      <c r="AD330" s="76">
        <v>9</v>
      </c>
      <c r="AE330" s="76">
        <v>0.99999999999999989</v>
      </c>
      <c r="AF330" s="77">
        <v>0</v>
      </c>
      <c r="AG330" s="77">
        <v>3</v>
      </c>
      <c r="AH330" s="76">
        <v>7.166666666666667</v>
      </c>
      <c r="AI330" s="76">
        <v>0.68718427093627688</v>
      </c>
      <c r="AJ330" s="77">
        <v>-0.24253562503633336</v>
      </c>
      <c r="AK330" s="77">
        <v>2</v>
      </c>
      <c r="AL330" s="76"/>
      <c r="AM330" s="76"/>
      <c r="AN330" s="77"/>
      <c r="AO330" s="77"/>
      <c r="AP330" s="76"/>
      <c r="AQ330" s="76"/>
      <c r="AR330" s="77"/>
      <c r="AS330" s="77"/>
      <c r="AT330" s="78">
        <v>0.75</v>
      </c>
    </row>
    <row r="331" spans="1:46" ht="12.5" x14ac:dyDescent="0.25">
      <c r="A331" s="79">
        <v>44800.327713958337</v>
      </c>
      <c r="B331" s="80" t="s">
        <v>196</v>
      </c>
      <c r="C331" s="80" t="str">
        <f>INDEX(TBL_Name,MATCH(Table2[[#This Row],[Athlete Name]],listNames,0),2)</f>
        <v>Athlete 31</v>
      </c>
      <c r="D331" s="80" t="s">
        <v>130</v>
      </c>
      <c r="E331" s="80">
        <v>6</v>
      </c>
      <c r="F331" s="80">
        <v>8</v>
      </c>
      <c r="G331" s="80">
        <v>9</v>
      </c>
      <c r="H331" s="80" t="s">
        <v>586</v>
      </c>
      <c r="I331" s="80">
        <v>8</v>
      </c>
      <c r="J331" s="80"/>
      <c r="K331" s="80"/>
      <c r="L331" s="80"/>
      <c r="M331" s="1" t="s">
        <v>587</v>
      </c>
      <c r="N331" s="1">
        <v>35</v>
      </c>
      <c r="O331" s="1">
        <v>3</v>
      </c>
      <c r="P331" s="13">
        <v>44800</v>
      </c>
      <c r="Q331" s="1" t="s">
        <v>133</v>
      </c>
      <c r="R331" s="1" t="s">
        <v>64</v>
      </c>
      <c r="S331" s="1">
        <v>1</v>
      </c>
      <c r="T331" s="1"/>
      <c r="U331" s="1" t="s">
        <v>28</v>
      </c>
      <c r="V331" s="76">
        <v>6.8571428571428568</v>
      </c>
      <c r="W331" s="76">
        <v>0.63887656499993983</v>
      </c>
      <c r="X331" s="77">
        <v>-1.3416407864998734</v>
      </c>
      <c r="Y331" s="77">
        <v>1</v>
      </c>
      <c r="Z331" s="76">
        <v>7.7142857142857144</v>
      </c>
      <c r="AA331" s="76">
        <v>0.88063057185271088</v>
      </c>
      <c r="AB331" s="77">
        <v>0.32444284226152492</v>
      </c>
      <c r="AC331" s="77">
        <v>3</v>
      </c>
      <c r="AD331" s="76">
        <v>8.6428571428571423</v>
      </c>
      <c r="AE331" s="76">
        <v>0.58028845747399704</v>
      </c>
      <c r="AF331" s="77">
        <v>0.6154574548966647</v>
      </c>
      <c r="AG331" s="77">
        <v>3</v>
      </c>
      <c r="AH331" s="76">
        <v>7.4285714285714288</v>
      </c>
      <c r="AI331" s="76">
        <v>1.2936264483053452</v>
      </c>
      <c r="AJ331" s="77">
        <v>0.44172610429938597</v>
      </c>
      <c r="AK331" s="77">
        <v>3</v>
      </c>
      <c r="AL331" s="76"/>
      <c r="AM331" s="76"/>
      <c r="AN331" s="77"/>
      <c r="AO331" s="77"/>
      <c r="AP331" s="76"/>
      <c r="AQ331" s="76"/>
      <c r="AR331" s="77"/>
      <c r="AS331" s="77"/>
      <c r="AT331" s="78">
        <v>0.8125</v>
      </c>
    </row>
    <row r="332" spans="1:46" ht="12.5" x14ac:dyDescent="0.25">
      <c r="A332" s="79">
        <v>44800.342614212961</v>
      </c>
      <c r="B332" s="80" t="s">
        <v>7</v>
      </c>
      <c r="C332" s="80" t="str">
        <f>INDEX(TBL_Name,MATCH(Table2[[#This Row],[Athlete Name]],listNames,0),2)</f>
        <v>Athlete 3</v>
      </c>
      <c r="D332" s="80" t="s">
        <v>130</v>
      </c>
      <c r="E332" s="80">
        <v>6</v>
      </c>
      <c r="F332" s="80">
        <v>8</v>
      </c>
      <c r="G332" s="80">
        <v>9</v>
      </c>
      <c r="H332" s="80" t="s">
        <v>495</v>
      </c>
      <c r="I332" s="80">
        <v>6</v>
      </c>
      <c r="J332" s="80"/>
      <c r="K332" s="80"/>
      <c r="L332" s="80"/>
      <c r="M332" s="1" t="s">
        <v>588</v>
      </c>
      <c r="N332" s="1">
        <v>35</v>
      </c>
      <c r="O332" s="1">
        <v>3</v>
      </c>
      <c r="P332" s="13">
        <v>44800</v>
      </c>
      <c r="Q332" s="1" t="s">
        <v>133</v>
      </c>
      <c r="R332" s="1" t="s">
        <v>64</v>
      </c>
      <c r="S332" s="1">
        <v>1</v>
      </c>
      <c r="T332" s="1"/>
      <c r="U332" s="1" t="s">
        <v>8</v>
      </c>
      <c r="V332" s="76">
        <v>6</v>
      </c>
      <c r="W332" s="76">
        <v>0</v>
      </c>
      <c r="X332" s="77">
        <v>0</v>
      </c>
      <c r="Y332" s="77">
        <v>3</v>
      </c>
      <c r="Z332" s="76">
        <v>8</v>
      </c>
      <c r="AA332" s="76">
        <v>0</v>
      </c>
      <c r="AB332" s="77">
        <v>0</v>
      </c>
      <c r="AC332" s="77">
        <v>3</v>
      </c>
      <c r="AD332" s="76">
        <v>9</v>
      </c>
      <c r="AE332" s="76">
        <v>0</v>
      </c>
      <c r="AF332" s="77">
        <v>0</v>
      </c>
      <c r="AG332" s="77">
        <v>3</v>
      </c>
      <c r="AH332" s="76">
        <v>6</v>
      </c>
      <c r="AI332" s="76">
        <v>0</v>
      </c>
      <c r="AJ332" s="77">
        <v>0</v>
      </c>
      <c r="AK332" s="77">
        <v>3</v>
      </c>
      <c r="AL332" s="76"/>
      <c r="AM332" s="76"/>
      <c r="AN332" s="77"/>
      <c r="AO332" s="77"/>
      <c r="AP332" s="76"/>
      <c r="AQ332" s="76"/>
      <c r="AR332" s="77"/>
      <c r="AS332" s="77"/>
      <c r="AT332" s="78">
        <v>0.75</v>
      </c>
    </row>
    <row r="333" spans="1:46" ht="12.5" x14ac:dyDescent="0.25">
      <c r="A333" s="79">
        <v>44800.349187581014</v>
      </c>
      <c r="B333" s="80" t="s">
        <v>10</v>
      </c>
      <c r="C333" s="80" t="str">
        <f>INDEX(TBL_Name,MATCH(Table2[[#This Row],[Athlete Name]],listNames,0),2)</f>
        <v>Athlete 5</v>
      </c>
      <c r="D333" s="80" t="s">
        <v>130</v>
      </c>
      <c r="E333" s="80">
        <v>9</v>
      </c>
      <c r="F333" s="80">
        <v>8</v>
      </c>
      <c r="G333" s="80">
        <v>8</v>
      </c>
      <c r="H333" s="80" t="s">
        <v>193</v>
      </c>
      <c r="I333" s="80">
        <v>6</v>
      </c>
      <c r="J333" s="80"/>
      <c r="K333" s="80"/>
      <c r="L333" s="80"/>
      <c r="M333" s="1" t="s">
        <v>589</v>
      </c>
      <c r="N333" s="1">
        <v>35</v>
      </c>
      <c r="O333" s="1">
        <v>3</v>
      </c>
      <c r="P333" s="13">
        <v>44800</v>
      </c>
      <c r="Q333" s="1" t="s">
        <v>133</v>
      </c>
      <c r="R333" s="1" t="s">
        <v>64</v>
      </c>
      <c r="S333" s="1">
        <v>1</v>
      </c>
      <c r="T333" s="1"/>
      <c r="U333" s="1" t="s">
        <v>11</v>
      </c>
      <c r="V333" s="76">
        <v>8.6</v>
      </c>
      <c r="W333" s="76">
        <v>0.48989794855663565</v>
      </c>
      <c r="X333" s="77">
        <v>0.8164965809277267</v>
      </c>
      <c r="Y333" s="77">
        <v>3</v>
      </c>
      <c r="Z333" s="76">
        <v>8.1999999999999993</v>
      </c>
      <c r="AA333" s="76">
        <v>0.39999999999999986</v>
      </c>
      <c r="AB333" s="77">
        <v>-0.49999999999999839</v>
      </c>
      <c r="AC333" s="77">
        <v>2</v>
      </c>
      <c r="AD333" s="76">
        <v>8.1999999999999993</v>
      </c>
      <c r="AE333" s="76">
        <v>0.39999999999999986</v>
      </c>
      <c r="AF333" s="77">
        <v>-0.49999999999999839</v>
      </c>
      <c r="AG333" s="77">
        <v>2</v>
      </c>
      <c r="AH333" s="76">
        <v>5.2</v>
      </c>
      <c r="AI333" s="76">
        <v>1.16619037896906</v>
      </c>
      <c r="AJ333" s="77">
        <v>0.68599434057003528</v>
      </c>
      <c r="AK333" s="77">
        <v>3</v>
      </c>
      <c r="AL333" s="76"/>
      <c r="AM333" s="76"/>
      <c r="AN333" s="77"/>
      <c r="AO333" s="77"/>
      <c r="AP333" s="76"/>
      <c r="AQ333" s="76"/>
      <c r="AR333" s="77"/>
      <c r="AS333" s="77"/>
      <c r="AT333" s="78">
        <v>0.375</v>
      </c>
    </row>
    <row r="334" spans="1:46" ht="12.5" x14ac:dyDescent="0.25">
      <c r="A334" s="79">
        <v>44800.400052245372</v>
      </c>
      <c r="B334" s="80" t="s">
        <v>185</v>
      </c>
      <c r="C334" s="80" t="str">
        <f>INDEX(TBL_Name,MATCH(Table2[[#This Row],[Athlete Name]],listNames,0),2)</f>
        <v>Athlete 30</v>
      </c>
      <c r="D334" s="80" t="s">
        <v>130</v>
      </c>
      <c r="E334" s="80">
        <v>9</v>
      </c>
      <c r="F334" s="80">
        <v>5</v>
      </c>
      <c r="G334" s="80">
        <v>6</v>
      </c>
      <c r="H334" s="80" t="s">
        <v>186</v>
      </c>
      <c r="I334" s="80">
        <v>6</v>
      </c>
      <c r="J334" s="80"/>
      <c r="K334" s="80"/>
      <c r="L334" s="80"/>
      <c r="M334" s="1" t="s">
        <v>590</v>
      </c>
      <c r="N334" s="1">
        <v>35</v>
      </c>
      <c r="O334" s="1">
        <v>3</v>
      </c>
      <c r="P334" s="13">
        <v>44800</v>
      </c>
      <c r="Q334" s="1" t="s">
        <v>133</v>
      </c>
      <c r="R334" s="1" t="s">
        <v>64</v>
      </c>
      <c r="S334" s="1">
        <v>1</v>
      </c>
      <c r="T334" s="1"/>
      <c r="U334" s="1" t="s">
        <v>26</v>
      </c>
      <c r="V334" s="76">
        <v>9.2857142857142865</v>
      </c>
      <c r="W334" s="76">
        <v>0.45175395145262576</v>
      </c>
      <c r="X334" s="77">
        <v>-0.63245553203367733</v>
      </c>
      <c r="Y334" s="77">
        <v>2</v>
      </c>
      <c r="Z334" s="76">
        <v>4.5714285714285712</v>
      </c>
      <c r="AA334" s="76">
        <v>1.1780301787479031</v>
      </c>
      <c r="AB334" s="77">
        <v>0.36380343755449968</v>
      </c>
      <c r="AC334" s="77">
        <v>3</v>
      </c>
      <c r="AD334" s="76">
        <v>6.5714285714285712</v>
      </c>
      <c r="AE334" s="76">
        <v>1.1780301787479031</v>
      </c>
      <c r="AF334" s="77">
        <v>-0.48507125007266572</v>
      </c>
      <c r="AG334" s="77">
        <v>2</v>
      </c>
      <c r="AH334" s="76">
        <v>5.8571428571428568</v>
      </c>
      <c r="AI334" s="76">
        <v>0.3499271061118826</v>
      </c>
      <c r="AJ334" s="77">
        <v>0.40824829046386407</v>
      </c>
      <c r="AK334" s="77">
        <v>3</v>
      </c>
      <c r="AL334" s="76"/>
      <c r="AM334" s="76"/>
      <c r="AN334" s="77"/>
      <c r="AO334" s="77"/>
      <c r="AP334" s="76"/>
      <c r="AQ334" s="76"/>
      <c r="AR334" s="77"/>
      <c r="AS334" s="77"/>
      <c r="AT334" s="78">
        <v>0.3125</v>
      </c>
    </row>
    <row r="335" spans="1:46" ht="12.5" x14ac:dyDescent="0.25">
      <c r="A335" s="79">
        <v>44800.414077800924</v>
      </c>
      <c r="B335" s="80" t="s">
        <v>6</v>
      </c>
      <c r="C335" s="80" t="str">
        <f>INDEX(TBL_Name,MATCH(Table2[[#This Row],[Athlete Name]],listNames,0),2)</f>
        <v>Athlete 2</v>
      </c>
      <c r="D335" s="80" t="s">
        <v>130</v>
      </c>
      <c r="E335" s="80">
        <v>10</v>
      </c>
      <c r="F335" s="80">
        <v>8</v>
      </c>
      <c r="G335" s="80">
        <v>9</v>
      </c>
      <c r="H335" s="80" t="s">
        <v>231</v>
      </c>
      <c r="I335" s="80">
        <v>7</v>
      </c>
      <c r="J335" s="80"/>
      <c r="K335" s="80"/>
      <c r="L335" s="80"/>
      <c r="M335" s="1" t="s">
        <v>591</v>
      </c>
      <c r="N335" s="1">
        <v>35</v>
      </c>
      <c r="O335" s="1">
        <v>3</v>
      </c>
      <c r="P335" s="13">
        <v>44800</v>
      </c>
      <c r="Q335" s="1" t="s">
        <v>133</v>
      </c>
      <c r="R335" s="1" t="s">
        <v>64</v>
      </c>
      <c r="S335" s="1">
        <v>1</v>
      </c>
      <c r="T335" s="1"/>
      <c r="U335" s="1" t="s">
        <v>5</v>
      </c>
      <c r="V335" s="76">
        <v>9.6666666666666661</v>
      </c>
      <c r="W335" s="76">
        <v>0.47140452079103179</v>
      </c>
      <c r="X335" s="77">
        <v>0.70710678118654857</v>
      </c>
      <c r="Y335" s="77">
        <v>3</v>
      </c>
      <c r="Z335" s="76">
        <v>7</v>
      </c>
      <c r="AA335" s="76">
        <v>1.4142135623730951</v>
      </c>
      <c r="AB335" s="77">
        <v>0.70710678118654746</v>
      </c>
      <c r="AC335" s="77">
        <v>3</v>
      </c>
      <c r="AD335" s="76">
        <v>9</v>
      </c>
      <c r="AE335" s="76">
        <v>0.57735026918962584</v>
      </c>
      <c r="AF335" s="77">
        <v>0</v>
      </c>
      <c r="AG335" s="77">
        <v>3</v>
      </c>
      <c r="AH335" s="76">
        <v>6.666666666666667</v>
      </c>
      <c r="AI335" s="76">
        <v>0.7453559924999299</v>
      </c>
      <c r="AJ335" s="77">
        <v>0.44721359549995754</v>
      </c>
      <c r="AK335" s="77">
        <v>3</v>
      </c>
      <c r="AL335" s="76"/>
      <c r="AM335" s="76"/>
      <c r="AN335" s="77"/>
      <c r="AO335" s="77"/>
      <c r="AP335" s="76"/>
      <c r="AQ335" s="76"/>
      <c r="AR335" s="77"/>
      <c r="AS335" s="77"/>
      <c r="AT335" s="78">
        <v>0.375</v>
      </c>
    </row>
    <row r="336" spans="1:46" ht="12.5" x14ac:dyDescent="0.25">
      <c r="A336" s="79">
        <v>44800.461593668981</v>
      </c>
      <c r="B336" s="80" t="s">
        <v>25</v>
      </c>
      <c r="C336" s="80" t="str">
        <f>INDEX(TBL_Name,MATCH(Table2[[#This Row],[Athlete Name]],listNames,0),2)</f>
        <v>Athlete 23</v>
      </c>
      <c r="D336" s="80" t="s">
        <v>143</v>
      </c>
      <c r="E336" s="80">
        <v>7</v>
      </c>
      <c r="F336" s="80">
        <v>6</v>
      </c>
      <c r="G336" s="80">
        <v>8</v>
      </c>
      <c r="H336" s="80"/>
      <c r="I336" s="80">
        <v>5</v>
      </c>
      <c r="J336" s="80"/>
      <c r="K336" s="80"/>
      <c r="L336" s="80"/>
      <c r="M336" s="1" t="s">
        <v>592</v>
      </c>
      <c r="N336" s="1">
        <v>35</v>
      </c>
      <c r="O336" s="1">
        <v>3</v>
      </c>
      <c r="P336" s="13">
        <v>44800</v>
      </c>
      <c r="Q336" s="1" t="s">
        <v>133</v>
      </c>
      <c r="R336" s="1" t="s">
        <v>64</v>
      </c>
      <c r="S336" s="1">
        <v>2</v>
      </c>
      <c r="T336" s="1"/>
      <c r="U336" s="1" t="s">
        <v>26</v>
      </c>
      <c r="V336" s="76">
        <v>8.8000000000000007</v>
      </c>
      <c r="W336" s="76">
        <v>0.97979589711327153</v>
      </c>
      <c r="X336" s="77">
        <v>-1.8371173070873839</v>
      </c>
      <c r="Y336" s="77">
        <v>1</v>
      </c>
      <c r="Z336" s="76">
        <v>8.1999999999999993</v>
      </c>
      <c r="AA336" s="76">
        <v>1.16619037896906</v>
      </c>
      <c r="AB336" s="77">
        <v>-1.8864844365675968</v>
      </c>
      <c r="AC336" s="77">
        <v>1</v>
      </c>
      <c r="AD336" s="76">
        <v>9.1999999999999993</v>
      </c>
      <c r="AE336" s="76">
        <v>0.97979589711327109</v>
      </c>
      <c r="AF336" s="77">
        <v>-1.2247448713915885</v>
      </c>
      <c r="AG336" s="77">
        <v>1</v>
      </c>
      <c r="AH336" s="76">
        <v>5.4</v>
      </c>
      <c r="AI336" s="76">
        <v>1.9595917942265424</v>
      </c>
      <c r="AJ336" s="77">
        <v>-0.2041241452319317</v>
      </c>
      <c r="AK336" s="77">
        <v>2</v>
      </c>
      <c r="AL336" s="76"/>
      <c r="AM336" s="76"/>
      <c r="AN336" s="77"/>
      <c r="AO336" s="77"/>
      <c r="AP336" s="76"/>
      <c r="AQ336" s="76"/>
      <c r="AR336" s="77"/>
      <c r="AS336" s="77"/>
      <c r="AT336" s="78">
        <v>0.3125</v>
      </c>
    </row>
    <row r="337" spans="1:46" ht="12.5" x14ac:dyDescent="0.25">
      <c r="A337" s="79">
        <v>44800.467209236114</v>
      </c>
      <c r="B337" s="80" t="s">
        <v>129</v>
      </c>
      <c r="C337" s="80" t="str">
        <f>INDEX(TBL_Name,MATCH(Table2[[#This Row],[Athlete Name]],listNames,0),2)</f>
        <v>Athlete 19</v>
      </c>
      <c r="D337" s="80" t="s">
        <v>130</v>
      </c>
      <c r="E337" s="80">
        <v>7</v>
      </c>
      <c r="F337" s="80">
        <v>6</v>
      </c>
      <c r="G337" s="80">
        <v>9</v>
      </c>
      <c r="H337" s="80" t="s">
        <v>212</v>
      </c>
      <c r="I337" s="80">
        <v>5</v>
      </c>
      <c r="J337" s="80"/>
      <c r="K337" s="80"/>
      <c r="L337" s="80"/>
      <c r="M337" s="1" t="s">
        <v>593</v>
      </c>
      <c r="N337" s="1">
        <v>35</v>
      </c>
      <c r="O337" s="1">
        <v>3</v>
      </c>
      <c r="P337" s="13">
        <v>44800</v>
      </c>
      <c r="Q337" s="1" t="s">
        <v>133</v>
      </c>
      <c r="R337" s="1" t="s">
        <v>64</v>
      </c>
      <c r="S337" s="1">
        <v>1</v>
      </c>
      <c r="T337" s="1"/>
      <c r="U337" s="1" t="s">
        <v>18</v>
      </c>
      <c r="V337" s="76">
        <v>7</v>
      </c>
      <c r="W337" s="76">
        <v>0.89442719099991586</v>
      </c>
      <c r="X337" s="77">
        <v>0</v>
      </c>
      <c r="Y337" s="77">
        <v>3</v>
      </c>
      <c r="Z337" s="76">
        <v>5.8</v>
      </c>
      <c r="AA337" s="76">
        <v>1.16619037896906</v>
      </c>
      <c r="AB337" s="77">
        <v>0.17149858514250901</v>
      </c>
      <c r="AC337" s="77">
        <v>3</v>
      </c>
      <c r="AD337" s="76">
        <v>7.8</v>
      </c>
      <c r="AE337" s="76">
        <v>0.74833147735478833</v>
      </c>
      <c r="AF337" s="77">
        <v>1.6035674514745464</v>
      </c>
      <c r="AG337" s="77">
        <v>4</v>
      </c>
      <c r="AH337" s="76">
        <v>4.4000000000000004</v>
      </c>
      <c r="AI337" s="76">
        <v>0.4898979485566356</v>
      </c>
      <c r="AJ337" s="77">
        <v>1.2247448713915883</v>
      </c>
      <c r="AK337" s="77">
        <v>4</v>
      </c>
      <c r="AL337" s="76"/>
      <c r="AM337" s="76"/>
      <c r="AN337" s="77"/>
      <c r="AO337" s="77"/>
      <c r="AP337" s="76"/>
      <c r="AQ337" s="76"/>
      <c r="AR337" s="77"/>
      <c r="AS337" s="77"/>
      <c r="AT337" s="78">
        <v>0.5625</v>
      </c>
    </row>
    <row r="338" spans="1:46" ht="12.5" x14ac:dyDescent="0.25">
      <c r="A338" s="79">
        <v>44800.48638574074</v>
      </c>
      <c r="B338" s="80" t="s">
        <v>168</v>
      </c>
      <c r="C338" s="80" t="str">
        <f>INDEX(TBL_Name,MATCH(Table2[[#This Row],[Athlete Name]],listNames,0),2)</f>
        <v>Athlete 26</v>
      </c>
      <c r="D338" s="80" t="s">
        <v>130</v>
      </c>
      <c r="E338" s="80">
        <v>8</v>
      </c>
      <c r="F338" s="80">
        <v>6</v>
      </c>
      <c r="G338" s="80">
        <v>7</v>
      </c>
      <c r="H338" s="80" t="s">
        <v>175</v>
      </c>
      <c r="I338" s="80">
        <v>7</v>
      </c>
      <c r="J338" s="80"/>
      <c r="K338" s="80"/>
      <c r="L338" s="80"/>
      <c r="M338" s="1" t="s">
        <v>594</v>
      </c>
      <c r="N338" s="1">
        <v>35</v>
      </c>
      <c r="O338" s="1">
        <v>3</v>
      </c>
      <c r="P338" s="13">
        <v>44800</v>
      </c>
      <c r="Q338" s="1" t="s">
        <v>133</v>
      </c>
      <c r="R338" s="1" t="s">
        <v>64</v>
      </c>
      <c r="S338" s="1">
        <v>1</v>
      </c>
      <c r="T338" s="1"/>
      <c r="U338" s="1" t="s">
        <v>5</v>
      </c>
      <c r="V338" s="76">
        <v>7.25</v>
      </c>
      <c r="W338" s="76">
        <v>1.299038105676658</v>
      </c>
      <c r="X338" s="77">
        <v>0.57735026918962573</v>
      </c>
      <c r="Y338" s="77">
        <v>3</v>
      </c>
      <c r="Z338" s="76">
        <v>7</v>
      </c>
      <c r="AA338" s="76">
        <v>1.2247448713915889</v>
      </c>
      <c r="AB338" s="77">
        <v>-0.81649658092772615</v>
      </c>
      <c r="AC338" s="77">
        <v>2</v>
      </c>
      <c r="AD338" s="76">
        <v>7.5</v>
      </c>
      <c r="AE338" s="76">
        <v>0.86602540378443871</v>
      </c>
      <c r="AF338" s="77">
        <v>-0.57735026918962573</v>
      </c>
      <c r="AG338" s="77">
        <v>2</v>
      </c>
      <c r="AH338" s="76">
        <v>5.25</v>
      </c>
      <c r="AI338" s="76">
        <v>1.0897247358851685</v>
      </c>
      <c r="AJ338" s="77">
        <v>1.6059101370939322</v>
      </c>
      <c r="AK338" s="77">
        <v>4</v>
      </c>
      <c r="AL338" s="76"/>
      <c r="AM338" s="76"/>
      <c r="AN338" s="77"/>
      <c r="AO338" s="77"/>
      <c r="AP338" s="76"/>
      <c r="AQ338" s="76"/>
      <c r="AR338" s="77"/>
      <c r="AS338" s="77"/>
      <c r="AT338" s="78">
        <v>0.5625</v>
      </c>
    </row>
    <row r="339" spans="1:46" ht="12.5" x14ac:dyDescent="0.25">
      <c r="A339" s="79">
        <v>44800.48828578704</v>
      </c>
      <c r="B339" s="80" t="s">
        <v>21</v>
      </c>
      <c r="C339" s="80" t="str">
        <f>INDEX(TBL_Name,MATCH(Table2[[#This Row],[Athlete Name]],listNames,0),2)</f>
        <v>Athlete 13</v>
      </c>
      <c r="D339" s="80" t="s">
        <v>130</v>
      </c>
      <c r="E339" s="80">
        <v>5</v>
      </c>
      <c r="F339" s="80">
        <v>9</v>
      </c>
      <c r="G339" s="80">
        <v>9</v>
      </c>
      <c r="H339" s="80" t="s">
        <v>485</v>
      </c>
      <c r="I339" s="80">
        <v>6</v>
      </c>
      <c r="J339" s="80"/>
      <c r="K339" s="80"/>
      <c r="L339" s="80"/>
      <c r="M339" s="1" t="s">
        <v>595</v>
      </c>
      <c r="N339" s="1">
        <v>35</v>
      </c>
      <c r="O339" s="1">
        <v>3</v>
      </c>
      <c r="P339" s="13">
        <v>44800</v>
      </c>
      <c r="Q339" s="1" t="s">
        <v>133</v>
      </c>
      <c r="R339" s="1" t="s">
        <v>64</v>
      </c>
      <c r="S339" s="1">
        <v>1</v>
      </c>
      <c r="T339" s="1"/>
      <c r="U339" s="1" t="s">
        <v>18</v>
      </c>
      <c r="V339" s="76">
        <v>5.8571428571428568</v>
      </c>
      <c r="W339" s="76">
        <v>0.83299312783504298</v>
      </c>
      <c r="X339" s="77">
        <v>-1.0289915108550525</v>
      </c>
      <c r="Y339" s="77">
        <v>1</v>
      </c>
      <c r="Z339" s="76">
        <v>7.4285714285714288</v>
      </c>
      <c r="AA339" s="76">
        <v>1.5907898179514348</v>
      </c>
      <c r="AB339" s="77">
        <v>0.98782916114726182</v>
      </c>
      <c r="AC339" s="77">
        <v>3</v>
      </c>
      <c r="AD339" s="76">
        <v>9</v>
      </c>
      <c r="AE339" s="76">
        <v>0</v>
      </c>
      <c r="AF339" s="77">
        <v>0</v>
      </c>
      <c r="AG339" s="77">
        <v>3</v>
      </c>
      <c r="AH339" s="76">
        <v>5.5714285714285712</v>
      </c>
      <c r="AI339" s="76">
        <v>0.72843135908468348</v>
      </c>
      <c r="AJ339" s="77">
        <v>0.58834840541455247</v>
      </c>
      <c r="AK339" s="77">
        <v>3</v>
      </c>
      <c r="AL339" s="76"/>
      <c r="AM339" s="76"/>
      <c r="AN339" s="77"/>
      <c r="AO339" s="77"/>
      <c r="AP339" s="76"/>
      <c r="AQ339" s="76"/>
      <c r="AR339" s="77"/>
      <c r="AS339" s="77"/>
      <c r="AT339" s="78">
        <v>0.75</v>
      </c>
    </row>
    <row r="340" spans="1:46" ht="12.5" x14ac:dyDescent="0.25">
      <c r="A340" s="79">
        <v>44800.498744756944</v>
      </c>
      <c r="B340" s="80" t="s">
        <v>16</v>
      </c>
      <c r="C340" s="80" t="str">
        <f>INDEX(TBL_Name,MATCH(Table2[[#This Row],[Athlete Name]],listNames,0),2)</f>
        <v>Athlete 9</v>
      </c>
      <c r="D340" s="80" t="s">
        <v>130</v>
      </c>
      <c r="E340" s="80">
        <v>6</v>
      </c>
      <c r="F340" s="80">
        <v>6</v>
      </c>
      <c r="G340" s="80">
        <v>8</v>
      </c>
      <c r="H340" s="80" t="s">
        <v>415</v>
      </c>
      <c r="I340" s="80">
        <v>5</v>
      </c>
      <c r="J340" s="80"/>
      <c r="K340" s="80"/>
      <c r="L340" s="80"/>
      <c r="M340" s="1" t="s">
        <v>596</v>
      </c>
      <c r="N340" s="1">
        <v>35</v>
      </c>
      <c r="O340" s="1">
        <v>3</v>
      </c>
      <c r="P340" s="13">
        <v>44800</v>
      </c>
      <c r="Q340" s="1" t="s">
        <v>133</v>
      </c>
      <c r="R340" s="1" t="s">
        <v>64</v>
      </c>
      <c r="S340" s="1">
        <v>1</v>
      </c>
      <c r="T340" s="1"/>
      <c r="U340" s="1" t="s">
        <v>14</v>
      </c>
      <c r="V340" s="76">
        <v>6</v>
      </c>
      <c r="W340" s="76">
        <v>0</v>
      </c>
      <c r="X340" s="77">
        <v>0</v>
      </c>
      <c r="Y340" s="77">
        <v>3</v>
      </c>
      <c r="Z340" s="76">
        <v>5.5</v>
      </c>
      <c r="AA340" s="76">
        <v>0.5</v>
      </c>
      <c r="AB340" s="77">
        <v>1</v>
      </c>
      <c r="AC340" s="77">
        <v>4</v>
      </c>
      <c r="AD340" s="76">
        <v>8</v>
      </c>
      <c r="AE340" s="76">
        <v>0</v>
      </c>
      <c r="AF340" s="77">
        <v>0</v>
      </c>
      <c r="AG340" s="77">
        <v>3</v>
      </c>
      <c r="AH340" s="76">
        <v>5.5</v>
      </c>
      <c r="AI340" s="76">
        <v>0.5</v>
      </c>
      <c r="AJ340" s="77">
        <v>-1</v>
      </c>
      <c r="AK340" s="77">
        <v>1</v>
      </c>
      <c r="AL340" s="76"/>
      <c r="AM340" s="76"/>
      <c r="AN340" s="77"/>
      <c r="AO340" s="77"/>
      <c r="AP340" s="76"/>
      <c r="AQ340" s="76"/>
      <c r="AR340" s="77"/>
      <c r="AS340" s="77"/>
      <c r="AT340" s="78">
        <v>0.75</v>
      </c>
    </row>
    <row r="341" spans="1:46" ht="12.5" x14ac:dyDescent="0.25">
      <c r="A341" s="79">
        <v>44800.601732071758</v>
      </c>
      <c r="B341" s="80" t="s">
        <v>171</v>
      </c>
      <c r="C341" s="80" t="str">
        <f>INDEX(TBL_Name,MATCH(Table2[[#This Row],[Athlete Name]],listNames,0),2)</f>
        <v>Athlete 27</v>
      </c>
      <c r="D341" s="80" t="s">
        <v>130</v>
      </c>
      <c r="E341" s="80">
        <v>10</v>
      </c>
      <c r="F341" s="80">
        <v>9</v>
      </c>
      <c r="G341" s="80">
        <v>9</v>
      </c>
      <c r="H341" s="80"/>
      <c r="I341" s="80">
        <v>10</v>
      </c>
      <c r="J341" s="80"/>
      <c r="K341" s="80"/>
      <c r="L341" s="80"/>
      <c r="M341" s="1" t="s">
        <v>597</v>
      </c>
      <c r="N341" s="1">
        <v>35</v>
      </c>
      <c r="O341" s="1">
        <v>3</v>
      </c>
      <c r="P341" s="13">
        <v>44800</v>
      </c>
      <c r="Q341" s="1" t="s">
        <v>133</v>
      </c>
      <c r="R341" s="1" t="s">
        <v>64</v>
      </c>
      <c r="S341" s="1">
        <v>1</v>
      </c>
      <c r="T341" s="1"/>
      <c r="U341" s="1" t="s">
        <v>8</v>
      </c>
      <c r="V341" s="76">
        <v>8</v>
      </c>
      <c r="W341" s="76">
        <v>2.5298221281347035</v>
      </c>
      <c r="X341" s="77">
        <v>0.79056941504209477</v>
      </c>
      <c r="Y341" s="77">
        <v>3</v>
      </c>
      <c r="Z341" s="76">
        <v>9.1999999999999993</v>
      </c>
      <c r="AA341" s="76">
        <v>0.74833147735478822</v>
      </c>
      <c r="AB341" s="77">
        <v>-0.26726124191242345</v>
      </c>
      <c r="AC341" s="77">
        <v>2</v>
      </c>
      <c r="AD341" s="76">
        <v>8.8000000000000007</v>
      </c>
      <c r="AE341" s="76">
        <v>0.74833147735478811</v>
      </c>
      <c r="AF341" s="77">
        <v>0.26726124191242351</v>
      </c>
      <c r="AG341" s="77">
        <v>3</v>
      </c>
      <c r="AH341" s="76">
        <v>8.4</v>
      </c>
      <c r="AI341" s="76">
        <v>1.3564659966250536</v>
      </c>
      <c r="AJ341" s="77">
        <v>1.1795356492391769</v>
      </c>
      <c r="AK341" s="77">
        <v>4</v>
      </c>
      <c r="AL341" s="76"/>
      <c r="AM341" s="76"/>
      <c r="AN341" s="77"/>
      <c r="AO341" s="77"/>
      <c r="AP341" s="76"/>
      <c r="AQ341" s="76"/>
      <c r="AR341" s="77"/>
      <c r="AS341" s="77"/>
      <c r="AT341" s="78">
        <v>0.75</v>
      </c>
    </row>
    <row r="342" spans="1:46" ht="12.5" x14ac:dyDescent="0.25">
      <c r="A342" s="79">
        <v>44801.323067662037</v>
      </c>
      <c r="B342" s="80" t="s">
        <v>196</v>
      </c>
      <c r="C342" s="80" t="str">
        <f>INDEX(TBL_Name,MATCH(Table2[[#This Row],[Athlete Name]],listNames,0),2)</f>
        <v>Athlete 31</v>
      </c>
      <c r="D342" s="80" t="s">
        <v>130</v>
      </c>
      <c r="E342" s="80">
        <v>5</v>
      </c>
      <c r="F342" s="80">
        <v>9</v>
      </c>
      <c r="G342" s="80">
        <v>9</v>
      </c>
      <c r="H342" s="80" t="s">
        <v>598</v>
      </c>
      <c r="I342" s="80">
        <v>8</v>
      </c>
      <c r="J342" s="80"/>
      <c r="K342" s="80"/>
      <c r="L342" s="80"/>
      <c r="M342" s="1" t="s">
        <v>599</v>
      </c>
      <c r="N342" s="1">
        <v>36</v>
      </c>
      <c r="O342" s="1">
        <v>4</v>
      </c>
      <c r="P342" s="13">
        <v>44801</v>
      </c>
      <c r="Q342" s="1" t="s">
        <v>133</v>
      </c>
      <c r="R342" s="1" t="s">
        <v>64</v>
      </c>
      <c r="S342" s="1">
        <v>1</v>
      </c>
      <c r="T342" s="1"/>
      <c r="U342" s="1" t="s">
        <v>28</v>
      </c>
      <c r="V342" s="76">
        <v>6.7142857142857144</v>
      </c>
      <c r="W342" s="76">
        <v>0.88063057185271099</v>
      </c>
      <c r="X342" s="77">
        <v>-1.9466570535691505</v>
      </c>
      <c r="Y342" s="77">
        <v>1</v>
      </c>
      <c r="Z342" s="76">
        <v>7.8571428571428568</v>
      </c>
      <c r="AA342" s="76">
        <v>0.98974331861078724</v>
      </c>
      <c r="AB342" s="77">
        <v>1.1547005383792517</v>
      </c>
      <c r="AC342" s="77">
        <v>4</v>
      </c>
      <c r="AD342" s="76">
        <v>8.8571428571428577</v>
      </c>
      <c r="AE342" s="76">
        <v>0.34992710611188238</v>
      </c>
      <c r="AF342" s="77">
        <v>0.4082482904638618</v>
      </c>
      <c r="AG342" s="77">
        <v>3</v>
      </c>
      <c r="AH342" s="76">
        <v>7.4285714285714288</v>
      </c>
      <c r="AI342" s="76">
        <v>1.2936264483053452</v>
      </c>
      <c r="AJ342" s="77">
        <v>0.44172610429938597</v>
      </c>
      <c r="AK342" s="77">
        <v>3</v>
      </c>
      <c r="AL342" s="76"/>
      <c r="AM342" s="76"/>
      <c r="AN342" s="77"/>
      <c r="AO342" s="77"/>
      <c r="AP342" s="76"/>
      <c r="AQ342" s="76"/>
      <c r="AR342" s="77"/>
      <c r="AS342" s="77"/>
      <c r="AT342" s="78">
        <v>0.8125</v>
      </c>
    </row>
    <row r="343" spans="1:46" ht="12.5" x14ac:dyDescent="0.25">
      <c r="A343" s="79">
        <v>44801.33556496528</v>
      </c>
      <c r="B343" s="80" t="s">
        <v>17</v>
      </c>
      <c r="C343" s="80" t="str">
        <f>INDEX(TBL_Name,MATCH(Table2[[#This Row],[Athlete Name]],listNames,0),2)</f>
        <v>Athlete 10</v>
      </c>
      <c r="D343" s="80" t="s">
        <v>130</v>
      </c>
      <c r="E343" s="80">
        <v>9</v>
      </c>
      <c r="F343" s="80">
        <v>8</v>
      </c>
      <c r="G343" s="80">
        <v>9</v>
      </c>
      <c r="H343" s="80" t="s">
        <v>600</v>
      </c>
      <c r="I343" s="80">
        <v>8</v>
      </c>
      <c r="J343" s="80"/>
      <c r="K343" s="80"/>
      <c r="L343" s="80"/>
      <c r="M343" s="1" t="s">
        <v>601</v>
      </c>
      <c r="N343" s="1">
        <v>36</v>
      </c>
      <c r="O343" s="1">
        <v>4</v>
      </c>
      <c r="P343" s="13">
        <v>44801</v>
      </c>
      <c r="Q343" s="1" t="s">
        <v>133</v>
      </c>
      <c r="R343" s="1" t="s">
        <v>64</v>
      </c>
      <c r="S343" s="1">
        <v>1</v>
      </c>
      <c r="T343" s="1"/>
      <c r="U343" s="1" t="s">
        <v>18</v>
      </c>
      <c r="V343" s="76">
        <v>8</v>
      </c>
      <c r="W343" s="76">
        <v>0.92582009977255164</v>
      </c>
      <c r="X343" s="77">
        <v>1.0801234497346432</v>
      </c>
      <c r="Y343" s="77">
        <v>4</v>
      </c>
      <c r="Z343" s="76">
        <v>7.5714285714285712</v>
      </c>
      <c r="AA343" s="76">
        <v>1.5907898179514348</v>
      </c>
      <c r="AB343" s="77">
        <v>0.26940795304016252</v>
      </c>
      <c r="AC343" s="77">
        <v>3</v>
      </c>
      <c r="AD343" s="76">
        <v>9</v>
      </c>
      <c r="AE343" s="76">
        <v>0.92582009977255142</v>
      </c>
      <c r="AF343" s="77">
        <v>0</v>
      </c>
      <c r="AG343" s="77">
        <v>3</v>
      </c>
      <c r="AH343" s="76">
        <v>7.2857142857142856</v>
      </c>
      <c r="AI343" s="76">
        <v>0.6998542122237652</v>
      </c>
      <c r="AJ343" s="77">
        <v>1.0206207261596576</v>
      </c>
      <c r="AK343" s="77">
        <v>4</v>
      </c>
      <c r="AL343" s="76"/>
      <c r="AM343" s="76"/>
      <c r="AN343" s="77"/>
      <c r="AO343" s="77"/>
      <c r="AP343" s="76"/>
      <c r="AQ343" s="76"/>
      <c r="AR343" s="77"/>
      <c r="AS343" s="77"/>
      <c r="AT343" s="78">
        <v>0.875</v>
      </c>
    </row>
    <row r="344" spans="1:46" ht="12.5" x14ac:dyDescent="0.25">
      <c r="A344" s="79">
        <v>44801.344134918982</v>
      </c>
      <c r="B344" s="80" t="s">
        <v>129</v>
      </c>
      <c r="C344" s="80" t="str">
        <f>INDEX(TBL_Name,MATCH(Table2[[#This Row],[Athlete Name]],listNames,0),2)</f>
        <v>Athlete 19</v>
      </c>
      <c r="D344" s="80" t="s">
        <v>130</v>
      </c>
      <c r="E344" s="80">
        <v>7</v>
      </c>
      <c r="F344" s="80">
        <v>8</v>
      </c>
      <c r="G344" s="80">
        <v>8</v>
      </c>
      <c r="H344" s="80" t="s">
        <v>212</v>
      </c>
      <c r="I344" s="80">
        <v>4</v>
      </c>
      <c r="J344" s="80"/>
      <c r="K344" s="80"/>
      <c r="L344" s="80"/>
      <c r="M344" s="1" t="s">
        <v>602</v>
      </c>
      <c r="N344" s="1">
        <v>36</v>
      </c>
      <c r="O344" s="1">
        <v>4</v>
      </c>
      <c r="P344" s="13">
        <v>44801</v>
      </c>
      <c r="Q344" s="1" t="s">
        <v>133</v>
      </c>
      <c r="R344" s="1" t="s">
        <v>64</v>
      </c>
      <c r="S344" s="1">
        <v>1</v>
      </c>
      <c r="T344" s="1"/>
      <c r="U344" s="1" t="s">
        <v>18</v>
      </c>
      <c r="V344" s="76">
        <v>7</v>
      </c>
      <c r="W344" s="76">
        <v>0.81649658092772603</v>
      </c>
      <c r="X344" s="77">
        <v>0</v>
      </c>
      <c r="Y344" s="77">
        <v>3</v>
      </c>
      <c r="Z344" s="76">
        <v>6.166666666666667</v>
      </c>
      <c r="AA344" s="76">
        <v>1.3437096247164251</v>
      </c>
      <c r="AB344" s="77">
        <v>1.3643820804812927</v>
      </c>
      <c r="AC344" s="77">
        <v>4</v>
      </c>
      <c r="AD344" s="76">
        <v>7.833333333333333</v>
      </c>
      <c r="AE344" s="76">
        <v>0.68718427093627676</v>
      </c>
      <c r="AF344" s="77">
        <v>0.24253562503633341</v>
      </c>
      <c r="AG344" s="77">
        <v>3</v>
      </c>
      <c r="AH344" s="76">
        <v>4.333333333333333</v>
      </c>
      <c r="AI344" s="76">
        <v>0.47140452079103173</v>
      </c>
      <c r="AJ344" s="77">
        <v>-0.7071067811865468</v>
      </c>
      <c r="AK344" s="77">
        <v>2</v>
      </c>
      <c r="AL344" s="76"/>
      <c r="AM344" s="76"/>
      <c r="AN344" s="77"/>
      <c r="AO344" s="77"/>
      <c r="AP344" s="76"/>
      <c r="AQ344" s="76"/>
      <c r="AR344" s="77"/>
      <c r="AS344" s="77"/>
      <c r="AT344" s="78">
        <v>0.75</v>
      </c>
    </row>
    <row r="345" spans="1:46" ht="12.5" x14ac:dyDescent="0.25">
      <c r="A345" s="79">
        <v>44801.384092673616</v>
      </c>
      <c r="B345" s="80" t="s">
        <v>10</v>
      </c>
      <c r="C345" s="80" t="str">
        <f>INDEX(TBL_Name,MATCH(Table2[[#This Row],[Athlete Name]],listNames,0),2)</f>
        <v>Athlete 5</v>
      </c>
      <c r="D345" s="80" t="s">
        <v>130</v>
      </c>
      <c r="E345" s="80">
        <v>8</v>
      </c>
      <c r="F345" s="80">
        <v>8</v>
      </c>
      <c r="G345" s="80">
        <v>8</v>
      </c>
      <c r="H345" s="80" t="s">
        <v>193</v>
      </c>
      <c r="I345" s="80">
        <v>7</v>
      </c>
      <c r="J345" s="80"/>
      <c r="K345" s="80"/>
      <c r="L345" s="80"/>
      <c r="M345" s="1" t="s">
        <v>603</v>
      </c>
      <c r="N345" s="1">
        <v>36</v>
      </c>
      <c r="O345" s="1">
        <v>4</v>
      </c>
      <c r="P345" s="13">
        <v>44801</v>
      </c>
      <c r="Q345" s="1" t="s">
        <v>133</v>
      </c>
      <c r="R345" s="1" t="s">
        <v>64</v>
      </c>
      <c r="S345" s="1">
        <v>1</v>
      </c>
      <c r="T345" s="1"/>
      <c r="U345" s="1" t="s">
        <v>11</v>
      </c>
      <c r="V345" s="76">
        <v>8.5</v>
      </c>
      <c r="W345" s="76">
        <v>0.5</v>
      </c>
      <c r="X345" s="77">
        <v>-1</v>
      </c>
      <c r="Y345" s="77">
        <v>1</v>
      </c>
      <c r="Z345" s="76">
        <v>8.1666666666666661</v>
      </c>
      <c r="AA345" s="76">
        <v>0.37267799624996478</v>
      </c>
      <c r="AB345" s="77">
        <v>-0.44721359549995654</v>
      </c>
      <c r="AC345" s="77">
        <v>2</v>
      </c>
      <c r="AD345" s="76">
        <v>8.1666666666666661</v>
      </c>
      <c r="AE345" s="76">
        <v>0.37267799624996478</v>
      </c>
      <c r="AF345" s="77">
        <v>-0.44721359549995654</v>
      </c>
      <c r="AG345" s="77">
        <v>2</v>
      </c>
      <c r="AH345" s="76">
        <v>5.5</v>
      </c>
      <c r="AI345" s="76">
        <v>1.2583057392117916</v>
      </c>
      <c r="AJ345" s="77">
        <v>1.1920791213585396</v>
      </c>
      <c r="AK345" s="77">
        <v>4</v>
      </c>
      <c r="AL345" s="76"/>
      <c r="AM345" s="76"/>
      <c r="AN345" s="77"/>
      <c r="AO345" s="77"/>
      <c r="AP345" s="76"/>
      <c r="AQ345" s="76"/>
      <c r="AR345" s="77"/>
      <c r="AS345" s="77"/>
      <c r="AT345" s="78">
        <v>0.25</v>
      </c>
    </row>
    <row r="346" spans="1:46" ht="12.5" x14ac:dyDescent="0.25">
      <c r="A346" s="79">
        <v>44801.408197997684</v>
      </c>
      <c r="B346" s="80" t="s">
        <v>6</v>
      </c>
      <c r="C346" s="80" t="str">
        <f>INDEX(TBL_Name,MATCH(Table2[[#This Row],[Athlete Name]],listNames,0),2)</f>
        <v>Athlete 2</v>
      </c>
      <c r="D346" s="80" t="s">
        <v>130</v>
      </c>
      <c r="E346" s="80">
        <v>9</v>
      </c>
      <c r="F346" s="80">
        <v>4</v>
      </c>
      <c r="G346" s="80">
        <v>9</v>
      </c>
      <c r="H346" s="80" t="s">
        <v>73</v>
      </c>
      <c r="I346" s="80">
        <v>7</v>
      </c>
      <c r="J346" s="80"/>
      <c r="K346" s="80"/>
      <c r="L346" s="80"/>
      <c r="M346" s="1" t="s">
        <v>604</v>
      </c>
      <c r="N346" s="1">
        <v>36</v>
      </c>
      <c r="O346" s="1">
        <v>4</v>
      </c>
      <c r="P346" s="13">
        <v>44801</v>
      </c>
      <c r="Q346" s="1" t="s">
        <v>133</v>
      </c>
      <c r="R346" s="1" t="s">
        <v>64</v>
      </c>
      <c r="S346" s="1">
        <v>1</v>
      </c>
      <c r="T346" s="1"/>
      <c r="U346" s="1" t="s">
        <v>5</v>
      </c>
      <c r="V346" s="76">
        <v>9.6666666666666661</v>
      </c>
      <c r="W346" s="76">
        <v>0.47140452079103184</v>
      </c>
      <c r="X346" s="77">
        <v>-1.4142135623730934</v>
      </c>
      <c r="Y346" s="77">
        <v>1</v>
      </c>
      <c r="Z346" s="76">
        <v>7</v>
      </c>
      <c r="AA346" s="76">
        <v>1.4142135623730951</v>
      </c>
      <c r="AB346" s="77">
        <v>-2.1213203435596424</v>
      </c>
      <c r="AC346" s="77">
        <v>1</v>
      </c>
      <c r="AD346" s="76">
        <v>9</v>
      </c>
      <c r="AE346" s="76">
        <v>0.57735026918962584</v>
      </c>
      <c r="AF346" s="77">
        <v>0</v>
      </c>
      <c r="AG346" s="77">
        <v>3</v>
      </c>
      <c r="AH346" s="76">
        <v>6.833333333333333</v>
      </c>
      <c r="AI346" s="76">
        <v>0.68718427093627676</v>
      </c>
      <c r="AJ346" s="77">
        <v>0.24253562503633341</v>
      </c>
      <c r="AK346" s="77">
        <v>3</v>
      </c>
      <c r="AL346" s="76"/>
      <c r="AM346" s="76"/>
      <c r="AN346" s="77"/>
      <c r="AO346" s="77"/>
      <c r="AP346" s="76"/>
      <c r="AQ346" s="76"/>
      <c r="AR346" s="77"/>
      <c r="AS346" s="77"/>
      <c r="AT346" s="78">
        <v>0.25</v>
      </c>
    </row>
    <row r="347" spans="1:46" ht="12.5" x14ac:dyDescent="0.25">
      <c r="A347" s="79">
        <v>44801.414631886575</v>
      </c>
      <c r="B347" s="80" t="s">
        <v>142</v>
      </c>
      <c r="C347" s="80" t="str">
        <f>INDEX(TBL_Name,MATCH(Table2[[#This Row],[Athlete Name]],listNames,0),2)</f>
        <v>Athlete 21</v>
      </c>
      <c r="D347" s="80" t="s">
        <v>130</v>
      </c>
      <c r="E347" s="80">
        <v>3</v>
      </c>
      <c r="F347" s="80">
        <v>9</v>
      </c>
      <c r="G347" s="80">
        <v>10</v>
      </c>
      <c r="H347" s="80" t="s">
        <v>193</v>
      </c>
      <c r="I347" s="80">
        <v>4</v>
      </c>
      <c r="J347" s="80"/>
      <c r="K347" s="80"/>
      <c r="L347" s="80"/>
      <c r="M347" s="1" t="s">
        <v>605</v>
      </c>
      <c r="N347" s="1">
        <v>36</v>
      </c>
      <c r="O347" s="1">
        <v>4</v>
      </c>
      <c r="P347" s="13">
        <v>44801</v>
      </c>
      <c r="Q347" s="1" t="s">
        <v>133</v>
      </c>
      <c r="R347" s="1" t="s">
        <v>64</v>
      </c>
      <c r="S347" s="1">
        <v>1</v>
      </c>
      <c r="T347" s="1"/>
      <c r="U347" s="1" t="s">
        <v>18</v>
      </c>
      <c r="V347" s="76">
        <v>4.5</v>
      </c>
      <c r="W347" s="76">
        <v>1.5</v>
      </c>
      <c r="X347" s="77">
        <v>-1</v>
      </c>
      <c r="Y347" s="77">
        <v>1</v>
      </c>
      <c r="Z347" s="76">
        <v>8</v>
      </c>
      <c r="AA347" s="76">
        <v>1</v>
      </c>
      <c r="AB347" s="77">
        <v>1</v>
      </c>
      <c r="AC347" s="77">
        <v>4</v>
      </c>
      <c r="AD347" s="76">
        <v>9</v>
      </c>
      <c r="AE347" s="76">
        <v>1</v>
      </c>
      <c r="AF347" s="77">
        <v>1</v>
      </c>
      <c r="AG347" s="77">
        <v>4</v>
      </c>
      <c r="AH347" s="76">
        <v>4.5</v>
      </c>
      <c r="AI347" s="76">
        <v>0.5</v>
      </c>
      <c r="AJ347" s="77">
        <v>-1</v>
      </c>
      <c r="AK347" s="77">
        <v>1</v>
      </c>
      <c r="AL347" s="76"/>
      <c r="AM347" s="76"/>
      <c r="AN347" s="77"/>
      <c r="AO347" s="77"/>
      <c r="AP347" s="76"/>
      <c r="AQ347" s="76"/>
      <c r="AR347" s="77"/>
      <c r="AS347" s="77"/>
      <c r="AT347" s="78">
        <v>0.6875</v>
      </c>
    </row>
    <row r="348" spans="1:46" ht="12.5" x14ac:dyDescent="0.25">
      <c r="A348" s="79">
        <v>44801.428229884259</v>
      </c>
      <c r="B348" s="80" t="s">
        <v>136</v>
      </c>
      <c r="C348" s="80" t="str">
        <f>INDEX(TBL_Name,MATCH(Table2[[#This Row],[Athlete Name]],listNames,0),2)</f>
        <v>Athlete 20</v>
      </c>
      <c r="D348" s="80" t="s">
        <v>143</v>
      </c>
      <c r="E348" s="80">
        <v>8</v>
      </c>
      <c r="F348" s="80">
        <v>7</v>
      </c>
      <c r="G348" s="80">
        <v>8</v>
      </c>
      <c r="H348" s="80" t="s">
        <v>74</v>
      </c>
      <c r="I348" s="80">
        <v>8</v>
      </c>
      <c r="J348" s="80"/>
      <c r="K348" s="80"/>
      <c r="L348" s="80"/>
      <c r="M348" s="1" t="s">
        <v>606</v>
      </c>
      <c r="N348" s="1">
        <v>36</v>
      </c>
      <c r="O348" s="1">
        <v>4</v>
      </c>
      <c r="P348" s="13">
        <v>44801</v>
      </c>
      <c r="Q348" s="1" t="s">
        <v>133</v>
      </c>
      <c r="R348" s="1" t="s">
        <v>64</v>
      </c>
      <c r="S348" s="1">
        <v>2</v>
      </c>
      <c r="T348" s="1"/>
      <c r="U348" s="1" t="s">
        <v>18</v>
      </c>
      <c r="V348" s="76">
        <v>9</v>
      </c>
      <c r="W348" s="76">
        <v>0.81649658092772603</v>
      </c>
      <c r="X348" s="77">
        <v>-1.2247448713915889</v>
      </c>
      <c r="Y348" s="77">
        <v>1</v>
      </c>
      <c r="Z348" s="76">
        <v>7.666666666666667</v>
      </c>
      <c r="AA348" s="76">
        <v>0.94280904158206336</v>
      </c>
      <c r="AB348" s="77">
        <v>-0.70710678118654779</v>
      </c>
      <c r="AC348" s="77">
        <v>2</v>
      </c>
      <c r="AD348" s="76">
        <v>8.1666666666666661</v>
      </c>
      <c r="AE348" s="76">
        <v>0.23570226039551573</v>
      </c>
      <c r="AF348" s="77">
        <v>-0.70710678118654535</v>
      </c>
      <c r="AG348" s="77">
        <v>2</v>
      </c>
      <c r="AH348" s="76">
        <v>6.666666666666667</v>
      </c>
      <c r="AI348" s="76">
        <v>1.8856180831641267</v>
      </c>
      <c r="AJ348" s="77">
        <v>0.70710678118654735</v>
      </c>
      <c r="AK348" s="77">
        <v>3</v>
      </c>
      <c r="AL348" s="76"/>
      <c r="AM348" s="76"/>
      <c r="AN348" s="77"/>
      <c r="AO348" s="77"/>
      <c r="AP348" s="76"/>
      <c r="AQ348" s="76"/>
      <c r="AR348" s="77"/>
      <c r="AS348" s="77"/>
      <c r="AT348" s="78">
        <v>0.25</v>
      </c>
    </row>
    <row r="349" spans="1:46" ht="12.5" x14ac:dyDescent="0.25">
      <c r="A349" s="79">
        <v>44801.569605717596</v>
      </c>
      <c r="B349" s="80" t="s">
        <v>21</v>
      </c>
      <c r="C349" s="80" t="str">
        <f>INDEX(TBL_Name,MATCH(Table2[[#This Row],[Athlete Name]],listNames,0),2)</f>
        <v>Athlete 13</v>
      </c>
      <c r="D349" s="80" t="s">
        <v>130</v>
      </c>
      <c r="E349" s="80">
        <v>6</v>
      </c>
      <c r="F349" s="80">
        <v>8</v>
      </c>
      <c r="G349" s="80">
        <v>9</v>
      </c>
      <c r="H349" s="80" t="s">
        <v>607</v>
      </c>
      <c r="I349" s="80">
        <v>6</v>
      </c>
      <c r="J349" s="80"/>
      <c r="K349" s="80"/>
      <c r="L349" s="80"/>
      <c r="M349" s="1" t="s">
        <v>608</v>
      </c>
      <c r="N349" s="1">
        <v>36</v>
      </c>
      <c r="O349" s="1">
        <v>4</v>
      </c>
      <c r="P349" s="13">
        <v>44801</v>
      </c>
      <c r="Q349" s="1" t="s">
        <v>133</v>
      </c>
      <c r="R349" s="1" t="s">
        <v>64</v>
      </c>
      <c r="S349" s="1">
        <v>1</v>
      </c>
      <c r="T349" s="1"/>
      <c r="U349" s="1" t="s">
        <v>18</v>
      </c>
      <c r="V349" s="76">
        <v>6</v>
      </c>
      <c r="W349" s="76">
        <v>0.7559289460184544</v>
      </c>
      <c r="X349" s="77">
        <v>0</v>
      </c>
      <c r="Y349" s="77">
        <v>3</v>
      </c>
      <c r="Z349" s="76">
        <v>8</v>
      </c>
      <c r="AA349" s="76">
        <v>0.7559289460184544</v>
      </c>
      <c r="AB349" s="77">
        <v>0</v>
      </c>
      <c r="AC349" s="77">
        <v>3</v>
      </c>
      <c r="AD349" s="76">
        <v>9</v>
      </c>
      <c r="AE349" s="76">
        <v>0</v>
      </c>
      <c r="AF349" s="77">
        <v>0</v>
      </c>
      <c r="AG349" s="77">
        <v>3</v>
      </c>
      <c r="AH349" s="76">
        <v>5.7142857142857144</v>
      </c>
      <c r="AI349" s="76">
        <v>0.6998542122237652</v>
      </c>
      <c r="AJ349" s="77">
        <v>0.4082482904638628</v>
      </c>
      <c r="AK349" s="77">
        <v>3</v>
      </c>
      <c r="AL349" s="76"/>
      <c r="AM349" s="76"/>
      <c r="AN349" s="77"/>
      <c r="AO349" s="77"/>
      <c r="AP349" s="76"/>
      <c r="AQ349" s="76"/>
      <c r="AR349" s="77"/>
      <c r="AS349" s="77"/>
      <c r="AT349" s="78">
        <v>0.875</v>
      </c>
    </row>
    <row r="350" spans="1:46" ht="12.5" x14ac:dyDescent="0.25">
      <c r="A350" s="79">
        <v>44801.58778021991</v>
      </c>
      <c r="B350" s="80" t="s">
        <v>25</v>
      </c>
      <c r="C350" s="80" t="str">
        <f>INDEX(TBL_Name,MATCH(Table2[[#This Row],[Athlete Name]],listNames,0),2)</f>
        <v>Athlete 23</v>
      </c>
      <c r="D350" s="80" t="s">
        <v>143</v>
      </c>
      <c r="E350" s="80">
        <v>8</v>
      </c>
      <c r="F350" s="80">
        <v>8</v>
      </c>
      <c r="G350" s="80">
        <v>10</v>
      </c>
      <c r="H350" s="80" t="s">
        <v>73</v>
      </c>
      <c r="I350" s="80">
        <v>7</v>
      </c>
      <c r="J350" s="80"/>
      <c r="K350" s="80"/>
      <c r="L350" s="80"/>
      <c r="M350" s="1" t="s">
        <v>609</v>
      </c>
      <c r="N350" s="1">
        <v>36</v>
      </c>
      <c r="O350" s="1">
        <v>4</v>
      </c>
      <c r="P350" s="13">
        <v>44801</v>
      </c>
      <c r="Q350" s="1" t="s">
        <v>133</v>
      </c>
      <c r="R350" s="1" t="s">
        <v>64</v>
      </c>
      <c r="S350" s="1">
        <v>2</v>
      </c>
      <c r="T350" s="1"/>
      <c r="U350" s="1" t="s">
        <v>26</v>
      </c>
      <c r="V350" s="76">
        <v>8.4</v>
      </c>
      <c r="W350" s="76">
        <v>0.8</v>
      </c>
      <c r="X350" s="77">
        <v>-0.50000000000000044</v>
      </c>
      <c r="Y350" s="77">
        <v>2</v>
      </c>
      <c r="Z350" s="76">
        <v>8.1999999999999993</v>
      </c>
      <c r="AA350" s="76">
        <v>1.16619037896906</v>
      </c>
      <c r="AB350" s="77">
        <v>-0.17149858514250824</v>
      </c>
      <c r="AC350" s="77">
        <v>2</v>
      </c>
      <c r="AD350" s="76">
        <v>9.6</v>
      </c>
      <c r="AE350" s="76">
        <v>0.8</v>
      </c>
      <c r="AF350" s="77">
        <v>0.50000000000000044</v>
      </c>
      <c r="AG350" s="77">
        <v>3</v>
      </c>
      <c r="AH350" s="76">
        <v>5</v>
      </c>
      <c r="AI350" s="76">
        <v>1.2649110640673518</v>
      </c>
      <c r="AJ350" s="77">
        <v>1.5811388300841895</v>
      </c>
      <c r="AK350" s="77">
        <v>4</v>
      </c>
      <c r="AL350" s="76"/>
      <c r="AM350" s="76"/>
      <c r="AN350" s="77"/>
      <c r="AO350" s="77"/>
      <c r="AP350" s="76"/>
      <c r="AQ350" s="76"/>
      <c r="AR350" s="77"/>
      <c r="AS350" s="77"/>
      <c r="AT350" s="78">
        <v>0.5625</v>
      </c>
    </row>
    <row r="351" spans="1:46" ht="12.5" x14ac:dyDescent="0.25">
      <c r="A351" s="79">
        <v>44801.60009547454</v>
      </c>
      <c r="B351" s="80" t="s">
        <v>185</v>
      </c>
      <c r="C351" s="80" t="str">
        <f>INDEX(TBL_Name,MATCH(Table2[[#This Row],[Athlete Name]],listNames,0),2)</f>
        <v>Athlete 30</v>
      </c>
      <c r="D351" s="80" t="s">
        <v>130</v>
      </c>
      <c r="E351" s="80">
        <v>8</v>
      </c>
      <c r="F351" s="80">
        <v>6</v>
      </c>
      <c r="G351" s="80">
        <v>8</v>
      </c>
      <c r="H351" s="80" t="s">
        <v>186</v>
      </c>
      <c r="I351" s="80">
        <v>6</v>
      </c>
      <c r="J351" s="80"/>
      <c r="K351" s="80"/>
      <c r="L351" s="80"/>
      <c r="M351" s="1" t="s">
        <v>610</v>
      </c>
      <c r="N351" s="1">
        <v>36</v>
      </c>
      <c r="O351" s="1">
        <v>4</v>
      </c>
      <c r="P351" s="13">
        <v>44801</v>
      </c>
      <c r="Q351" s="1" t="s">
        <v>133</v>
      </c>
      <c r="R351" s="1" t="s">
        <v>64</v>
      </c>
      <c r="S351" s="1">
        <v>1</v>
      </c>
      <c r="T351" s="1"/>
      <c r="U351" s="1" t="s">
        <v>26</v>
      </c>
      <c r="V351" s="76">
        <v>9.1428571428571423</v>
      </c>
      <c r="W351" s="76">
        <v>0.63887656499994017</v>
      </c>
      <c r="X351" s="77">
        <v>-1.7888543819998302</v>
      </c>
      <c r="Y351" s="77">
        <v>1</v>
      </c>
      <c r="Z351" s="76">
        <v>4.5714285714285712</v>
      </c>
      <c r="AA351" s="76">
        <v>1.1780301787479031</v>
      </c>
      <c r="AB351" s="77">
        <v>1.212678125181665</v>
      </c>
      <c r="AC351" s="77">
        <v>4</v>
      </c>
      <c r="AD351" s="76">
        <v>6.4285714285714288</v>
      </c>
      <c r="AE351" s="76">
        <v>0.90350790290525118</v>
      </c>
      <c r="AF351" s="77">
        <v>1.7392527130926085</v>
      </c>
      <c r="AG351" s="77">
        <v>4</v>
      </c>
      <c r="AH351" s="76">
        <v>5.8571428571428568</v>
      </c>
      <c r="AI351" s="76">
        <v>0.34992710611188266</v>
      </c>
      <c r="AJ351" s="77">
        <v>0.40824829046386402</v>
      </c>
      <c r="AK351" s="77">
        <v>3</v>
      </c>
      <c r="AL351" s="76"/>
      <c r="AM351" s="76"/>
      <c r="AN351" s="77"/>
      <c r="AO351" s="77"/>
      <c r="AP351" s="76"/>
      <c r="AQ351" s="76"/>
      <c r="AR351" s="77"/>
      <c r="AS351" s="77"/>
      <c r="AT351" s="78">
        <v>0.25</v>
      </c>
    </row>
    <row r="352" spans="1:46" ht="12.5" x14ac:dyDescent="0.25">
      <c r="A352" s="79">
        <v>44801.646429803237</v>
      </c>
      <c r="B352" s="80" t="s">
        <v>180</v>
      </c>
      <c r="C352" s="80" t="str">
        <f>INDEX(TBL_Name,MATCH(Table2[[#This Row],[Athlete Name]],listNames,0),2)</f>
        <v>Athlete 29</v>
      </c>
      <c r="D352" s="80" t="s">
        <v>143</v>
      </c>
      <c r="E352" s="80">
        <v>9</v>
      </c>
      <c r="F352" s="80">
        <v>9</v>
      </c>
      <c r="G352" s="80">
        <v>10</v>
      </c>
      <c r="H352" s="80" t="s">
        <v>611</v>
      </c>
      <c r="I352" s="80">
        <v>5</v>
      </c>
      <c r="J352" s="80"/>
      <c r="K352" s="80"/>
      <c r="L352" s="80"/>
      <c r="M352" s="1" t="s">
        <v>612</v>
      </c>
      <c r="N352" s="1">
        <v>36</v>
      </c>
      <c r="O352" s="1">
        <v>4</v>
      </c>
      <c r="P352" s="13">
        <v>44801</v>
      </c>
      <c r="Q352" s="1" t="s">
        <v>133</v>
      </c>
      <c r="R352" s="1" t="s">
        <v>64</v>
      </c>
      <c r="S352" s="1">
        <v>2</v>
      </c>
      <c r="T352" s="1"/>
      <c r="U352" s="1" t="s">
        <v>5</v>
      </c>
      <c r="V352" s="76">
        <v>8</v>
      </c>
      <c r="W352" s="76">
        <v>0.81649658092772603</v>
      </c>
      <c r="X352" s="77">
        <v>1.2247448713915889</v>
      </c>
      <c r="Y352" s="77">
        <v>4</v>
      </c>
      <c r="Z352" s="76">
        <v>9.3333333333333339</v>
      </c>
      <c r="AA352" s="76">
        <v>0.47140452079103179</v>
      </c>
      <c r="AB352" s="77">
        <v>-0.70710678118654857</v>
      </c>
      <c r="AC352" s="77">
        <v>2</v>
      </c>
      <c r="AD352" s="76">
        <v>9.1666666666666661</v>
      </c>
      <c r="AE352" s="76">
        <v>0.62360956446232374</v>
      </c>
      <c r="AF352" s="77">
        <v>1.3363062095621225</v>
      </c>
      <c r="AG352" s="77">
        <v>4</v>
      </c>
      <c r="AH352" s="76">
        <v>5</v>
      </c>
      <c r="AI352" s="76">
        <v>0.81649658092772603</v>
      </c>
      <c r="AJ352" s="77">
        <v>0</v>
      </c>
      <c r="AK352" s="77">
        <v>3</v>
      </c>
      <c r="AL352" s="76"/>
      <c r="AM352" s="76"/>
      <c r="AN352" s="77"/>
      <c r="AO352" s="77"/>
      <c r="AP352" s="76"/>
      <c r="AQ352" s="76"/>
      <c r="AR352" s="77"/>
      <c r="AS352" s="77"/>
      <c r="AT352" s="78">
        <v>0.8125</v>
      </c>
    </row>
    <row r="353" spans="1:46" ht="12.5" x14ac:dyDescent="0.25">
      <c r="A353" s="79">
        <v>44802.300222210644</v>
      </c>
      <c r="B353" s="80" t="s">
        <v>17</v>
      </c>
      <c r="C353" s="80" t="str">
        <f>INDEX(TBL_Name,MATCH(Table2[[#This Row],[Athlete Name]],listNames,0),2)</f>
        <v>Athlete 10</v>
      </c>
      <c r="D353" s="80" t="s">
        <v>130</v>
      </c>
      <c r="E353" s="80">
        <v>9</v>
      </c>
      <c r="F353" s="80">
        <v>9</v>
      </c>
      <c r="G353" s="80">
        <v>7</v>
      </c>
      <c r="H353" s="80" t="s">
        <v>508</v>
      </c>
      <c r="I353" s="80">
        <v>5</v>
      </c>
      <c r="J353" s="80"/>
      <c r="K353" s="80"/>
      <c r="L353" s="80"/>
      <c r="M353" s="1" t="s">
        <v>613</v>
      </c>
      <c r="N353" s="1">
        <v>36</v>
      </c>
      <c r="O353" s="1">
        <v>4</v>
      </c>
      <c r="P353" s="13">
        <v>44802</v>
      </c>
      <c r="Q353" s="1" t="s">
        <v>133</v>
      </c>
      <c r="R353" s="1" t="s">
        <v>64</v>
      </c>
      <c r="S353" s="1">
        <v>1</v>
      </c>
      <c r="T353" s="1"/>
      <c r="U353" s="1" t="s">
        <v>18</v>
      </c>
      <c r="V353" s="76">
        <v>8.2857142857142865</v>
      </c>
      <c r="W353" s="76">
        <v>0.88063057185271121</v>
      </c>
      <c r="X353" s="77">
        <v>0.81110710565381161</v>
      </c>
      <c r="Y353" s="77">
        <v>3</v>
      </c>
      <c r="Z353" s="76">
        <v>7.5714285714285712</v>
      </c>
      <c r="AA353" s="76">
        <v>1.5907898179514348</v>
      </c>
      <c r="AB353" s="77">
        <v>0.89802651013387469</v>
      </c>
      <c r="AC353" s="77">
        <v>3</v>
      </c>
      <c r="AD353" s="76">
        <v>8.5714285714285712</v>
      </c>
      <c r="AE353" s="76">
        <v>1.0497813183356479</v>
      </c>
      <c r="AF353" s="77">
        <v>-1.4969103983674972</v>
      </c>
      <c r="AG353" s="77">
        <v>1</v>
      </c>
      <c r="AH353" s="76">
        <v>7</v>
      </c>
      <c r="AI353" s="76">
        <v>1.0690449676496978</v>
      </c>
      <c r="AJ353" s="77">
        <v>-1.8708286933869702</v>
      </c>
      <c r="AK353" s="77">
        <v>1</v>
      </c>
      <c r="AL353" s="76"/>
      <c r="AM353" s="76"/>
      <c r="AN353" s="77"/>
      <c r="AO353" s="77"/>
      <c r="AP353" s="76"/>
      <c r="AQ353" s="76"/>
      <c r="AR353" s="77"/>
      <c r="AS353" s="77"/>
      <c r="AT353" s="78">
        <v>0.5</v>
      </c>
    </row>
    <row r="354" spans="1:46" ht="12.5" x14ac:dyDescent="0.25">
      <c r="A354" s="79">
        <v>44802.347734270836</v>
      </c>
      <c r="B354" s="80" t="s">
        <v>21</v>
      </c>
      <c r="C354" s="80" t="str">
        <f>INDEX(TBL_Name,MATCH(Table2[[#This Row],[Athlete Name]],listNames,0),2)</f>
        <v>Athlete 13</v>
      </c>
      <c r="D354" s="80" t="s">
        <v>130</v>
      </c>
      <c r="E354" s="80">
        <v>5</v>
      </c>
      <c r="F354" s="80">
        <v>9</v>
      </c>
      <c r="G354" s="80">
        <v>8</v>
      </c>
      <c r="H354" s="80" t="s">
        <v>614</v>
      </c>
      <c r="I354" s="80">
        <v>6</v>
      </c>
      <c r="J354" s="80"/>
      <c r="K354" s="80"/>
      <c r="L354" s="80"/>
      <c r="M354" s="1" t="s">
        <v>615</v>
      </c>
      <c r="N354" s="1">
        <v>36</v>
      </c>
      <c r="O354" s="1">
        <v>4</v>
      </c>
      <c r="P354" s="13">
        <v>44802</v>
      </c>
      <c r="Q354" s="1" t="s">
        <v>133</v>
      </c>
      <c r="R354" s="1" t="s">
        <v>64</v>
      </c>
      <c r="S354" s="1">
        <v>1</v>
      </c>
      <c r="T354" s="1"/>
      <c r="U354" s="1" t="s">
        <v>18</v>
      </c>
      <c r="V354" s="76">
        <v>6</v>
      </c>
      <c r="W354" s="76">
        <v>0.7559289460184544</v>
      </c>
      <c r="X354" s="77">
        <v>-1.3228756555322954</v>
      </c>
      <c r="Y354" s="77">
        <v>1</v>
      </c>
      <c r="Z354" s="76">
        <v>8</v>
      </c>
      <c r="AA354" s="76">
        <v>0.7559289460184544</v>
      </c>
      <c r="AB354" s="77">
        <v>1.3228756555322954</v>
      </c>
      <c r="AC354" s="77">
        <v>4</v>
      </c>
      <c r="AD354" s="76">
        <v>8.8571428571428577</v>
      </c>
      <c r="AE354" s="76">
        <v>0.34992710611188266</v>
      </c>
      <c r="AF354" s="77">
        <v>-2.4494897427831792</v>
      </c>
      <c r="AG354" s="77">
        <v>1</v>
      </c>
      <c r="AH354" s="76">
        <v>5.8571428571428568</v>
      </c>
      <c r="AI354" s="76">
        <v>0.63887656499993983</v>
      </c>
      <c r="AJ354" s="77">
        <v>0.2236067977499796</v>
      </c>
      <c r="AK354" s="77">
        <v>3</v>
      </c>
      <c r="AL354" s="76"/>
      <c r="AM354" s="76"/>
      <c r="AN354" s="77"/>
      <c r="AO354" s="77"/>
      <c r="AP354" s="76"/>
      <c r="AQ354" s="76"/>
      <c r="AR354" s="77"/>
      <c r="AS354" s="77"/>
      <c r="AT354" s="78">
        <v>0.75</v>
      </c>
    </row>
    <row r="355" spans="1:46" ht="12.5" x14ac:dyDescent="0.25">
      <c r="A355" s="79">
        <v>44802.350812916666</v>
      </c>
      <c r="B355" s="80" t="s">
        <v>185</v>
      </c>
      <c r="C355" s="80" t="str">
        <f>INDEX(TBL_Name,MATCH(Table2[[#This Row],[Athlete Name]],listNames,0),2)</f>
        <v>Athlete 30</v>
      </c>
      <c r="D355" s="80" t="s">
        <v>130</v>
      </c>
      <c r="E355" s="80">
        <v>10</v>
      </c>
      <c r="F355" s="80">
        <v>5</v>
      </c>
      <c r="G355" s="80">
        <v>5</v>
      </c>
      <c r="H355" s="80" t="s">
        <v>262</v>
      </c>
      <c r="I355" s="80">
        <v>6</v>
      </c>
      <c r="J355" s="80"/>
      <c r="K355" s="80"/>
      <c r="L355" s="80"/>
      <c r="M355" s="1" t="s">
        <v>616</v>
      </c>
      <c r="N355" s="1">
        <v>36</v>
      </c>
      <c r="O355" s="1">
        <v>4</v>
      </c>
      <c r="P355" s="13">
        <v>44802</v>
      </c>
      <c r="Q355" s="1" t="s">
        <v>133</v>
      </c>
      <c r="R355" s="1" t="s">
        <v>64</v>
      </c>
      <c r="S355" s="1">
        <v>1</v>
      </c>
      <c r="T355" s="1"/>
      <c r="U355" s="1" t="s">
        <v>26</v>
      </c>
      <c r="V355" s="76">
        <v>9.1428571428571423</v>
      </c>
      <c r="W355" s="76">
        <v>0.63887656499993994</v>
      </c>
      <c r="X355" s="77">
        <v>1.3416407864998745</v>
      </c>
      <c r="Y355" s="77">
        <v>4</v>
      </c>
      <c r="Z355" s="76">
        <v>4.7142857142857144</v>
      </c>
      <c r="AA355" s="76">
        <v>1.1605769149479943</v>
      </c>
      <c r="AB355" s="77">
        <v>0.24618298195866536</v>
      </c>
      <c r="AC355" s="77">
        <v>3</v>
      </c>
      <c r="AD355" s="76">
        <v>6.2857142857142856</v>
      </c>
      <c r="AE355" s="76">
        <v>1.0301575072754257</v>
      </c>
      <c r="AF355" s="77">
        <v>-1.2480754415067652</v>
      </c>
      <c r="AG355" s="77">
        <v>1</v>
      </c>
      <c r="AH355" s="76">
        <v>5.8571428571428568</v>
      </c>
      <c r="AI355" s="76">
        <v>0.34992710611188266</v>
      </c>
      <c r="AJ355" s="77">
        <v>0.40824829046386402</v>
      </c>
      <c r="AK355" s="77">
        <v>3</v>
      </c>
      <c r="AL355" s="76"/>
      <c r="AM355" s="76"/>
      <c r="AN355" s="77"/>
      <c r="AO355" s="77"/>
      <c r="AP355" s="76"/>
      <c r="AQ355" s="76"/>
      <c r="AR355" s="77"/>
      <c r="AS355" s="77"/>
      <c r="AT355" s="78">
        <v>0.4375</v>
      </c>
    </row>
    <row r="356" spans="1:46" ht="12.5" x14ac:dyDescent="0.25">
      <c r="A356" s="79">
        <v>44802.405536874998</v>
      </c>
      <c r="B356" s="80" t="s">
        <v>6</v>
      </c>
      <c r="C356" s="80" t="str">
        <f>INDEX(TBL_Name,MATCH(Table2[[#This Row],[Athlete Name]],listNames,0),2)</f>
        <v>Athlete 2</v>
      </c>
      <c r="D356" s="80" t="s">
        <v>130</v>
      </c>
      <c r="E356" s="80">
        <v>10</v>
      </c>
      <c r="F356" s="80">
        <v>8</v>
      </c>
      <c r="G356" s="80">
        <v>8</v>
      </c>
      <c r="H356" s="80" t="s">
        <v>157</v>
      </c>
      <c r="I356" s="80">
        <v>6</v>
      </c>
      <c r="J356" s="80"/>
      <c r="K356" s="80"/>
      <c r="L356" s="80"/>
      <c r="M356" s="1" t="s">
        <v>617</v>
      </c>
      <c r="N356" s="1">
        <v>36</v>
      </c>
      <c r="O356" s="1">
        <v>4</v>
      </c>
      <c r="P356" s="13">
        <v>44802</v>
      </c>
      <c r="Q356" s="1" t="s">
        <v>133</v>
      </c>
      <c r="R356" s="1" t="s">
        <v>64</v>
      </c>
      <c r="S356" s="1">
        <v>1</v>
      </c>
      <c r="T356" s="1"/>
      <c r="U356" s="1" t="s">
        <v>5</v>
      </c>
      <c r="V356" s="76">
        <v>9.6666666666666661</v>
      </c>
      <c r="W356" s="76">
        <v>0.47140452079103179</v>
      </c>
      <c r="X356" s="77">
        <v>0.70710678118654857</v>
      </c>
      <c r="Y356" s="77">
        <v>3</v>
      </c>
      <c r="Z356" s="76">
        <v>7</v>
      </c>
      <c r="AA356" s="76">
        <v>1.4142135623730951</v>
      </c>
      <c r="AB356" s="77">
        <v>0.70710678118654746</v>
      </c>
      <c r="AC356" s="77">
        <v>3</v>
      </c>
      <c r="AD356" s="76">
        <v>8.6666666666666661</v>
      </c>
      <c r="AE356" s="76">
        <v>0.47140452079103184</v>
      </c>
      <c r="AF356" s="77">
        <v>-1.4142135623730934</v>
      </c>
      <c r="AG356" s="77">
        <v>1</v>
      </c>
      <c r="AH356" s="76">
        <v>6.666666666666667</v>
      </c>
      <c r="AI356" s="76">
        <v>0.74535599249992979</v>
      </c>
      <c r="AJ356" s="77">
        <v>-0.89442719099991641</v>
      </c>
      <c r="AK356" s="77">
        <v>2</v>
      </c>
      <c r="AL356" s="76"/>
      <c r="AM356" s="76"/>
      <c r="AN356" s="77"/>
      <c r="AO356" s="77"/>
      <c r="AP356" s="76"/>
      <c r="AQ356" s="76"/>
      <c r="AR356" s="77"/>
      <c r="AS356" s="77"/>
      <c r="AT356" s="78">
        <v>0.375</v>
      </c>
    </row>
    <row r="357" spans="1:46" ht="12.5" x14ac:dyDescent="0.25">
      <c r="A357" s="79">
        <v>44802.438684733796</v>
      </c>
      <c r="B357" s="80" t="s">
        <v>142</v>
      </c>
      <c r="C357" s="80" t="str">
        <f>INDEX(TBL_Name,MATCH(Table2[[#This Row],[Athlete Name]],listNames,0),2)</f>
        <v>Athlete 21</v>
      </c>
      <c r="D357" s="80" t="s">
        <v>130</v>
      </c>
      <c r="E357" s="80">
        <v>5</v>
      </c>
      <c r="F357" s="80">
        <v>9</v>
      </c>
      <c r="G357" s="80">
        <v>8</v>
      </c>
      <c r="H357" s="80" t="s">
        <v>258</v>
      </c>
      <c r="I357" s="80">
        <v>3</v>
      </c>
      <c r="J357" s="80"/>
      <c r="K357" s="80"/>
      <c r="L357" s="80"/>
      <c r="M357" s="1" t="s">
        <v>618</v>
      </c>
      <c r="N357" s="1">
        <v>36</v>
      </c>
      <c r="O357" s="1">
        <v>4</v>
      </c>
      <c r="P357" s="13">
        <v>44802</v>
      </c>
      <c r="Q357" s="1" t="s">
        <v>133</v>
      </c>
      <c r="R357" s="1" t="s">
        <v>64</v>
      </c>
      <c r="S357" s="1">
        <v>1</v>
      </c>
      <c r="T357" s="1"/>
      <c r="U357" s="1" t="s">
        <v>18</v>
      </c>
      <c r="V357" s="76">
        <v>4.666666666666667</v>
      </c>
      <c r="W357" s="76">
        <v>1.247219128924647</v>
      </c>
      <c r="X357" s="77">
        <v>0.26726124191242417</v>
      </c>
      <c r="Y357" s="77">
        <v>3</v>
      </c>
      <c r="Z357" s="76">
        <v>8.3333333333333339</v>
      </c>
      <c r="AA357" s="76">
        <v>0.94280904158206325</v>
      </c>
      <c r="AB357" s="77">
        <v>0.70710678118654702</v>
      </c>
      <c r="AC357" s="77">
        <v>3</v>
      </c>
      <c r="AD357" s="76">
        <v>8.6666666666666661</v>
      </c>
      <c r="AE357" s="76">
        <v>0.94280904158206325</v>
      </c>
      <c r="AF357" s="77">
        <v>-0.70710678118654702</v>
      </c>
      <c r="AG357" s="77">
        <v>2</v>
      </c>
      <c r="AH357" s="76">
        <v>4</v>
      </c>
      <c r="AI357" s="76">
        <v>0.81649658092772603</v>
      </c>
      <c r="AJ357" s="77">
        <v>-1.2247448713915889</v>
      </c>
      <c r="AK357" s="77">
        <v>1</v>
      </c>
      <c r="AL357" s="76"/>
      <c r="AM357" s="76"/>
      <c r="AN357" s="77"/>
      <c r="AO357" s="77"/>
      <c r="AP357" s="76"/>
      <c r="AQ357" s="76"/>
      <c r="AR357" s="77"/>
      <c r="AS357" s="77"/>
      <c r="AT357" s="78">
        <v>0.75</v>
      </c>
    </row>
    <row r="358" spans="1:46" ht="12.5" x14ac:dyDescent="0.25">
      <c r="A358" s="79">
        <v>44802.587885532412</v>
      </c>
      <c r="B358" s="80" t="s">
        <v>10</v>
      </c>
      <c r="C358" s="80" t="str">
        <f>INDEX(TBL_Name,MATCH(Table2[[#This Row],[Athlete Name]],listNames,0),2)</f>
        <v>Athlete 5</v>
      </c>
      <c r="D358" s="80" t="s">
        <v>130</v>
      </c>
      <c r="E358" s="80">
        <v>8</v>
      </c>
      <c r="F358" s="80">
        <v>9</v>
      </c>
      <c r="G358" s="80">
        <v>9</v>
      </c>
      <c r="H358" s="80" t="s">
        <v>362</v>
      </c>
      <c r="I358" s="80">
        <v>7</v>
      </c>
      <c r="J358" s="80"/>
      <c r="K358" s="80"/>
      <c r="L358" s="80"/>
      <c r="M358" s="1" t="s">
        <v>619</v>
      </c>
      <c r="N358" s="1">
        <v>36</v>
      </c>
      <c r="O358" s="1">
        <v>4</v>
      </c>
      <c r="P358" s="13">
        <v>44802</v>
      </c>
      <c r="Q358" s="1" t="s">
        <v>133</v>
      </c>
      <c r="R358" s="1" t="s">
        <v>64</v>
      </c>
      <c r="S358" s="1">
        <v>1</v>
      </c>
      <c r="T358" s="1"/>
      <c r="U358" s="1" t="s">
        <v>11</v>
      </c>
      <c r="V358" s="76">
        <v>8.3333333333333339</v>
      </c>
      <c r="W358" s="76">
        <v>0.47140452079103179</v>
      </c>
      <c r="X358" s="77">
        <v>-0.70710678118654857</v>
      </c>
      <c r="Y358" s="77">
        <v>2</v>
      </c>
      <c r="Z358" s="76">
        <v>8.3333333333333339</v>
      </c>
      <c r="AA358" s="76">
        <v>0.47140452079103201</v>
      </c>
      <c r="AB358" s="77">
        <v>1.4142135623730927</v>
      </c>
      <c r="AC358" s="77">
        <v>4</v>
      </c>
      <c r="AD358" s="76">
        <v>8.3333333333333339</v>
      </c>
      <c r="AE358" s="76">
        <v>0.47140452079103201</v>
      </c>
      <c r="AF358" s="77">
        <v>1.4142135623730927</v>
      </c>
      <c r="AG358" s="77">
        <v>4</v>
      </c>
      <c r="AH358" s="76">
        <v>6.166666666666667</v>
      </c>
      <c r="AI358" s="76">
        <v>0.68718427093627676</v>
      </c>
      <c r="AJ358" s="77">
        <v>1.2126781251816645</v>
      </c>
      <c r="AK358" s="77">
        <v>4</v>
      </c>
      <c r="AL358" s="76"/>
      <c r="AM358" s="76"/>
      <c r="AN358" s="77"/>
      <c r="AO358" s="77"/>
      <c r="AP358" s="76"/>
      <c r="AQ358" s="76"/>
      <c r="AR358" s="77"/>
      <c r="AS358" s="77"/>
      <c r="AT358" s="78">
        <v>0.6875</v>
      </c>
    </row>
    <row r="359" spans="1:46" ht="12.5" x14ac:dyDescent="0.25">
      <c r="A359" s="79">
        <v>44802.600761782407</v>
      </c>
      <c r="B359" s="80" t="s">
        <v>13</v>
      </c>
      <c r="C359" s="80" t="str">
        <f>INDEX(TBL_Name,MATCH(Table2[[#This Row],[Athlete Name]],listNames,0),2)</f>
        <v>Athlete 7</v>
      </c>
      <c r="D359" s="80" t="s">
        <v>130</v>
      </c>
      <c r="E359" s="80">
        <v>10</v>
      </c>
      <c r="F359" s="80">
        <v>4</v>
      </c>
      <c r="G359" s="80">
        <v>6</v>
      </c>
      <c r="H359" s="80" t="s">
        <v>191</v>
      </c>
      <c r="I359" s="80">
        <v>4</v>
      </c>
      <c r="J359" s="80"/>
      <c r="K359" s="80"/>
      <c r="L359" s="80"/>
      <c r="M359" s="1" t="s">
        <v>620</v>
      </c>
      <c r="N359" s="1">
        <v>36</v>
      </c>
      <c r="O359" s="1">
        <v>4</v>
      </c>
      <c r="P359" s="13">
        <v>44802</v>
      </c>
      <c r="Q359" s="1" t="s">
        <v>133</v>
      </c>
      <c r="R359" s="1" t="s">
        <v>64</v>
      </c>
      <c r="S359" s="1">
        <v>1</v>
      </c>
      <c r="T359" s="1"/>
      <c r="U359" s="1" t="s">
        <v>14</v>
      </c>
      <c r="V359" s="76">
        <v>8</v>
      </c>
      <c r="W359" s="76">
        <v>2.8284271247461903</v>
      </c>
      <c r="X359" s="77">
        <v>0.70710678118654746</v>
      </c>
      <c r="Y359" s="77">
        <v>3</v>
      </c>
      <c r="Z359" s="76">
        <v>6</v>
      </c>
      <c r="AA359" s="76">
        <v>1.4142135623730951</v>
      </c>
      <c r="AB359" s="77">
        <v>-1.4142135623730949</v>
      </c>
      <c r="AC359" s="77">
        <v>1</v>
      </c>
      <c r="AD359" s="76">
        <v>7</v>
      </c>
      <c r="AE359" s="76">
        <v>0.81649658092772603</v>
      </c>
      <c r="AF359" s="77">
        <v>-1.2247448713915889</v>
      </c>
      <c r="AG359" s="77">
        <v>1</v>
      </c>
      <c r="AH359" s="76">
        <v>5</v>
      </c>
      <c r="AI359" s="76">
        <v>2.1602468994692869</v>
      </c>
      <c r="AJ359" s="77">
        <v>-0.46291004988627571</v>
      </c>
      <c r="AK359" s="77">
        <v>2</v>
      </c>
      <c r="AL359" s="76"/>
      <c r="AM359" s="76"/>
      <c r="AN359" s="77"/>
      <c r="AO359" s="77"/>
      <c r="AP359" s="76"/>
      <c r="AQ359" s="76"/>
      <c r="AR359" s="77"/>
      <c r="AS359" s="77"/>
      <c r="AT359" s="78">
        <v>0.4375</v>
      </c>
    </row>
    <row r="360" spans="1:46" ht="12.5" x14ac:dyDescent="0.25">
      <c r="A360" s="79">
        <v>44802.60137423611</v>
      </c>
      <c r="B360" s="80" t="s">
        <v>168</v>
      </c>
      <c r="C360" s="80" t="str">
        <f>INDEX(TBL_Name,MATCH(Table2[[#This Row],[Athlete Name]],listNames,0),2)</f>
        <v>Athlete 26</v>
      </c>
      <c r="D360" s="80" t="s">
        <v>130</v>
      </c>
      <c r="E360" s="80">
        <v>9</v>
      </c>
      <c r="F360" s="80">
        <v>8</v>
      </c>
      <c r="G360" s="80">
        <v>8</v>
      </c>
      <c r="H360" s="80"/>
      <c r="I360" s="80">
        <v>7</v>
      </c>
      <c r="J360" s="80"/>
      <c r="K360" s="80"/>
      <c r="L360" s="80"/>
      <c r="M360" s="1" t="s">
        <v>621</v>
      </c>
      <c r="N360" s="1">
        <v>36</v>
      </c>
      <c r="O360" s="1">
        <v>4</v>
      </c>
      <c r="P360" s="13">
        <v>44802</v>
      </c>
      <c r="Q360" s="1" t="s">
        <v>133</v>
      </c>
      <c r="R360" s="1" t="s">
        <v>64</v>
      </c>
      <c r="S360" s="1">
        <v>1</v>
      </c>
      <c r="T360" s="1"/>
      <c r="U360" s="1" t="s">
        <v>5</v>
      </c>
      <c r="V360" s="76">
        <v>7.5</v>
      </c>
      <c r="W360" s="76">
        <v>1.5</v>
      </c>
      <c r="X360" s="77">
        <v>1</v>
      </c>
      <c r="Y360" s="77">
        <v>4</v>
      </c>
      <c r="Z360" s="76">
        <v>7.5</v>
      </c>
      <c r="AA360" s="76">
        <v>1.1180339887498949</v>
      </c>
      <c r="AB360" s="77">
        <v>0.44721359549995793</v>
      </c>
      <c r="AC360" s="77">
        <v>3</v>
      </c>
      <c r="AD360" s="76">
        <v>7.75</v>
      </c>
      <c r="AE360" s="76">
        <v>0.82915619758884995</v>
      </c>
      <c r="AF360" s="77">
        <v>0.30151134457776363</v>
      </c>
      <c r="AG360" s="77">
        <v>3</v>
      </c>
      <c r="AH360" s="76">
        <v>5.75</v>
      </c>
      <c r="AI360" s="76">
        <v>1.2990381056766582</v>
      </c>
      <c r="AJ360" s="77">
        <v>0.96225044864937603</v>
      </c>
      <c r="AK360" s="77">
        <v>3</v>
      </c>
      <c r="AL360" s="76"/>
      <c r="AM360" s="76"/>
      <c r="AN360" s="77"/>
      <c r="AO360" s="77"/>
      <c r="AP360" s="76"/>
      <c r="AQ360" s="76"/>
      <c r="AR360" s="77"/>
      <c r="AS360" s="77"/>
      <c r="AT360" s="78">
        <v>0.75</v>
      </c>
    </row>
    <row r="361" spans="1:46" ht="12.5" x14ac:dyDescent="0.25">
      <c r="A361" s="79">
        <v>44802.601476585653</v>
      </c>
      <c r="B361" s="80" t="s">
        <v>177</v>
      </c>
      <c r="C361" s="80" t="str">
        <f>INDEX(TBL_Name,MATCH(Table2[[#This Row],[Athlete Name]],listNames,0),2)</f>
        <v>Athlete 28</v>
      </c>
      <c r="D361" s="80" t="s">
        <v>130</v>
      </c>
      <c r="E361" s="80">
        <v>7</v>
      </c>
      <c r="F361" s="80">
        <v>3</v>
      </c>
      <c r="G361" s="80">
        <v>4</v>
      </c>
      <c r="H361" s="80" t="s">
        <v>275</v>
      </c>
      <c r="I361" s="80">
        <v>8</v>
      </c>
      <c r="J361" s="80"/>
      <c r="K361" s="80"/>
      <c r="L361" s="80"/>
      <c r="M361" s="1" t="s">
        <v>622</v>
      </c>
      <c r="N361" s="1">
        <v>36</v>
      </c>
      <c r="O361" s="1">
        <v>4</v>
      </c>
      <c r="P361" s="13">
        <v>44802</v>
      </c>
      <c r="Q361" s="1" t="s">
        <v>133</v>
      </c>
      <c r="R361" s="1" t="s">
        <v>64</v>
      </c>
      <c r="S361" s="1">
        <v>1</v>
      </c>
      <c r="T361" s="1"/>
      <c r="U361" s="1" t="s">
        <v>28</v>
      </c>
      <c r="V361" s="76">
        <v>5.75</v>
      </c>
      <c r="W361" s="76">
        <v>1.7853571071357126</v>
      </c>
      <c r="X361" s="77">
        <v>0.70014004201400482</v>
      </c>
      <c r="Y361" s="77">
        <v>3</v>
      </c>
      <c r="Z361" s="76">
        <v>7</v>
      </c>
      <c r="AA361" s="76">
        <v>2.4494897427831783</v>
      </c>
      <c r="AB361" s="77">
        <v>-1.6329931618554518</v>
      </c>
      <c r="AC361" s="77">
        <v>1</v>
      </c>
      <c r="AD361" s="76">
        <v>8.25</v>
      </c>
      <c r="AE361" s="76">
        <v>2.6809513236909019</v>
      </c>
      <c r="AF361" s="77">
        <v>-1.5852581740085334</v>
      </c>
      <c r="AG361" s="77">
        <v>1</v>
      </c>
      <c r="AH361" s="76">
        <v>8.25</v>
      </c>
      <c r="AI361" s="76">
        <v>0.82915619758885017</v>
      </c>
      <c r="AJ361" s="77">
        <v>-0.30151134457776352</v>
      </c>
      <c r="AK361" s="77">
        <v>2</v>
      </c>
      <c r="AL361" s="76"/>
      <c r="AM361" s="76"/>
      <c r="AN361" s="77"/>
      <c r="AO361" s="77"/>
      <c r="AP361" s="76"/>
      <c r="AQ361" s="76"/>
      <c r="AR361" s="77"/>
      <c r="AS361" s="77"/>
      <c r="AT361" s="78">
        <v>0.625</v>
      </c>
    </row>
    <row r="362" spans="1:46" ht="12.5" x14ac:dyDescent="0.25">
      <c r="A362" s="79">
        <v>44802.602055798612</v>
      </c>
      <c r="B362" s="80" t="s">
        <v>20</v>
      </c>
      <c r="C362" s="80" t="str">
        <f>INDEX(TBL_Name,MATCH(Table2[[#This Row],[Athlete Name]],listNames,0),2)</f>
        <v>Athlete 12</v>
      </c>
      <c r="D362" s="80" t="s">
        <v>130</v>
      </c>
      <c r="E362" s="80">
        <v>4</v>
      </c>
      <c r="F362" s="80">
        <v>7</v>
      </c>
      <c r="G362" s="80">
        <v>8</v>
      </c>
      <c r="H362" s="80" t="s">
        <v>623</v>
      </c>
      <c r="I362" s="80">
        <v>5</v>
      </c>
      <c r="J362" s="80"/>
      <c r="K362" s="80"/>
      <c r="L362" s="80"/>
      <c r="M362" s="1" t="s">
        <v>624</v>
      </c>
      <c r="N362" s="1">
        <v>36</v>
      </c>
      <c r="O362" s="1">
        <v>4</v>
      </c>
      <c r="P362" s="13">
        <v>44802</v>
      </c>
      <c r="Q362" s="1" t="s">
        <v>133</v>
      </c>
      <c r="R362" s="1" t="s">
        <v>64</v>
      </c>
      <c r="S362" s="1">
        <v>1</v>
      </c>
      <c r="T362" s="1"/>
      <c r="U362" s="1" t="s">
        <v>18</v>
      </c>
      <c r="V362" s="76">
        <v>6</v>
      </c>
      <c r="W362" s="76">
        <v>2</v>
      </c>
      <c r="X362" s="77">
        <v>-1</v>
      </c>
      <c r="Y362" s="77">
        <v>1</v>
      </c>
      <c r="Z362" s="76">
        <v>7</v>
      </c>
      <c r="AA362" s="76">
        <v>0</v>
      </c>
      <c r="AB362" s="77">
        <v>0</v>
      </c>
      <c r="AC362" s="77">
        <v>3</v>
      </c>
      <c r="AD362" s="76">
        <v>8</v>
      </c>
      <c r="AE362" s="76">
        <v>0</v>
      </c>
      <c r="AF362" s="77">
        <v>0</v>
      </c>
      <c r="AG362" s="77">
        <v>3</v>
      </c>
      <c r="AH362" s="76">
        <v>5.5</v>
      </c>
      <c r="AI362" s="76">
        <v>0.5</v>
      </c>
      <c r="AJ362" s="77">
        <v>-1</v>
      </c>
      <c r="AK362" s="77">
        <v>1</v>
      </c>
      <c r="AL362" s="76"/>
      <c r="AM362" s="76"/>
      <c r="AN362" s="77"/>
      <c r="AO362" s="77"/>
      <c r="AP362" s="76"/>
      <c r="AQ362" s="76"/>
      <c r="AR362" s="77"/>
      <c r="AS362" s="77"/>
      <c r="AT362" s="78">
        <v>0.625</v>
      </c>
    </row>
    <row r="363" spans="1:46" ht="12.5" x14ac:dyDescent="0.25">
      <c r="A363" s="79">
        <v>44802.602914398143</v>
      </c>
      <c r="B363" s="80" t="s">
        <v>196</v>
      </c>
      <c r="C363" s="80" t="str">
        <f>INDEX(TBL_Name,MATCH(Table2[[#This Row],[Athlete Name]],listNames,0),2)</f>
        <v>Athlete 31</v>
      </c>
      <c r="D363" s="80" t="s">
        <v>130</v>
      </c>
      <c r="E363" s="80">
        <v>7</v>
      </c>
      <c r="F363" s="80">
        <v>9</v>
      </c>
      <c r="G363" s="80">
        <v>9</v>
      </c>
      <c r="H363" s="80" t="s">
        <v>586</v>
      </c>
      <c r="I363" s="80">
        <v>8</v>
      </c>
      <c r="J363" s="80"/>
      <c r="K363" s="80"/>
      <c r="L363" s="80"/>
      <c r="M363" s="1" t="s">
        <v>625</v>
      </c>
      <c r="N363" s="1">
        <v>36</v>
      </c>
      <c r="O363" s="1">
        <v>4</v>
      </c>
      <c r="P363" s="13">
        <v>44802</v>
      </c>
      <c r="Q363" s="1" t="s">
        <v>133</v>
      </c>
      <c r="R363" s="1" t="s">
        <v>64</v>
      </c>
      <c r="S363" s="1">
        <v>1</v>
      </c>
      <c r="T363" s="1"/>
      <c r="U363" s="1" t="s">
        <v>28</v>
      </c>
      <c r="V363" s="76">
        <v>6.5714285714285712</v>
      </c>
      <c r="W363" s="76">
        <v>0.72843135908468348</v>
      </c>
      <c r="X363" s="77">
        <v>0.58834840541455247</v>
      </c>
      <c r="Y363" s="77">
        <v>3</v>
      </c>
      <c r="Z363" s="76">
        <v>8</v>
      </c>
      <c r="AA363" s="76">
        <v>1.0690449676496976</v>
      </c>
      <c r="AB363" s="77">
        <v>0.93541434669348533</v>
      </c>
      <c r="AC363" s="77">
        <v>3</v>
      </c>
      <c r="AD363" s="76">
        <v>8.8571428571428577</v>
      </c>
      <c r="AE363" s="76">
        <v>0.34992710611188255</v>
      </c>
      <c r="AF363" s="77">
        <v>0.40824829046386163</v>
      </c>
      <c r="AG363" s="77">
        <v>3</v>
      </c>
      <c r="AH363" s="76">
        <v>7.7142857142857144</v>
      </c>
      <c r="AI363" s="76">
        <v>1.1605769149479945</v>
      </c>
      <c r="AJ363" s="77">
        <v>0.24618298195866531</v>
      </c>
      <c r="AK363" s="77">
        <v>3</v>
      </c>
      <c r="AL363" s="76"/>
      <c r="AM363" s="76"/>
      <c r="AN363" s="77"/>
      <c r="AO363" s="77"/>
      <c r="AP363" s="76"/>
      <c r="AQ363" s="76"/>
      <c r="AR363" s="77"/>
      <c r="AS363" s="77"/>
      <c r="AT363" s="78">
        <v>0.9375</v>
      </c>
    </row>
    <row r="364" spans="1:46" ht="12.5" x14ac:dyDescent="0.25">
      <c r="A364" s="79">
        <v>44802.611946030098</v>
      </c>
      <c r="B364" s="80" t="s">
        <v>136</v>
      </c>
      <c r="C364" s="80" t="str">
        <f>INDEX(TBL_Name,MATCH(Table2[[#This Row],[Athlete Name]],listNames,0),2)</f>
        <v>Athlete 20</v>
      </c>
      <c r="D364" s="80" t="s">
        <v>143</v>
      </c>
      <c r="E364" s="80">
        <v>10</v>
      </c>
      <c r="F364" s="80">
        <v>8</v>
      </c>
      <c r="G364" s="80">
        <v>7</v>
      </c>
      <c r="H364" s="80"/>
      <c r="I364" s="80">
        <v>10</v>
      </c>
      <c r="J364" s="80"/>
      <c r="K364" s="80"/>
      <c r="L364" s="80"/>
      <c r="M364" s="1" t="s">
        <v>626</v>
      </c>
      <c r="N364" s="1">
        <v>36</v>
      </c>
      <c r="O364" s="1">
        <v>4</v>
      </c>
      <c r="P364" s="13">
        <v>44802</v>
      </c>
      <c r="Q364" s="1" t="s">
        <v>133</v>
      </c>
      <c r="R364" s="1" t="s">
        <v>64</v>
      </c>
      <c r="S364" s="1">
        <v>2</v>
      </c>
      <c r="T364" s="1"/>
      <c r="U364" s="1" t="s">
        <v>18</v>
      </c>
      <c r="V364" s="76">
        <v>9</v>
      </c>
      <c r="W364" s="76">
        <v>0.81649658092772603</v>
      </c>
      <c r="X364" s="77">
        <v>1.2247448713915889</v>
      </c>
      <c r="Y364" s="77">
        <v>4</v>
      </c>
      <c r="Z364" s="76">
        <v>8</v>
      </c>
      <c r="AA364" s="76">
        <v>0.81649658092772603</v>
      </c>
      <c r="AB364" s="77">
        <v>0</v>
      </c>
      <c r="AC364" s="77">
        <v>3</v>
      </c>
      <c r="AD364" s="76">
        <v>7.833333333333333</v>
      </c>
      <c r="AE364" s="76">
        <v>0.62360956446232352</v>
      </c>
      <c r="AF364" s="77">
        <v>-1.3363062095621216</v>
      </c>
      <c r="AG364" s="77">
        <v>1</v>
      </c>
      <c r="AH364" s="76">
        <v>8.6666666666666661</v>
      </c>
      <c r="AI364" s="76">
        <v>0.94280904158206358</v>
      </c>
      <c r="AJ364" s="77">
        <v>1.4142135623730954</v>
      </c>
      <c r="AK364" s="77">
        <v>4</v>
      </c>
      <c r="AL364" s="76"/>
      <c r="AM364" s="76"/>
      <c r="AN364" s="77"/>
      <c r="AO364" s="77"/>
      <c r="AP364" s="76"/>
      <c r="AQ364" s="76"/>
      <c r="AR364" s="77"/>
      <c r="AS364" s="77"/>
      <c r="AT364" s="78">
        <v>0.625</v>
      </c>
    </row>
    <row r="365" spans="1:46" ht="12.5" x14ac:dyDescent="0.25">
      <c r="A365" s="79">
        <v>44802.686937013888</v>
      </c>
      <c r="B365" s="80" t="s">
        <v>16</v>
      </c>
      <c r="C365" s="80" t="str">
        <f>INDEX(TBL_Name,MATCH(Table2[[#This Row],[Athlete Name]],listNames,0),2)</f>
        <v>Athlete 9</v>
      </c>
      <c r="D365" s="80" t="s">
        <v>130</v>
      </c>
      <c r="E365" s="80">
        <v>6</v>
      </c>
      <c r="F365" s="80">
        <v>6</v>
      </c>
      <c r="G365" s="80">
        <v>7</v>
      </c>
      <c r="H365" s="80" t="s">
        <v>203</v>
      </c>
      <c r="I365" s="80">
        <v>7</v>
      </c>
      <c r="J365" s="80"/>
      <c r="K365" s="80"/>
      <c r="L365" s="80"/>
      <c r="M365" s="1" t="s">
        <v>627</v>
      </c>
      <c r="N365" s="1">
        <v>36</v>
      </c>
      <c r="O365" s="1">
        <v>4</v>
      </c>
      <c r="P365" s="13">
        <v>44802</v>
      </c>
      <c r="Q365" s="1" t="s">
        <v>133</v>
      </c>
      <c r="R365" s="1" t="s">
        <v>64</v>
      </c>
      <c r="S365" s="1">
        <v>1</v>
      </c>
      <c r="T365" s="1"/>
      <c r="U365" s="1" t="s">
        <v>14</v>
      </c>
      <c r="V365" s="76">
        <v>6</v>
      </c>
      <c r="W365" s="76">
        <v>0</v>
      </c>
      <c r="X365" s="77">
        <v>0</v>
      </c>
      <c r="Y365" s="77">
        <v>3</v>
      </c>
      <c r="Z365" s="76">
        <v>5.666666666666667</v>
      </c>
      <c r="AA365" s="76">
        <v>0.47140452079103162</v>
      </c>
      <c r="AB365" s="77">
        <v>0.70710678118654702</v>
      </c>
      <c r="AC365" s="77">
        <v>3</v>
      </c>
      <c r="AD365" s="76">
        <v>7.666666666666667</v>
      </c>
      <c r="AE365" s="76">
        <v>0.47140452079103179</v>
      </c>
      <c r="AF365" s="77">
        <v>-1.4142135623730954</v>
      </c>
      <c r="AG365" s="77">
        <v>1</v>
      </c>
      <c r="AH365" s="76">
        <v>6</v>
      </c>
      <c r="AI365" s="76">
        <v>0.81649658092772603</v>
      </c>
      <c r="AJ365" s="77">
        <v>1.2247448713915889</v>
      </c>
      <c r="AK365" s="77">
        <v>4</v>
      </c>
      <c r="AL365" s="76"/>
      <c r="AM365" s="76"/>
      <c r="AN365" s="77"/>
      <c r="AO365" s="77"/>
      <c r="AP365" s="76"/>
      <c r="AQ365" s="76"/>
      <c r="AR365" s="77"/>
      <c r="AS365" s="77"/>
      <c r="AT365" s="78">
        <v>0.75</v>
      </c>
    </row>
    <row r="366" spans="1:46" ht="12.5" x14ac:dyDescent="0.25">
      <c r="A366" s="79">
        <v>44802.699019201391</v>
      </c>
      <c r="B366" s="80" t="s">
        <v>15</v>
      </c>
      <c r="C366" s="80" t="str">
        <f>INDEX(TBL_Name,MATCH(Table2[[#This Row],[Athlete Name]],listNames,0),2)</f>
        <v>Athlete 8</v>
      </c>
      <c r="D366" s="80" t="s">
        <v>130</v>
      </c>
      <c r="E366" s="80">
        <v>10</v>
      </c>
      <c r="F366" s="80">
        <v>10</v>
      </c>
      <c r="G366" s="80">
        <v>9</v>
      </c>
      <c r="H366" s="80" t="s">
        <v>287</v>
      </c>
      <c r="I366" s="80">
        <v>7</v>
      </c>
      <c r="J366" s="80"/>
      <c r="K366" s="80"/>
      <c r="L366" s="80"/>
      <c r="M366" s="1" t="s">
        <v>628</v>
      </c>
      <c r="N366" s="1">
        <v>36</v>
      </c>
      <c r="O366" s="1">
        <v>4</v>
      </c>
      <c r="P366" s="13">
        <v>44802</v>
      </c>
      <c r="Q366" s="1" t="s">
        <v>133</v>
      </c>
      <c r="R366" s="1" t="s">
        <v>64</v>
      </c>
      <c r="S366" s="1">
        <v>1</v>
      </c>
      <c r="T366" s="1"/>
      <c r="U366" s="1" t="s">
        <v>14</v>
      </c>
      <c r="V366" s="76">
        <v>9.25</v>
      </c>
      <c r="W366" s="76">
        <v>1.299038105676658</v>
      </c>
      <c r="X366" s="77">
        <v>0.57735026918962573</v>
      </c>
      <c r="Y366" s="77">
        <v>3</v>
      </c>
      <c r="Z366" s="76">
        <v>9.75</v>
      </c>
      <c r="AA366" s="76">
        <v>0.43301270189221946</v>
      </c>
      <c r="AB366" s="77">
        <v>0.57735026918962562</v>
      </c>
      <c r="AC366" s="77">
        <v>3</v>
      </c>
      <c r="AD366" s="76">
        <v>9</v>
      </c>
      <c r="AE366" s="76">
        <v>0</v>
      </c>
      <c r="AF366" s="77">
        <v>0</v>
      </c>
      <c r="AG366" s="77">
        <v>3</v>
      </c>
      <c r="AH366" s="76">
        <v>6.75</v>
      </c>
      <c r="AI366" s="76">
        <v>0.82915619758884995</v>
      </c>
      <c r="AJ366" s="77">
        <v>0.30151134457776363</v>
      </c>
      <c r="AK366" s="77">
        <v>3</v>
      </c>
      <c r="AL366" s="76"/>
      <c r="AM366" s="76"/>
      <c r="AN366" s="77"/>
      <c r="AO366" s="77"/>
      <c r="AP366" s="76"/>
      <c r="AQ366" s="76"/>
      <c r="AR366" s="77"/>
      <c r="AS366" s="77"/>
      <c r="AT366" s="78">
        <v>0.5625</v>
      </c>
    </row>
    <row r="367" spans="1:46" ht="12.5" x14ac:dyDescent="0.25">
      <c r="A367" s="79">
        <v>44802.700208761569</v>
      </c>
      <c r="B367" s="80" t="s">
        <v>19</v>
      </c>
      <c r="C367" s="80" t="str">
        <f>INDEX(TBL_Name,MATCH(Table2[[#This Row],[Athlete Name]],listNames,0),2)</f>
        <v>Athlete 11</v>
      </c>
      <c r="D367" s="80" t="s">
        <v>130</v>
      </c>
      <c r="E367" s="80">
        <v>7</v>
      </c>
      <c r="F367" s="80">
        <v>7</v>
      </c>
      <c r="G367" s="80">
        <v>6</v>
      </c>
      <c r="H367" s="80" t="s">
        <v>280</v>
      </c>
      <c r="I367" s="80">
        <v>3</v>
      </c>
      <c r="J367" s="80"/>
      <c r="K367" s="80"/>
      <c r="L367" s="80"/>
      <c r="M367" s="1" t="s">
        <v>629</v>
      </c>
      <c r="N367" s="1">
        <v>36</v>
      </c>
      <c r="O367" s="1">
        <v>4</v>
      </c>
      <c r="P367" s="13">
        <v>44802</v>
      </c>
      <c r="Q367" s="1" t="s">
        <v>133</v>
      </c>
      <c r="R367" s="1" t="s">
        <v>64</v>
      </c>
      <c r="S367" s="1">
        <v>1</v>
      </c>
      <c r="T367" s="1"/>
      <c r="U367" s="1" t="s">
        <v>18</v>
      </c>
      <c r="V367" s="76">
        <v>5.75</v>
      </c>
      <c r="W367" s="76">
        <v>1.6393596310755003</v>
      </c>
      <c r="X367" s="77">
        <v>0.76249285166302327</v>
      </c>
      <c r="Y367" s="77">
        <v>3</v>
      </c>
      <c r="Z367" s="76">
        <v>8.5</v>
      </c>
      <c r="AA367" s="76">
        <v>0.8660254037844386</v>
      </c>
      <c r="AB367" s="77">
        <v>-1.7320508075688774</v>
      </c>
      <c r="AC367" s="77">
        <v>1</v>
      </c>
      <c r="AD367" s="76">
        <v>8.25</v>
      </c>
      <c r="AE367" s="76">
        <v>1.299038105676658</v>
      </c>
      <c r="AF367" s="77">
        <v>-1.7320508075688772</v>
      </c>
      <c r="AG367" s="77">
        <v>1</v>
      </c>
      <c r="AH367" s="76">
        <v>3.5</v>
      </c>
      <c r="AI367" s="76">
        <v>1.5</v>
      </c>
      <c r="AJ367" s="77">
        <v>-0.33333333333333331</v>
      </c>
      <c r="AK367" s="77">
        <v>2</v>
      </c>
      <c r="AL367" s="76"/>
      <c r="AM367" s="76"/>
      <c r="AN367" s="77"/>
      <c r="AO367" s="77"/>
      <c r="AP367" s="76"/>
      <c r="AQ367" s="76"/>
      <c r="AR367" s="77"/>
      <c r="AS367" s="77"/>
      <c r="AT367" s="78">
        <v>0.625</v>
      </c>
    </row>
    <row r="368" spans="1:46" ht="12.5" x14ac:dyDescent="0.25">
      <c r="A368" s="79">
        <v>44802.749391030091</v>
      </c>
      <c r="B368" s="80" t="s">
        <v>171</v>
      </c>
      <c r="C368" s="80" t="str">
        <f>INDEX(TBL_Name,MATCH(Table2[[#This Row],[Athlete Name]],listNames,0),2)</f>
        <v>Athlete 27</v>
      </c>
      <c r="D368" s="80" t="s">
        <v>130</v>
      </c>
      <c r="E368" s="80">
        <v>10</v>
      </c>
      <c r="F368" s="80">
        <v>10</v>
      </c>
      <c r="G368" s="80">
        <v>8</v>
      </c>
      <c r="H368" s="80"/>
      <c r="I368" s="80">
        <v>10</v>
      </c>
      <c r="J368" s="80"/>
      <c r="K368" s="80"/>
      <c r="L368" s="80"/>
      <c r="M368" s="1" t="s">
        <v>630</v>
      </c>
      <c r="N368" s="1">
        <v>36</v>
      </c>
      <c r="O368" s="1">
        <v>4</v>
      </c>
      <c r="P368" s="13">
        <v>44802</v>
      </c>
      <c r="Q368" s="1" t="s">
        <v>133</v>
      </c>
      <c r="R368" s="1" t="s">
        <v>64</v>
      </c>
      <c r="S368" s="1">
        <v>1</v>
      </c>
      <c r="T368" s="1"/>
      <c r="U368" s="1" t="s">
        <v>8</v>
      </c>
      <c r="V368" s="76">
        <v>8.8000000000000007</v>
      </c>
      <c r="W368" s="76">
        <v>2.4</v>
      </c>
      <c r="X368" s="77">
        <v>0.49999999999999972</v>
      </c>
      <c r="Y368" s="77">
        <v>3</v>
      </c>
      <c r="Z368" s="76">
        <v>9.4</v>
      </c>
      <c r="AA368" s="76">
        <v>0.79999999999999993</v>
      </c>
      <c r="AB368" s="77">
        <v>0.74999999999999967</v>
      </c>
      <c r="AC368" s="77">
        <v>3</v>
      </c>
      <c r="AD368" s="76">
        <v>8.8000000000000007</v>
      </c>
      <c r="AE368" s="76">
        <v>0.74833147735478833</v>
      </c>
      <c r="AF368" s="77">
        <v>-1.0690449676496985</v>
      </c>
      <c r="AG368" s="77">
        <v>1</v>
      </c>
      <c r="AH368" s="76">
        <v>8.4</v>
      </c>
      <c r="AI368" s="76">
        <v>1.3564659966250536</v>
      </c>
      <c r="AJ368" s="77">
        <v>1.1795356492391769</v>
      </c>
      <c r="AK368" s="77">
        <v>4</v>
      </c>
      <c r="AL368" s="76"/>
      <c r="AM368" s="76"/>
      <c r="AN368" s="77"/>
      <c r="AO368" s="77"/>
      <c r="AP368" s="76"/>
      <c r="AQ368" s="76"/>
      <c r="AR368" s="77"/>
      <c r="AS368" s="77"/>
      <c r="AT368" s="78">
        <v>0.6875</v>
      </c>
    </row>
    <row r="369" spans="1:46" ht="12.5" x14ac:dyDescent="0.25">
      <c r="A369" s="79">
        <v>44803.269335613426</v>
      </c>
      <c r="B369" s="80" t="s">
        <v>185</v>
      </c>
      <c r="C369" s="80" t="str">
        <f>INDEX(TBL_Name,MATCH(Table2[[#This Row],[Athlete Name]],listNames,0),2)</f>
        <v>Athlete 30</v>
      </c>
      <c r="D369" s="80" t="s">
        <v>130</v>
      </c>
      <c r="E369" s="80">
        <v>7</v>
      </c>
      <c r="F369" s="80">
        <v>6</v>
      </c>
      <c r="G369" s="80">
        <v>8</v>
      </c>
      <c r="H369" s="80" t="s">
        <v>631</v>
      </c>
      <c r="I369" s="80">
        <v>6</v>
      </c>
      <c r="J369" s="80"/>
      <c r="K369" s="80"/>
      <c r="L369" s="80"/>
      <c r="M369" s="1" t="s">
        <v>632</v>
      </c>
      <c r="N369" s="1">
        <v>36</v>
      </c>
      <c r="O369" s="1">
        <v>4</v>
      </c>
      <c r="P369" s="13">
        <v>44803</v>
      </c>
      <c r="Q369" s="1" t="s">
        <v>133</v>
      </c>
      <c r="R369" s="1" t="s">
        <v>64</v>
      </c>
      <c r="S369" s="1">
        <v>1</v>
      </c>
      <c r="T369" s="1"/>
      <c r="U369" s="1" t="s">
        <v>26</v>
      </c>
      <c r="V369" s="76">
        <v>8.7142857142857135</v>
      </c>
      <c r="W369" s="76">
        <v>0.88063057185271076</v>
      </c>
      <c r="X369" s="77">
        <v>-1.9466570535691499</v>
      </c>
      <c r="Y369" s="77">
        <v>1</v>
      </c>
      <c r="Z369" s="76">
        <v>5.1428571428571432</v>
      </c>
      <c r="AA369" s="76">
        <v>0.98974331861078702</v>
      </c>
      <c r="AB369" s="77">
        <v>0.86602540378443826</v>
      </c>
      <c r="AC369" s="77">
        <v>3</v>
      </c>
      <c r="AD369" s="76">
        <v>6.5714285714285712</v>
      </c>
      <c r="AE369" s="76">
        <v>1.1780301787479031</v>
      </c>
      <c r="AF369" s="77">
        <v>1.212678125181665</v>
      </c>
      <c r="AG369" s="77">
        <v>4</v>
      </c>
      <c r="AH369" s="76">
        <v>5.8571428571428568</v>
      </c>
      <c r="AI369" s="76">
        <v>0.3499271061118826</v>
      </c>
      <c r="AJ369" s="77">
        <v>0.40824829046386407</v>
      </c>
      <c r="AK369" s="77">
        <v>3</v>
      </c>
      <c r="AL369" s="76"/>
      <c r="AM369" s="76"/>
      <c r="AN369" s="77"/>
      <c r="AO369" s="77"/>
      <c r="AP369" s="76"/>
      <c r="AQ369" s="76"/>
      <c r="AR369" s="77"/>
      <c r="AS369" s="77"/>
      <c r="AT369" s="78">
        <v>0.3125</v>
      </c>
    </row>
    <row r="370" spans="1:46" ht="12.5" x14ac:dyDescent="0.25">
      <c r="A370" s="79">
        <v>44803.284462395837</v>
      </c>
      <c r="B370" s="80" t="s">
        <v>21</v>
      </c>
      <c r="C370" s="80" t="str">
        <f>INDEX(TBL_Name,MATCH(Table2[[#This Row],[Athlete Name]],listNames,0),2)</f>
        <v>Athlete 13</v>
      </c>
      <c r="D370" s="80" t="s">
        <v>130</v>
      </c>
      <c r="E370" s="80">
        <v>7</v>
      </c>
      <c r="F370" s="80">
        <v>9</v>
      </c>
      <c r="G370" s="80">
        <v>9</v>
      </c>
      <c r="H370" s="80" t="s">
        <v>633</v>
      </c>
      <c r="I370" s="80">
        <v>7</v>
      </c>
      <c r="J370" s="80"/>
      <c r="K370" s="80"/>
      <c r="L370" s="80"/>
      <c r="M370" s="1" t="s">
        <v>634</v>
      </c>
      <c r="N370" s="1">
        <v>36</v>
      </c>
      <c r="O370" s="1">
        <v>4</v>
      </c>
      <c r="P370" s="13">
        <v>44803</v>
      </c>
      <c r="Q370" s="1" t="s">
        <v>133</v>
      </c>
      <c r="R370" s="1" t="s">
        <v>64</v>
      </c>
      <c r="S370" s="1">
        <v>1</v>
      </c>
      <c r="T370" s="1"/>
      <c r="U370" s="1" t="s">
        <v>18</v>
      </c>
      <c r="V370" s="76">
        <v>6.1428571428571432</v>
      </c>
      <c r="W370" s="76">
        <v>0.83299312783504298</v>
      </c>
      <c r="X370" s="77">
        <v>1.0289915108550525</v>
      </c>
      <c r="Y370" s="77">
        <v>4</v>
      </c>
      <c r="Z370" s="76">
        <v>8.2857142857142865</v>
      </c>
      <c r="AA370" s="76">
        <v>0.69985421222376532</v>
      </c>
      <c r="AB370" s="77">
        <v>1.0206207261596563</v>
      </c>
      <c r="AC370" s="77">
        <v>4</v>
      </c>
      <c r="AD370" s="76">
        <v>8.8571428571428577</v>
      </c>
      <c r="AE370" s="76">
        <v>0.34992710611188266</v>
      </c>
      <c r="AF370" s="77">
        <v>0.40824829046386146</v>
      </c>
      <c r="AG370" s="77">
        <v>3</v>
      </c>
      <c r="AH370" s="76">
        <v>5.8571428571428568</v>
      </c>
      <c r="AI370" s="76">
        <v>0.63887656499994017</v>
      </c>
      <c r="AJ370" s="77">
        <v>1.7888543819998317</v>
      </c>
      <c r="AK370" s="77">
        <v>4</v>
      </c>
      <c r="AL370" s="76"/>
      <c r="AM370" s="76"/>
      <c r="AN370" s="77"/>
      <c r="AO370" s="77"/>
      <c r="AP370" s="76"/>
      <c r="AQ370" s="76"/>
      <c r="AR370" s="77"/>
      <c r="AS370" s="77"/>
      <c r="AT370" s="78">
        <v>1</v>
      </c>
    </row>
    <row r="371" spans="1:46" ht="12.5" x14ac:dyDescent="0.25">
      <c r="A371" s="79">
        <v>44803.320099745368</v>
      </c>
      <c r="B371" s="80" t="s">
        <v>25</v>
      </c>
      <c r="C371" s="80" t="str">
        <f>INDEX(TBL_Name,MATCH(Table2[[#This Row],[Athlete Name]],listNames,0),2)</f>
        <v>Athlete 23</v>
      </c>
      <c r="D371" s="80" t="s">
        <v>143</v>
      </c>
      <c r="E371" s="80">
        <v>8</v>
      </c>
      <c r="F371" s="80">
        <v>7</v>
      </c>
      <c r="G371" s="80">
        <v>7</v>
      </c>
      <c r="H371" s="80" t="s">
        <v>635</v>
      </c>
      <c r="I371" s="80">
        <v>7</v>
      </c>
      <c r="J371" s="80"/>
      <c r="K371" s="80"/>
      <c r="L371" s="80"/>
      <c r="M371" s="1" t="s">
        <v>636</v>
      </c>
      <c r="N371" s="1">
        <v>36</v>
      </c>
      <c r="O371" s="1">
        <v>4</v>
      </c>
      <c r="P371" s="13">
        <v>44803</v>
      </c>
      <c r="Q371" s="1" t="s">
        <v>133</v>
      </c>
      <c r="R371" s="1" t="s">
        <v>64</v>
      </c>
      <c r="S371" s="1">
        <v>2</v>
      </c>
      <c r="T371" s="1"/>
      <c r="U371" s="1" t="s">
        <v>26</v>
      </c>
      <c r="V371" s="76">
        <v>8.1999999999999993</v>
      </c>
      <c r="W371" s="76">
        <v>0.74833147735478844</v>
      </c>
      <c r="X371" s="77">
        <v>-0.2672612419124234</v>
      </c>
      <c r="Y371" s="77">
        <v>2</v>
      </c>
      <c r="Z371" s="76">
        <v>7.8</v>
      </c>
      <c r="AA371" s="76">
        <v>1.16619037896906</v>
      </c>
      <c r="AB371" s="77">
        <v>-0.68599434057003528</v>
      </c>
      <c r="AC371" s="77">
        <v>2</v>
      </c>
      <c r="AD371" s="76">
        <v>9</v>
      </c>
      <c r="AE371" s="76">
        <v>1.2649110640673518</v>
      </c>
      <c r="AF371" s="77">
        <v>-1.5811388300841895</v>
      </c>
      <c r="AG371" s="77">
        <v>1</v>
      </c>
      <c r="AH371" s="76">
        <v>5.8</v>
      </c>
      <c r="AI371" s="76">
        <v>0.97979589711327131</v>
      </c>
      <c r="AJ371" s="77">
        <v>1.2247448713915892</v>
      </c>
      <c r="AK371" s="77">
        <v>4</v>
      </c>
      <c r="AL371" s="76"/>
      <c r="AM371" s="76"/>
      <c r="AN371" s="77"/>
      <c r="AO371" s="77"/>
      <c r="AP371" s="76"/>
      <c r="AQ371" s="76"/>
      <c r="AR371" s="77"/>
      <c r="AS371" s="77"/>
      <c r="AT371" s="78">
        <v>0.3125</v>
      </c>
    </row>
    <row r="372" spans="1:46" ht="12.5" x14ac:dyDescent="0.25">
      <c r="A372" s="79">
        <v>44803.321958518514</v>
      </c>
      <c r="B372" s="80" t="s">
        <v>168</v>
      </c>
      <c r="C372" s="80" t="str">
        <f>INDEX(TBL_Name,MATCH(Table2[[#This Row],[Athlete Name]],listNames,0),2)</f>
        <v>Athlete 26</v>
      </c>
      <c r="D372" s="80" t="s">
        <v>130</v>
      </c>
      <c r="E372" s="80">
        <v>9</v>
      </c>
      <c r="F372" s="80">
        <v>8</v>
      </c>
      <c r="G372" s="80">
        <v>9</v>
      </c>
      <c r="H372" s="80" t="s">
        <v>71</v>
      </c>
      <c r="I372" s="80">
        <v>8</v>
      </c>
      <c r="J372" s="80"/>
      <c r="K372" s="80"/>
      <c r="L372" s="80"/>
      <c r="M372" s="1" t="s">
        <v>637</v>
      </c>
      <c r="N372" s="1">
        <v>36</v>
      </c>
      <c r="O372" s="1">
        <v>4</v>
      </c>
      <c r="P372" s="13">
        <v>44803</v>
      </c>
      <c r="Q372" s="1" t="s">
        <v>133</v>
      </c>
      <c r="R372" s="1" t="s">
        <v>64</v>
      </c>
      <c r="S372" s="1">
        <v>1</v>
      </c>
      <c r="T372" s="1"/>
      <c r="U372" s="1" t="s">
        <v>5</v>
      </c>
      <c r="V372" s="76">
        <v>7.8</v>
      </c>
      <c r="W372" s="76">
        <v>1.4696938456699069</v>
      </c>
      <c r="X372" s="77">
        <v>0.81649658092772615</v>
      </c>
      <c r="Y372" s="77">
        <v>3</v>
      </c>
      <c r="Z372" s="76">
        <v>7.6</v>
      </c>
      <c r="AA372" s="76">
        <v>1.019803902718557</v>
      </c>
      <c r="AB372" s="77">
        <v>0.39223227027636837</v>
      </c>
      <c r="AC372" s="77">
        <v>3</v>
      </c>
      <c r="AD372" s="76">
        <v>8</v>
      </c>
      <c r="AE372" s="76">
        <v>0.89442719099991586</v>
      </c>
      <c r="AF372" s="77">
        <v>1.1180339887498949</v>
      </c>
      <c r="AG372" s="77">
        <v>4</v>
      </c>
      <c r="AH372" s="76">
        <v>6.2</v>
      </c>
      <c r="AI372" s="76">
        <v>1.4696938456699069</v>
      </c>
      <c r="AJ372" s="77">
        <v>1.2247448713915889</v>
      </c>
      <c r="AK372" s="77">
        <v>4</v>
      </c>
      <c r="AL372" s="76"/>
      <c r="AM372" s="76"/>
      <c r="AN372" s="77"/>
      <c r="AO372" s="77"/>
      <c r="AP372" s="76"/>
      <c r="AQ372" s="76"/>
      <c r="AR372" s="77"/>
      <c r="AS372" s="77"/>
      <c r="AT372" s="78">
        <v>0.75</v>
      </c>
    </row>
    <row r="373" spans="1:46" ht="12.5" x14ac:dyDescent="0.25">
      <c r="A373" s="79">
        <v>44803.345205787038</v>
      </c>
      <c r="B373" s="80" t="s">
        <v>6</v>
      </c>
      <c r="C373" s="80" t="str">
        <f>INDEX(TBL_Name,MATCH(Table2[[#This Row],[Athlete Name]],listNames,0),2)</f>
        <v>Athlete 2</v>
      </c>
      <c r="D373" s="80" t="s">
        <v>130</v>
      </c>
      <c r="E373" s="80">
        <v>9</v>
      </c>
      <c r="F373" s="80">
        <v>5</v>
      </c>
      <c r="G373" s="80">
        <v>8</v>
      </c>
      <c r="H373" s="80" t="s">
        <v>157</v>
      </c>
      <c r="I373" s="80">
        <v>7</v>
      </c>
      <c r="J373" s="80"/>
      <c r="K373" s="80"/>
      <c r="L373" s="80"/>
      <c r="M373" s="1" t="s">
        <v>638</v>
      </c>
      <c r="N373" s="1">
        <v>36</v>
      </c>
      <c r="O373" s="1">
        <v>4</v>
      </c>
      <c r="P373" s="13">
        <v>44803</v>
      </c>
      <c r="Q373" s="1" t="s">
        <v>133</v>
      </c>
      <c r="R373" s="1" t="s">
        <v>64</v>
      </c>
      <c r="S373" s="1">
        <v>1</v>
      </c>
      <c r="T373" s="1"/>
      <c r="U373" s="1" t="s">
        <v>5</v>
      </c>
      <c r="V373" s="76">
        <v>9.5</v>
      </c>
      <c r="W373" s="76">
        <v>0.5</v>
      </c>
      <c r="X373" s="77">
        <v>-1</v>
      </c>
      <c r="Y373" s="77">
        <v>1</v>
      </c>
      <c r="Z373" s="76">
        <v>6.5</v>
      </c>
      <c r="AA373" s="76">
        <v>1.5</v>
      </c>
      <c r="AB373" s="77">
        <v>-1</v>
      </c>
      <c r="AC373" s="77">
        <v>1</v>
      </c>
      <c r="AD373" s="76">
        <v>8.5</v>
      </c>
      <c r="AE373" s="76">
        <v>0.5</v>
      </c>
      <c r="AF373" s="77">
        <v>-1</v>
      </c>
      <c r="AG373" s="77">
        <v>1</v>
      </c>
      <c r="AH373" s="76">
        <v>6.5</v>
      </c>
      <c r="AI373" s="76">
        <v>0.5</v>
      </c>
      <c r="AJ373" s="77">
        <v>1</v>
      </c>
      <c r="AK373" s="77">
        <v>4</v>
      </c>
      <c r="AL373" s="76"/>
      <c r="AM373" s="76"/>
      <c r="AN373" s="77"/>
      <c r="AO373" s="77"/>
      <c r="AP373" s="76"/>
      <c r="AQ373" s="76"/>
      <c r="AR373" s="77"/>
      <c r="AS373" s="77"/>
      <c r="AT373" s="78">
        <v>0.25</v>
      </c>
    </row>
    <row r="374" spans="1:46" ht="12.5" x14ac:dyDescent="0.25">
      <c r="A374" s="79">
        <v>44803.355255046292</v>
      </c>
      <c r="B374" s="80" t="s">
        <v>10</v>
      </c>
      <c r="C374" s="80" t="str">
        <f>INDEX(TBL_Name,MATCH(Table2[[#This Row],[Athlete Name]],listNames,0),2)</f>
        <v>Athlete 5</v>
      </c>
      <c r="D374" s="80" t="s">
        <v>130</v>
      </c>
      <c r="E374" s="80">
        <v>8</v>
      </c>
      <c r="F374" s="80">
        <v>8</v>
      </c>
      <c r="G374" s="80">
        <v>8</v>
      </c>
      <c r="H374" s="80" t="s">
        <v>228</v>
      </c>
      <c r="I374" s="80">
        <v>8</v>
      </c>
      <c r="J374" s="80"/>
      <c r="K374" s="80"/>
      <c r="L374" s="80"/>
      <c r="M374" s="1" t="s">
        <v>639</v>
      </c>
      <c r="N374" s="1">
        <v>36</v>
      </c>
      <c r="O374" s="1">
        <v>4</v>
      </c>
      <c r="P374" s="13">
        <v>44803</v>
      </c>
      <c r="Q374" s="1" t="s">
        <v>133</v>
      </c>
      <c r="R374" s="1" t="s">
        <v>64</v>
      </c>
      <c r="S374" s="1">
        <v>1</v>
      </c>
      <c r="T374" s="1"/>
      <c r="U374" s="1" t="s">
        <v>11</v>
      </c>
      <c r="V374" s="76">
        <v>8.3333333333333339</v>
      </c>
      <c r="W374" s="76">
        <v>0.47140452079103179</v>
      </c>
      <c r="X374" s="77">
        <v>-0.70710678118654857</v>
      </c>
      <c r="Y374" s="77">
        <v>2</v>
      </c>
      <c r="Z374" s="76">
        <v>8.3333333333333339</v>
      </c>
      <c r="AA374" s="76">
        <v>0.47140452079103179</v>
      </c>
      <c r="AB374" s="77">
        <v>-0.70710678118654857</v>
      </c>
      <c r="AC374" s="77">
        <v>2</v>
      </c>
      <c r="AD374" s="76">
        <v>8.3333333333333339</v>
      </c>
      <c r="AE374" s="76">
        <v>0.47140452079103179</v>
      </c>
      <c r="AF374" s="77">
        <v>-0.70710678118654857</v>
      </c>
      <c r="AG374" s="77">
        <v>2</v>
      </c>
      <c r="AH374" s="76">
        <v>6.5</v>
      </c>
      <c r="AI374" s="76">
        <v>0.95742710775633799</v>
      </c>
      <c r="AJ374" s="77">
        <v>1.5666989036012808</v>
      </c>
      <c r="AK374" s="77">
        <v>4</v>
      </c>
      <c r="AL374" s="76"/>
      <c r="AM374" s="76"/>
      <c r="AN374" s="77"/>
      <c r="AO374" s="77"/>
      <c r="AP374" s="76"/>
      <c r="AQ374" s="76"/>
      <c r="AR374" s="77"/>
      <c r="AS374" s="77"/>
      <c r="AT374" s="78">
        <v>0.5</v>
      </c>
    </row>
    <row r="375" spans="1:46" ht="12.5" x14ac:dyDescent="0.25">
      <c r="A375" s="79">
        <v>44803.380452708334</v>
      </c>
      <c r="B375" s="80" t="s">
        <v>180</v>
      </c>
      <c r="C375" s="80" t="str">
        <f>INDEX(TBL_Name,MATCH(Table2[[#This Row],[Athlete Name]],listNames,0),2)</f>
        <v>Athlete 29</v>
      </c>
      <c r="D375" s="80" t="s">
        <v>143</v>
      </c>
      <c r="E375" s="80">
        <v>8</v>
      </c>
      <c r="F375" s="80">
        <v>7</v>
      </c>
      <c r="G375" s="80">
        <v>9</v>
      </c>
      <c r="H375" s="80" t="s">
        <v>354</v>
      </c>
      <c r="I375" s="80">
        <v>8</v>
      </c>
      <c r="J375" s="80"/>
      <c r="K375" s="80"/>
      <c r="L375" s="80"/>
      <c r="M375" s="1" t="s">
        <v>640</v>
      </c>
      <c r="N375" s="1">
        <v>36</v>
      </c>
      <c r="O375" s="1">
        <v>4</v>
      </c>
      <c r="P375" s="13">
        <v>44803</v>
      </c>
      <c r="Q375" s="1" t="s">
        <v>133</v>
      </c>
      <c r="R375" s="1" t="s">
        <v>64</v>
      </c>
      <c r="S375" s="1">
        <v>2</v>
      </c>
      <c r="T375" s="1"/>
      <c r="U375" s="1" t="s">
        <v>5</v>
      </c>
      <c r="V375" s="76">
        <v>8</v>
      </c>
      <c r="W375" s="76">
        <v>0.70710678118654757</v>
      </c>
      <c r="X375" s="77">
        <v>0</v>
      </c>
      <c r="Y375" s="77">
        <v>3</v>
      </c>
      <c r="Z375" s="76">
        <v>8.75</v>
      </c>
      <c r="AA375" s="76">
        <v>1.0897247358851685</v>
      </c>
      <c r="AB375" s="77">
        <v>-1.6059101370939322</v>
      </c>
      <c r="AC375" s="77">
        <v>1</v>
      </c>
      <c r="AD375" s="76">
        <v>9.125</v>
      </c>
      <c r="AE375" s="76">
        <v>0.54486236794258436</v>
      </c>
      <c r="AF375" s="77">
        <v>-0.22941573387056169</v>
      </c>
      <c r="AG375" s="77">
        <v>2</v>
      </c>
      <c r="AH375" s="76">
        <v>5.75</v>
      </c>
      <c r="AI375" s="76">
        <v>1.479019945774904</v>
      </c>
      <c r="AJ375" s="77">
        <v>1.5212776585113299</v>
      </c>
      <c r="AK375" s="77">
        <v>4</v>
      </c>
      <c r="AL375" s="76"/>
      <c r="AM375" s="76"/>
      <c r="AN375" s="77"/>
      <c r="AO375" s="77"/>
      <c r="AP375" s="76"/>
      <c r="AQ375" s="76"/>
      <c r="AR375" s="77"/>
      <c r="AS375" s="77"/>
      <c r="AT375" s="78">
        <v>0.6875</v>
      </c>
    </row>
    <row r="376" spans="1:46" ht="12.5" x14ac:dyDescent="0.25">
      <c r="A376" s="79">
        <v>44803.408116076389</v>
      </c>
      <c r="B376" s="80" t="s">
        <v>136</v>
      </c>
      <c r="C376" s="80" t="str">
        <f>INDEX(TBL_Name,MATCH(Table2[[#This Row],[Athlete Name]],listNames,0),2)</f>
        <v>Athlete 20</v>
      </c>
      <c r="D376" s="80" t="s">
        <v>143</v>
      </c>
      <c r="E376" s="80">
        <v>10</v>
      </c>
      <c r="F376" s="80">
        <v>10</v>
      </c>
      <c r="G376" s="80">
        <v>8</v>
      </c>
      <c r="H376" s="80"/>
      <c r="I376" s="80">
        <v>10</v>
      </c>
      <c r="J376" s="80"/>
      <c r="K376" s="80"/>
      <c r="L376" s="80"/>
      <c r="M376" s="1" t="s">
        <v>641</v>
      </c>
      <c r="N376" s="1">
        <v>36</v>
      </c>
      <c r="O376" s="1">
        <v>4</v>
      </c>
      <c r="P376" s="13">
        <v>44803</v>
      </c>
      <c r="Q376" s="1" t="s">
        <v>133</v>
      </c>
      <c r="R376" s="1" t="s">
        <v>64</v>
      </c>
      <c r="S376" s="1">
        <v>2</v>
      </c>
      <c r="T376" s="1"/>
      <c r="U376" s="1" t="s">
        <v>18</v>
      </c>
      <c r="V376" s="76">
        <v>9.3333333333333339</v>
      </c>
      <c r="W376" s="76">
        <v>0.94280904158206325</v>
      </c>
      <c r="X376" s="77">
        <v>0.70710678118654702</v>
      </c>
      <c r="Y376" s="77">
        <v>3</v>
      </c>
      <c r="Z376" s="76">
        <v>8.3333333333333339</v>
      </c>
      <c r="AA376" s="76">
        <v>1.247219128924647</v>
      </c>
      <c r="AB376" s="77">
        <v>1.3363062095621216</v>
      </c>
      <c r="AC376" s="77">
        <v>4</v>
      </c>
      <c r="AD376" s="76">
        <v>7.666666666666667</v>
      </c>
      <c r="AE376" s="76">
        <v>0.47140452079103162</v>
      </c>
      <c r="AF376" s="77">
        <v>0.70710678118654702</v>
      </c>
      <c r="AG376" s="77">
        <v>3</v>
      </c>
      <c r="AH376" s="76">
        <v>9.3333333333333339</v>
      </c>
      <c r="AI376" s="76">
        <v>0.94280904158206325</v>
      </c>
      <c r="AJ376" s="77">
        <v>0.70710678118654702</v>
      </c>
      <c r="AK376" s="77">
        <v>3</v>
      </c>
      <c r="AL376" s="76"/>
      <c r="AM376" s="76"/>
      <c r="AN376" s="77"/>
      <c r="AO376" s="77"/>
      <c r="AP376" s="76"/>
      <c r="AQ376" s="76"/>
      <c r="AR376" s="77"/>
      <c r="AS376" s="77"/>
      <c r="AT376" s="78">
        <v>0.625</v>
      </c>
    </row>
    <row r="377" spans="1:46" ht="12.5" x14ac:dyDescent="0.25">
      <c r="A377" s="79">
        <v>44803.419849571757</v>
      </c>
      <c r="B377" s="80" t="s">
        <v>196</v>
      </c>
      <c r="C377" s="80" t="str">
        <f>INDEX(TBL_Name,MATCH(Table2[[#This Row],[Athlete Name]],listNames,0),2)</f>
        <v>Athlete 31</v>
      </c>
      <c r="D377" s="80" t="s">
        <v>130</v>
      </c>
      <c r="E377" s="80">
        <v>6</v>
      </c>
      <c r="F377" s="80">
        <v>9</v>
      </c>
      <c r="G377" s="80">
        <v>9</v>
      </c>
      <c r="H377" s="80" t="s">
        <v>598</v>
      </c>
      <c r="I377" s="80">
        <v>9</v>
      </c>
      <c r="J377" s="80"/>
      <c r="K377" s="80"/>
      <c r="L377" s="80"/>
      <c r="M377" s="1" t="s">
        <v>642</v>
      </c>
      <c r="N377" s="1">
        <v>36</v>
      </c>
      <c r="O377" s="1">
        <v>4</v>
      </c>
      <c r="P377" s="13">
        <v>44803</v>
      </c>
      <c r="Q377" s="1" t="s">
        <v>133</v>
      </c>
      <c r="R377" s="1" t="s">
        <v>64</v>
      </c>
      <c r="S377" s="1">
        <v>1</v>
      </c>
      <c r="T377" s="1"/>
      <c r="U377" s="1" t="s">
        <v>28</v>
      </c>
      <c r="V377" s="76">
        <v>6.4285714285714288</v>
      </c>
      <c r="W377" s="76">
        <v>0.72843135908468359</v>
      </c>
      <c r="X377" s="77">
        <v>-0.58834840541455236</v>
      </c>
      <c r="Y377" s="77">
        <v>2</v>
      </c>
      <c r="Z377" s="76">
        <v>8</v>
      </c>
      <c r="AA377" s="76">
        <v>1.0690449676496978</v>
      </c>
      <c r="AB377" s="77">
        <v>0.93541434669348511</v>
      </c>
      <c r="AC377" s="77">
        <v>3</v>
      </c>
      <c r="AD377" s="76">
        <v>8.8571428571428577</v>
      </c>
      <c r="AE377" s="76">
        <v>0.34992710611188255</v>
      </c>
      <c r="AF377" s="77">
        <v>0.40824829046386163</v>
      </c>
      <c r="AG377" s="77">
        <v>3</v>
      </c>
      <c r="AH377" s="76">
        <v>7.7142857142857144</v>
      </c>
      <c r="AI377" s="76">
        <v>1.1605769149479943</v>
      </c>
      <c r="AJ377" s="77">
        <v>1.1078234188139946</v>
      </c>
      <c r="AK377" s="77">
        <v>4</v>
      </c>
      <c r="AL377" s="76"/>
      <c r="AM377" s="76"/>
      <c r="AN377" s="77"/>
      <c r="AO377" s="77"/>
      <c r="AP377" s="76"/>
      <c r="AQ377" s="76"/>
      <c r="AR377" s="77"/>
      <c r="AS377" s="77"/>
      <c r="AT377" s="78">
        <v>0.875</v>
      </c>
    </row>
    <row r="378" spans="1:46" ht="12.5" x14ac:dyDescent="0.25">
      <c r="A378" s="79">
        <v>44803.473327372689</v>
      </c>
      <c r="B378" s="80" t="s">
        <v>22</v>
      </c>
      <c r="C378" s="80" t="str">
        <f>INDEX(TBL_Name,MATCH(Table2[[#This Row],[Athlete Name]],listNames,0),2)</f>
        <v>Athlete 14</v>
      </c>
      <c r="D378" s="80" t="s">
        <v>130</v>
      </c>
      <c r="E378" s="80">
        <v>5</v>
      </c>
      <c r="F378" s="80">
        <v>6</v>
      </c>
      <c r="G378" s="80">
        <v>9</v>
      </c>
      <c r="H378" s="80" t="s">
        <v>643</v>
      </c>
      <c r="I378" s="80">
        <v>5</v>
      </c>
      <c r="J378" s="80"/>
      <c r="K378" s="80"/>
      <c r="L378" s="80"/>
      <c r="M378" s="1" t="s">
        <v>644</v>
      </c>
      <c r="N378" s="1">
        <v>36</v>
      </c>
      <c r="O378" s="1">
        <v>4</v>
      </c>
      <c r="P378" s="13">
        <v>44803</v>
      </c>
      <c r="Q378" s="1" t="s">
        <v>133</v>
      </c>
      <c r="R378" s="1" t="s">
        <v>64</v>
      </c>
      <c r="S378" s="1">
        <v>1</v>
      </c>
      <c r="T378" s="1"/>
      <c r="U378" s="1" t="s">
        <v>18</v>
      </c>
      <c r="V378" s="76">
        <v>6</v>
      </c>
      <c r="W378" s="76">
        <v>1</v>
      </c>
      <c r="X378" s="77">
        <v>-1</v>
      </c>
      <c r="Y378" s="77">
        <v>1</v>
      </c>
      <c r="Z378" s="76">
        <v>6.5</v>
      </c>
      <c r="AA378" s="76">
        <v>0.5</v>
      </c>
      <c r="AB378" s="77">
        <v>-1</v>
      </c>
      <c r="AC378" s="77">
        <v>1</v>
      </c>
      <c r="AD378" s="76">
        <v>9</v>
      </c>
      <c r="AE378" s="76">
        <v>0</v>
      </c>
      <c r="AF378" s="77">
        <v>0</v>
      </c>
      <c r="AG378" s="77">
        <v>3</v>
      </c>
      <c r="AH378" s="76">
        <v>5</v>
      </c>
      <c r="AI378" s="76">
        <v>0</v>
      </c>
      <c r="AJ378" s="77">
        <v>0</v>
      </c>
      <c r="AK378" s="77">
        <v>3</v>
      </c>
      <c r="AL378" s="76"/>
      <c r="AM378" s="76"/>
      <c r="AN378" s="77"/>
      <c r="AO378" s="77"/>
      <c r="AP378" s="76"/>
      <c r="AQ378" s="76"/>
      <c r="AR378" s="77"/>
      <c r="AS378" s="77"/>
      <c r="AT378" s="78">
        <v>0.5625</v>
      </c>
    </row>
    <row r="379" spans="1:46" ht="12.5" x14ac:dyDescent="0.25">
      <c r="A379" s="79">
        <v>44803.482458750004</v>
      </c>
      <c r="B379" s="80" t="s">
        <v>171</v>
      </c>
      <c r="C379" s="80" t="str">
        <f>INDEX(TBL_Name,MATCH(Table2[[#This Row],[Athlete Name]],listNames,0),2)</f>
        <v>Athlete 27</v>
      </c>
      <c r="D379" s="80" t="s">
        <v>130</v>
      </c>
      <c r="E379" s="80">
        <v>10</v>
      </c>
      <c r="F379" s="80">
        <v>10</v>
      </c>
      <c r="G379" s="80">
        <v>9</v>
      </c>
      <c r="H379" s="80"/>
      <c r="I379" s="80">
        <v>10</v>
      </c>
      <c r="J379" s="80"/>
      <c r="K379" s="80"/>
      <c r="L379" s="80"/>
      <c r="M379" s="1" t="s">
        <v>645</v>
      </c>
      <c r="N379" s="1">
        <v>36</v>
      </c>
      <c r="O379" s="1">
        <v>4</v>
      </c>
      <c r="P379" s="13">
        <v>44803</v>
      </c>
      <c r="Q379" s="1" t="s">
        <v>133</v>
      </c>
      <c r="R379" s="1" t="s">
        <v>64</v>
      </c>
      <c r="S379" s="1">
        <v>1</v>
      </c>
      <c r="T379" s="1"/>
      <c r="U379" s="1" t="s">
        <v>8</v>
      </c>
      <c r="V379" s="76">
        <v>8.8000000000000007</v>
      </c>
      <c r="W379" s="76">
        <v>2.4</v>
      </c>
      <c r="X379" s="77">
        <v>0.49999999999999972</v>
      </c>
      <c r="Y379" s="77">
        <v>3</v>
      </c>
      <c r="Z379" s="76">
        <v>9.8000000000000007</v>
      </c>
      <c r="AA379" s="76">
        <v>0.39999999999999986</v>
      </c>
      <c r="AB379" s="77">
        <v>0.49999999999999839</v>
      </c>
      <c r="AC379" s="77">
        <v>3</v>
      </c>
      <c r="AD379" s="76">
        <v>9</v>
      </c>
      <c r="AE379" s="76">
        <v>0.63245553203367599</v>
      </c>
      <c r="AF379" s="77">
        <v>0</v>
      </c>
      <c r="AG379" s="77">
        <v>3</v>
      </c>
      <c r="AH379" s="76">
        <v>9</v>
      </c>
      <c r="AI379" s="76">
        <v>1.2649110640673515</v>
      </c>
      <c r="AJ379" s="77">
        <v>0.79056941504209499</v>
      </c>
      <c r="AK379" s="77">
        <v>3</v>
      </c>
      <c r="AL379" s="76"/>
      <c r="AM379" s="76"/>
      <c r="AN379" s="77"/>
      <c r="AO379" s="77"/>
      <c r="AP379" s="76"/>
      <c r="AQ379" s="76"/>
      <c r="AR379" s="77"/>
      <c r="AS379" s="77"/>
      <c r="AT379" s="78">
        <v>0.75</v>
      </c>
    </row>
    <row r="380" spans="1:46" ht="12.5" x14ac:dyDescent="0.25">
      <c r="A380" s="79">
        <v>44803.485082199069</v>
      </c>
      <c r="B380" s="80" t="s">
        <v>16</v>
      </c>
      <c r="C380" s="80" t="str">
        <f>INDEX(TBL_Name,MATCH(Table2[[#This Row],[Athlete Name]],listNames,0),2)</f>
        <v>Athlete 9</v>
      </c>
      <c r="D380" s="80" t="s">
        <v>130</v>
      </c>
      <c r="E380" s="80">
        <v>7</v>
      </c>
      <c r="F380" s="80">
        <v>7</v>
      </c>
      <c r="G380" s="80">
        <v>8</v>
      </c>
      <c r="H380" s="80" t="s">
        <v>397</v>
      </c>
      <c r="I380" s="80">
        <v>6</v>
      </c>
      <c r="J380" s="80"/>
      <c r="K380" s="80"/>
      <c r="L380" s="80"/>
      <c r="M380" s="1" t="s">
        <v>646</v>
      </c>
      <c r="N380" s="1">
        <v>36</v>
      </c>
      <c r="O380" s="1">
        <v>4</v>
      </c>
      <c r="P380" s="13">
        <v>44803</v>
      </c>
      <c r="Q380" s="1" t="s">
        <v>133</v>
      </c>
      <c r="R380" s="1" t="s">
        <v>64</v>
      </c>
      <c r="S380" s="1">
        <v>1</v>
      </c>
      <c r="T380" s="1"/>
      <c r="U380" s="1" t="s">
        <v>14</v>
      </c>
      <c r="V380" s="76">
        <v>6.25</v>
      </c>
      <c r="W380" s="76">
        <v>0.4330127018922193</v>
      </c>
      <c r="X380" s="77">
        <v>1.7320508075688774</v>
      </c>
      <c r="Y380" s="77">
        <v>4</v>
      </c>
      <c r="Z380" s="76">
        <v>6</v>
      </c>
      <c r="AA380" s="76">
        <v>0.70710678118654746</v>
      </c>
      <c r="AB380" s="77">
        <v>1.4142135623730951</v>
      </c>
      <c r="AC380" s="77">
        <v>4</v>
      </c>
      <c r="AD380" s="76">
        <v>7.75</v>
      </c>
      <c r="AE380" s="76">
        <v>0.43301270189221941</v>
      </c>
      <c r="AF380" s="77">
        <v>0.57735026918962562</v>
      </c>
      <c r="AG380" s="77">
        <v>3</v>
      </c>
      <c r="AH380" s="76">
        <v>6</v>
      </c>
      <c r="AI380" s="76">
        <v>0.70710678118654757</v>
      </c>
      <c r="AJ380" s="77">
        <v>0</v>
      </c>
      <c r="AK380" s="77">
        <v>3</v>
      </c>
      <c r="AL380" s="76"/>
      <c r="AM380" s="76"/>
      <c r="AN380" s="77"/>
      <c r="AO380" s="77"/>
      <c r="AP380" s="76"/>
      <c r="AQ380" s="76"/>
      <c r="AR380" s="77"/>
      <c r="AS380" s="77"/>
      <c r="AT380" s="78">
        <v>0.875</v>
      </c>
    </row>
    <row r="381" spans="1:46" ht="12.5" x14ac:dyDescent="0.25">
      <c r="A381" s="79">
        <v>44803.691195416672</v>
      </c>
      <c r="B381" s="80" t="s">
        <v>17</v>
      </c>
      <c r="C381" s="80" t="str">
        <f>INDEX(TBL_Name,MATCH(Table2[[#This Row],[Athlete Name]],listNames,0),2)</f>
        <v>Athlete 10</v>
      </c>
      <c r="D381" s="80" t="s">
        <v>130</v>
      </c>
      <c r="E381" s="80">
        <v>10</v>
      </c>
      <c r="F381" s="80">
        <v>8</v>
      </c>
      <c r="G381" s="80">
        <v>9</v>
      </c>
      <c r="H381" s="80" t="s">
        <v>584</v>
      </c>
      <c r="I381" s="80">
        <v>7</v>
      </c>
      <c r="J381" s="80"/>
      <c r="K381" s="80"/>
      <c r="L381" s="80"/>
      <c r="M381" s="1" t="s">
        <v>647</v>
      </c>
      <c r="N381" s="1">
        <v>36</v>
      </c>
      <c r="O381" s="1">
        <v>4</v>
      </c>
      <c r="P381" s="13">
        <v>44803</v>
      </c>
      <c r="Q381" s="1" t="s">
        <v>133</v>
      </c>
      <c r="R381" s="1" t="s">
        <v>64</v>
      </c>
      <c r="S381" s="1">
        <v>1</v>
      </c>
      <c r="T381" s="1"/>
      <c r="U381" s="1" t="s">
        <v>18</v>
      </c>
      <c r="V381" s="76">
        <v>8.5</v>
      </c>
      <c r="W381" s="76">
        <v>1.0000000000000002</v>
      </c>
      <c r="X381" s="77">
        <v>1.4999999999999998</v>
      </c>
      <c r="Y381" s="77">
        <v>4</v>
      </c>
      <c r="Z381" s="76">
        <v>7.625</v>
      </c>
      <c r="AA381" s="76">
        <v>1.4947825928876748</v>
      </c>
      <c r="AB381" s="77">
        <v>0.25087260300212721</v>
      </c>
      <c r="AC381" s="77">
        <v>3</v>
      </c>
      <c r="AD381" s="76">
        <v>8.625</v>
      </c>
      <c r="AE381" s="76">
        <v>0.99215674164922152</v>
      </c>
      <c r="AF381" s="77">
        <v>0.3779644730092272</v>
      </c>
      <c r="AG381" s="77">
        <v>3</v>
      </c>
      <c r="AH381" s="76">
        <v>7</v>
      </c>
      <c r="AI381" s="76">
        <v>1.0000000000000002</v>
      </c>
      <c r="AJ381" s="77">
        <v>0</v>
      </c>
      <c r="AK381" s="77">
        <v>3</v>
      </c>
      <c r="AL381" s="76"/>
      <c r="AM381" s="76"/>
      <c r="AN381" s="77"/>
      <c r="AO381" s="77"/>
      <c r="AP381" s="76"/>
      <c r="AQ381" s="76"/>
      <c r="AR381" s="77"/>
      <c r="AS381" s="77"/>
      <c r="AT381" s="78">
        <v>0.625</v>
      </c>
    </row>
    <row r="382" spans="1:46" ht="12.5" x14ac:dyDescent="0.25">
      <c r="A382" s="79">
        <v>44803.823477939819</v>
      </c>
      <c r="B382" s="80" t="s">
        <v>129</v>
      </c>
      <c r="C382" s="80" t="str">
        <f>INDEX(TBL_Name,MATCH(Table2[[#This Row],[Athlete Name]],listNames,0),2)</f>
        <v>Athlete 19</v>
      </c>
      <c r="D382" s="80" t="s">
        <v>130</v>
      </c>
      <c r="E382" s="80">
        <v>6</v>
      </c>
      <c r="F382" s="80">
        <v>7</v>
      </c>
      <c r="G382" s="80">
        <v>7</v>
      </c>
      <c r="H382" s="80" t="s">
        <v>648</v>
      </c>
      <c r="I382" s="80">
        <v>4</v>
      </c>
      <c r="J382" s="80"/>
      <c r="K382" s="80"/>
      <c r="L382" s="80"/>
      <c r="M382" s="1" t="s">
        <v>649</v>
      </c>
      <c r="N382" s="1">
        <v>36</v>
      </c>
      <c r="O382" s="1">
        <v>4</v>
      </c>
      <c r="P382" s="13">
        <v>44803</v>
      </c>
      <c r="Q382" s="1" t="s">
        <v>133</v>
      </c>
      <c r="R382" s="1" t="s">
        <v>64</v>
      </c>
      <c r="S382" s="1">
        <v>1</v>
      </c>
      <c r="T382" s="1"/>
      <c r="U382" s="1" t="s">
        <v>18</v>
      </c>
      <c r="V382" s="76">
        <v>6.666666666666667</v>
      </c>
      <c r="W382" s="76">
        <v>0.74535599249992968</v>
      </c>
      <c r="X382" s="77">
        <v>-0.89442719099991652</v>
      </c>
      <c r="Y382" s="77">
        <v>2</v>
      </c>
      <c r="Z382" s="76">
        <v>6.166666666666667</v>
      </c>
      <c r="AA382" s="76">
        <v>1.3437096247164251</v>
      </c>
      <c r="AB382" s="77">
        <v>0.62017367294604198</v>
      </c>
      <c r="AC382" s="77">
        <v>3</v>
      </c>
      <c r="AD382" s="76">
        <v>7.666666666666667</v>
      </c>
      <c r="AE382" s="76">
        <v>0.7453559924999299</v>
      </c>
      <c r="AF382" s="77">
        <v>-0.8944271909999163</v>
      </c>
      <c r="AG382" s="77">
        <v>2</v>
      </c>
      <c r="AH382" s="76">
        <v>4.333333333333333</v>
      </c>
      <c r="AI382" s="76">
        <v>0.47140452079103179</v>
      </c>
      <c r="AJ382" s="77">
        <v>-0.70710678118654668</v>
      </c>
      <c r="AK382" s="77">
        <v>2</v>
      </c>
      <c r="AL382" s="76"/>
      <c r="AM382" s="76"/>
      <c r="AN382" s="77"/>
      <c r="AO382" s="77"/>
      <c r="AP382" s="76"/>
      <c r="AQ382" s="76"/>
      <c r="AR382" s="77"/>
      <c r="AS382" s="77"/>
      <c r="AT382" s="78">
        <v>0.5625</v>
      </c>
    </row>
    <row r="383" spans="1:46" ht="12.5" x14ac:dyDescent="0.25">
      <c r="A383" s="79">
        <v>44804.285371273145</v>
      </c>
      <c r="B383" s="80" t="s">
        <v>17</v>
      </c>
      <c r="C383" s="80" t="str">
        <f>INDEX(TBL_Name,MATCH(Table2[[#This Row],[Athlete Name]],listNames,0),2)</f>
        <v>Athlete 10</v>
      </c>
      <c r="D383" s="80" t="s">
        <v>130</v>
      </c>
      <c r="E383" s="80">
        <v>9</v>
      </c>
      <c r="F383" s="80">
        <v>7</v>
      </c>
      <c r="G383" s="80">
        <v>8</v>
      </c>
      <c r="H383" s="80" t="s">
        <v>364</v>
      </c>
      <c r="I383" s="80">
        <v>7</v>
      </c>
      <c r="J383" s="80"/>
      <c r="K383" s="80"/>
      <c r="L383" s="80"/>
      <c r="M383" s="1" t="s">
        <v>650</v>
      </c>
      <c r="N383" s="1">
        <v>36</v>
      </c>
      <c r="O383" s="1">
        <v>4</v>
      </c>
      <c r="P383" s="13">
        <v>44804</v>
      </c>
      <c r="Q383" s="1" t="s">
        <v>133</v>
      </c>
      <c r="R383" s="1" t="s">
        <v>64</v>
      </c>
      <c r="S383" s="1">
        <v>1</v>
      </c>
      <c r="T383" s="1"/>
      <c r="U383" s="1" t="s">
        <v>18</v>
      </c>
      <c r="V383" s="76">
        <v>8.75</v>
      </c>
      <c r="W383" s="76">
        <v>0.82915619758884995</v>
      </c>
      <c r="X383" s="77">
        <v>0.30151134457776363</v>
      </c>
      <c r="Y383" s="77">
        <v>3</v>
      </c>
      <c r="Z383" s="76">
        <v>7.375</v>
      </c>
      <c r="AA383" s="76">
        <v>1.4086784586980807</v>
      </c>
      <c r="AB383" s="77">
        <v>-0.26620695282483409</v>
      </c>
      <c r="AC383" s="77">
        <v>2</v>
      </c>
      <c r="AD383" s="76">
        <v>8.375</v>
      </c>
      <c r="AE383" s="76">
        <v>0.85695682505013049</v>
      </c>
      <c r="AF383" s="77">
        <v>-0.43759497449368367</v>
      </c>
      <c r="AG383" s="77">
        <v>2</v>
      </c>
      <c r="AH383" s="76">
        <v>7</v>
      </c>
      <c r="AI383" s="76">
        <v>1</v>
      </c>
      <c r="AJ383" s="77">
        <v>0</v>
      </c>
      <c r="AK383" s="77">
        <v>3</v>
      </c>
      <c r="AL383" s="76"/>
      <c r="AM383" s="76"/>
      <c r="AN383" s="77"/>
      <c r="AO383" s="77"/>
      <c r="AP383" s="76"/>
      <c r="AQ383" s="76"/>
      <c r="AR383" s="77"/>
      <c r="AS383" s="77"/>
      <c r="AT383" s="78">
        <v>0.4375</v>
      </c>
    </row>
    <row r="384" spans="1:46" ht="12.5" x14ac:dyDescent="0.25">
      <c r="A384" s="79">
        <v>44804.313015648149</v>
      </c>
      <c r="B384" s="80" t="s">
        <v>148</v>
      </c>
      <c r="C384" s="80" t="str">
        <f>INDEX(TBL_Name,MATCH(Table2[[#This Row],[Athlete Name]],listNames,0),2)</f>
        <v>Athlete 22</v>
      </c>
      <c r="D384" s="80" t="s">
        <v>130</v>
      </c>
      <c r="E384" s="80">
        <v>10</v>
      </c>
      <c r="F384" s="80">
        <v>10</v>
      </c>
      <c r="G384" s="80">
        <v>8</v>
      </c>
      <c r="H384" s="80"/>
      <c r="I384" s="80">
        <v>8</v>
      </c>
      <c r="J384" s="80"/>
      <c r="K384" s="80"/>
      <c r="L384" s="80"/>
      <c r="M384" s="1" t="s">
        <v>651</v>
      </c>
      <c r="N384" s="1">
        <v>36</v>
      </c>
      <c r="O384" s="1">
        <v>4</v>
      </c>
      <c r="P384" s="13">
        <v>44804</v>
      </c>
      <c r="Q384" s="1" t="s">
        <v>133</v>
      </c>
      <c r="R384" s="1" t="s">
        <v>64</v>
      </c>
      <c r="S384" s="1">
        <v>1</v>
      </c>
      <c r="T384" s="1"/>
      <c r="U384" s="1" t="s">
        <v>11</v>
      </c>
      <c r="V384" s="76">
        <v>10</v>
      </c>
      <c r="W384" s="76">
        <v>0</v>
      </c>
      <c r="X384" s="77">
        <v>0</v>
      </c>
      <c r="Y384" s="77">
        <v>3</v>
      </c>
      <c r="Z384" s="76">
        <v>9.5</v>
      </c>
      <c r="AA384" s="76">
        <v>0.5</v>
      </c>
      <c r="AB384" s="77">
        <v>1</v>
      </c>
      <c r="AC384" s="77">
        <v>4</v>
      </c>
      <c r="AD384" s="76">
        <v>9</v>
      </c>
      <c r="AE384" s="76">
        <v>1</v>
      </c>
      <c r="AF384" s="77">
        <v>-1</v>
      </c>
      <c r="AG384" s="77">
        <v>1</v>
      </c>
      <c r="AH384" s="76">
        <v>8.5</v>
      </c>
      <c r="AI384" s="76">
        <v>0.5</v>
      </c>
      <c r="AJ384" s="77">
        <v>-1</v>
      </c>
      <c r="AK384" s="77">
        <v>1</v>
      </c>
      <c r="AL384" s="76"/>
      <c r="AM384" s="76"/>
      <c r="AN384" s="77"/>
      <c r="AO384" s="77"/>
      <c r="AP384" s="76"/>
      <c r="AQ384" s="76"/>
      <c r="AR384" s="77"/>
      <c r="AS384" s="77"/>
      <c r="AT384" s="78">
        <v>0.75</v>
      </c>
    </row>
    <row r="385" spans="1:46" ht="12.5" x14ac:dyDescent="0.25">
      <c r="A385" s="79">
        <v>44804.330014641208</v>
      </c>
      <c r="B385" s="80" t="s">
        <v>185</v>
      </c>
      <c r="C385" s="80" t="str">
        <f>INDEX(TBL_Name,MATCH(Table2[[#This Row],[Athlete Name]],listNames,0),2)</f>
        <v>Athlete 30</v>
      </c>
      <c r="D385" s="80" t="s">
        <v>130</v>
      </c>
      <c r="E385" s="80">
        <v>8</v>
      </c>
      <c r="F385" s="80">
        <v>5</v>
      </c>
      <c r="G385" s="80">
        <v>7</v>
      </c>
      <c r="H385" s="80" t="s">
        <v>631</v>
      </c>
      <c r="I385" s="80">
        <v>5</v>
      </c>
      <c r="J385" s="80"/>
      <c r="K385" s="80"/>
      <c r="L385" s="80"/>
      <c r="M385" s="1" t="s">
        <v>652</v>
      </c>
      <c r="N385" s="1">
        <v>36</v>
      </c>
      <c r="O385" s="1">
        <v>4</v>
      </c>
      <c r="P385" s="13">
        <v>44804</v>
      </c>
      <c r="Q385" s="1" t="s">
        <v>133</v>
      </c>
      <c r="R385" s="1" t="s">
        <v>64</v>
      </c>
      <c r="S385" s="1">
        <v>1</v>
      </c>
      <c r="T385" s="1"/>
      <c r="U385" s="1" t="s">
        <v>26</v>
      </c>
      <c r="V385" s="76">
        <v>8.5714285714285712</v>
      </c>
      <c r="W385" s="76">
        <v>0.90350790290525107</v>
      </c>
      <c r="X385" s="77">
        <v>-0.63245553203367566</v>
      </c>
      <c r="Y385" s="77">
        <v>2</v>
      </c>
      <c r="Z385" s="76">
        <v>5.1428571428571432</v>
      </c>
      <c r="AA385" s="76">
        <v>0.9897433186107869</v>
      </c>
      <c r="AB385" s="77">
        <v>-0.14433756729740685</v>
      </c>
      <c r="AC385" s="77">
        <v>2</v>
      </c>
      <c r="AD385" s="76">
        <v>6.5714285714285712</v>
      </c>
      <c r="AE385" s="76">
        <v>1.1780301787479031</v>
      </c>
      <c r="AF385" s="77">
        <v>0.36380343755449968</v>
      </c>
      <c r="AG385" s="77">
        <v>3</v>
      </c>
      <c r="AH385" s="76">
        <v>5.7142857142857144</v>
      </c>
      <c r="AI385" s="76">
        <v>0.45175395145262559</v>
      </c>
      <c r="AJ385" s="77">
        <v>-1.58113883008419</v>
      </c>
      <c r="AK385" s="77">
        <v>1</v>
      </c>
      <c r="AL385" s="76"/>
      <c r="AM385" s="76"/>
      <c r="AN385" s="77"/>
      <c r="AO385" s="77"/>
      <c r="AP385" s="76"/>
      <c r="AQ385" s="76"/>
      <c r="AR385" s="77"/>
      <c r="AS385" s="77"/>
      <c r="AT385" s="78">
        <v>0.3125</v>
      </c>
    </row>
    <row r="386" spans="1:46" ht="12.5" x14ac:dyDescent="0.25">
      <c r="A386" s="79">
        <v>44804.333042858794</v>
      </c>
      <c r="B386" s="80" t="s">
        <v>136</v>
      </c>
      <c r="C386" s="80" t="str">
        <f>INDEX(TBL_Name,MATCH(Table2[[#This Row],[Athlete Name]],listNames,0),2)</f>
        <v>Athlete 20</v>
      </c>
      <c r="D386" s="80" t="s">
        <v>143</v>
      </c>
      <c r="E386" s="80">
        <v>8</v>
      </c>
      <c r="F386" s="80">
        <v>9</v>
      </c>
      <c r="G386" s="80">
        <v>8</v>
      </c>
      <c r="H386" s="80" t="s">
        <v>74</v>
      </c>
      <c r="I386" s="80">
        <v>10</v>
      </c>
      <c r="J386" s="80"/>
      <c r="K386" s="80"/>
      <c r="L386" s="80"/>
      <c r="M386" s="1" t="s">
        <v>653</v>
      </c>
      <c r="N386" s="1">
        <v>36</v>
      </c>
      <c r="O386" s="1">
        <v>4</v>
      </c>
      <c r="P386" s="13">
        <v>44804</v>
      </c>
      <c r="Q386" s="1" t="s">
        <v>133</v>
      </c>
      <c r="R386" s="1" t="s">
        <v>64</v>
      </c>
      <c r="S386" s="1">
        <v>2</v>
      </c>
      <c r="T386" s="1"/>
      <c r="U386" s="1" t="s">
        <v>18</v>
      </c>
      <c r="V386" s="76">
        <v>9</v>
      </c>
      <c r="W386" s="76">
        <v>1</v>
      </c>
      <c r="X386" s="77">
        <v>-1</v>
      </c>
      <c r="Y386" s="77">
        <v>1</v>
      </c>
      <c r="Z386" s="76">
        <v>8.5</v>
      </c>
      <c r="AA386" s="76">
        <v>1.1180339887498947</v>
      </c>
      <c r="AB386" s="77">
        <v>0.44721359549995798</v>
      </c>
      <c r="AC386" s="77">
        <v>3</v>
      </c>
      <c r="AD386" s="76">
        <v>7.75</v>
      </c>
      <c r="AE386" s="76">
        <v>0.43301270189221924</v>
      </c>
      <c r="AF386" s="77">
        <v>0.57735026918962584</v>
      </c>
      <c r="AG386" s="77">
        <v>3</v>
      </c>
      <c r="AH386" s="76">
        <v>9.5</v>
      </c>
      <c r="AI386" s="76">
        <v>0.86602540378443849</v>
      </c>
      <c r="AJ386" s="77">
        <v>0.57735026918962584</v>
      </c>
      <c r="AK386" s="77">
        <v>3</v>
      </c>
      <c r="AL386" s="76"/>
      <c r="AM386" s="76"/>
      <c r="AN386" s="77"/>
      <c r="AO386" s="77"/>
      <c r="AP386" s="76"/>
      <c r="AQ386" s="76"/>
      <c r="AR386" s="77"/>
      <c r="AS386" s="77"/>
      <c r="AT386" s="78">
        <v>0.5625</v>
      </c>
    </row>
    <row r="387" spans="1:46" ht="12.5" x14ac:dyDescent="0.25">
      <c r="A387" s="79">
        <v>44804.365645219907</v>
      </c>
      <c r="B387" s="80" t="s">
        <v>142</v>
      </c>
      <c r="C387" s="80" t="str">
        <f>INDEX(TBL_Name,MATCH(Table2[[#This Row],[Athlete Name]],listNames,0),2)</f>
        <v>Athlete 21</v>
      </c>
      <c r="D387" s="80" t="s">
        <v>130</v>
      </c>
      <c r="E387" s="80">
        <v>4</v>
      </c>
      <c r="F387" s="80">
        <v>9</v>
      </c>
      <c r="G387" s="80">
        <v>9</v>
      </c>
      <c r="H387" s="80" t="s">
        <v>435</v>
      </c>
      <c r="I387" s="80">
        <v>3</v>
      </c>
      <c r="J387" s="80"/>
      <c r="K387" s="80"/>
      <c r="L387" s="80"/>
      <c r="M387" s="1" t="s">
        <v>654</v>
      </c>
      <c r="N387" s="1">
        <v>36</v>
      </c>
      <c r="O387" s="1">
        <v>4</v>
      </c>
      <c r="P387" s="13">
        <v>44804</v>
      </c>
      <c r="Q387" s="1" t="s">
        <v>133</v>
      </c>
      <c r="R387" s="1" t="s">
        <v>64</v>
      </c>
      <c r="S387" s="1">
        <v>1</v>
      </c>
      <c r="T387" s="1"/>
      <c r="U387" s="1" t="s">
        <v>18</v>
      </c>
      <c r="V387" s="76">
        <v>4</v>
      </c>
      <c r="W387" s="76">
        <v>0.81649658092772603</v>
      </c>
      <c r="X387" s="77">
        <v>0</v>
      </c>
      <c r="Y387" s="77">
        <v>3</v>
      </c>
      <c r="Z387" s="76">
        <v>9</v>
      </c>
      <c r="AA387" s="76">
        <v>0</v>
      </c>
      <c r="AB387" s="77">
        <v>0</v>
      </c>
      <c r="AC387" s="77">
        <v>3</v>
      </c>
      <c r="AD387" s="76">
        <v>9</v>
      </c>
      <c r="AE387" s="76">
        <v>0.81649658092772603</v>
      </c>
      <c r="AF387" s="77">
        <v>0</v>
      </c>
      <c r="AG387" s="77">
        <v>3</v>
      </c>
      <c r="AH387" s="76">
        <v>3.3333333333333335</v>
      </c>
      <c r="AI387" s="76">
        <v>0.47140452079103168</v>
      </c>
      <c r="AJ387" s="77">
        <v>-0.70710678118654779</v>
      </c>
      <c r="AK387" s="77">
        <v>2</v>
      </c>
      <c r="AL387" s="76"/>
      <c r="AM387" s="76"/>
      <c r="AN387" s="77"/>
      <c r="AO387" s="77"/>
      <c r="AP387" s="76"/>
      <c r="AQ387" s="76"/>
      <c r="AR387" s="77"/>
      <c r="AS387" s="77"/>
      <c r="AT387" s="78">
        <v>0.75</v>
      </c>
    </row>
    <row r="388" spans="1:46" ht="12.5" x14ac:dyDescent="0.25">
      <c r="A388" s="79">
        <v>44804.377477557871</v>
      </c>
      <c r="B388" s="80" t="s">
        <v>6</v>
      </c>
      <c r="C388" s="80" t="str">
        <f>INDEX(TBL_Name,MATCH(Table2[[#This Row],[Athlete Name]],listNames,0),2)</f>
        <v>Athlete 2</v>
      </c>
      <c r="D388" s="80" t="s">
        <v>130</v>
      </c>
      <c r="E388" s="80">
        <v>10</v>
      </c>
      <c r="F388" s="80">
        <v>6</v>
      </c>
      <c r="G388" s="80">
        <v>8</v>
      </c>
      <c r="H388" s="80" t="s">
        <v>157</v>
      </c>
      <c r="I388" s="80">
        <v>6</v>
      </c>
      <c r="J388" s="80"/>
      <c r="K388" s="80"/>
      <c r="L388" s="80"/>
      <c r="M388" s="1" t="s">
        <v>655</v>
      </c>
      <c r="N388" s="1">
        <v>36</v>
      </c>
      <c r="O388" s="1">
        <v>4</v>
      </c>
      <c r="P388" s="13">
        <v>44804</v>
      </c>
      <c r="Q388" s="1" t="s">
        <v>133</v>
      </c>
      <c r="R388" s="1" t="s">
        <v>64</v>
      </c>
      <c r="S388" s="1">
        <v>1</v>
      </c>
      <c r="T388" s="1"/>
      <c r="U388" s="1" t="s">
        <v>5</v>
      </c>
      <c r="V388" s="76">
        <v>9.5714285714285712</v>
      </c>
      <c r="W388" s="76">
        <v>0.49487165930539351</v>
      </c>
      <c r="X388" s="77">
        <v>0.86602540378443915</v>
      </c>
      <c r="Y388" s="77">
        <v>3</v>
      </c>
      <c r="Z388" s="76">
        <v>6.4285714285714288</v>
      </c>
      <c r="AA388" s="76">
        <v>1.3997084244475304</v>
      </c>
      <c r="AB388" s="77">
        <v>-0.3061862178478974</v>
      </c>
      <c r="AC388" s="77">
        <v>2</v>
      </c>
      <c r="AD388" s="76">
        <v>8.4285714285714288</v>
      </c>
      <c r="AE388" s="76">
        <v>0.49487165930539351</v>
      </c>
      <c r="AF388" s="77">
        <v>-0.86602540378443915</v>
      </c>
      <c r="AG388" s="77">
        <v>2</v>
      </c>
      <c r="AH388" s="76">
        <v>6.4285714285714288</v>
      </c>
      <c r="AI388" s="76">
        <v>0.49487165930539362</v>
      </c>
      <c r="AJ388" s="77">
        <v>-0.86602540378443893</v>
      </c>
      <c r="AK388" s="77">
        <v>2</v>
      </c>
      <c r="AL388" s="76"/>
      <c r="AM388" s="76"/>
      <c r="AN388" s="77"/>
      <c r="AO388" s="77"/>
      <c r="AP388" s="76"/>
      <c r="AQ388" s="76"/>
      <c r="AR388" s="77"/>
      <c r="AS388" s="77"/>
      <c r="AT388" s="78">
        <v>0.375</v>
      </c>
    </row>
    <row r="389" spans="1:46" ht="12.5" x14ac:dyDescent="0.25">
      <c r="A389" s="79">
        <v>44804.379674537035</v>
      </c>
      <c r="B389" s="80" t="s">
        <v>159</v>
      </c>
      <c r="C389" s="80" t="str">
        <f>INDEX(TBL_Name,MATCH(Table2[[#This Row],[Athlete Name]],listNames,0),2)</f>
        <v>Athlete 25</v>
      </c>
      <c r="D389" s="80" t="s">
        <v>130</v>
      </c>
      <c r="E389" s="80">
        <v>8</v>
      </c>
      <c r="F389" s="80">
        <v>5</v>
      </c>
      <c r="G389" s="80">
        <v>6</v>
      </c>
      <c r="H389" s="80" t="s">
        <v>74</v>
      </c>
      <c r="I389" s="80">
        <v>8</v>
      </c>
      <c r="J389" s="80"/>
      <c r="K389" s="80"/>
      <c r="L389" s="80"/>
      <c r="M389" s="1" t="s">
        <v>656</v>
      </c>
      <c r="N389" s="1">
        <v>36</v>
      </c>
      <c r="O389" s="1">
        <v>4</v>
      </c>
      <c r="P389" s="13">
        <v>44804</v>
      </c>
      <c r="Q389" s="1" t="s">
        <v>133</v>
      </c>
      <c r="R389" s="1" t="s">
        <v>64</v>
      </c>
      <c r="S389" s="1">
        <v>1</v>
      </c>
      <c r="T389" s="1"/>
      <c r="U389" s="1" t="s">
        <v>28</v>
      </c>
      <c r="V389" s="76">
        <v>8</v>
      </c>
      <c r="W389" s="76">
        <v>0</v>
      </c>
      <c r="X389" s="77">
        <v>0</v>
      </c>
      <c r="Y389" s="77">
        <v>3</v>
      </c>
      <c r="Z389" s="76">
        <v>5</v>
      </c>
      <c r="AA389" s="76">
        <v>0</v>
      </c>
      <c r="AB389" s="77">
        <v>0</v>
      </c>
      <c r="AC389" s="77">
        <v>3</v>
      </c>
      <c r="AD389" s="76">
        <v>6</v>
      </c>
      <c r="AE389" s="76">
        <v>0</v>
      </c>
      <c r="AF389" s="77">
        <v>0</v>
      </c>
      <c r="AG389" s="77">
        <v>3</v>
      </c>
      <c r="AH389" s="76">
        <v>8</v>
      </c>
      <c r="AI389" s="76">
        <v>0</v>
      </c>
      <c r="AJ389" s="77">
        <v>0</v>
      </c>
      <c r="AK389" s="77">
        <v>3</v>
      </c>
      <c r="AL389" s="76"/>
      <c r="AM389" s="76"/>
      <c r="AN389" s="77"/>
      <c r="AO389" s="77"/>
      <c r="AP389" s="76"/>
      <c r="AQ389" s="76"/>
      <c r="AR389" s="77"/>
      <c r="AS389" s="77"/>
      <c r="AT389" s="78">
        <v>0.75</v>
      </c>
    </row>
    <row r="390" spans="1:46" ht="12.5" x14ac:dyDescent="0.25">
      <c r="A390" s="79">
        <v>44804.436168055559</v>
      </c>
      <c r="B390" s="80" t="s">
        <v>168</v>
      </c>
      <c r="C390" s="80" t="str">
        <f>INDEX(TBL_Name,MATCH(Table2[[#This Row],[Athlete Name]],listNames,0),2)</f>
        <v>Athlete 26</v>
      </c>
      <c r="D390" s="80" t="s">
        <v>130</v>
      </c>
      <c r="E390" s="80">
        <v>9</v>
      </c>
      <c r="F390" s="80">
        <v>9</v>
      </c>
      <c r="G390" s="80">
        <v>9</v>
      </c>
      <c r="H390" s="80" t="s">
        <v>71</v>
      </c>
      <c r="I390" s="80">
        <v>6</v>
      </c>
      <c r="J390" s="80"/>
      <c r="K390" s="80"/>
      <c r="L390" s="80"/>
      <c r="M390" s="1" t="s">
        <v>657</v>
      </c>
      <c r="N390" s="1">
        <v>36</v>
      </c>
      <c r="O390" s="1">
        <v>4</v>
      </c>
      <c r="P390" s="13">
        <v>44804</v>
      </c>
      <c r="Q390" s="1" t="s">
        <v>133</v>
      </c>
      <c r="R390" s="1" t="s">
        <v>64</v>
      </c>
      <c r="S390" s="1">
        <v>1</v>
      </c>
      <c r="T390" s="1"/>
      <c r="U390" s="1" t="s">
        <v>5</v>
      </c>
      <c r="V390" s="76">
        <v>8</v>
      </c>
      <c r="W390" s="76">
        <v>1.5491933384829668</v>
      </c>
      <c r="X390" s="77">
        <v>0.6454972243679028</v>
      </c>
      <c r="Y390" s="77">
        <v>3</v>
      </c>
      <c r="Z390" s="76">
        <v>7.6</v>
      </c>
      <c r="AA390" s="76">
        <v>1.019803902718557</v>
      </c>
      <c r="AB390" s="77">
        <v>1.3728129459672884</v>
      </c>
      <c r="AC390" s="77">
        <v>4</v>
      </c>
      <c r="AD390" s="76">
        <v>8</v>
      </c>
      <c r="AE390" s="76">
        <v>0.89442719099991597</v>
      </c>
      <c r="AF390" s="77">
        <v>1.1180339887498947</v>
      </c>
      <c r="AG390" s="77">
        <v>4</v>
      </c>
      <c r="AH390" s="76">
        <v>6.6</v>
      </c>
      <c r="AI390" s="76">
        <v>1.019803902718557</v>
      </c>
      <c r="AJ390" s="77">
        <v>-0.58834840541455169</v>
      </c>
      <c r="AK390" s="77">
        <v>2</v>
      </c>
      <c r="AL390" s="76"/>
      <c r="AM390" s="76"/>
      <c r="AN390" s="77"/>
      <c r="AO390" s="77"/>
      <c r="AP390" s="76"/>
      <c r="AQ390" s="76"/>
      <c r="AR390" s="77"/>
      <c r="AS390" s="77"/>
      <c r="AT390" s="78">
        <v>0.625</v>
      </c>
    </row>
    <row r="391" spans="1:46" ht="12.5" x14ac:dyDescent="0.25">
      <c r="A391" s="79">
        <v>44804.45836665509</v>
      </c>
      <c r="B391" s="80" t="s">
        <v>10</v>
      </c>
      <c r="C391" s="80" t="str">
        <f>INDEX(TBL_Name,MATCH(Table2[[#This Row],[Athlete Name]],listNames,0),2)</f>
        <v>Athlete 5</v>
      </c>
      <c r="D391" s="80" t="s">
        <v>130</v>
      </c>
      <c r="E391" s="80">
        <v>8</v>
      </c>
      <c r="F391" s="80">
        <v>8</v>
      </c>
      <c r="G391" s="80">
        <v>8</v>
      </c>
      <c r="H391" s="80" t="s">
        <v>228</v>
      </c>
      <c r="I391" s="80">
        <v>8</v>
      </c>
      <c r="J391" s="80"/>
      <c r="K391" s="80"/>
      <c r="L391" s="80"/>
      <c r="M391" s="1" t="s">
        <v>658</v>
      </c>
      <c r="N391" s="1">
        <v>36</v>
      </c>
      <c r="O391" s="1">
        <v>4</v>
      </c>
      <c r="P391" s="13">
        <v>44804</v>
      </c>
      <c r="Q391" s="1" t="s">
        <v>133</v>
      </c>
      <c r="R391" s="1" t="s">
        <v>64</v>
      </c>
      <c r="S391" s="1">
        <v>1</v>
      </c>
      <c r="T391" s="1"/>
      <c r="U391" s="1" t="s">
        <v>11</v>
      </c>
      <c r="V391" s="76">
        <v>8.1666666666666661</v>
      </c>
      <c r="W391" s="76">
        <v>0.37267799624996495</v>
      </c>
      <c r="X391" s="77">
        <v>-0.44721359549995637</v>
      </c>
      <c r="Y391" s="77">
        <v>2</v>
      </c>
      <c r="Z391" s="76">
        <v>8.1666666666666661</v>
      </c>
      <c r="AA391" s="76">
        <v>0.37267799624996484</v>
      </c>
      <c r="AB391" s="77">
        <v>-0.44721359549995648</v>
      </c>
      <c r="AC391" s="77">
        <v>2</v>
      </c>
      <c r="AD391" s="76">
        <v>8.1666666666666661</v>
      </c>
      <c r="AE391" s="76">
        <v>0.37267799624996484</v>
      </c>
      <c r="AF391" s="77">
        <v>-0.44721359549995648</v>
      </c>
      <c r="AG391" s="77">
        <v>2</v>
      </c>
      <c r="AH391" s="76">
        <v>6.833333333333333</v>
      </c>
      <c r="AI391" s="76">
        <v>1.0671873729054751</v>
      </c>
      <c r="AJ391" s="77">
        <v>1.0932163332202425</v>
      </c>
      <c r="AK391" s="77">
        <v>4</v>
      </c>
      <c r="AL391" s="76"/>
      <c r="AM391" s="76"/>
      <c r="AN391" s="77"/>
      <c r="AO391" s="77"/>
      <c r="AP391" s="76"/>
      <c r="AQ391" s="76"/>
      <c r="AR391" s="77"/>
      <c r="AS391" s="77"/>
      <c r="AT391" s="78">
        <v>0.5</v>
      </c>
    </row>
    <row r="392" spans="1:46" ht="12.5" x14ac:dyDescent="0.25">
      <c r="A392" s="79">
        <v>44804.487963877313</v>
      </c>
      <c r="B392" s="80" t="s">
        <v>180</v>
      </c>
      <c r="C392" s="80" t="str">
        <f>INDEX(TBL_Name,MATCH(Table2[[#This Row],[Athlete Name]],listNames,0),2)</f>
        <v>Athlete 29</v>
      </c>
      <c r="D392" s="80" t="s">
        <v>143</v>
      </c>
      <c r="E392" s="80">
        <v>8</v>
      </c>
      <c r="F392" s="80">
        <v>7</v>
      </c>
      <c r="G392" s="80">
        <v>8.5</v>
      </c>
      <c r="H392" s="80" t="s">
        <v>205</v>
      </c>
      <c r="I392" s="80">
        <v>4</v>
      </c>
      <c r="J392" s="80"/>
      <c r="K392" s="80"/>
      <c r="L392" s="80"/>
      <c r="M392" s="1" t="s">
        <v>659</v>
      </c>
      <c r="N392" s="1">
        <v>36</v>
      </c>
      <c r="O392" s="1">
        <v>4</v>
      </c>
      <c r="P392" s="13">
        <v>44804</v>
      </c>
      <c r="Q392" s="1" t="s">
        <v>133</v>
      </c>
      <c r="R392" s="1" t="s">
        <v>64</v>
      </c>
      <c r="S392" s="1">
        <v>2</v>
      </c>
      <c r="T392" s="1"/>
      <c r="U392" s="1" t="s">
        <v>5</v>
      </c>
      <c r="V392" s="76">
        <v>8.25</v>
      </c>
      <c r="W392" s="76">
        <v>0.43301270189221946</v>
      </c>
      <c r="X392" s="77">
        <v>-0.57735026918962562</v>
      </c>
      <c r="Y392" s="77">
        <v>2</v>
      </c>
      <c r="Z392" s="76">
        <v>8.25</v>
      </c>
      <c r="AA392" s="76">
        <v>1.2990381056766578</v>
      </c>
      <c r="AB392" s="77">
        <v>-0.96225044864937637</v>
      </c>
      <c r="AC392" s="77">
        <v>2</v>
      </c>
      <c r="AD392" s="76">
        <v>9.125</v>
      </c>
      <c r="AE392" s="76">
        <v>0.54486236794258436</v>
      </c>
      <c r="AF392" s="77">
        <v>-1.1470786693528086</v>
      </c>
      <c r="AG392" s="77">
        <v>1</v>
      </c>
      <c r="AH392" s="76">
        <v>5.75</v>
      </c>
      <c r="AI392" s="76">
        <v>1.479019945774904</v>
      </c>
      <c r="AJ392" s="77">
        <v>-1.1832159566199232</v>
      </c>
      <c r="AK392" s="77">
        <v>1</v>
      </c>
      <c r="AL392" s="76"/>
      <c r="AM392" s="76"/>
      <c r="AN392" s="77"/>
      <c r="AO392" s="77"/>
      <c r="AP392" s="76"/>
      <c r="AQ392" s="76"/>
      <c r="AR392" s="77"/>
      <c r="AS392" s="77"/>
      <c r="AT392" s="78">
        <v>0.4375</v>
      </c>
    </row>
    <row r="393" spans="1:46" ht="12.5" x14ac:dyDescent="0.25">
      <c r="A393" s="79">
        <v>44804.639586261575</v>
      </c>
      <c r="B393" s="80" t="s">
        <v>16</v>
      </c>
      <c r="C393" s="80" t="str">
        <f>INDEX(TBL_Name,MATCH(Table2[[#This Row],[Athlete Name]],listNames,0),2)</f>
        <v>Athlete 9</v>
      </c>
      <c r="D393" s="80" t="s">
        <v>130</v>
      </c>
      <c r="E393" s="80">
        <v>7</v>
      </c>
      <c r="F393" s="80">
        <v>7</v>
      </c>
      <c r="G393" s="80">
        <v>8</v>
      </c>
      <c r="H393" s="80" t="s">
        <v>203</v>
      </c>
      <c r="I393" s="80">
        <v>6</v>
      </c>
      <c r="J393" s="80"/>
      <c r="K393" s="80"/>
      <c r="L393" s="80"/>
      <c r="M393" s="1" t="s">
        <v>660</v>
      </c>
      <c r="N393" s="1">
        <v>36</v>
      </c>
      <c r="O393" s="1">
        <v>4</v>
      </c>
      <c r="P393" s="13">
        <v>44804</v>
      </c>
      <c r="Q393" s="1" t="s">
        <v>133</v>
      </c>
      <c r="R393" s="1" t="s">
        <v>64</v>
      </c>
      <c r="S393" s="1">
        <v>1</v>
      </c>
      <c r="T393" s="1"/>
      <c r="U393" s="1" t="s">
        <v>14</v>
      </c>
      <c r="V393" s="76">
        <v>6.5</v>
      </c>
      <c r="W393" s="76">
        <v>0.50000000000000011</v>
      </c>
      <c r="X393" s="77">
        <v>0.99999999999999978</v>
      </c>
      <c r="Y393" s="77">
        <v>4</v>
      </c>
      <c r="Z393" s="76">
        <v>6.5</v>
      </c>
      <c r="AA393" s="76">
        <v>0.50000000000000011</v>
      </c>
      <c r="AB393" s="77">
        <v>0.99999999999999978</v>
      </c>
      <c r="AC393" s="77">
        <v>4</v>
      </c>
      <c r="AD393" s="76">
        <v>7.75</v>
      </c>
      <c r="AE393" s="76">
        <v>0.43301270189221924</v>
      </c>
      <c r="AF393" s="77">
        <v>0.57735026918962584</v>
      </c>
      <c r="AG393" s="77">
        <v>3</v>
      </c>
      <c r="AH393" s="76">
        <v>6</v>
      </c>
      <c r="AI393" s="76">
        <v>0.70710678118654757</v>
      </c>
      <c r="AJ393" s="77">
        <v>0</v>
      </c>
      <c r="AK393" s="77">
        <v>3</v>
      </c>
      <c r="AL393" s="76"/>
      <c r="AM393" s="76"/>
      <c r="AN393" s="77"/>
      <c r="AO393" s="77"/>
      <c r="AP393" s="76"/>
      <c r="AQ393" s="76"/>
      <c r="AR393" s="77"/>
      <c r="AS393" s="77"/>
      <c r="AT393" s="78">
        <v>0.8125</v>
      </c>
    </row>
    <row r="394" spans="1:46" ht="12.5" x14ac:dyDescent="0.25">
      <c r="A394" s="79">
        <v>44805.304843969905</v>
      </c>
      <c r="B394" s="80" t="s">
        <v>185</v>
      </c>
      <c r="C394" s="80" t="str">
        <f>INDEX(TBL_Name,MATCH(Table2[[#This Row],[Athlete Name]],listNames,0),2)</f>
        <v>Athlete 30</v>
      </c>
      <c r="D394" s="80" t="s">
        <v>130</v>
      </c>
      <c r="E394" s="80">
        <v>8</v>
      </c>
      <c r="F394" s="80">
        <v>5</v>
      </c>
      <c r="G394" s="80">
        <v>6</v>
      </c>
      <c r="H394" s="80" t="s">
        <v>262</v>
      </c>
      <c r="I394" s="80">
        <v>4</v>
      </c>
      <c r="J394" s="80"/>
      <c r="K394" s="80"/>
      <c r="L394" s="80"/>
      <c r="M394" s="1" t="s">
        <v>661</v>
      </c>
      <c r="N394" s="1">
        <v>36</v>
      </c>
      <c r="O394" s="1">
        <v>4</v>
      </c>
      <c r="P394" s="13">
        <v>44805</v>
      </c>
      <c r="Q394" s="1" t="s">
        <v>133</v>
      </c>
      <c r="R394" s="1" t="s">
        <v>64</v>
      </c>
      <c r="S394" s="1">
        <v>1</v>
      </c>
      <c r="T394" s="1"/>
      <c r="U394" s="1" t="s">
        <v>26</v>
      </c>
      <c r="V394" s="76">
        <v>8.4285714285714288</v>
      </c>
      <c r="W394" s="76">
        <v>0.90350790290525118</v>
      </c>
      <c r="X394" s="77">
        <v>-0.47434164902525722</v>
      </c>
      <c r="Y394" s="77">
        <v>2</v>
      </c>
      <c r="Z394" s="76">
        <v>5</v>
      </c>
      <c r="AA394" s="76">
        <v>0.92582009977255142</v>
      </c>
      <c r="AB394" s="77">
        <v>0</v>
      </c>
      <c r="AC394" s="77">
        <v>3</v>
      </c>
      <c r="AD394" s="76">
        <v>6.4285714285714288</v>
      </c>
      <c r="AE394" s="76">
        <v>1.1780301787479031</v>
      </c>
      <c r="AF394" s="77">
        <v>-0.36380343755449968</v>
      </c>
      <c r="AG394" s="77">
        <v>2</v>
      </c>
      <c r="AH394" s="76">
        <v>5.5714285714285712</v>
      </c>
      <c r="AI394" s="76">
        <v>0.72843135908468337</v>
      </c>
      <c r="AJ394" s="77">
        <v>-2.1572774865200244</v>
      </c>
      <c r="AK394" s="77">
        <v>1</v>
      </c>
      <c r="AL394" s="76"/>
      <c r="AM394" s="76"/>
      <c r="AN394" s="77"/>
      <c r="AO394" s="77"/>
      <c r="AP394" s="76"/>
      <c r="AQ394" s="76"/>
      <c r="AR394" s="77"/>
      <c r="AS394" s="77"/>
      <c r="AT394" s="78">
        <v>0.3125</v>
      </c>
    </row>
    <row r="395" spans="1:46" ht="12.5" x14ac:dyDescent="0.25">
      <c r="A395" s="79">
        <v>44805.322073368057</v>
      </c>
      <c r="B395" s="80" t="s">
        <v>21</v>
      </c>
      <c r="C395" s="80" t="str">
        <f>INDEX(TBL_Name,MATCH(Table2[[#This Row],[Athlete Name]],listNames,0),2)</f>
        <v>Athlete 13</v>
      </c>
      <c r="D395" s="80" t="s">
        <v>130</v>
      </c>
      <c r="E395" s="80">
        <v>8</v>
      </c>
      <c r="F395" s="80">
        <v>9</v>
      </c>
      <c r="G395" s="80">
        <v>9</v>
      </c>
      <c r="H395" s="80" t="s">
        <v>662</v>
      </c>
      <c r="I395" s="80">
        <v>5</v>
      </c>
      <c r="J395" s="80"/>
      <c r="K395" s="80"/>
      <c r="L395" s="80"/>
      <c r="M395" s="1" t="s">
        <v>663</v>
      </c>
      <c r="N395" s="1">
        <v>36</v>
      </c>
      <c r="O395" s="1">
        <v>4</v>
      </c>
      <c r="P395" s="13">
        <v>44805</v>
      </c>
      <c r="Q395" s="1" t="s">
        <v>133</v>
      </c>
      <c r="R395" s="1" t="s">
        <v>64</v>
      </c>
      <c r="S395" s="1">
        <v>1</v>
      </c>
      <c r="T395" s="1"/>
      <c r="U395" s="1" t="s">
        <v>18</v>
      </c>
      <c r="V395" s="76">
        <v>6.166666666666667</v>
      </c>
      <c r="W395" s="76">
        <v>1.0671873729054751</v>
      </c>
      <c r="X395" s="77">
        <v>1.717911380774666</v>
      </c>
      <c r="Y395" s="77">
        <v>4</v>
      </c>
      <c r="Z395" s="76">
        <v>8.6666666666666661</v>
      </c>
      <c r="AA395" s="76">
        <v>0.47140452079103179</v>
      </c>
      <c r="AB395" s="77">
        <v>0.70710678118654857</v>
      </c>
      <c r="AC395" s="77">
        <v>3</v>
      </c>
      <c r="AD395" s="76">
        <v>8.8333333333333339</v>
      </c>
      <c r="AE395" s="76">
        <v>0.37267799624996484</v>
      </c>
      <c r="AF395" s="77">
        <v>0.44721359549995648</v>
      </c>
      <c r="AG395" s="77">
        <v>3</v>
      </c>
      <c r="AH395" s="76">
        <v>5.833333333333333</v>
      </c>
      <c r="AI395" s="76">
        <v>0.68718427093627676</v>
      </c>
      <c r="AJ395" s="77">
        <v>-1.2126781251816645</v>
      </c>
      <c r="AK395" s="77">
        <v>1</v>
      </c>
      <c r="AL395" s="76"/>
      <c r="AM395" s="76"/>
      <c r="AN395" s="77"/>
      <c r="AO395" s="77"/>
      <c r="AP395" s="76"/>
      <c r="AQ395" s="76"/>
      <c r="AR395" s="77"/>
      <c r="AS395" s="77"/>
      <c r="AT395" s="78">
        <v>0.8125</v>
      </c>
    </row>
    <row r="396" spans="1:46" ht="12.5" x14ac:dyDescent="0.25">
      <c r="A396" s="79">
        <v>44805.324720393517</v>
      </c>
      <c r="B396" s="80" t="s">
        <v>196</v>
      </c>
      <c r="C396" s="80" t="str">
        <f>INDEX(TBL_Name,MATCH(Table2[[#This Row],[Athlete Name]],listNames,0),2)</f>
        <v>Athlete 31</v>
      </c>
      <c r="D396" s="80" t="s">
        <v>130</v>
      </c>
      <c r="E396" s="80">
        <v>7</v>
      </c>
      <c r="F396" s="80">
        <v>8</v>
      </c>
      <c r="G396" s="80">
        <v>8.5</v>
      </c>
      <c r="H396" s="80" t="s">
        <v>598</v>
      </c>
      <c r="I396" s="80">
        <v>8</v>
      </c>
      <c r="J396" s="80"/>
      <c r="K396" s="80"/>
      <c r="L396" s="80"/>
      <c r="M396" s="1" t="s">
        <v>664</v>
      </c>
      <c r="N396" s="1">
        <v>36</v>
      </c>
      <c r="O396" s="1">
        <v>4</v>
      </c>
      <c r="P396" s="13">
        <v>44805</v>
      </c>
      <c r="Q396" s="1" t="s">
        <v>133</v>
      </c>
      <c r="R396" s="1" t="s">
        <v>64</v>
      </c>
      <c r="S396" s="1">
        <v>1</v>
      </c>
      <c r="T396" s="1"/>
      <c r="U396" s="1" t="s">
        <v>28</v>
      </c>
      <c r="V396" s="76">
        <v>6.333333333333333</v>
      </c>
      <c r="W396" s="76">
        <v>0.74535599249992979</v>
      </c>
      <c r="X396" s="77">
        <v>0.89442719099991641</v>
      </c>
      <c r="Y396" s="77">
        <v>3</v>
      </c>
      <c r="Z396" s="76">
        <v>8.3333333333333339</v>
      </c>
      <c r="AA396" s="76">
        <v>0.7453559924999299</v>
      </c>
      <c r="AB396" s="77">
        <v>-0.44721359549995876</v>
      </c>
      <c r="AC396" s="77">
        <v>2</v>
      </c>
      <c r="AD396" s="76">
        <v>8.9166666666666661</v>
      </c>
      <c r="AE396" s="76">
        <v>0.18633899812498234</v>
      </c>
      <c r="AF396" s="77">
        <v>-2.236067977499788</v>
      </c>
      <c r="AG396" s="77">
        <v>1</v>
      </c>
      <c r="AH396" s="76">
        <v>7.666666666666667</v>
      </c>
      <c r="AI396" s="76">
        <v>1.247219128924647</v>
      </c>
      <c r="AJ396" s="77">
        <v>0.26726124191242417</v>
      </c>
      <c r="AK396" s="77">
        <v>3</v>
      </c>
      <c r="AL396" s="76"/>
      <c r="AM396" s="76"/>
      <c r="AN396" s="77"/>
      <c r="AO396" s="77"/>
      <c r="AP396" s="76"/>
      <c r="AQ396" s="76"/>
      <c r="AR396" s="77"/>
      <c r="AS396" s="77"/>
      <c r="AT396" s="78">
        <v>0.9375</v>
      </c>
    </row>
    <row r="397" spans="1:46" ht="12.5" x14ac:dyDescent="0.25">
      <c r="A397" s="79">
        <v>44805.327118553236</v>
      </c>
      <c r="B397" s="80" t="s">
        <v>225</v>
      </c>
      <c r="C397" s="80" t="str">
        <f>INDEX(TBL_Name,MATCH(Table2[[#This Row],[Athlete Name]],listNames,0),2)</f>
        <v>Athlete 32</v>
      </c>
      <c r="D397" s="80" t="s">
        <v>130</v>
      </c>
      <c r="E397" s="80">
        <v>10</v>
      </c>
      <c r="F397" s="80">
        <v>10</v>
      </c>
      <c r="G397" s="80">
        <v>7</v>
      </c>
      <c r="H397" s="80"/>
      <c r="I397" s="80">
        <v>9</v>
      </c>
      <c r="J397" s="80"/>
      <c r="K397" s="80"/>
      <c r="L397" s="80"/>
      <c r="M397" s="1" t="s">
        <v>665</v>
      </c>
      <c r="N397" s="1">
        <v>36</v>
      </c>
      <c r="O397" s="1">
        <v>4</v>
      </c>
      <c r="P397" s="13">
        <v>44805</v>
      </c>
      <c r="Q397" s="1" t="s">
        <v>133</v>
      </c>
      <c r="R397" s="1" t="s">
        <v>64</v>
      </c>
      <c r="S397" s="1">
        <v>1</v>
      </c>
      <c r="T397" s="1"/>
      <c r="U397" s="1" t="s">
        <v>5</v>
      </c>
      <c r="V397" s="76">
        <v>10</v>
      </c>
      <c r="W397" s="76">
        <v>0</v>
      </c>
      <c r="X397" s="77">
        <v>0</v>
      </c>
      <c r="Y397" s="77">
        <v>3</v>
      </c>
      <c r="Z397" s="76">
        <v>10</v>
      </c>
      <c r="AA397" s="76">
        <v>0</v>
      </c>
      <c r="AB397" s="77">
        <v>0</v>
      </c>
      <c r="AC397" s="77">
        <v>3</v>
      </c>
      <c r="AD397" s="76">
        <v>7</v>
      </c>
      <c r="AE397" s="76">
        <v>0</v>
      </c>
      <c r="AF397" s="77">
        <v>0</v>
      </c>
      <c r="AG397" s="77">
        <v>3</v>
      </c>
      <c r="AH397" s="76">
        <v>9</v>
      </c>
      <c r="AI397" s="76">
        <v>0</v>
      </c>
      <c r="AJ397" s="77">
        <v>0</v>
      </c>
      <c r="AK397" s="77">
        <v>3</v>
      </c>
      <c r="AL397" s="76"/>
      <c r="AM397" s="76"/>
      <c r="AN397" s="77"/>
      <c r="AO397" s="77"/>
      <c r="AP397" s="76"/>
      <c r="AQ397" s="76"/>
      <c r="AR397" s="77"/>
      <c r="AS397" s="77"/>
      <c r="AT397" s="78">
        <v>0.75</v>
      </c>
    </row>
    <row r="398" spans="1:46" ht="12.5" x14ac:dyDescent="0.25">
      <c r="A398" s="79">
        <v>44805.33102701389</v>
      </c>
      <c r="B398" s="80" t="s">
        <v>168</v>
      </c>
      <c r="C398" s="80" t="str">
        <f>INDEX(TBL_Name,MATCH(Table2[[#This Row],[Athlete Name]],listNames,0),2)</f>
        <v>Athlete 26</v>
      </c>
      <c r="D398" s="80" t="s">
        <v>130</v>
      </c>
      <c r="E398" s="80">
        <v>7</v>
      </c>
      <c r="F398" s="80">
        <v>5</v>
      </c>
      <c r="G398" s="80">
        <v>7</v>
      </c>
      <c r="H398" s="80" t="s">
        <v>326</v>
      </c>
      <c r="I398" s="80">
        <v>5</v>
      </c>
      <c r="J398" s="80"/>
      <c r="K398" s="80"/>
      <c r="L398" s="80"/>
      <c r="M398" s="1" t="s">
        <v>666</v>
      </c>
      <c r="N398" s="1">
        <v>36</v>
      </c>
      <c r="O398" s="1">
        <v>4</v>
      </c>
      <c r="P398" s="13">
        <v>44805</v>
      </c>
      <c r="Q398" s="1" t="s">
        <v>133</v>
      </c>
      <c r="R398" s="1" t="s">
        <v>64</v>
      </c>
      <c r="S398" s="1">
        <v>1</v>
      </c>
      <c r="T398" s="1"/>
      <c r="U398" s="1" t="s">
        <v>5</v>
      </c>
      <c r="V398" s="76">
        <v>7.833333333333333</v>
      </c>
      <c r="W398" s="76">
        <v>1.4624940645653539</v>
      </c>
      <c r="X398" s="77">
        <v>-0.56980288229818943</v>
      </c>
      <c r="Y398" s="77">
        <v>2</v>
      </c>
      <c r="Z398" s="76">
        <v>7.166666666666667</v>
      </c>
      <c r="AA398" s="76">
        <v>1.3437096247164249</v>
      </c>
      <c r="AB398" s="77">
        <v>-1.6124515496597103</v>
      </c>
      <c r="AC398" s="77">
        <v>1</v>
      </c>
      <c r="AD398" s="76">
        <v>7.833333333333333</v>
      </c>
      <c r="AE398" s="76">
        <v>0.89752746785575077</v>
      </c>
      <c r="AF398" s="77">
        <v>-0.92847669088525886</v>
      </c>
      <c r="AG398" s="77">
        <v>2</v>
      </c>
      <c r="AH398" s="76">
        <v>6.333333333333333</v>
      </c>
      <c r="AI398" s="76">
        <v>1.1055415967851334</v>
      </c>
      <c r="AJ398" s="77">
        <v>-1.2060453783110541</v>
      </c>
      <c r="AK398" s="77">
        <v>1</v>
      </c>
      <c r="AL398" s="76"/>
      <c r="AM398" s="76"/>
      <c r="AN398" s="77"/>
      <c r="AO398" s="77"/>
      <c r="AP398" s="76"/>
      <c r="AQ398" s="76"/>
      <c r="AR398" s="77"/>
      <c r="AS398" s="77"/>
      <c r="AT398" s="78">
        <v>0.375</v>
      </c>
    </row>
    <row r="399" spans="1:46" ht="12.5" x14ac:dyDescent="0.25">
      <c r="A399" s="79">
        <v>44805.35499896991</v>
      </c>
      <c r="B399" s="80" t="s">
        <v>136</v>
      </c>
      <c r="C399" s="80" t="str">
        <f>INDEX(TBL_Name,MATCH(Table2[[#This Row],[Athlete Name]],listNames,0),2)</f>
        <v>Athlete 20</v>
      </c>
      <c r="D399" s="80" t="s">
        <v>143</v>
      </c>
      <c r="E399" s="80">
        <v>9</v>
      </c>
      <c r="F399" s="80">
        <v>7</v>
      </c>
      <c r="G399" s="80">
        <v>8</v>
      </c>
      <c r="H399" s="80" t="s">
        <v>74</v>
      </c>
      <c r="I399" s="80">
        <v>10</v>
      </c>
      <c r="J399" s="80"/>
      <c r="K399" s="80"/>
      <c r="L399" s="80"/>
      <c r="M399" s="1" t="s">
        <v>667</v>
      </c>
      <c r="N399" s="1">
        <v>36</v>
      </c>
      <c r="O399" s="1">
        <v>4</v>
      </c>
      <c r="P399" s="13">
        <v>44805</v>
      </c>
      <c r="Q399" s="1" t="s">
        <v>133</v>
      </c>
      <c r="R399" s="1" t="s">
        <v>64</v>
      </c>
      <c r="S399" s="1">
        <v>2</v>
      </c>
      <c r="T399" s="1"/>
      <c r="U399" s="1" t="s">
        <v>18</v>
      </c>
      <c r="V399" s="76">
        <v>9</v>
      </c>
      <c r="W399" s="76">
        <v>0.89442719099991586</v>
      </c>
      <c r="X399" s="77">
        <v>0</v>
      </c>
      <c r="Y399" s="77">
        <v>3</v>
      </c>
      <c r="Z399" s="76">
        <v>8.1999999999999993</v>
      </c>
      <c r="AA399" s="76">
        <v>1.1661903789690597</v>
      </c>
      <c r="AB399" s="77">
        <v>-1.0289915108550527</v>
      </c>
      <c r="AC399" s="77">
        <v>1</v>
      </c>
      <c r="AD399" s="76">
        <v>7.8</v>
      </c>
      <c r="AE399" s="76">
        <v>0.39999999999999997</v>
      </c>
      <c r="AF399" s="77">
        <v>0.50000000000000044</v>
      </c>
      <c r="AG399" s="77">
        <v>3</v>
      </c>
      <c r="AH399" s="76">
        <v>9.6</v>
      </c>
      <c r="AI399" s="76">
        <v>0.79999999999999993</v>
      </c>
      <c r="AJ399" s="77">
        <v>0.50000000000000044</v>
      </c>
      <c r="AK399" s="77">
        <v>3</v>
      </c>
      <c r="AL399" s="76"/>
      <c r="AM399" s="76"/>
      <c r="AN399" s="77"/>
      <c r="AO399" s="77"/>
      <c r="AP399" s="76"/>
      <c r="AQ399" s="76"/>
      <c r="AR399" s="77"/>
      <c r="AS399" s="77"/>
      <c r="AT399" s="78">
        <v>0.5625</v>
      </c>
    </row>
    <row r="400" spans="1:46" ht="12.5" x14ac:dyDescent="0.25">
      <c r="A400" s="79">
        <v>44805.359832349539</v>
      </c>
      <c r="B400" s="80" t="s">
        <v>142</v>
      </c>
      <c r="C400" s="80" t="str">
        <f>INDEX(TBL_Name,MATCH(Table2[[#This Row],[Athlete Name]],listNames,0),2)</f>
        <v>Athlete 21</v>
      </c>
      <c r="D400" s="80" t="s">
        <v>130</v>
      </c>
      <c r="E400" s="80">
        <v>5</v>
      </c>
      <c r="F400" s="80">
        <v>9</v>
      </c>
      <c r="G400" s="80">
        <v>9</v>
      </c>
      <c r="H400" s="80" t="s">
        <v>131</v>
      </c>
      <c r="I400" s="80">
        <v>3</v>
      </c>
      <c r="J400" s="80"/>
      <c r="K400" s="80"/>
      <c r="L400" s="80"/>
      <c r="M400" s="1" t="s">
        <v>668</v>
      </c>
      <c r="N400" s="1">
        <v>36</v>
      </c>
      <c r="O400" s="1">
        <v>4</v>
      </c>
      <c r="P400" s="13">
        <v>44805</v>
      </c>
      <c r="Q400" s="1" t="s">
        <v>133</v>
      </c>
      <c r="R400" s="1" t="s">
        <v>64</v>
      </c>
      <c r="S400" s="1">
        <v>1</v>
      </c>
      <c r="T400" s="1"/>
      <c r="U400" s="1" t="s">
        <v>18</v>
      </c>
      <c r="V400" s="76">
        <v>4.25</v>
      </c>
      <c r="W400" s="76">
        <v>0.82915619758884995</v>
      </c>
      <c r="X400" s="77">
        <v>0.90453403373329089</v>
      </c>
      <c r="Y400" s="77">
        <v>3</v>
      </c>
      <c r="Z400" s="76">
        <v>9</v>
      </c>
      <c r="AA400" s="76">
        <v>0</v>
      </c>
      <c r="AB400" s="77">
        <v>0</v>
      </c>
      <c r="AC400" s="77">
        <v>3</v>
      </c>
      <c r="AD400" s="76">
        <v>9</v>
      </c>
      <c r="AE400" s="76">
        <v>0.70710678118654757</v>
      </c>
      <c r="AF400" s="77">
        <v>0</v>
      </c>
      <c r="AG400" s="77">
        <v>3</v>
      </c>
      <c r="AH400" s="76">
        <v>3.25</v>
      </c>
      <c r="AI400" s="76">
        <v>0.43301270189221935</v>
      </c>
      <c r="AJ400" s="77">
        <v>-0.57735026918962573</v>
      </c>
      <c r="AK400" s="77">
        <v>2</v>
      </c>
      <c r="AL400" s="76"/>
      <c r="AM400" s="76"/>
      <c r="AN400" s="77"/>
      <c r="AO400" s="77"/>
      <c r="AP400" s="76"/>
      <c r="AQ400" s="76"/>
      <c r="AR400" s="77"/>
      <c r="AS400" s="77"/>
      <c r="AT400" s="78">
        <v>0.75</v>
      </c>
    </row>
    <row r="401" spans="1:46" ht="12.5" x14ac:dyDescent="0.25">
      <c r="A401" s="79">
        <v>44805.364738807868</v>
      </c>
      <c r="B401" s="80" t="s">
        <v>10</v>
      </c>
      <c r="C401" s="80" t="str">
        <f>INDEX(TBL_Name,MATCH(Table2[[#This Row],[Athlete Name]],listNames,0),2)</f>
        <v>Athlete 5</v>
      </c>
      <c r="D401" s="80" t="s">
        <v>130</v>
      </c>
      <c r="E401" s="80">
        <v>7</v>
      </c>
      <c r="F401" s="80">
        <v>8</v>
      </c>
      <c r="G401" s="80">
        <v>8</v>
      </c>
      <c r="H401" s="80" t="s">
        <v>258</v>
      </c>
      <c r="I401" s="80">
        <v>8</v>
      </c>
      <c r="J401" s="80"/>
      <c r="K401" s="80"/>
      <c r="L401" s="80"/>
      <c r="M401" s="1" t="s">
        <v>669</v>
      </c>
      <c r="N401" s="1">
        <v>36</v>
      </c>
      <c r="O401" s="1">
        <v>4</v>
      </c>
      <c r="P401" s="13">
        <v>44805</v>
      </c>
      <c r="Q401" s="1" t="s">
        <v>133</v>
      </c>
      <c r="R401" s="1" t="s">
        <v>64</v>
      </c>
      <c r="S401" s="1">
        <v>1</v>
      </c>
      <c r="T401" s="1"/>
      <c r="U401" s="1" t="s">
        <v>11</v>
      </c>
      <c r="V401" s="76">
        <v>8</v>
      </c>
      <c r="W401" s="76">
        <v>0.57735026918962551</v>
      </c>
      <c r="X401" s="77">
        <v>-1.7320508075688781</v>
      </c>
      <c r="Y401" s="77">
        <v>1</v>
      </c>
      <c r="Z401" s="76">
        <v>8.1666666666666661</v>
      </c>
      <c r="AA401" s="76">
        <v>0.37267799624996478</v>
      </c>
      <c r="AB401" s="77">
        <v>-0.44721359549995654</v>
      </c>
      <c r="AC401" s="77">
        <v>2</v>
      </c>
      <c r="AD401" s="76">
        <v>8.1666666666666661</v>
      </c>
      <c r="AE401" s="76">
        <v>0.37267799624996478</v>
      </c>
      <c r="AF401" s="77">
        <v>-0.44721359549995654</v>
      </c>
      <c r="AG401" s="77">
        <v>2</v>
      </c>
      <c r="AH401" s="76">
        <v>7.333333333333333</v>
      </c>
      <c r="AI401" s="76">
        <v>0.74535599249992979</v>
      </c>
      <c r="AJ401" s="77">
        <v>0.89442719099991641</v>
      </c>
      <c r="AK401" s="77">
        <v>3</v>
      </c>
      <c r="AL401" s="76"/>
      <c r="AM401" s="76"/>
      <c r="AN401" s="77"/>
      <c r="AO401" s="77"/>
      <c r="AP401" s="76"/>
      <c r="AQ401" s="76"/>
      <c r="AR401" s="77"/>
      <c r="AS401" s="77"/>
      <c r="AT401" s="78">
        <v>0.625</v>
      </c>
    </row>
    <row r="402" spans="1:46" ht="12.5" x14ac:dyDescent="0.25">
      <c r="A402" s="79">
        <v>44805.383080821761</v>
      </c>
      <c r="B402" s="80" t="s">
        <v>6</v>
      </c>
      <c r="C402" s="80" t="str">
        <f>INDEX(TBL_Name,MATCH(Table2[[#This Row],[Athlete Name]],listNames,0),2)</f>
        <v>Athlete 2</v>
      </c>
      <c r="D402" s="80" t="s">
        <v>130</v>
      </c>
      <c r="E402" s="80">
        <v>9</v>
      </c>
      <c r="F402" s="80">
        <v>6</v>
      </c>
      <c r="G402" s="80">
        <v>8</v>
      </c>
      <c r="H402" s="80" t="s">
        <v>157</v>
      </c>
      <c r="I402" s="80">
        <v>6</v>
      </c>
      <c r="J402" s="80"/>
      <c r="K402" s="80"/>
      <c r="L402" s="80"/>
      <c r="M402" s="1" t="s">
        <v>670</v>
      </c>
      <c r="N402" s="1">
        <v>36</v>
      </c>
      <c r="O402" s="1">
        <v>4</v>
      </c>
      <c r="P402" s="13">
        <v>44805</v>
      </c>
      <c r="Q402" s="1" t="s">
        <v>133</v>
      </c>
      <c r="R402" s="1" t="s">
        <v>64</v>
      </c>
      <c r="S402" s="1">
        <v>1</v>
      </c>
      <c r="T402" s="1"/>
      <c r="U402" s="1" t="s">
        <v>5</v>
      </c>
      <c r="V402" s="76">
        <v>9.5714285714285712</v>
      </c>
      <c r="W402" s="76">
        <v>0.4948716593053934</v>
      </c>
      <c r="X402" s="77">
        <v>-1.1547005383792512</v>
      </c>
      <c r="Y402" s="77">
        <v>1</v>
      </c>
      <c r="Z402" s="76">
        <v>6.2857142857142856</v>
      </c>
      <c r="AA402" s="76">
        <v>1.3850513878332369</v>
      </c>
      <c r="AB402" s="77">
        <v>-0.20628424925175859</v>
      </c>
      <c r="AC402" s="77">
        <v>2</v>
      </c>
      <c r="AD402" s="76">
        <v>8.2857142857142865</v>
      </c>
      <c r="AE402" s="76">
        <v>0.45175395145262576</v>
      </c>
      <c r="AF402" s="77">
        <v>-0.63245553203367733</v>
      </c>
      <c r="AG402" s="77">
        <v>2</v>
      </c>
      <c r="AH402" s="76">
        <v>6.4285714285714288</v>
      </c>
      <c r="AI402" s="76">
        <v>0.49487165930539351</v>
      </c>
      <c r="AJ402" s="77">
        <v>-0.86602540378443915</v>
      </c>
      <c r="AK402" s="77">
        <v>2</v>
      </c>
      <c r="AL402" s="76"/>
      <c r="AM402" s="76"/>
      <c r="AN402" s="77"/>
      <c r="AO402" s="77"/>
      <c r="AP402" s="76"/>
      <c r="AQ402" s="76"/>
      <c r="AR402" s="77"/>
      <c r="AS402" s="77"/>
      <c r="AT402" s="78">
        <v>0.25</v>
      </c>
    </row>
    <row r="403" spans="1:46" ht="12.5" x14ac:dyDescent="0.25">
      <c r="A403" s="79">
        <v>44805.386018668985</v>
      </c>
      <c r="B403" s="80" t="s">
        <v>19</v>
      </c>
      <c r="C403" s="80" t="str">
        <f>INDEX(TBL_Name,MATCH(Table2[[#This Row],[Athlete Name]],listNames,0),2)</f>
        <v>Athlete 11</v>
      </c>
      <c r="D403" s="80" t="s">
        <v>130</v>
      </c>
      <c r="E403" s="80">
        <v>8</v>
      </c>
      <c r="F403" s="80">
        <v>8</v>
      </c>
      <c r="G403" s="80">
        <v>8</v>
      </c>
      <c r="H403" s="80" t="s">
        <v>435</v>
      </c>
      <c r="I403" s="80">
        <v>4</v>
      </c>
      <c r="J403" s="80"/>
      <c r="K403" s="80"/>
      <c r="L403" s="80"/>
      <c r="M403" s="1" t="s">
        <v>671</v>
      </c>
      <c r="N403" s="1">
        <v>36</v>
      </c>
      <c r="O403" s="1">
        <v>4</v>
      </c>
      <c r="P403" s="13">
        <v>44805</v>
      </c>
      <c r="Q403" s="1" t="s">
        <v>133</v>
      </c>
      <c r="R403" s="1" t="s">
        <v>64</v>
      </c>
      <c r="S403" s="1">
        <v>1</v>
      </c>
      <c r="T403" s="1"/>
      <c r="U403" s="1" t="s">
        <v>18</v>
      </c>
      <c r="V403" s="76">
        <v>7.333333333333333</v>
      </c>
      <c r="W403" s="76">
        <v>0.47140452079103179</v>
      </c>
      <c r="X403" s="77">
        <v>1.4142135623730954</v>
      </c>
      <c r="Y403" s="77">
        <v>4</v>
      </c>
      <c r="Z403" s="76">
        <v>8</v>
      </c>
      <c r="AA403" s="76">
        <v>0.81649658092772603</v>
      </c>
      <c r="AB403" s="77">
        <v>0</v>
      </c>
      <c r="AC403" s="77">
        <v>3</v>
      </c>
      <c r="AD403" s="76">
        <v>7.666666666666667</v>
      </c>
      <c r="AE403" s="76">
        <v>1.247219128924647</v>
      </c>
      <c r="AF403" s="77">
        <v>0.26726124191242417</v>
      </c>
      <c r="AG403" s="77">
        <v>3</v>
      </c>
      <c r="AH403" s="76">
        <v>3</v>
      </c>
      <c r="AI403" s="76">
        <v>0.81649658092772603</v>
      </c>
      <c r="AJ403" s="77">
        <v>1.2247448713915889</v>
      </c>
      <c r="AK403" s="77">
        <v>4</v>
      </c>
      <c r="AL403" s="76"/>
      <c r="AM403" s="76"/>
      <c r="AN403" s="77"/>
      <c r="AO403" s="77"/>
      <c r="AP403" s="76"/>
      <c r="AQ403" s="76"/>
      <c r="AR403" s="77"/>
      <c r="AS403" s="77"/>
      <c r="AT403" s="78">
        <v>0.8125</v>
      </c>
    </row>
    <row r="404" spans="1:46" ht="12.5" x14ac:dyDescent="0.25">
      <c r="A404" s="79">
        <v>44805.386411990738</v>
      </c>
      <c r="B404" s="80" t="s">
        <v>159</v>
      </c>
      <c r="C404" s="80" t="str">
        <f>INDEX(TBL_Name,MATCH(Table2[[#This Row],[Athlete Name]],listNames,0),2)</f>
        <v>Athlete 25</v>
      </c>
      <c r="D404" s="80" t="s">
        <v>130</v>
      </c>
      <c r="E404" s="80">
        <v>8</v>
      </c>
      <c r="F404" s="80">
        <v>8</v>
      </c>
      <c r="G404" s="80">
        <v>8</v>
      </c>
      <c r="H404" s="80"/>
      <c r="I404" s="80">
        <v>6</v>
      </c>
      <c r="J404" s="80"/>
      <c r="K404" s="80"/>
      <c r="L404" s="80"/>
      <c r="M404" s="1" t="s">
        <v>672</v>
      </c>
      <c r="N404" s="1">
        <v>36</v>
      </c>
      <c r="O404" s="1">
        <v>4</v>
      </c>
      <c r="P404" s="13">
        <v>44805</v>
      </c>
      <c r="Q404" s="1" t="s">
        <v>133</v>
      </c>
      <c r="R404" s="1" t="s">
        <v>64</v>
      </c>
      <c r="S404" s="1">
        <v>1</v>
      </c>
      <c r="T404" s="1"/>
      <c r="U404" s="1" t="s">
        <v>28</v>
      </c>
      <c r="V404" s="76">
        <v>8</v>
      </c>
      <c r="W404" s="76">
        <v>0</v>
      </c>
      <c r="X404" s="77">
        <v>0</v>
      </c>
      <c r="Y404" s="77">
        <v>3</v>
      </c>
      <c r="Z404" s="76">
        <v>6.5</v>
      </c>
      <c r="AA404" s="76">
        <v>1.5</v>
      </c>
      <c r="AB404" s="77">
        <v>1</v>
      </c>
      <c r="AC404" s="77">
        <v>4</v>
      </c>
      <c r="AD404" s="76">
        <v>7</v>
      </c>
      <c r="AE404" s="76">
        <v>1</v>
      </c>
      <c r="AF404" s="77">
        <v>1</v>
      </c>
      <c r="AG404" s="77">
        <v>4</v>
      </c>
      <c r="AH404" s="76">
        <v>7</v>
      </c>
      <c r="AI404" s="76">
        <v>1</v>
      </c>
      <c r="AJ404" s="77">
        <v>-1</v>
      </c>
      <c r="AK404" s="77">
        <v>1</v>
      </c>
      <c r="AL404" s="76"/>
      <c r="AM404" s="76"/>
      <c r="AN404" s="77"/>
      <c r="AO404" s="77"/>
      <c r="AP404" s="76"/>
      <c r="AQ404" s="76"/>
      <c r="AR404" s="77"/>
      <c r="AS404" s="77"/>
      <c r="AT404" s="78">
        <v>0.75</v>
      </c>
    </row>
    <row r="405" spans="1:46" ht="12.5" x14ac:dyDescent="0.25">
      <c r="A405" s="79">
        <v>44805.394539502318</v>
      </c>
      <c r="B405" s="80" t="s">
        <v>4</v>
      </c>
      <c r="C405" s="80" t="str">
        <f>INDEX(TBL_Name,MATCH(Table2[[#This Row],[Athlete Name]],listNames,0),2)</f>
        <v>Athlete 1</v>
      </c>
      <c r="D405" s="80" t="s">
        <v>130</v>
      </c>
      <c r="E405" s="80">
        <v>8</v>
      </c>
      <c r="F405" s="80">
        <v>10</v>
      </c>
      <c r="G405" s="80">
        <v>6</v>
      </c>
      <c r="H405" s="80"/>
      <c r="I405" s="80">
        <v>8</v>
      </c>
      <c r="J405" s="80"/>
      <c r="K405" s="80"/>
      <c r="L405" s="80"/>
      <c r="M405" s="1" t="s">
        <v>673</v>
      </c>
      <c r="N405" s="1">
        <v>36</v>
      </c>
      <c r="O405" s="1">
        <v>4</v>
      </c>
      <c r="P405" s="13">
        <v>44805</v>
      </c>
      <c r="Q405" s="1" t="s">
        <v>133</v>
      </c>
      <c r="R405" s="1" t="s">
        <v>64</v>
      </c>
      <c r="S405" s="1">
        <v>1</v>
      </c>
      <c r="T405" s="1"/>
      <c r="U405" s="1" t="s">
        <v>5</v>
      </c>
      <c r="V405" s="76">
        <v>8</v>
      </c>
      <c r="W405" s="76">
        <v>0</v>
      </c>
      <c r="X405" s="77">
        <v>0</v>
      </c>
      <c r="Y405" s="77">
        <v>3</v>
      </c>
      <c r="Z405" s="76">
        <v>10</v>
      </c>
      <c r="AA405" s="76">
        <v>0</v>
      </c>
      <c r="AB405" s="77">
        <v>0</v>
      </c>
      <c r="AC405" s="77">
        <v>3</v>
      </c>
      <c r="AD405" s="76">
        <v>6</v>
      </c>
      <c r="AE405" s="76">
        <v>0</v>
      </c>
      <c r="AF405" s="77">
        <v>0</v>
      </c>
      <c r="AG405" s="77">
        <v>3</v>
      </c>
      <c r="AH405" s="76">
        <v>8</v>
      </c>
      <c r="AI405" s="76">
        <v>0</v>
      </c>
      <c r="AJ405" s="77">
        <v>0</v>
      </c>
      <c r="AK405" s="77">
        <v>3</v>
      </c>
      <c r="AL405" s="76"/>
      <c r="AM405" s="76"/>
      <c r="AN405" s="77"/>
      <c r="AO405" s="77"/>
      <c r="AP405" s="76"/>
      <c r="AQ405" s="76"/>
      <c r="AR405" s="77"/>
      <c r="AS405" s="77"/>
      <c r="AT405" s="78">
        <v>0.75</v>
      </c>
    </row>
    <row r="406" spans="1:46" ht="12.5" x14ac:dyDescent="0.25">
      <c r="A406" s="79">
        <v>44805.400948657407</v>
      </c>
      <c r="B406" s="80" t="s">
        <v>22</v>
      </c>
      <c r="C406" s="80" t="str">
        <f>INDEX(TBL_Name,MATCH(Table2[[#This Row],[Athlete Name]],listNames,0),2)</f>
        <v>Athlete 14</v>
      </c>
      <c r="D406" s="80" t="s">
        <v>130</v>
      </c>
      <c r="E406" s="80">
        <v>6</v>
      </c>
      <c r="F406" s="80">
        <v>6</v>
      </c>
      <c r="G406" s="80">
        <v>9</v>
      </c>
      <c r="H406" s="80" t="s">
        <v>674</v>
      </c>
      <c r="I406" s="80">
        <v>5</v>
      </c>
      <c r="J406" s="80"/>
      <c r="K406" s="80"/>
      <c r="L406" s="80"/>
      <c r="M406" s="1" t="s">
        <v>675</v>
      </c>
      <c r="N406" s="1">
        <v>36</v>
      </c>
      <c r="O406" s="1">
        <v>4</v>
      </c>
      <c r="P406" s="13">
        <v>44805</v>
      </c>
      <c r="Q406" s="1" t="s">
        <v>133</v>
      </c>
      <c r="R406" s="1" t="s">
        <v>64</v>
      </c>
      <c r="S406" s="1">
        <v>1</v>
      </c>
      <c r="T406" s="1"/>
      <c r="U406" s="1" t="s">
        <v>18</v>
      </c>
      <c r="V406" s="76">
        <v>5.5</v>
      </c>
      <c r="W406" s="76">
        <v>0.5</v>
      </c>
      <c r="X406" s="77">
        <v>1</v>
      </c>
      <c r="Y406" s="77">
        <v>4</v>
      </c>
      <c r="Z406" s="76">
        <v>6</v>
      </c>
      <c r="AA406" s="76">
        <v>0</v>
      </c>
      <c r="AB406" s="77">
        <v>0</v>
      </c>
      <c r="AC406" s="77">
        <v>3</v>
      </c>
      <c r="AD406" s="76">
        <v>9</v>
      </c>
      <c r="AE406" s="76">
        <v>0</v>
      </c>
      <c r="AF406" s="77">
        <v>0</v>
      </c>
      <c r="AG406" s="77">
        <v>3</v>
      </c>
      <c r="AH406" s="76">
        <v>5</v>
      </c>
      <c r="AI406" s="76">
        <v>0</v>
      </c>
      <c r="AJ406" s="77">
        <v>0</v>
      </c>
      <c r="AK406" s="77">
        <v>3</v>
      </c>
      <c r="AL406" s="76"/>
      <c r="AM406" s="76"/>
      <c r="AN406" s="77"/>
      <c r="AO406" s="77"/>
      <c r="AP406" s="76"/>
      <c r="AQ406" s="76"/>
      <c r="AR406" s="77"/>
      <c r="AS406" s="77"/>
      <c r="AT406" s="78">
        <v>0.8125</v>
      </c>
    </row>
    <row r="407" spans="1:46" ht="12.5" x14ac:dyDescent="0.25">
      <c r="A407" s="79">
        <v>44805.408619074078</v>
      </c>
      <c r="B407" s="80" t="s">
        <v>17</v>
      </c>
      <c r="C407" s="80" t="str">
        <f>INDEX(TBL_Name,MATCH(Table2[[#This Row],[Athlete Name]],listNames,0),2)</f>
        <v>Athlete 10</v>
      </c>
      <c r="D407" s="80" t="s">
        <v>143</v>
      </c>
      <c r="E407" s="80">
        <v>7</v>
      </c>
      <c r="F407" s="80">
        <v>7</v>
      </c>
      <c r="G407" s="80">
        <v>7</v>
      </c>
      <c r="H407" s="80" t="s">
        <v>676</v>
      </c>
      <c r="I407" s="80">
        <v>7</v>
      </c>
      <c r="J407" s="80"/>
      <c r="K407" s="80"/>
      <c r="L407" s="80"/>
      <c r="M407" s="1" t="s">
        <v>677</v>
      </c>
      <c r="N407" s="1">
        <v>36</v>
      </c>
      <c r="O407" s="1">
        <v>4</v>
      </c>
      <c r="P407" s="13">
        <v>44805</v>
      </c>
      <c r="Q407" s="1" t="s">
        <v>133</v>
      </c>
      <c r="R407" s="1" t="s">
        <v>64</v>
      </c>
      <c r="S407" s="1">
        <v>2</v>
      </c>
      <c r="T407" s="1"/>
      <c r="U407" s="1" t="s">
        <v>18</v>
      </c>
      <c r="V407" s="76">
        <v>8.8571428571428577</v>
      </c>
      <c r="W407" s="76">
        <v>0.83299312783504265</v>
      </c>
      <c r="X407" s="77">
        <v>-2.2294816068526164</v>
      </c>
      <c r="Y407" s="77">
        <v>1</v>
      </c>
      <c r="Z407" s="76">
        <v>7.1428571428571432</v>
      </c>
      <c r="AA407" s="76">
        <v>1.4568627181693672</v>
      </c>
      <c r="AB407" s="77">
        <v>-9.8058067569092272E-2</v>
      </c>
      <c r="AC407" s="77">
        <v>2</v>
      </c>
      <c r="AD407" s="76">
        <v>8</v>
      </c>
      <c r="AE407" s="76">
        <v>0.92582009977255142</v>
      </c>
      <c r="AF407" s="77">
        <v>-1.0801234497346435</v>
      </c>
      <c r="AG407" s="77">
        <v>1</v>
      </c>
      <c r="AH407" s="76">
        <v>6.7142857142857144</v>
      </c>
      <c r="AI407" s="76">
        <v>0.88063057185271099</v>
      </c>
      <c r="AJ407" s="77">
        <v>0.32444284226152492</v>
      </c>
      <c r="AK407" s="77">
        <v>3</v>
      </c>
      <c r="AL407" s="76"/>
      <c r="AM407" s="76"/>
      <c r="AN407" s="77"/>
      <c r="AO407" s="77"/>
      <c r="AP407" s="76"/>
      <c r="AQ407" s="76"/>
      <c r="AR407" s="77"/>
      <c r="AS407" s="77"/>
      <c r="AT407" s="78">
        <v>0.25</v>
      </c>
    </row>
    <row r="408" spans="1:46" ht="12.5" x14ac:dyDescent="0.25">
      <c r="A408" s="79">
        <v>44805.454101284718</v>
      </c>
      <c r="B408" s="80" t="s">
        <v>180</v>
      </c>
      <c r="C408" s="80" t="str">
        <f>INDEX(TBL_Name,MATCH(Table2[[#This Row],[Athlete Name]],listNames,0),2)</f>
        <v>Athlete 29</v>
      </c>
      <c r="D408" s="80" t="s">
        <v>143</v>
      </c>
      <c r="E408" s="80">
        <v>4</v>
      </c>
      <c r="F408" s="80">
        <v>7</v>
      </c>
      <c r="G408" s="80">
        <v>9</v>
      </c>
      <c r="H408" s="80" t="s">
        <v>678</v>
      </c>
      <c r="I408" s="80">
        <v>4</v>
      </c>
      <c r="J408" s="80"/>
      <c r="K408" s="80"/>
      <c r="L408" s="80"/>
      <c r="M408" s="1" t="s">
        <v>679</v>
      </c>
      <c r="N408" s="1">
        <v>36</v>
      </c>
      <c r="O408" s="1">
        <v>4</v>
      </c>
      <c r="P408" s="13">
        <v>44805</v>
      </c>
      <c r="Q408" s="1" t="s">
        <v>133</v>
      </c>
      <c r="R408" s="1" t="s">
        <v>64</v>
      </c>
      <c r="S408" s="1">
        <v>2</v>
      </c>
      <c r="T408" s="1"/>
      <c r="U408" s="1" t="s">
        <v>5</v>
      </c>
      <c r="V408" s="76">
        <v>7.25</v>
      </c>
      <c r="W408" s="76">
        <v>1.9202864369671522</v>
      </c>
      <c r="X408" s="77">
        <v>-1.6924558427507101</v>
      </c>
      <c r="Y408" s="77">
        <v>1</v>
      </c>
      <c r="Z408" s="76">
        <v>7.5</v>
      </c>
      <c r="AA408" s="76">
        <v>0.86602540378443871</v>
      </c>
      <c r="AB408" s="77">
        <v>-0.57735026918962573</v>
      </c>
      <c r="AC408" s="77">
        <v>2</v>
      </c>
      <c r="AD408" s="76">
        <v>9.125</v>
      </c>
      <c r="AE408" s="76">
        <v>0.54486236794258402</v>
      </c>
      <c r="AF408" s="77">
        <v>-0.22941573387056183</v>
      </c>
      <c r="AG408" s="77">
        <v>2</v>
      </c>
      <c r="AH408" s="76">
        <v>5.25</v>
      </c>
      <c r="AI408" s="76">
        <v>1.6393596310755003</v>
      </c>
      <c r="AJ408" s="77">
        <v>-0.76249285166302327</v>
      </c>
      <c r="AK408" s="77">
        <v>2</v>
      </c>
      <c r="AL408" s="76"/>
      <c r="AM408" s="76"/>
      <c r="AN408" s="77"/>
      <c r="AO408" s="77"/>
      <c r="AP408" s="76"/>
      <c r="AQ408" s="76"/>
      <c r="AR408" s="77"/>
      <c r="AS408" s="77"/>
      <c r="AT408" s="78">
        <v>0.4375</v>
      </c>
    </row>
    <row r="409" spans="1:46" ht="12.5" x14ac:dyDescent="0.25">
      <c r="A409" s="79">
        <v>44805.46857607639</v>
      </c>
      <c r="B409" s="80" t="s">
        <v>13</v>
      </c>
      <c r="C409" s="80" t="str">
        <f>INDEX(TBL_Name,MATCH(Table2[[#This Row],[Athlete Name]],listNames,0),2)</f>
        <v>Athlete 7</v>
      </c>
      <c r="D409" s="80" t="s">
        <v>130</v>
      </c>
      <c r="E409" s="80">
        <v>6</v>
      </c>
      <c r="F409" s="80">
        <v>7</v>
      </c>
      <c r="G409" s="80">
        <v>7</v>
      </c>
      <c r="H409" s="80" t="s">
        <v>680</v>
      </c>
      <c r="I409" s="80">
        <v>6</v>
      </c>
      <c r="J409" s="80"/>
      <c r="K409" s="80"/>
      <c r="L409" s="80"/>
      <c r="M409" s="1" t="s">
        <v>681</v>
      </c>
      <c r="N409" s="1">
        <v>36</v>
      </c>
      <c r="O409" s="1">
        <v>4</v>
      </c>
      <c r="P409" s="13">
        <v>44805</v>
      </c>
      <c r="Q409" s="1" t="s">
        <v>133</v>
      </c>
      <c r="R409" s="1" t="s">
        <v>64</v>
      </c>
      <c r="S409" s="1">
        <v>1</v>
      </c>
      <c r="T409" s="1"/>
      <c r="U409" s="1" t="s">
        <v>14</v>
      </c>
      <c r="V409" s="76">
        <v>8.6666666666666661</v>
      </c>
      <c r="W409" s="76">
        <v>1.8856180831641265</v>
      </c>
      <c r="X409" s="77">
        <v>-1.4142135623730949</v>
      </c>
      <c r="Y409" s="77">
        <v>1</v>
      </c>
      <c r="Z409" s="76">
        <v>6</v>
      </c>
      <c r="AA409" s="76">
        <v>1.4142135623730951</v>
      </c>
      <c r="AB409" s="77">
        <v>0.70710678118654746</v>
      </c>
      <c r="AC409" s="77">
        <v>3</v>
      </c>
      <c r="AD409" s="76">
        <v>6.666666666666667</v>
      </c>
      <c r="AE409" s="76">
        <v>0.47140452079103162</v>
      </c>
      <c r="AF409" s="77">
        <v>0.70710678118654702</v>
      </c>
      <c r="AG409" s="77">
        <v>3</v>
      </c>
      <c r="AH409" s="76">
        <v>4.333333333333333</v>
      </c>
      <c r="AI409" s="76">
        <v>1.2472191289246473</v>
      </c>
      <c r="AJ409" s="77">
        <v>1.3363062095621221</v>
      </c>
      <c r="AK409" s="77">
        <v>4</v>
      </c>
      <c r="AL409" s="76"/>
      <c r="AM409" s="76"/>
      <c r="AN409" s="77"/>
      <c r="AO409" s="77"/>
      <c r="AP409" s="76"/>
      <c r="AQ409" s="76"/>
      <c r="AR409" s="77"/>
      <c r="AS409" s="77"/>
      <c r="AT409" s="78">
        <v>0.375</v>
      </c>
    </row>
    <row r="410" spans="1:46" ht="12.5" x14ac:dyDescent="0.25">
      <c r="A410" s="79">
        <v>44805.473274618053</v>
      </c>
      <c r="B410" s="80" t="s">
        <v>16</v>
      </c>
      <c r="C410" s="80" t="str">
        <f>INDEX(TBL_Name,MATCH(Table2[[#This Row],[Athlete Name]],listNames,0),2)</f>
        <v>Athlete 9</v>
      </c>
      <c r="D410" s="80" t="s">
        <v>130</v>
      </c>
      <c r="E410" s="80">
        <v>6</v>
      </c>
      <c r="F410" s="80">
        <v>6</v>
      </c>
      <c r="G410" s="80">
        <v>8</v>
      </c>
      <c r="H410" s="80" t="s">
        <v>203</v>
      </c>
      <c r="I410" s="80">
        <v>6</v>
      </c>
      <c r="J410" s="80"/>
      <c r="K410" s="80"/>
      <c r="L410" s="80"/>
      <c r="M410" s="1" t="s">
        <v>682</v>
      </c>
      <c r="N410" s="1">
        <v>36</v>
      </c>
      <c r="O410" s="1">
        <v>4</v>
      </c>
      <c r="P410" s="13">
        <v>44805</v>
      </c>
      <c r="Q410" s="1" t="s">
        <v>133</v>
      </c>
      <c r="R410" s="1" t="s">
        <v>64</v>
      </c>
      <c r="S410" s="1">
        <v>1</v>
      </c>
      <c r="T410" s="1"/>
      <c r="U410" s="1" t="s">
        <v>14</v>
      </c>
      <c r="V410" s="76">
        <v>6.4</v>
      </c>
      <c r="W410" s="76">
        <v>0.48989794855663577</v>
      </c>
      <c r="X410" s="77">
        <v>-0.81649658092772648</v>
      </c>
      <c r="Y410" s="77">
        <v>2</v>
      </c>
      <c r="Z410" s="76">
        <v>6.4</v>
      </c>
      <c r="AA410" s="76">
        <v>0.48989794855663577</v>
      </c>
      <c r="AB410" s="77">
        <v>-0.81649658092772648</v>
      </c>
      <c r="AC410" s="77">
        <v>2</v>
      </c>
      <c r="AD410" s="76">
        <v>7.8</v>
      </c>
      <c r="AE410" s="76">
        <v>0.39999999999999997</v>
      </c>
      <c r="AF410" s="77">
        <v>0.50000000000000044</v>
      </c>
      <c r="AG410" s="77">
        <v>3</v>
      </c>
      <c r="AH410" s="76">
        <v>6</v>
      </c>
      <c r="AI410" s="76">
        <v>0.63245553203367588</v>
      </c>
      <c r="AJ410" s="77">
        <v>0</v>
      </c>
      <c r="AK410" s="77">
        <v>3</v>
      </c>
      <c r="AL410" s="76"/>
      <c r="AM410" s="76"/>
      <c r="AN410" s="77"/>
      <c r="AO410" s="77"/>
      <c r="AP410" s="76"/>
      <c r="AQ410" s="76"/>
      <c r="AR410" s="77"/>
      <c r="AS410" s="77"/>
      <c r="AT410" s="78">
        <v>0.625</v>
      </c>
    </row>
    <row r="411" spans="1:46" ht="12.5" x14ac:dyDescent="0.25">
      <c r="A411" s="79">
        <v>44805.566048171298</v>
      </c>
      <c r="B411" s="80" t="s">
        <v>171</v>
      </c>
      <c r="C411" s="80" t="str">
        <f>INDEX(TBL_Name,MATCH(Table2[[#This Row],[Athlete Name]],listNames,0),2)</f>
        <v>Athlete 27</v>
      </c>
      <c r="D411" s="80" t="s">
        <v>130</v>
      </c>
      <c r="E411" s="80">
        <v>10</v>
      </c>
      <c r="F411" s="80">
        <v>5</v>
      </c>
      <c r="G411" s="80">
        <v>8</v>
      </c>
      <c r="H411" s="80" t="s">
        <v>683</v>
      </c>
      <c r="I411" s="80">
        <v>8</v>
      </c>
      <c r="J411" s="80"/>
      <c r="K411" s="80"/>
      <c r="L411" s="80"/>
      <c r="M411" s="1" t="s">
        <v>684</v>
      </c>
      <c r="N411" s="1">
        <v>36</v>
      </c>
      <c r="O411" s="1">
        <v>4</v>
      </c>
      <c r="P411" s="13">
        <v>44805</v>
      </c>
      <c r="Q411" s="1" t="s">
        <v>133</v>
      </c>
      <c r="R411" s="1" t="s">
        <v>64</v>
      </c>
      <c r="S411" s="1">
        <v>1</v>
      </c>
      <c r="T411" s="1"/>
      <c r="U411" s="1" t="s">
        <v>8</v>
      </c>
      <c r="V411" s="76">
        <v>10</v>
      </c>
      <c r="W411" s="76">
        <v>0</v>
      </c>
      <c r="X411" s="77">
        <v>0</v>
      </c>
      <c r="Y411" s="77">
        <v>3</v>
      </c>
      <c r="Z411" s="76">
        <v>8.5</v>
      </c>
      <c r="AA411" s="76">
        <v>2.0615528128088303</v>
      </c>
      <c r="AB411" s="77">
        <v>-1.6977493752543309</v>
      </c>
      <c r="AC411" s="77">
        <v>1</v>
      </c>
      <c r="AD411" s="76">
        <v>8.5</v>
      </c>
      <c r="AE411" s="76">
        <v>0.5</v>
      </c>
      <c r="AF411" s="77">
        <v>-1</v>
      </c>
      <c r="AG411" s="77">
        <v>1</v>
      </c>
      <c r="AH411" s="76">
        <v>9.5</v>
      </c>
      <c r="AI411" s="76">
        <v>0.8660254037844386</v>
      </c>
      <c r="AJ411" s="77">
        <v>-1.7320508075688774</v>
      </c>
      <c r="AK411" s="77">
        <v>1</v>
      </c>
      <c r="AL411" s="76"/>
      <c r="AM411" s="76"/>
      <c r="AN411" s="77"/>
      <c r="AO411" s="77"/>
      <c r="AP411" s="76"/>
      <c r="AQ411" s="76"/>
      <c r="AR411" s="77"/>
      <c r="AS411" s="77"/>
      <c r="AT411" s="78">
        <v>0.75</v>
      </c>
    </row>
    <row r="412" spans="1:46" ht="12.5" x14ac:dyDescent="0.25">
      <c r="A412" s="79">
        <v>44805.567209745372</v>
      </c>
      <c r="B412" s="80" t="s">
        <v>15</v>
      </c>
      <c r="C412" s="80" t="str">
        <f>INDEX(TBL_Name,MATCH(Table2[[#This Row],[Athlete Name]],listNames,0),2)</f>
        <v>Athlete 8</v>
      </c>
      <c r="D412" s="80" t="s">
        <v>130</v>
      </c>
      <c r="E412" s="80">
        <v>8</v>
      </c>
      <c r="F412" s="80">
        <v>10</v>
      </c>
      <c r="G412" s="80">
        <v>8</v>
      </c>
      <c r="H412" s="80" t="s">
        <v>74</v>
      </c>
      <c r="I412" s="80">
        <v>5</v>
      </c>
      <c r="J412" s="80"/>
      <c r="K412" s="80"/>
      <c r="L412" s="80"/>
      <c r="M412" s="1" t="s">
        <v>685</v>
      </c>
      <c r="N412" s="1">
        <v>36</v>
      </c>
      <c r="O412" s="1">
        <v>4</v>
      </c>
      <c r="P412" s="13">
        <v>44805</v>
      </c>
      <c r="Q412" s="1" t="s">
        <v>133</v>
      </c>
      <c r="R412" s="1" t="s">
        <v>64</v>
      </c>
      <c r="S412" s="1">
        <v>1</v>
      </c>
      <c r="T412" s="1"/>
      <c r="U412" s="1" t="s">
        <v>14</v>
      </c>
      <c r="V412" s="76">
        <v>9</v>
      </c>
      <c r="W412" s="76">
        <v>1</v>
      </c>
      <c r="X412" s="77">
        <v>-1</v>
      </c>
      <c r="Y412" s="77">
        <v>1</v>
      </c>
      <c r="Z412" s="76">
        <v>10</v>
      </c>
      <c r="AA412" s="76">
        <v>0</v>
      </c>
      <c r="AB412" s="77">
        <v>0</v>
      </c>
      <c r="AC412" s="77">
        <v>3</v>
      </c>
      <c r="AD412" s="76">
        <v>8.5</v>
      </c>
      <c r="AE412" s="76">
        <v>0.5</v>
      </c>
      <c r="AF412" s="77">
        <v>-1</v>
      </c>
      <c r="AG412" s="77">
        <v>1</v>
      </c>
      <c r="AH412" s="76">
        <v>6</v>
      </c>
      <c r="AI412" s="76">
        <v>1</v>
      </c>
      <c r="AJ412" s="77">
        <v>-1</v>
      </c>
      <c r="AK412" s="77">
        <v>1</v>
      </c>
      <c r="AL412" s="76"/>
      <c r="AM412" s="76"/>
      <c r="AN412" s="77"/>
      <c r="AO412" s="77"/>
      <c r="AP412" s="76"/>
      <c r="AQ412" s="76"/>
      <c r="AR412" s="77"/>
      <c r="AS412" s="77"/>
      <c r="AT412" s="78">
        <v>0.4375</v>
      </c>
    </row>
    <row r="413" spans="1:46" ht="12.5" x14ac:dyDescent="0.25">
      <c r="A413" s="79">
        <v>44805.57167607639</v>
      </c>
      <c r="B413" s="80" t="s">
        <v>177</v>
      </c>
      <c r="C413" s="80" t="str">
        <f>INDEX(TBL_Name,MATCH(Table2[[#This Row],[Athlete Name]],listNames,0),2)</f>
        <v>Athlete 28</v>
      </c>
      <c r="D413" s="80" t="s">
        <v>130</v>
      </c>
      <c r="E413" s="80">
        <v>3</v>
      </c>
      <c r="F413" s="80">
        <v>10</v>
      </c>
      <c r="G413" s="80">
        <v>9</v>
      </c>
      <c r="H413" s="80" t="s">
        <v>417</v>
      </c>
      <c r="I413" s="80">
        <v>6</v>
      </c>
      <c r="J413" s="80"/>
      <c r="K413" s="80"/>
      <c r="L413" s="80"/>
      <c r="M413" s="1" t="s">
        <v>686</v>
      </c>
      <c r="N413" s="1">
        <v>36</v>
      </c>
      <c r="O413" s="1">
        <v>4</v>
      </c>
      <c r="P413" s="13">
        <v>44805</v>
      </c>
      <c r="Q413" s="1" t="s">
        <v>133</v>
      </c>
      <c r="R413" s="1" t="s">
        <v>64</v>
      </c>
      <c r="S413" s="1">
        <v>1</v>
      </c>
      <c r="T413" s="1"/>
      <c r="U413" s="1" t="s">
        <v>28</v>
      </c>
      <c r="V413" s="76">
        <v>6</v>
      </c>
      <c r="W413" s="76">
        <v>2.1602468994692869</v>
      </c>
      <c r="X413" s="77">
        <v>-1.3887301496588271</v>
      </c>
      <c r="Y413" s="77">
        <v>1</v>
      </c>
      <c r="Z413" s="76">
        <v>6.666666666666667</v>
      </c>
      <c r="AA413" s="76">
        <v>2.8674417556808756</v>
      </c>
      <c r="AB413" s="77">
        <v>1.1624763874381927</v>
      </c>
      <c r="AC413" s="77">
        <v>4</v>
      </c>
      <c r="AD413" s="76">
        <v>7</v>
      </c>
      <c r="AE413" s="76">
        <v>2.1602468994692869</v>
      </c>
      <c r="AF413" s="77">
        <v>0.92582009977255142</v>
      </c>
      <c r="AG413" s="77">
        <v>3</v>
      </c>
      <c r="AH413" s="76">
        <v>7</v>
      </c>
      <c r="AI413" s="76">
        <v>0.81649658092772603</v>
      </c>
      <c r="AJ413" s="77">
        <v>-1.2247448713915889</v>
      </c>
      <c r="AK413" s="77">
        <v>1</v>
      </c>
      <c r="AL413" s="76"/>
      <c r="AM413" s="76"/>
      <c r="AN413" s="77"/>
      <c r="AO413" s="77"/>
      <c r="AP413" s="76"/>
      <c r="AQ413" s="76"/>
      <c r="AR413" s="77"/>
      <c r="AS413" s="77"/>
      <c r="AT413" s="78">
        <v>0.75</v>
      </c>
    </row>
    <row r="414" spans="1:46" ht="12.5" x14ac:dyDescent="0.25">
      <c r="A414" s="79">
        <v>44805.572329259259</v>
      </c>
      <c r="B414" s="80" t="s">
        <v>129</v>
      </c>
      <c r="C414" s="80" t="str">
        <f>INDEX(TBL_Name,MATCH(Table2[[#This Row],[Athlete Name]],listNames,0),2)</f>
        <v>Athlete 19</v>
      </c>
      <c r="D414" s="80" t="s">
        <v>130</v>
      </c>
      <c r="E414" s="80">
        <v>7</v>
      </c>
      <c r="F414" s="80">
        <v>8</v>
      </c>
      <c r="G414" s="80">
        <v>7</v>
      </c>
      <c r="H414" s="80" t="s">
        <v>687</v>
      </c>
      <c r="I414" s="80">
        <v>4</v>
      </c>
      <c r="J414" s="80"/>
      <c r="K414" s="80"/>
      <c r="L414" s="80"/>
      <c r="M414" s="1" t="s">
        <v>688</v>
      </c>
      <c r="N414" s="1">
        <v>36</v>
      </c>
      <c r="O414" s="1">
        <v>4</v>
      </c>
      <c r="P414" s="13">
        <v>44805</v>
      </c>
      <c r="Q414" s="1" t="s">
        <v>133</v>
      </c>
      <c r="R414" s="1" t="s">
        <v>64</v>
      </c>
      <c r="S414" s="1">
        <v>1</v>
      </c>
      <c r="T414" s="1"/>
      <c r="U414" s="1" t="s">
        <v>18</v>
      </c>
      <c r="V414" s="76">
        <v>7</v>
      </c>
      <c r="W414" s="76">
        <v>0.63245553203367577</v>
      </c>
      <c r="X414" s="77">
        <v>0</v>
      </c>
      <c r="Y414" s="77">
        <v>3</v>
      </c>
      <c r="Z414" s="76">
        <v>7.2</v>
      </c>
      <c r="AA414" s="76">
        <v>0.74833147735478822</v>
      </c>
      <c r="AB414" s="77">
        <v>1.0690449676496974</v>
      </c>
      <c r="AC414" s="77">
        <v>4</v>
      </c>
      <c r="AD414" s="76">
        <v>7.8</v>
      </c>
      <c r="AE414" s="76">
        <v>0.74833147735478833</v>
      </c>
      <c r="AF414" s="77">
        <v>-1.0690449676496971</v>
      </c>
      <c r="AG414" s="77">
        <v>1</v>
      </c>
      <c r="AH414" s="76">
        <v>4.2</v>
      </c>
      <c r="AI414" s="76">
        <v>0.39999999999999997</v>
      </c>
      <c r="AJ414" s="77">
        <v>-0.50000000000000044</v>
      </c>
      <c r="AK414" s="77">
        <v>2</v>
      </c>
      <c r="AL414" s="76"/>
      <c r="AM414" s="76"/>
      <c r="AN414" s="77"/>
      <c r="AO414" s="77"/>
      <c r="AP414" s="76"/>
      <c r="AQ414" s="76"/>
      <c r="AR414" s="77"/>
      <c r="AS414" s="77"/>
      <c r="AT414" s="78">
        <v>0.6875</v>
      </c>
    </row>
    <row r="415" spans="1:46" ht="12.5" x14ac:dyDescent="0.25">
      <c r="A415" s="79">
        <v>44806.231521932874</v>
      </c>
      <c r="B415" s="80" t="s">
        <v>185</v>
      </c>
      <c r="C415" s="80" t="str">
        <f>INDEX(TBL_Name,MATCH(Table2[[#This Row],[Athlete Name]],listNames,0),2)</f>
        <v>Athlete 30</v>
      </c>
      <c r="D415" s="80" t="s">
        <v>130</v>
      </c>
      <c r="E415" s="80">
        <v>8</v>
      </c>
      <c r="F415" s="80">
        <v>5</v>
      </c>
      <c r="G415" s="80">
        <v>7</v>
      </c>
      <c r="H415" s="80" t="s">
        <v>631</v>
      </c>
      <c r="I415" s="80">
        <v>4</v>
      </c>
      <c r="J415" s="80"/>
      <c r="K415" s="80"/>
      <c r="L415" s="80"/>
      <c r="M415" s="1" t="s">
        <v>689</v>
      </c>
      <c r="N415" s="1">
        <v>36</v>
      </c>
      <c r="O415" s="1">
        <v>4</v>
      </c>
      <c r="P415" s="13">
        <v>44806</v>
      </c>
      <c r="Q415" s="1" t="s">
        <v>133</v>
      </c>
      <c r="R415" s="1" t="s">
        <v>64</v>
      </c>
      <c r="S415" s="1">
        <v>1</v>
      </c>
      <c r="T415" s="1"/>
      <c r="U415" s="1" t="s">
        <v>26</v>
      </c>
      <c r="V415" s="76">
        <v>8.2857142857142865</v>
      </c>
      <c r="W415" s="76">
        <v>0.88063057185271099</v>
      </c>
      <c r="X415" s="77">
        <v>-0.32444284226152592</v>
      </c>
      <c r="Y415" s="77">
        <v>2</v>
      </c>
      <c r="Z415" s="76">
        <v>5.2857142857142856</v>
      </c>
      <c r="AA415" s="76">
        <v>0.45175395145262576</v>
      </c>
      <c r="AB415" s="77">
        <v>-0.63245553203367544</v>
      </c>
      <c r="AC415" s="77">
        <v>2</v>
      </c>
      <c r="AD415" s="76">
        <v>6.7142857142857144</v>
      </c>
      <c r="AE415" s="76">
        <v>1.0301575072754254</v>
      </c>
      <c r="AF415" s="77">
        <v>0.27735009811261446</v>
      </c>
      <c r="AG415" s="77">
        <v>3</v>
      </c>
      <c r="AH415" s="76">
        <v>5.2857142857142856</v>
      </c>
      <c r="AI415" s="76">
        <v>0.88063057185271088</v>
      </c>
      <c r="AJ415" s="77">
        <v>-1.4599927901768628</v>
      </c>
      <c r="AK415" s="77">
        <v>1</v>
      </c>
      <c r="AL415" s="76"/>
      <c r="AM415" s="76"/>
      <c r="AN415" s="77"/>
      <c r="AO415" s="77"/>
      <c r="AP415" s="76"/>
      <c r="AQ415" s="76"/>
      <c r="AR415" s="77"/>
      <c r="AS415" s="77"/>
      <c r="AT415" s="78">
        <v>0.3125</v>
      </c>
    </row>
    <row r="416" spans="1:46" ht="12.5" x14ac:dyDescent="0.25">
      <c r="A416" s="79">
        <v>44806.271483229168</v>
      </c>
      <c r="B416" s="80" t="s">
        <v>148</v>
      </c>
      <c r="C416" s="80" t="str">
        <f>INDEX(TBL_Name,MATCH(Table2[[#This Row],[Athlete Name]],listNames,0),2)</f>
        <v>Athlete 22</v>
      </c>
      <c r="D416" s="80" t="s">
        <v>130</v>
      </c>
      <c r="E416" s="80">
        <v>10</v>
      </c>
      <c r="F416" s="80">
        <v>6</v>
      </c>
      <c r="G416" s="80">
        <v>9</v>
      </c>
      <c r="H416" s="80" t="s">
        <v>203</v>
      </c>
      <c r="I416" s="80">
        <v>6</v>
      </c>
      <c r="J416" s="80"/>
      <c r="K416" s="80"/>
      <c r="L416" s="80"/>
      <c r="M416" s="1" t="s">
        <v>690</v>
      </c>
      <c r="N416" s="1">
        <v>36</v>
      </c>
      <c r="O416" s="1">
        <v>4</v>
      </c>
      <c r="P416" s="13">
        <v>44806</v>
      </c>
      <c r="Q416" s="1" t="s">
        <v>133</v>
      </c>
      <c r="R416" s="1" t="s">
        <v>64</v>
      </c>
      <c r="S416" s="1">
        <v>1</v>
      </c>
      <c r="T416" s="1"/>
      <c r="U416" s="1" t="s">
        <v>11</v>
      </c>
      <c r="V416" s="76">
        <v>10</v>
      </c>
      <c r="W416" s="76">
        <v>0</v>
      </c>
      <c r="X416" s="77">
        <v>0</v>
      </c>
      <c r="Y416" s="77">
        <v>3</v>
      </c>
      <c r="Z416" s="76">
        <v>8</v>
      </c>
      <c r="AA416" s="76">
        <v>2</v>
      </c>
      <c r="AB416" s="77">
        <v>-1</v>
      </c>
      <c r="AC416" s="77">
        <v>1</v>
      </c>
      <c r="AD416" s="76">
        <v>8.5</v>
      </c>
      <c r="AE416" s="76">
        <v>0.5</v>
      </c>
      <c r="AF416" s="77">
        <v>1</v>
      </c>
      <c r="AG416" s="77">
        <v>4</v>
      </c>
      <c r="AH416" s="76">
        <v>7</v>
      </c>
      <c r="AI416" s="76">
        <v>1</v>
      </c>
      <c r="AJ416" s="77">
        <v>-1</v>
      </c>
      <c r="AK416" s="77">
        <v>1</v>
      </c>
      <c r="AL416" s="76"/>
      <c r="AM416" s="76"/>
      <c r="AN416" s="77"/>
      <c r="AO416" s="77"/>
      <c r="AP416" s="76"/>
      <c r="AQ416" s="76"/>
      <c r="AR416" s="77"/>
      <c r="AS416" s="77"/>
      <c r="AT416" s="78">
        <v>0.75</v>
      </c>
    </row>
    <row r="417" spans="1:46" ht="12.5" x14ac:dyDescent="0.25">
      <c r="A417" s="79">
        <v>44806.335567916671</v>
      </c>
      <c r="B417" s="80" t="s">
        <v>136</v>
      </c>
      <c r="C417" s="80" t="str">
        <f>INDEX(TBL_Name,MATCH(Table2[[#This Row],[Athlete Name]],listNames,0),2)</f>
        <v>Athlete 20</v>
      </c>
      <c r="D417" s="80" t="s">
        <v>130</v>
      </c>
      <c r="E417" s="80">
        <v>9</v>
      </c>
      <c r="F417" s="80">
        <v>10</v>
      </c>
      <c r="G417" s="80">
        <v>8</v>
      </c>
      <c r="H417" s="80" t="s">
        <v>74</v>
      </c>
      <c r="I417" s="80">
        <v>8</v>
      </c>
      <c r="J417" s="80"/>
      <c r="K417" s="80"/>
      <c r="L417" s="80"/>
      <c r="M417" s="1" t="s">
        <v>691</v>
      </c>
      <c r="N417" s="1">
        <v>36</v>
      </c>
      <c r="O417" s="1">
        <v>4</v>
      </c>
      <c r="P417" s="13">
        <v>44806</v>
      </c>
      <c r="Q417" s="1" t="s">
        <v>133</v>
      </c>
      <c r="R417" s="1" t="s">
        <v>64</v>
      </c>
      <c r="S417" s="1">
        <v>1</v>
      </c>
      <c r="T417" s="1"/>
      <c r="U417" s="1" t="s">
        <v>18</v>
      </c>
      <c r="V417" s="76">
        <v>9</v>
      </c>
      <c r="W417" s="76">
        <v>0.81649658092772603</v>
      </c>
      <c r="X417" s="77">
        <v>0</v>
      </c>
      <c r="Y417" s="77">
        <v>3</v>
      </c>
      <c r="Z417" s="76">
        <v>8.5</v>
      </c>
      <c r="AA417" s="76">
        <v>1.2583057392117916</v>
      </c>
      <c r="AB417" s="77">
        <v>1.1920791213585396</v>
      </c>
      <c r="AC417" s="77">
        <v>4</v>
      </c>
      <c r="AD417" s="76">
        <v>7.833333333333333</v>
      </c>
      <c r="AE417" s="76">
        <v>0.37267799624996489</v>
      </c>
      <c r="AF417" s="77">
        <v>0.44721359549995882</v>
      </c>
      <c r="AG417" s="77">
        <v>3</v>
      </c>
      <c r="AH417" s="76">
        <v>9.3333333333333339</v>
      </c>
      <c r="AI417" s="76">
        <v>0.94280904158206313</v>
      </c>
      <c r="AJ417" s="77">
        <v>-1.414213562373096</v>
      </c>
      <c r="AK417" s="77">
        <v>1</v>
      </c>
      <c r="AL417" s="76"/>
      <c r="AM417" s="76"/>
      <c r="AN417" s="77"/>
      <c r="AO417" s="77"/>
      <c r="AP417" s="76"/>
      <c r="AQ417" s="76"/>
      <c r="AR417" s="77"/>
      <c r="AS417" s="77"/>
      <c r="AT417" s="78">
        <v>0.5625</v>
      </c>
    </row>
    <row r="418" spans="1:46" ht="12.5" x14ac:dyDescent="0.25">
      <c r="A418" s="79">
        <v>44806.336834999995</v>
      </c>
      <c r="B418" s="80" t="s">
        <v>177</v>
      </c>
      <c r="C418" s="80" t="str">
        <f>INDEX(TBL_Name,MATCH(Table2[[#This Row],[Athlete Name]],listNames,0),2)</f>
        <v>Athlete 28</v>
      </c>
      <c r="D418" s="80" t="s">
        <v>130</v>
      </c>
      <c r="E418" s="80">
        <v>4</v>
      </c>
      <c r="F418" s="80">
        <v>5</v>
      </c>
      <c r="G418" s="80">
        <v>5</v>
      </c>
      <c r="H418" s="80" t="s">
        <v>692</v>
      </c>
      <c r="I418" s="80">
        <v>4</v>
      </c>
      <c r="J418" s="80"/>
      <c r="K418" s="80"/>
      <c r="L418" s="80"/>
      <c r="M418" s="1" t="s">
        <v>693</v>
      </c>
      <c r="N418" s="1">
        <v>36</v>
      </c>
      <c r="O418" s="1">
        <v>4</v>
      </c>
      <c r="P418" s="13">
        <v>44806</v>
      </c>
      <c r="Q418" s="1" t="s">
        <v>133</v>
      </c>
      <c r="R418" s="1" t="s">
        <v>64</v>
      </c>
      <c r="S418" s="1">
        <v>1</v>
      </c>
      <c r="T418" s="1"/>
      <c r="U418" s="1" t="s">
        <v>28</v>
      </c>
      <c r="V418" s="76">
        <v>4.666666666666667</v>
      </c>
      <c r="W418" s="76">
        <v>1.699673171197595</v>
      </c>
      <c r="X418" s="77">
        <v>-0.39223227027636826</v>
      </c>
      <c r="Y418" s="77">
        <v>2</v>
      </c>
      <c r="Z418" s="76">
        <v>6</v>
      </c>
      <c r="AA418" s="76">
        <v>2.9439202887759488</v>
      </c>
      <c r="AB418" s="77">
        <v>-0.33968311024337872</v>
      </c>
      <c r="AC418" s="77">
        <v>2</v>
      </c>
      <c r="AD418" s="76">
        <v>6</v>
      </c>
      <c r="AE418" s="76">
        <v>2.1602468994692869</v>
      </c>
      <c r="AF418" s="77">
        <v>-0.46291004988627571</v>
      </c>
      <c r="AG418" s="77">
        <v>2</v>
      </c>
      <c r="AH418" s="76">
        <v>6</v>
      </c>
      <c r="AI418" s="76">
        <v>1.6329931618554521</v>
      </c>
      <c r="AJ418" s="77">
        <v>-1.2247448713915889</v>
      </c>
      <c r="AK418" s="77">
        <v>1</v>
      </c>
      <c r="AL418" s="76"/>
      <c r="AM418" s="76"/>
      <c r="AN418" s="77"/>
      <c r="AO418" s="77"/>
      <c r="AP418" s="76"/>
      <c r="AQ418" s="76"/>
      <c r="AR418" s="77"/>
      <c r="AS418" s="77"/>
      <c r="AT418" s="78">
        <v>0.625</v>
      </c>
    </row>
    <row r="419" spans="1:46" ht="12.5" x14ac:dyDescent="0.25">
      <c r="A419" s="79">
        <v>44806.34010021991</v>
      </c>
      <c r="B419" s="80" t="s">
        <v>196</v>
      </c>
      <c r="C419" s="80" t="str">
        <f>INDEX(TBL_Name,MATCH(Table2[[#This Row],[Athlete Name]],listNames,0),2)</f>
        <v>Athlete 31</v>
      </c>
      <c r="D419" s="80" t="s">
        <v>130</v>
      </c>
      <c r="E419" s="80">
        <v>4</v>
      </c>
      <c r="F419" s="80">
        <v>7</v>
      </c>
      <c r="G419" s="80">
        <v>8</v>
      </c>
      <c r="H419" s="80" t="s">
        <v>598</v>
      </c>
      <c r="I419" s="80">
        <v>8</v>
      </c>
      <c r="J419" s="80"/>
      <c r="K419" s="80"/>
      <c r="L419" s="80"/>
      <c r="M419" s="1" t="s">
        <v>694</v>
      </c>
      <c r="N419" s="1">
        <v>36</v>
      </c>
      <c r="O419" s="1">
        <v>4</v>
      </c>
      <c r="P419" s="13">
        <v>44806</v>
      </c>
      <c r="Q419" s="1" t="s">
        <v>133</v>
      </c>
      <c r="R419" s="1" t="s">
        <v>64</v>
      </c>
      <c r="S419" s="1">
        <v>1</v>
      </c>
      <c r="T419" s="1"/>
      <c r="U419" s="1" t="s">
        <v>28</v>
      </c>
      <c r="V419" s="76">
        <v>5.833333333333333</v>
      </c>
      <c r="W419" s="76">
        <v>1.0671873729054748</v>
      </c>
      <c r="X419" s="77">
        <v>-1.7179113807746664</v>
      </c>
      <c r="Y419" s="77">
        <v>1</v>
      </c>
      <c r="Z419" s="76">
        <v>8.3333333333333339</v>
      </c>
      <c r="AA419" s="76">
        <v>0.74535599249992968</v>
      </c>
      <c r="AB419" s="77">
        <v>-1.788854381999833</v>
      </c>
      <c r="AC419" s="77">
        <v>1</v>
      </c>
      <c r="AD419" s="76">
        <v>8.75</v>
      </c>
      <c r="AE419" s="76">
        <v>0.38188130791298674</v>
      </c>
      <c r="AF419" s="77">
        <v>-1.963961012123931</v>
      </c>
      <c r="AG419" s="77">
        <v>1</v>
      </c>
      <c r="AH419" s="76">
        <v>8.1666666666666661</v>
      </c>
      <c r="AI419" s="76">
        <v>0.37267799624996484</v>
      </c>
      <c r="AJ419" s="77">
        <v>-0.44721359549995648</v>
      </c>
      <c r="AK419" s="77">
        <v>2</v>
      </c>
      <c r="AL419" s="76"/>
      <c r="AM419" s="76"/>
      <c r="AN419" s="77"/>
      <c r="AO419" s="77"/>
      <c r="AP419" s="76"/>
      <c r="AQ419" s="76"/>
      <c r="AR419" s="77"/>
      <c r="AS419" s="77"/>
      <c r="AT419" s="78">
        <v>0.8125</v>
      </c>
    </row>
    <row r="420" spans="1:46" ht="12.5" x14ac:dyDescent="0.25">
      <c r="A420" s="79">
        <v>44806.371817395833</v>
      </c>
      <c r="B420" s="80" t="s">
        <v>10</v>
      </c>
      <c r="C420" s="80" t="str">
        <f>INDEX(TBL_Name,MATCH(Table2[[#This Row],[Athlete Name]],listNames,0),2)</f>
        <v>Athlete 5</v>
      </c>
      <c r="D420" s="80" t="s">
        <v>130</v>
      </c>
      <c r="E420" s="80">
        <v>8</v>
      </c>
      <c r="F420" s="80">
        <v>8</v>
      </c>
      <c r="G420" s="80">
        <v>8</v>
      </c>
      <c r="H420" s="80" t="s">
        <v>569</v>
      </c>
      <c r="I420" s="80">
        <v>8</v>
      </c>
      <c r="J420" s="80"/>
      <c r="K420" s="80"/>
      <c r="L420" s="80"/>
      <c r="M420" s="1" t="s">
        <v>695</v>
      </c>
      <c r="N420" s="1">
        <v>36</v>
      </c>
      <c r="O420" s="1">
        <v>4</v>
      </c>
      <c r="P420" s="13">
        <v>44806</v>
      </c>
      <c r="Q420" s="1" t="s">
        <v>133</v>
      </c>
      <c r="R420" s="1" t="s">
        <v>64</v>
      </c>
      <c r="S420" s="1">
        <v>1</v>
      </c>
      <c r="T420" s="1"/>
      <c r="U420" s="1" t="s">
        <v>11</v>
      </c>
      <c r="V420" s="76">
        <v>8</v>
      </c>
      <c r="W420" s="76">
        <v>0.53452248382484857</v>
      </c>
      <c r="X420" s="77">
        <v>0</v>
      </c>
      <c r="Y420" s="77">
        <v>3</v>
      </c>
      <c r="Z420" s="76">
        <v>8.1428571428571423</v>
      </c>
      <c r="AA420" s="76">
        <v>0.34992710611188238</v>
      </c>
      <c r="AB420" s="77">
        <v>-0.4082482904638618</v>
      </c>
      <c r="AC420" s="77">
        <v>2</v>
      </c>
      <c r="AD420" s="76">
        <v>8.1428571428571423</v>
      </c>
      <c r="AE420" s="76">
        <v>0.34992710611188238</v>
      </c>
      <c r="AF420" s="77">
        <v>-0.4082482904638618</v>
      </c>
      <c r="AG420" s="77">
        <v>2</v>
      </c>
      <c r="AH420" s="76">
        <v>7.4285714285714288</v>
      </c>
      <c r="AI420" s="76">
        <v>0.72843135908468337</v>
      </c>
      <c r="AJ420" s="77">
        <v>0.78446454055273596</v>
      </c>
      <c r="AK420" s="77">
        <v>3</v>
      </c>
      <c r="AL420" s="76"/>
      <c r="AM420" s="76"/>
      <c r="AN420" s="77"/>
      <c r="AO420" s="77"/>
      <c r="AP420" s="76"/>
      <c r="AQ420" s="76"/>
      <c r="AR420" s="77"/>
      <c r="AS420" s="77"/>
      <c r="AT420" s="78">
        <v>0.75</v>
      </c>
    </row>
    <row r="421" spans="1:46" ht="12.5" x14ac:dyDescent="0.25">
      <c r="A421" s="79">
        <v>44806.408966006944</v>
      </c>
      <c r="B421" s="80" t="s">
        <v>15</v>
      </c>
      <c r="C421" s="80" t="str">
        <f>INDEX(TBL_Name,MATCH(Table2[[#This Row],[Athlete Name]],listNames,0),2)</f>
        <v>Athlete 8</v>
      </c>
      <c r="D421" s="80" t="s">
        <v>130</v>
      </c>
      <c r="E421" s="80">
        <v>10</v>
      </c>
      <c r="F421" s="80">
        <v>10</v>
      </c>
      <c r="G421" s="80">
        <v>9</v>
      </c>
      <c r="H421" s="80" t="s">
        <v>696</v>
      </c>
      <c r="I421" s="80">
        <v>5</v>
      </c>
      <c r="J421" s="80"/>
      <c r="K421" s="80"/>
      <c r="L421" s="80"/>
      <c r="M421" s="1" t="s">
        <v>697</v>
      </c>
      <c r="N421" s="1">
        <v>36</v>
      </c>
      <c r="O421" s="1">
        <v>4</v>
      </c>
      <c r="P421" s="13">
        <v>44806</v>
      </c>
      <c r="Q421" s="1" t="s">
        <v>133</v>
      </c>
      <c r="R421" s="1" t="s">
        <v>64</v>
      </c>
      <c r="S421" s="1">
        <v>1</v>
      </c>
      <c r="T421" s="1"/>
      <c r="U421" s="1" t="s">
        <v>14</v>
      </c>
      <c r="V421" s="76">
        <v>9.3333333333333339</v>
      </c>
      <c r="W421" s="76">
        <v>0.94280904158206325</v>
      </c>
      <c r="X421" s="77">
        <v>0.70710678118654702</v>
      </c>
      <c r="Y421" s="77">
        <v>3</v>
      </c>
      <c r="Z421" s="76">
        <v>10</v>
      </c>
      <c r="AA421" s="76">
        <v>0</v>
      </c>
      <c r="AB421" s="77">
        <v>0</v>
      </c>
      <c r="AC421" s="77">
        <v>3</v>
      </c>
      <c r="AD421" s="76">
        <v>8.6666666666666661</v>
      </c>
      <c r="AE421" s="76">
        <v>0.47140452079103179</v>
      </c>
      <c r="AF421" s="77">
        <v>0.70710678118654857</v>
      </c>
      <c r="AG421" s="77">
        <v>3</v>
      </c>
      <c r="AH421" s="76">
        <v>5.666666666666667</v>
      </c>
      <c r="AI421" s="76">
        <v>0.94280904158206336</v>
      </c>
      <c r="AJ421" s="77">
        <v>-0.70710678118654779</v>
      </c>
      <c r="AK421" s="77">
        <v>2</v>
      </c>
      <c r="AL421" s="76"/>
      <c r="AM421" s="76"/>
      <c r="AN421" s="77"/>
      <c r="AO421" s="77"/>
      <c r="AP421" s="76"/>
      <c r="AQ421" s="76"/>
      <c r="AR421" s="77"/>
      <c r="AS421" s="77"/>
      <c r="AT421" s="78">
        <v>0.5625</v>
      </c>
    </row>
    <row r="422" spans="1:46" ht="12.5" x14ac:dyDescent="0.25">
      <c r="A422" s="79">
        <v>44806.409136342598</v>
      </c>
      <c r="B422" s="80" t="s">
        <v>19</v>
      </c>
      <c r="C422" s="80" t="str">
        <f>INDEX(TBL_Name,MATCH(Table2[[#This Row],[Athlete Name]],listNames,0),2)</f>
        <v>Athlete 11</v>
      </c>
      <c r="D422" s="80" t="s">
        <v>130</v>
      </c>
      <c r="E422" s="80">
        <v>5</v>
      </c>
      <c r="F422" s="80">
        <v>9</v>
      </c>
      <c r="G422" s="80">
        <v>9</v>
      </c>
      <c r="H422" s="80" t="s">
        <v>188</v>
      </c>
      <c r="I422" s="80">
        <v>4</v>
      </c>
      <c r="J422" s="80"/>
      <c r="K422" s="80"/>
      <c r="L422" s="80"/>
      <c r="M422" s="1" t="s">
        <v>698</v>
      </c>
      <c r="N422" s="1">
        <v>36</v>
      </c>
      <c r="O422" s="1">
        <v>4</v>
      </c>
      <c r="P422" s="13">
        <v>44806</v>
      </c>
      <c r="Q422" s="1" t="s">
        <v>133</v>
      </c>
      <c r="R422" s="1" t="s">
        <v>64</v>
      </c>
      <c r="S422" s="1">
        <v>1</v>
      </c>
      <c r="T422" s="1"/>
      <c r="U422" s="1" t="s">
        <v>18</v>
      </c>
      <c r="V422" s="76">
        <v>6.666666666666667</v>
      </c>
      <c r="W422" s="76">
        <v>1.2472191289246473</v>
      </c>
      <c r="X422" s="77">
        <v>-1.3363062095621221</v>
      </c>
      <c r="Y422" s="77">
        <v>1</v>
      </c>
      <c r="Z422" s="76">
        <v>8</v>
      </c>
      <c r="AA422" s="76">
        <v>0.81649658092772603</v>
      </c>
      <c r="AB422" s="77">
        <v>1.2247448713915889</v>
      </c>
      <c r="AC422" s="77">
        <v>4</v>
      </c>
      <c r="AD422" s="76">
        <v>7.666666666666667</v>
      </c>
      <c r="AE422" s="76">
        <v>1.247219128924647</v>
      </c>
      <c r="AF422" s="77">
        <v>1.0690449676496974</v>
      </c>
      <c r="AG422" s="77">
        <v>4</v>
      </c>
      <c r="AH422" s="76">
        <v>3.6666666666666665</v>
      </c>
      <c r="AI422" s="76">
        <v>0.47140452079103168</v>
      </c>
      <c r="AJ422" s="77">
        <v>0.70710678118654779</v>
      </c>
      <c r="AK422" s="77">
        <v>3</v>
      </c>
      <c r="AL422" s="76"/>
      <c r="AM422" s="76"/>
      <c r="AN422" s="77"/>
      <c r="AO422" s="77"/>
      <c r="AP422" s="76"/>
      <c r="AQ422" s="76"/>
      <c r="AR422" s="77"/>
      <c r="AS422" s="77"/>
      <c r="AT422" s="78">
        <v>0.625</v>
      </c>
    </row>
    <row r="423" spans="1:46" ht="12.5" x14ac:dyDescent="0.25">
      <c r="A423" s="79">
        <v>44806.410043842596</v>
      </c>
      <c r="B423" s="80" t="s">
        <v>142</v>
      </c>
      <c r="C423" s="80" t="str">
        <f>INDEX(TBL_Name,MATCH(Table2[[#This Row],[Athlete Name]],listNames,0),2)</f>
        <v>Athlete 21</v>
      </c>
      <c r="D423" s="80" t="s">
        <v>130</v>
      </c>
      <c r="E423" s="80">
        <v>4</v>
      </c>
      <c r="F423" s="80">
        <v>9</v>
      </c>
      <c r="G423" s="80">
        <v>9</v>
      </c>
      <c r="H423" s="80" t="s">
        <v>699</v>
      </c>
      <c r="I423" s="80">
        <v>2</v>
      </c>
      <c r="J423" s="80"/>
      <c r="K423" s="80"/>
      <c r="L423" s="80"/>
      <c r="M423" s="1" t="s">
        <v>700</v>
      </c>
      <c r="N423" s="1">
        <v>36</v>
      </c>
      <c r="O423" s="1">
        <v>4</v>
      </c>
      <c r="P423" s="13">
        <v>44806</v>
      </c>
      <c r="Q423" s="1" t="s">
        <v>133</v>
      </c>
      <c r="R423" s="1" t="s">
        <v>64</v>
      </c>
      <c r="S423" s="1">
        <v>1</v>
      </c>
      <c r="T423" s="1"/>
      <c r="U423" s="1" t="s">
        <v>18</v>
      </c>
      <c r="V423" s="76">
        <v>4.2</v>
      </c>
      <c r="W423" s="76">
        <v>0.74833147735478822</v>
      </c>
      <c r="X423" s="77">
        <v>-0.26726124191242462</v>
      </c>
      <c r="Y423" s="77">
        <v>2</v>
      </c>
      <c r="Z423" s="76">
        <v>9</v>
      </c>
      <c r="AA423" s="76">
        <v>0</v>
      </c>
      <c r="AB423" s="77">
        <v>0</v>
      </c>
      <c r="AC423" s="77">
        <v>3</v>
      </c>
      <c r="AD423" s="76">
        <v>9</v>
      </c>
      <c r="AE423" s="76">
        <v>0.63245553203367588</v>
      </c>
      <c r="AF423" s="77">
        <v>0</v>
      </c>
      <c r="AG423" s="77">
        <v>3</v>
      </c>
      <c r="AH423" s="76">
        <v>3</v>
      </c>
      <c r="AI423" s="76">
        <v>0.63245553203367588</v>
      </c>
      <c r="AJ423" s="77">
        <v>-1.5811388300841895</v>
      </c>
      <c r="AK423" s="77">
        <v>1</v>
      </c>
      <c r="AL423" s="76"/>
      <c r="AM423" s="76"/>
      <c r="AN423" s="77"/>
      <c r="AO423" s="77"/>
      <c r="AP423" s="76"/>
      <c r="AQ423" s="76"/>
      <c r="AR423" s="77"/>
      <c r="AS423" s="77"/>
      <c r="AT423" s="78">
        <v>0.6875</v>
      </c>
    </row>
    <row r="424" spans="1:46" ht="12.5" x14ac:dyDescent="0.25">
      <c r="A424" s="79">
        <v>44806.410745300927</v>
      </c>
      <c r="B424" s="80" t="s">
        <v>25</v>
      </c>
      <c r="C424" s="80" t="str">
        <f>INDEX(TBL_Name,MATCH(Table2[[#This Row],[Athlete Name]],listNames,0),2)</f>
        <v>Athlete 23</v>
      </c>
      <c r="D424" s="80" t="s">
        <v>143</v>
      </c>
      <c r="E424" s="80">
        <v>7</v>
      </c>
      <c r="F424" s="80">
        <v>9</v>
      </c>
      <c r="G424" s="80">
        <v>10</v>
      </c>
      <c r="H424" s="80" t="s">
        <v>701</v>
      </c>
      <c r="I424" s="80">
        <v>6</v>
      </c>
      <c r="J424" s="80"/>
      <c r="K424" s="80"/>
      <c r="L424" s="80"/>
      <c r="M424" s="1" t="s">
        <v>702</v>
      </c>
      <c r="N424" s="1">
        <v>36</v>
      </c>
      <c r="O424" s="1">
        <v>4</v>
      </c>
      <c r="P424" s="13">
        <v>44806</v>
      </c>
      <c r="Q424" s="1" t="s">
        <v>133</v>
      </c>
      <c r="R424" s="1" t="s">
        <v>64</v>
      </c>
      <c r="S424" s="1">
        <v>2</v>
      </c>
      <c r="T424" s="1"/>
      <c r="U424" s="1" t="s">
        <v>26</v>
      </c>
      <c r="V424" s="76">
        <v>7.5</v>
      </c>
      <c r="W424" s="76">
        <v>0.5</v>
      </c>
      <c r="X424" s="77">
        <v>-1</v>
      </c>
      <c r="Y424" s="77">
        <v>1</v>
      </c>
      <c r="Z424" s="76">
        <v>7.5</v>
      </c>
      <c r="AA424" s="76">
        <v>1.1180339887498949</v>
      </c>
      <c r="AB424" s="77">
        <v>1.3416407864998738</v>
      </c>
      <c r="AC424" s="77">
        <v>4</v>
      </c>
      <c r="AD424" s="76">
        <v>8.75</v>
      </c>
      <c r="AE424" s="76">
        <v>1.299038105676658</v>
      </c>
      <c r="AF424" s="77">
        <v>0.96225044864937626</v>
      </c>
      <c r="AG424" s="77">
        <v>3</v>
      </c>
      <c r="AH424" s="76">
        <v>6.25</v>
      </c>
      <c r="AI424" s="76">
        <v>0.82915619758884995</v>
      </c>
      <c r="AJ424" s="77">
        <v>-0.30151134457776363</v>
      </c>
      <c r="AK424" s="77">
        <v>2</v>
      </c>
      <c r="AL424" s="76"/>
      <c r="AM424" s="76"/>
      <c r="AN424" s="77"/>
      <c r="AO424" s="77"/>
      <c r="AP424" s="76"/>
      <c r="AQ424" s="76"/>
      <c r="AR424" s="77"/>
      <c r="AS424" s="77"/>
      <c r="AT424" s="78">
        <v>0.625</v>
      </c>
    </row>
    <row r="425" spans="1:46" ht="12.5" x14ac:dyDescent="0.25">
      <c r="A425" s="79">
        <v>44806.414901759257</v>
      </c>
      <c r="B425" s="80" t="s">
        <v>16</v>
      </c>
      <c r="C425" s="80" t="str">
        <f>INDEX(TBL_Name,MATCH(Table2[[#This Row],[Athlete Name]],listNames,0),2)</f>
        <v>Athlete 9</v>
      </c>
      <c r="D425" s="80" t="s">
        <v>130</v>
      </c>
      <c r="E425" s="80">
        <v>6</v>
      </c>
      <c r="F425" s="80">
        <v>7</v>
      </c>
      <c r="G425" s="80">
        <v>8</v>
      </c>
      <c r="H425" s="80" t="s">
        <v>203</v>
      </c>
      <c r="I425" s="80">
        <v>7</v>
      </c>
      <c r="J425" s="80"/>
      <c r="K425" s="80"/>
      <c r="L425" s="80"/>
      <c r="M425" s="1" t="s">
        <v>703</v>
      </c>
      <c r="N425" s="1">
        <v>36</v>
      </c>
      <c r="O425" s="1">
        <v>4</v>
      </c>
      <c r="P425" s="13">
        <v>44806</v>
      </c>
      <c r="Q425" s="1" t="s">
        <v>133</v>
      </c>
      <c r="R425" s="1" t="s">
        <v>64</v>
      </c>
      <c r="S425" s="1">
        <v>1</v>
      </c>
      <c r="T425" s="1"/>
      <c r="U425" s="1" t="s">
        <v>14</v>
      </c>
      <c r="V425" s="76">
        <v>6.333333333333333</v>
      </c>
      <c r="W425" s="76">
        <v>0.4714045207910319</v>
      </c>
      <c r="X425" s="77">
        <v>-0.70710678118654657</v>
      </c>
      <c r="Y425" s="77">
        <v>2</v>
      </c>
      <c r="Z425" s="76">
        <v>6.5</v>
      </c>
      <c r="AA425" s="76">
        <v>0.5</v>
      </c>
      <c r="AB425" s="77">
        <v>1</v>
      </c>
      <c r="AC425" s="77">
        <v>4</v>
      </c>
      <c r="AD425" s="76">
        <v>7.833333333333333</v>
      </c>
      <c r="AE425" s="76">
        <v>0.37267799624996489</v>
      </c>
      <c r="AF425" s="77">
        <v>0.44721359549995882</v>
      </c>
      <c r="AG425" s="77">
        <v>3</v>
      </c>
      <c r="AH425" s="76">
        <v>6.166666666666667</v>
      </c>
      <c r="AI425" s="76">
        <v>0.68718427093627676</v>
      </c>
      <c r="AJ425" s="77">
        <v>1.2126781251816645</v>
      </c>
      <c r="AK425" s="77">
        <v>4</v>
      </c>
      <c r="AL425" s="76"/>
      <c r="AM425" s="76"/>
      <c r="AN425" s="77"/>
      <c r="AO425" s="77"/>
      <c r="AP425" s="76"/>
      <c r="AQ425" s="76"/>
      <c r="AR425" s="77"/>
      <c r="AS425" s="77"/>
      <c r="AT425" s="78">
        <v>0.875</v>
      </c>
    </row>
    <row r="426" spans="1:46" ht="12.5" x14ac:dyDescent="0.25">
      <c r="A426" s="79">
        <v>44806.41957150463</v>
      </c>
      <c r="B426" s="80" t="s">
        <v>171</v>
      </c>
      <c r="C426" s="80" t="str">
        <f>INDEX(TBL_Name,MATCH(Table2[[#This Row],[Athlete Name]],listNames,0),2)</f>
        <v>Athlete 27</v>
      </c>
      <c r="D426" s="80" t="s">
        <v>130</v>
      </c>
      <c r="E426" s="80">
        <v>10</v>
      </c>
      <c r="F426" s="80">
        <v>5</v>
      </c>
      <c r="G426" s="80">
        <v>7</v>
      </c>
      <c r="H426" s="80"/>
      <c r="I426" s="80">
        <v>10</v>
      </c>
      <c r="J426" s="80"/>
      <c r="K426" s="80"/>
      <c r="L426" s="80"/>
      <c r="M426" s="1" t="s">
        <v>704</v>
      </c>
      <c r="N426" s="1">
        <v>36</v>
      </c>
      <c r="O426" s="1">
        <v>4</v>
      </c>
      <c r="P426" s="13">
        <v>44806</v>
      </c>
      <c r="Q426" s="1" t="s">
        <v>133</v>
      </c>
      <c r="R426" s="1" t="s">
        <v>64</v>
      </c>
      <c r="S426" s="1">
        <v>1</v>
      </c>
      <c r="T426" s="1"/>
      <c r="U426" s="1" t="s">
        <v>8</v>
      </c>
      <c r="V426" s="76">
        <v>10</v>
      </c>
      <c r="W426" s="76">
        <v>0</v>
      </c>
      <c r="X426" s="77">
        <v>0</v>
      </c>
      <c r="Y426" s="77">
        <v>3</v>
      </c>
      <c r="Z426" s="76">
        <v>7.8</v>
      </c>
      <c r="AA426" s="76">
        <v>2.3151673805580448</v>
      </c>
      <c r="AB426" s="77">
        <v>-1.2094157958139042</v>
      </c>
      <c r="AC426" s="77">
        <v>1</v>
      </c>
      <c r="AD426" s="76">
        <v>8.1999999999999993</v>
      </c>
      <c r="AE426" s="76">
        <v>0.74833147735478811</v>
      </c>
      <c r="AF426" s="77">
        <v>-1.6035674514745457</v>
      </c>
      <c r="AG426" s="77">
        <v>1</v>
      </c>
      <c r="AH426" s="76">
        <v>9.6</v>
      </c>
      <c r="AI426" s="76">
        <v>0.8</v>
      </c>
      <c r="AJ426" s="77">
        <v>0.50000000000000044</v>
      </c>
      <c r="AK426" s="77">
        <v>3</v>
      </c>
      <c r="AL426" s="76"/>
      <c r="AM426" s="76"/>
      <c r="AN426" s="77"/>
      <c r="AO426" s="77"/>
      <c r="AP426" s="76"/>
      <c r="AQ426" s="76"/>
      <c r="AR426" s="77"/>
      <c r="AS426" s="77"/>
      <c r="AT426" s="78">
        <v>0.75</v>
      </c>
    </row>
    <row r="427" spans="1:46" ht="12.5" x14ac:dyDescent="0.25">
      <c r="A427" s="79">
        <v>44806.486748101852</v>
      </c>
      <c r="B427" s="80" t="s">
        <v>22</v>
      </c>
      <c r="C427" s="80" t="str">
        <f>INDEX(TBL_Name,MATCH(Table2[[#This Row],[Athlete Name]],listNames,0),2)</f>
        <v>Athlete 14</v>
      </c>
      <c r="D427" s="80" t="s">
        <v>130</v>
      </c>
      <c r="E427" s="80">
        <v>6</v>
      </c>
      <c r="F427" s="80">
        <v>6</v>
      </c>
      <c r="G427" s="80">
        <v>9</v>
      </c>
      <c r="H427" s="80" t="s">
        <v>705</v>
      </c>
      <c r="I427" s="80">
        <v>2</v>
      </c>
      <c r="J427" s="80"/>
      <c r="K427" s="80"/>
      <c r="L427" s="80"/>
      <c r="M427" s="1" t="s">
        <v>706</v>
      </c>
      <c r="N427" s="1">
        <v>36</v>
      </c>
      <c r="O427" s="1">
        <v>4</v>
      </c>
      <c r="P427" s="13">
        <v>44806</v>
      </c>
      <c r="Q427" s="1" t="s">
        <v>133</v>
      </c>
      <c r="R427" s="1" t="s">
        <v>64</v>
      </c>
      <c r="S427" s="1">
        <v>1</v>
      </c>
      <c r="T427" s="1"/>
      <c r="U427" s="1" t="s">
        <v>18</v>
      </c>
      <c r="V427" s="76">
        <v>5.666666666666667</v>
      </c>
      <c r="W427" s="76">
        <v>0.47140452079103162</v>
      </c>
      <c r="X427" s="77">
        <v>0.70710678118654702</v>
      </c>
      <c r="Y427" s="77">
        <v>3</v>
      </c>
      <c r="Z427" s="76">
        <v>6</v>
      </c>
      <c r="AA427" s="76">
        <v>0</v>
      </c>
      <c r="AB427" s="77">
        <v>0</v>
      </c>
      <c r="AC427" s="77">
        <v>3</v>
      </c>
      <c r="AD427" s="76">
        <v>9</v>
      </c>
      <c r="AE427" s="76">
        <v>0</v>
      </c>
      <c r="AF427" s="77">
        <v>0</v>
      </c>
      <c r="AG427" s="77">
        <v>3</v>
      </c>
      <c r="AH427" s="76">
        <v>4</v>
      </c>
      <c r="AI427" s="76">
        <v>1.4142135623730951</v>
      </c>
      <c r="AJ427" s="77">
        <v>-1.4142135623730949</v>
      </c>
      <c r="AK427" s="77">
        <v>1</v>
      </c>
      <c r="AL427" s="76"/>
      <c r="AM427" s="76"/>
      <c r="AN427" s="77"/>
      <c r="AO427" s="77"/>
      <c r="AP427" s="76"/>
      <c r="AQ427" s="76"/>
      <c r="AR427" s="77"/>
      <c r="AS427" s="77"/>
      <c r="AT427" s="78">
        <v>0.6875</v>
      </c>
    </row>
    <row r="428" spans="1:46" ht="12.5" x14ac:dyDescent="0.25">
      <c r="A428" s="79">
        <v>44806.489984733795</v>
      </c>
      <c r="B428" s="80" t="s">
        <v>6</v>
      </c>
      <c r="C428" s="80" t="str">
        <f>INDEX(TBL_Name,MATCH(Table2[[#This Row],[Athlete Name]],listNames,0),2)</f>
        <v>Athlete 2</v>
      </c>
      <c r="D428" s="80" t="s">
        <v>130</v>
      </c>
      <c r="E428" s="80">
        <v>10</v>
      </c>
      <c r="F428" s="80">
        <v>7</v>
      </c>
      <c r="G428" s="80">
        <v>8</v>
      </c>
      <c r="H428" s="80" t="s">
        <v>707</v>
      </c>
      <c r="I428" s="80">
        <v>6</v>
      </c>
      <c r="J428" s="80"/>
      <c r="K428" s="80"/>
      <c r="L428" s="80"/>
      <c r="M428" s="1" t="s">
        <v>708</v>
      </c>
      <c r="N428" s="1">
        <v>36</v>
      </c>
      <c r="O428" s="1">
        <v>4</v>
      </c>
      <c r="P428" s="13">
        <v>44806</v>
      </c>
      <c r="Q428" s="1" t="s">
        <v>133</v>
      </c>
      <c r="R428" s="1" t="s">
        <v>64</v>
      </c>
      <c r="S428" s="1">
        <v>1</v>
      </c>
      <c r="T428" s="1"/>
      <c r="U428" s="1" t="s">
        <v>5</v>
      </c>
      <c r="V428" s="76">
        <v>9.5714285714285712</v>
      </c>
      <c r="W428" s="76">
        <v>0.49487165930539351</v>
      </c>
      <c r="X428" s="77">
        <v>0.86602540378443915</v>
      </c>
      <c r="Y428" s="77">
        <v>3</v>
      </c>
      <c r="Z428" s="76">
        <v>6.2857142857142856</v>
      </c>
      <c r="AA428" s="76">
        <v>1.3850513878332369</v>
      </c>
      <c r="AB428" s="77">
        <v>0.51571062312939675</v>
      </c>
      <c r="AC428" s="77">
        <v>3</v>
      </c>
      <c r="AD428" s="76">
        <v>8.2857142857142865</v>
      </c>
      <c r="AE428" s="76">
        <v>0.45175395145262565</v>
      </c>
      <c r="AF428" s="77">
        <v>-0.63245553203367755</v>
      </c>
      <c r="AG428" s="77">
        <v>2</v>
      </c>
      <c r="AH428" s="76">
        <v>6.4285714285714288</v>
      </c>
      <c r="AI428" s="76">
        <v>0.49487165930539351</v>
      </c>
      <c r="AJ428" s="77">
        <v>-0.86602540378443915</v>
      </c>
      <c r="AK428" s="77">
        <v>2</v>
      </c>
      <c r="AL428" s="76"/>
      <c r="AM428" s="76"/>
      <c r="AN428" s="77"/>
      <c r="AO428" s="77"/>
      <c r="AP428" s="76"/>
      <c r="AQ428" s="76"/>
      <c r="AR428" s="77"/>
      <c r="AS428" s="77"/>
      <c r="AT428" s="78">
        <v>0.375</v>
      </c>
    </row>
    <row r="429" spans="1:46" ht="12.5" x14ac:dyDescent="0.25">
      <c r="A429" s="79">
        <v>44806.490086030091</v>
      </c>
      <c r="B429" s="80" t="s">
        <v>17</v>
      </c>
      <c r="C429" s="80" t="str">
        <f>INDEX(TBL_Name,MATCH(Table2[[#This Row],[Athlete Name]],listNames,0),2)</f>
        <v>Athlete 10</v>
      </c>
      <c r="D429" s="80" t="s">
        <v>130</v>
      </c>
      <c r="E429" s="80">
        <v>9</v>
      </c>
      <c r="F429" s="80">
        <v>7</v>
      </c>
      <c r="G429" s="80">
        <v>8</v>
      </c>
      <c r="H429" s="80" t="s">
        <v>71</v>
      </c>
      <c r="I429" s="80">
        <v>7</v>
      </c>
      <c r="J429" s="80"/>
      <c r="K429" s="80"/>
      <c r="L429" s="80"/>
      <c r="M429" s="1" t="s">
        <v>709</v>
      </c>
      <c r="N429" s="1">
        <v>36</v>
      </c>
      <c r="O429" s="1">
        <v>4</v>
      </c>
      <c r="P429" s="13">
        <v>44806</v>
      </c>
      <c r="Q429" s="1" t="s">
        <v>133</v>
      </c>
      <c r="R429" s="1" t="s">
        <v>64</v>
      </c>
      <c r="S429" s="1">
        <v>1</v>
      </c>
      <c r="T429" s="1"/>
      <c r="U429" s="1" t="s">
        <v>18</v>
      </c>
      <c r="V429" s="76">
        <v>8.8571428571428577</v>
      </c>
      <c r="W429" s="76">
        <v>0.83299312783504265</v>
      </c>
      <c r="X429" s="77">
        <v>0.17149858514250829</v>
      </c>
      <c r="Y429" s="77">
        <v>3</v>
      </c>
      <c r="Z429" s="76">
        <v>7.5714285714285712</v>
      </c>
      <c r="AA429" s="76">
        <v>0.72843135908468337</v>
      </c>
      <c r="AB429" s="77">
        <v>-0.78446454055273596</v>
      </c>
      <c r="AC429" s="77">
        <v>2</v>
      </c>
      <c r="AD429" s="76">
        <v>8.1428571428571423</v>
      </c>
      <c r="AE429" s="76">
        <v>0.8329931278350432</v>
      </c>
      <c r="AF429" s="77">
        <v>-0.17149858514250818</v>
      </c>
      <c r="AG429" s="77">
        <v>2</v>
      </c>
      <c r="AH429" s="76">
        <v>6.8571428571428568</v>
      </c>
      <c r="AI429" s="76">
        <v>0.83299312783504298</v>
      </c>
      <c r="AJ429" s="77">
        <v>0.17149858514250929</v>
      </c>
      <c r="AK429" s="77">
        <v>3</v>
      </c>
      <c r="AL429" s="76"/>
      <c r="AM429" s="76"/>
      <c r="AN429" s="77"/>
      <c r="AO429" s="77"/>
      <c r="AP429" s="76"/>
      <c r="AQ429" s="76"/>
      <c r="AR429" s="77"/>
      <c r="AS429" s="77"/>
      <c r="AT429" s="78">
        <v>0.375</v>
      </c>
    </row>
    <row r="430" spans="1:46" ht="12.5" x14ac:dyDescent="0.25">
      <c r="A430" s="79">
        <v>44806.574917557868</v>
      </c>
      <c r="B430" s="80" t="s">
        <v>168</v>
      </c>
      <c r="C430" s="80" t="str">
        <f>INDEX(TBL_Name,MATCH(Table2[[#This Row],[Athlete Name]],listNames,0),2)</f>
        <v>Athlete 26</v>
      </c>
      <c r="D430" s="80" t="s">
        <v>130</v>
      </c>
      <c r="E430" s="80">
        <v>7</v>
      </c>
      <c r="F430" s="80">
        <v>5</v>
      </c>
      <c r="G430" s="80">
        <v>7</v>
      </c>
      <c r="H430" s="80" t="s">
        <v>710</v>
      </c>
      <c r="I430" s="80">
        <v>5</v>
      </c>
      <c r="J430" s="80"/>
      <c r="K430" s="80"/>
      <c r="L430" s="80"/>
      <c r="M430" s="1" t="s">
        <v>711</v>
      </c>
      <c r="N430" s="1">
        <v>36</v>
      </c>
      <c r="O430" s="1">
        <v>4</v>
      </c>
      <c r="P430" s="13">
        <v>44806</v>
      </c>
      <c r="Q430" s="1" t="s">
        <v>133</v>
      </c>
      <c r="R430" s="1" t="s">
        <v>64</v>
      </c>
      <c r="S430" s="1">
        <v>1</v>
      </c>
      <c r="T430" s="1"/>
      <c r="U430" s="1" t="s">
        <v>5</v>
      </c>
      <c r="V430" s="76">
        <v>8.1666666666666661</v>
      </c>
      <c r="W430" s="76">
        <v>0.89752746785575099</v>
      </c>
      <c r="X430" s="77">
        <v>-1.2998673672393619</v>
      </c>
      <c r="Y430" s="77">
        <v>1</v>
      </c>
      <c r="Z430" s="76">
        <v>6.833333333333333</v>
      </c>
      <c r="AA430" s="76">
        <v>1.5723301886761007</v>
      </c>
      <c r="AB430" s="77">
        <v>-1.1659976680069957</v>
      </c>
      <c r="AC430" s="77">
        <v>1</v>
      </c>
      <c r="AD430" s="76">
        <v>7.833333333333333</v>
      </c>
      <c r="AE430" s="76">
        <v>0.89752746785575066</v>
      </c>
      <c r="AF430" s="77">
        <v>-0.92847669088525897</v>
      </c>
      <c r="AG430" s="77">
        <v>2</v>
      </c>
      <c r="AH430" s="76">
        <v>6.333333333333333</v>
      </c>
      <c r="AI430" s="76">
        <v>1.1055415967851332</v>
      </c>
      <c r="AJ430" s="77">
        <v>-1.2060453783110543</v>
      </c>
      <c r="AK430" s="77">
        <v>1</v>
      </c>
      <c r="AL430" s="76"/>
      <c r="AM430" s="76"/>
      <c r="AN430" s="77"/>
      <c r="AO430" s="77"/>
      <c r="AP430" s="76"/>
      <c r="AQ430" s="76"/>
      <c r="AR430" s="77"/>
      <c r="AS430" s="77"/>
      <c r="AT430" s="78">
        <v>0.25</v>
      </c>
    </row>
    <row r="431" spans="1:46" ht="12.5" x14ac:dyDescent="0.25">
      <c r="A431" s="79">
        <v>44807.373889525465</v>
      </c>
      <c r="B431" s="80" t="s">
        <v>10</v>
      </c>
      <c r="C431" s="80" t="str">
        <f>INDEX(TBL_Name,MATCH(Table2[[#This Row],[Athlete Name]],listNames,0),2)</f>
        <v>Athlete 5</v>
      </c>
      <c r="D431" s="80" t="s">
        <v>130</v>
      </c>
      <c r="E431" s="80">
        <v>7</v>
      </c>
      <c r="F431" s="80">
        <v>8</v>
      </c>
      <c r="G431" s="80">
        <v>8</v>
      </c>
      <c r="H431" s="80" t="s">
        <v>287</v>
      </c>
      <c r="I431" s="80">
        <v>6</v>
      </c>
      <c r="J431" s="80"/>
      <c r="K431" s="80"/>
      <c r="L431" s="80"/>
      <c r="M431" s="1" t="s">
        <v>712</v>
      </c>
      <c r="N431" s="1">
        <v>36</v>
      </c>
      <c r="O431" s="1">
        <v>4</v>
      </c>
      <c r="P431" s="13">
        <v>44807</v>
      </c>
      <c r="Q431" s="1" t="s">
        <v>133</v>
      </c>
      <c r="R431" s="1" t="s">
        <v>64</v>
      </c>
      <c r="S431" s="1">
        <v>1</v>
      </c>
      <c r="T431" s="1"/>
      <c r="U431" s="1" t="s">
        <v>11</v>
      </c>
      <c r="V431" s="76">
        <v>7.7142857142857144</v>
      </c>
      <c r="W431" s="76">
        <v>0.45175395145262559</v>
      </c>
      <c r="X431" s="77">
        <v>-1.58113883008419</v>
      </c>
      <c r="Y431" s="77">
        <v>1</v>
      </c>
      <c r="Z431" s="76">
        <v>8.1428571428571423</v>
      </c>
      <c r="AA431" s="76">
        <v>0.34992710611188255</v>
      </c>
      <c r="AB431" s="77">
        <v>-0.40824829046386163</v>
      </c>
      <c r="AC431" s="77">
        <v>2</v>
      </c>
      <c r="AD431" s="76">
        <v>8.1428571428571423</v>
      </c>
      <c r="AE431" s="76">
        <v>0.34992710611188255</v>
      </c>
      <c r="AF431" s="77">
        <v>-0.40824829046386163</v>
      </c>
      <c r="AG431" s="77">
        <v>2</v>
      </c>
      <c r="AH431" s="76">
        <v>7.4285714285714288</v>
      </c>
      <c r="AI431" s="76">
        <v>0.72843135908468348</v>
      </c>
      <c r="AJ431" s="77">
        <v>-1.9611613513818409</v>
      </c>
      <c r="AK431" s="77">
        <v>1</v>
      </c>
      <c r="AL431" s="76"/>
      <c r="AM431" s="76"/>
      <c r="AN431" s="77"/>
      <c r="AO431" s="77"/>
      <c r="AP431" s="76"/>
      <c r="AQ431" s="76"/>
      <c r="AR431" s="77"/>
      <c r="AS431" s="77"/>
      <c r="AT431" s="78">
        <v>0.5</v>
      </c>
    </row>
    <row r="432" spans="1:46" ht="12.5" x14ac:dyDescent="0.25">
      <c r="A432" s="79">
        <v>44807.403443912037</v>
      </c>
      <c r="B432" s="80" t="s">
        <v>185</v>
      </c>
      <c r="C432" s="80" t="str">
        <f>INDEX(TBL_Name,MATCH(Table2[[#This Row],[Athlete Name]],listNames,0),2)</f>
        <v>Athlete 30</v>
      </c>
      <c r="D432" s="80" t="s">
        <v>130</v>
      </c>
      <c r="E432" s="80">
        <v>9</v>
      </c>
      <c r="F432" s="80">
        <v>6</v>
      </c>
      <c r="G432" s="80">
        <v>7</v>
      </c>
      <c r="H432" s="80" t="s">
        <v>713</v>
      </c>
      <c r="I432" s="80">
        <v>4</v>
      </c>
      <c r="J432" s="80"/>
      <c r="K432" s="80"/>
      <c r="L432" s="80"/>
      <c r="M432" s="1" t="s">
        <v>714</v>
      </c>
      <c r="N432" s="1">
        <v>36</v>
      </c>
      <c r="O432" s="1">
        <v>4</v>
      </c>
      <c r="P432" s="13">
        <v>44807</v>
      </c>
      <c r="Q432" s="1" t="s">
        <v>133</v>
      </c>
      <c r="R432" s="1" t="s">
        <v>64</v>
      </c>
      <c r="S432" s="1">
        <v>1</v>
      </c>
      <c r="T432" s="1"/>
      <c r="U432" s="1" t="s">
        <v>26</v>
      </c>
      <c r="V432" s="76">
        <v>8.2857142857142865</v>
      </c>
      <c r="W432" s="76">
        <v>0.88063057185271121</v>
      </c>
      <c r="X432" s="77">
        <v>0.81110710565381161</v>
      </c>
      <c r="Y432" s="77">
        <v>3</v>
      </c>
      <c r="Z432" s="76">
        <v>5.4285714285714288</v>
      </c>
      <c r="AA432" s="76">
        <v>0.49487165930539351</v>
      </c>
      <c r="AB432" s="77">
        <v>1.154700538379251</v>
      </c>
      <c r="AC432" s="77">
        <v>4</v>
      </c>
      <c r="AD432" s="76">
        <v>6.8571428571428568</v>
      </c>
      <c r="AE432" s="76">
        <v>0.98974331861078702</v>
      </c>
      <c r="AF432" s="77">
        <v>0.14433756729740682</v>
      </c>
      <c r="AG432" s="77">
        <v>3</v>
      </c>
      <c r="AH432" s="76">
        <v>5</v>
      </c>
      <c r="AI432" s="76">
        <v>0.92582009977255164</v>
      </c>
      <c r="AJ432" s="77">
        <v>-1.0801234497346432</v>
      </c>
      <c r="AK432" s="77">
        <v>1</v>
      </c>
      <c r="AL432" s="76"/>
      <c r="AM432" s="76"/>
      <c r="AN432" s="77"/>
      <c r="AO432" s="77"/>
      <c r="AP432" s="76"/>
      <c r="AQ432" s="76"/>
      <c r="AR432" s="77"/>
      <c r="AS432" s="77"/>
      <c r="AT432" s="78">
        <v>0.375</v>
      </c>
    </row>
    <row r="433" spans="1:46" ht="12.5" x14ac:dyDescent="0.25">
      <c r="A433" s="79">
        <v>44807.409735671295</v>
      </c>
      <c r="B433" s="80" t="s">
        <v>21</v>
      </c>
      <c r="C433" s="80" t="str">
        <f>INDEX(TBL_Name,MATCH(Table2[[#This Row],[Athlete Name]],listNames,0),2)</f>
        <v>Athlete 13</v>
      </c>
      <c r="D433" s="80" t="s">
        <v>130</v>
      </c>
      <c r="E433" s="80">
        <v>8</v>
      </c>
      <c r="F433" s="80">
        <v>8</v>
      </c>
      <c r="G433" s="80">
        <v>9</v>
      </c>
      <c r="H433" s="80" t="s">
        <v>715</v>
      </c>
      <c r="I433" s="80">
        <v>6</v>
      </c>
      <c r="J433" s="80"/>
      <c r="K433" s="80"/>
      <c r="L433" s="80"/>
      <c r="M433" s="1" t="s">
        <v>716</v>
      </c>
      <c r="N433" s="1">
        <v>36</v>
      </c>
      <c r="O433" s="1">
        <v>4</v>
      </c>
      <c r="P433" s="13">
        <v>44807</v>
      </c>
      <c r="Q433" s="1" t="s">
        <v>133</v>
      </c>
      <c r="R433" s="1" t="s">
        <v>64</v>
      </c>
      <c r="S433" s="1">
        <v>1</v>
      </c>
      <c r="T433" s="1"/>
      <c r="U433" s="1" t="s">
        <v>18</v>
      </c>
      <c r="V433" s="76">
        <v>6.8</v>
      </c>
      <c r="W433" s="76">
        <v>1.1661903789690602</v>
      </c>
      <c r="X433" s="77">
        <v>1.0289915108550531</v>
      </c>
      <c r="Y433" s="77">
        <v>4</v>
      </c>
      <c r="Z433" s="76">
        <v>8.6</v>
      </c>
      <c r="AA433" s="76">
        <v>0.48989794855663565</v>
      </c>
      <c r="AB433" s="77">
        <v>-1.2247448713915883</v>
      </c>
      <c r="AC433" s="77">
        <v>1</v>
      </c>
      <c r="AD433" s="76">
        <v>8.8000000000000007</v>
      </c>
      <c r="AE433" s="76">
        <v>0.40000000000000008</v>
      </c>
      <c r="AF433" s="77">
        <v>0.49999999999999811</v>
      </c>
      <c r="AG433" s="77">
        <v>3</v>
      </c>
      <c r="AH433" s="76">
        <v>6</v>
      </c>
      <c r="AI433" s="76">
        <v>0.63245553203367588</v>
      </c>
      <c r="AJ433" s="77">
        <v>0</v>
      </c>
      <c r="AK433" s="77">
        <v>3</v>
      </c>
      <c r="AL433" s="76"/>
      <c r="AM433" s="76"/>
      <c r="AN433" s="77"/>
      <c r="AO433" s="77"/>
      <c r="AP433" s="76"/>
      <c r="AQ433" s="76"/>
      <c r="AR433" s="77"/>
      <c r="AS433" s="77"/>
      <c r="AT433" s="78">
        <v>0.875</v>
      </c>
    </row>
    <row r="434" spans="1:46" ht="12.5" x14ac:dyDescent="0.25">
      <c r="A434" s="79">
        <v>44807.438418958336</v>
      </c>
      <c r="B434" s="80" t="s">
        <v>171</v>
      </c>
      <c r="C434" s="80" t="str">
        <f>INDEX(TBL_Name,MATCH(Table2[[#This Row],[Athlete Name]],listNames,0),2)</f>
        <v>Athlete 27</v>
      </c>
      <c r="D434" s="80" t="s">
        <v>130</v>
      </c>
      <c r="E434" s="80">
        <v>9</v>
      </c>
      <c r="F434" s="80">
        <v>10</v>
      </c>
      <c r="G434" s="80">
        <v>10</v>
      </c>
      <c r="H434" s="80"/>
      <c r="I434" s="80">
        <v>10</v>
      </c>
      <c r="J434" s="80"/>
      <c r="K434" s="80"/>
      <c r="L434" s="80"/>
      <c r="M434" s="1" t="s">
        <v>717</v>
      </c>
      <c r="N434" s="1">
        <v>36</v>
      </c>
      <c r="O434" s="1">
        <v>4</v>
      </c>
      <c r="P434" s="13">
        <v>44807</v>
      </c>
      <c r="Q434" s="1" t="s">
        <v>133</v>
      </c>
      <c r="R434" s="1" t="s">
        <v>64</v>
      </c>
      <c r="S434" s="1">
        <v>1</v>
      </c>
      <c r="T434" s="1"/>
      <c r="U434" s="1" t="s">
        <v>8</v>
      </c>
      <c r="V434" s="76">
        <v>9.8000000000000007</v>
      </c>
      <c r="W434" s="76">
        <v>0.40000000000000019</v>
      </c>
      <c r="X434" s="77">
        <v>-2.0000000000000009</v>
      </c>
      <c r="Y434" s="77">
        <v>1</v>
      </c>
      <c r="Z434" s="76">
        <v>8</v>
      </c>
      <c r="AA434" s="76">
        <v>2.4494897427831783</v>
      </c>
      <c r="AB434" s="77">
        <v>0.81649658092772592</v>
      </c>
      <c r="AC434" s="77">
        <v>3</v>
      </c>
      <c r="AD434" s="76">
        <v>8.4</v>
      </c>
      <c r="AE434" s="76">
        <v>1.019803902718557</v>
      </c>
      <c r="AF434" s="77">
        <v>1.5689290811054719</v>
      </c>
      <c r="AG434" s="77">
        <v>4</v>
      </c>
      <c r="AH434" s="76">
        <v>9.6</v>
      </c>
      <c r="AI434" s="76">
        <v>0.80000000000000016</v>
      </c>
      <c r="AJ434" s="77">
        <v>0.50000000000000033</v>
      </c>
      <c r="AK434" s="77">
        <v>3</v>
      </c>
      <c r="AL434" s="76"/>
      <c r="AM434" s="76"/>
      <c r="AN434" s="77"/>
      <c r="AO434" s="77"/>
      <c r="AP434" s="76"/>
      <c r="AQ434" s="76"/>
      <c r="AR434" s="77"/>
      <c r="AS434" s="77"/>
      <c r="AT434" s="78">
        <v>0.625</v>
      </c>
    </row>
    <row r="435" spans="1:46" ht="12.5" x14ac:dyDescent="0.25">
      <c r="A435" s="79">
        <v>44807.438633634258</v>
      </c>
      <c r="B435" s="80" t="s">
        <v>196</v>
      </c>
      <c r="C435" s="80" t="str">
        <f>INDEX(TBL_Name,MATCH(Table2[[#This Row],[Athlete Name]],listNames,0),2)</f>
        <v>Athlete 31</v>
      </c>
      <c r="D435" s="80" t="s">
        <v>130</v>
      </c>
      <c r="E435" s="80">
        <v>5</v>
      </c>
      <c r="F435" s="80">
        <v>8</v>
      </c>
      <c r="G435" s="80">
        <v>10</v>
      </c>
      <c r="H435" s="80" t="s">
        <v>718</v>
      </c>
      <c r="I435" s="80">
        <v>9</v>
      </c>
      <c r="J435" s="80"/>
      <c r="K435" s="80"/>
      <c r="L435" s="80"/>
      <c r="M435" s="1" t="s">
        <v>719</v>
      </c>
      <c r="N435" s="1">
        <v>36</v>
      </c>
      <c r="O435" s="1">
        <v>4</v>
      </c>
      <c r="P435" s="13">
        <v>44807</v>
      </c>
      <c r="Q435" s="1" t="s">
        <v>133</v>
      </c>
      <c r="R435" s="1" t="s">
        <v>64</v>
      </c>
      <c r="S435" s="1">
        <v>1</v>
      </c>
      <c r="T435" s="1"/>
      <c r="U435" s="1" t="s">
        <v>28</v>
      </c>
      <c r="V435" s="76">
        <v>5.666666666666667</v>
      </c>
      <c r="W435" s="76">
        <v>1.1055415967851332</v>
      </c>
      <c r="X435" s="77">
        <v>-0.60302268915552759</v>
      </c>
      <c r="Y435" s="77">
        <v>2</v>
      </c>
      <c r="Z435" s="76">
        <v>8.3333333333333339</v>
      </c>
      <c r="AA435" s="76">
        <v>0.74535599249993001</v>
      </c>
      <c r="AB435" s="77">
        <v>-0.44721359549995865</v>
      </c>
      <c r="AC435" s="77">
        <v>2</v>
      </c>
      <c r="AD435" s="76">
        <v>8.9166666666666661</v>
      </c>
      <c r="AE435" s="76">
        <v>0.60667582410670995</v>
      </c>
      <c r="AF435" s="77">
        <v>1.785687331332958</v>
      </c>
      <c r="AG435" s="77">
        <v>4</v>
      </c>
      <c r="AH435" s="76">
        <v>8.3333333333333339</v>
      </c>
      <c r="AI435" s="76">
        <v>0.47140452079103184</v>
      </c>
      <c r="AJ435" s="77">
        <v>1.4142135623730934</v>
      </c>
      <c r="AK435" s="77">
        <v>4</v>
      </c>
      <c r="AL435" s="76"/>
      <c r="AM435" s="76"/>
      <c r="AN435" s="77"/>
      <c r="AO435" s="77"/>
      <c r="AP435" s="76"/>
      <c r="AQ435" s="76"/>
      <c r="AR435" s="77"/>
      <c r="AS435" s="77"/>
      <c r="AT435" s="78">
        <v>0.875</v>
      </c>
    </row>
    <row r="436" spans="1:46" ht="12.5" x14ac:dyDescent="0.25">
      <c r="A436" s="79">
        <v>44807.470567789351</v>
      </c>
      <c r="B436" s="80" t="s">
        <v>17</v>
      </c>
      <c r="C436" s="80" t="str">
        <f>INDEX(TBL_Name,MATCH(Table2[[#This Row],[Athlete Name]],listNames,0),2)</f>
        <v>Athlete 10</v>
      </c>
      <c r="D436" s="80" t="s">
        <v>130</v>
      </c>
      <c r="E436" s="80">
        <v>8</v>
      </c>
      <c r="F436" s="80">
        <v>9</v>
      </c>
      <c r="G436" s="80">
        <v>8</v>
      </c>
      <c r="H436" s="80" t="s">
        <v>676</v>
      </c>
      <c r="I436" s="80">
        <v>7</v>
      </c>
      <c r="J436" s="80"/>
      <c r="K436" s="80"/>
      <c r="L436" s="80"/>
      <c r="M436" s="1" t="s">
        <v>720</v>
      </c>
      <c r="N436" s="1">
        <v>36</v>
      </c>
      <c r="O436" s="1">
        <v>4</v>
      </c>
      <c r="P436" s="13">
        <v>44807</v>
      </c>
      <c r="Q436" s="1" t="s">
        <v>133</v>
      </c>
      <c r="R436" s="1" t="s">
        <v>64</v>
      </c>
      <c r="S436" s="1">
        <v>1</v>
      </c>
      <c r="T436" s="1"/>
      <c r="U436" s="1" t="s">
        <v>18</v>
      </c>
      <c r="V436" s="76">
        <v>8.7142857142857135</v>
      </c>
      <c r="W436" s="76">
        <v>0.8806305718527111</v>
      </c>
      <c r="X436" s="77">
        <v>-0.81110710565381161</v>
      </c>
      <c r="Y436" s="77">
        <v>2</v>
      </c>
      <c r="Z436" s="76">
        <v>7.8571428571428568</v>
      </c>
      <c r="AA436" s="76">
        <v>0.83299312783504309</v>
      </c>
      <c r="AB436" s="77">
        <v>1.3719886811400708</v>
      </c>
      <c r="AC436" s="77">
        <v>4</v>
      </c>
      <c r="AD436" s="76">
        <v>8</v>
      </c>
      <c r="AE436" s="76">
        <v>0.7559289460184544</v>
      </c>
      <c r="AF436" s="77">
        <v>0</v>
      </c>
      <c r="AG436" s="77">
        <v>3</v>
      </c>
      <c r="AH436" s="76">
        <v>6.8571428571428568</v>
      </c>
      <c r="AI436" s="76">
        <v>0.83299312783504276</v>
      </c>
      <c r="AJ436" s="77">
        <v>0.17149858514250932</v>
      </c>
      <c r="AK436" s="77">
        <v>3</v>
      </c>
      <c r="AL436" s="76"/>
      <c r="AM436" s="76"/>
      <c r="AN436" s="77"/>
      <c r="AO436" s="77"/>
      <c r="AP436" s="76"/>
      <c r="AQ436" s="76"/>
      <c r="AR436" s="77"/>
      <c r="AS436" s="77"/>
      <c r="AT436" s="78">
        <v>0.5</v>
      </c>
    </row>
    <row r="437" spans="1:46" ht="12.5" x14ac:dyDescent="0.25">
      <c r="A437" s="79">
        <v>44807.527001678245</v>
      </c>
      <c r="B437" s="80" t="s">
        <v>129</v>
      </c>
      <c r="C437" s="80" t="str">
        <f>INDEX(TBL_Name,MATCH(Table2[[#This Row],[Athlete Name]],listNames,0),2)</f>
        <v>Athlete 19</v>
      </c>
      <c r="D437" s="80" t="s">
        <v>130</v>
      </c>
      <c r="E437" s="80">
        <v>6</v>
      </c>
      <c r="F437" s="80">
        <v>8</v>
      </c>
      <c r="G437" s="80">
        <v>9</v>
      </c>
      <c r="H437" s="80" t="s">
        <v>489</v>
      </c>
      <c r="I437" s="80">
        <v>4</v>
      </c>
      <c r="J437" s="80"/>
      <c r="K437" s="80"/>
      <c r="L437" s="80"/>
      <c r="M437" s="1" t="s">
        <v>721</v>
      </c>
      <c r="N437" s="1">
        <v>36</v>
      </c>
      <c r="O437" s="1">
        <v>4</v>
      </c>
      <c r="P437" s="13">
        <v>44807</v>
      </c>
      <c r="Q437" s="1" t="s">
        <v>133</v>
      </c>
      <c r="R437" s="1" t="s">
        <v>64</v>
      </c>
      <c r="S437" s="1">
        <v>1</v>
      </c>
      <c r="T437" s="1"/>
      <c r="U437" s="1" t="s">
        <v>18</v>
      </c>
      <c r="V437" s="76">
        <v>6.5</v>
      </c>
      <c r="W437" s="76">
        <v>0.5</v>
      </c>
      <c r="X437" s="77">
        <v>-1</v>
      </c>
      <c r="Y437" s="77">
        <v>1</v>
      </c>
      <c r="Z437" s="76">
        <v>7.75</v>
      </c>
      <c r="AA437" s="76">
        <v>0.43301270189221924</v>
      </c>
      <c r="AB437" s="77">
        <v>0.57735026918962584</v>
      </c>
      <c r="AC437" s="77">
        <v>3</v>
      </c>
      <c r="AD437" s="76">
        <v>7.75</v>
      </c>
      <c r="AE437" s="76">
        <v>0.82915619758885006</v>
      </c>
      <c r="AF437" s="77">
        <v>1.507556722888818</v>
      </c>
      <c r="AG437" s="77">
        <v>4</v>
      </c>
      <c r="AH437" s="76">
        <v>4</v>
      </c>
      <c r="AI437" s="76">
        <v>0</v>
      </c>
      <c r="AJ437" s="77">
        <v>0</v>
      </c>
      <c r="AK437" s="77">
        <v>3</v>
      </c>
      <c r="AL437" s="76"/>
      <c r="AM437" s="76"/>
      <c r="AN437" s="77"/>
      <c r="AO437" s="77"/>
      <c r="AP437" s="76"/>
      <c r="AQ437" s="76"/>
      <c r="AR437" s="77"/>
      <c r="AS437" s="77"/>
      <c r="AT437" s="78">
        <v>0.625</v>
      </c>
    </row>
    <row r="438" spans="1:46" ht="12.5" x14ac:dyDescent="0.25">
      <c r="A438" s="79">
        <v>44807.550004699078</v>
      </c>
      <c r="B438" s="80" t="s">
        <v>142</v>
      </c>
      <c r="C438" s="80" t="str">
        <f>INDEX(TBL_Name,MATCH(Table2[[#This Row],[Athlete Name]],listNames,0),2)</f>
        <v>Athlete 21</v>
      </c>
      <c r="D438" s="80" t="s">
        <v>130</v>
      </c>
      <c r="E438" s="80">
        <v>6</v>
      </c>
      <c r="F438" s="80">
        <v>9</v>
      </c>
      <c r="G438" s="80">
        <v>10</v>
      </c>
      <c r="H438" s="80" t="s">
        <v>349</v>
      </c>
      <c r="I438" s="80">
        <v>6</v>
      </c>
      <c r="J438" s="80"/>
      <c r="K438" s="80"/>
      <c r="L438" s="80"/>
      <c r="M438" s="1" t="s">
        <v>722</v>
      </c>
      <c r="N438" s="1">
        <v>36</v>
      </c>
      <c r="O438" s="1">
        <v>4</v>
      </c>
      <c r="P438" s="13">
        <v>44807</v>
      </c>
      <c r="Q438" s="1" t="s">
        <v>133</v>
      </c>
      <c r="R438" s="1" t="s">
        <v>64</v>
      </c>
      <c r="S438" s="1">
        <v>1</v>
      </c>
      <c r="T438" s="1"/>
      <c r="U438" s="1" t="s">
        <v>18</v>
      </c>
      <c r="V438" s="76">
        <v>4.5</v>
      </c>
      <c r="W438" s="76">
        <v>0.9574271077563381</v>
      </c>
      <c r="X438" s="77">
        <v>1.5666989036012806</v>
      </c>
      <c r="Y438" s="77">
        <v>4</v>
      </c>
      <c r="Z438" s="76">
        <v>9</v>
      </c>
      <c r="AA438" s="76">
        <v>0</v>
      </c>
      <c r="AB438" s="77">
        <v>0</v>
      </c>
      <c r="AC438" s="77">
        <v>3</v>
      </c>
      <c r="AD438" s="76">
        <v>9.1666666666666661</v>
      </c>
      <c r="AE438" s="76">
        <v>0.68718427093627688</v>
      </c>
      <c r="AF438" s="77">
        <v>1.2126781251816656</v>
      </c>
      <c r="AG438" s="77">
        <v>4</v>
      </c>
      <c r="AH438" s="76">
        <v>3.5</v>
      </c>
      <c r="AI438" s="76">
        <v>1.2583057392117916</v>
      </c>
      <c r="AJ438" s="77">
        <v>1.9867985355975657</v>
      </c>
      <c r="AK438" s="77">
        <v>4</v>
      </c>
      <c r="AL438" s="76"/>
      <c r="AM438" s="76"/>
      <c r="AN438" s="77"/>
      <c r="AO438" s="77"/>
      <c r="AP438" s="76"/>
      <c r="AQ438" s="76"/>
      <c r="AR438" s="77"/>
      <c r="AS438" s="77"/>
      <c r="AT438" s="78">
        <v>1</v>
      </c>
    </row>
    <row r="439" spans="1:46" ht="12.5" x14ac:dyDescent="0.25">
      <c r="A439" s="79">
        <v>44807.564000891201</v>
      </c>
      <c r="B439" s="80" t="s">
        <v>15</v>
      </c>
      <c r="C439" s="80" t="str">
        <f>INDEX(TBL_Name,MATCH(Table2[[#This Row],[Athlete Name]],listNames,0),2)</f>
        <v>Athlete 8</v>
      </c>
      <c r="D439" s="80" t="s">
        <v>130</v>
      </c>
      <c r="E439" s="80">
        <v>9</v>
      </c>
      <c r="F439" s="80">
        <v>7</v>
      </c>
      <c r="G439" s="80">
        <v>8</v>
      </c>
      <c r="H439" s="80" t="s">
        <v>723</v>
      </c>
      <c r="I439" s="80">
        <v>6</v>
      </c>
      <c r="J439" s="80"/>
      <c r="K439" s="80"/>
      <c r="L439" s="80"/>
      <c r="M439" s="1" t="s">
        <v>724</v>
      </c>
      <c r="N439" s="1">
        <v>36</v>
      </c>
      <c r="O439" s="1">
        <v>4</v>
      </c>
      <c r="P439" s="13">
        <v>44807</v>
      </c>
      <c r="Q439" s="1" t="s">
        <v>133</v>
      </c>
      <c r="R439" s="1" t="s">
        <v>64</v>
      </c>
      <c r="S439" s="1">
        <v>1</v>
      </c>
      <c r="T439" s="1"/>
      <c r="U439" s="1" t="s">
        <v>14</v>
      </c>
      <c r="V439" s="76">
        <v>9.25</v>
      </c>
      <c r="W439" s="76">
        <v>0.82915619758884984</v>
      </c>
      <c r="X439" s="77">
        <v>-0.30151134457776368</v>
      </c>
      <c r="Y439" s="77">
        <v>2</v>
      </c>
      <c r="Z439" s="76">
        <v>9.25</v>
      </c>
      <c r="AA439" s="76">
        <v>1.299038105676658</v>
      </c>
      <c r="AB439" s="77">
        <v>-1.7320508075688772</v>
      </c>
      <c r="AC439" s="77">
        <v>1</v>
      </c>
      <c r="AD439" s="76">
        <v>8.5</v>
      </c>
      <c r="AE439" s="76">
        <v>0.5</v>
      </c>
      <c r="AF439" s="77">
        <v>-1</v>
      </c>
      <c r="AG439" s="77">
        <v>1</v>
      </c>
      <c r="AH439" s="76">
        <v>5.75</v>
      </c>
      <c r="AI439" s="76">
        <v>0.82915619758884995</v>
      </c>
      <c r="AJ439" s="77">
        <v>0.30151134457776363</v>
      </c>
      <c r="AK439" s="77">
        <v>3</v>
      </c>
      <c r="AL439" s="76"/>
      <c r="AM439" s="76"/>
      <c r="AN439" s="77"/>
      <c r="AO439" s="77"/>
      <c r="AP439" s="76"/>
      <c r="AQ439" s="76"/>
      <c r="AR439" s="77"/>
      <c r="AS439" s="77"/>
      <c r="AT439" s="78">
        <v>0.3125</v>
      </c>
    </row>
    <row r="440" spans="1:46" ht="12.5" x14ac:dyDescent="0.25">
      <c r="A440" s="79">
        <v>44808.301692187495</v>
      </c>
      <c r="B440" s="80" t="s">
        <v>21</v>
      </c>
      <c r="C440" s="80" t="str">
        <f>INDEX(TBL_Name,MATCH(Table2[[#This Row],[Athlete Name]],listNames,0),2)</f>
        <v>Athlete 13</v>
      </c>
      <c r="D440" s="80" t="s">
        <v>130</v>
      </c>
      <c r="E440" s="80">
        <v>7</v>
      </c>
      <c r="F440" s="80">
        <v>9</v>
      </c>
      <c r="G440" s="80">
        <v>10</v>
      </c>
      <c r="H440" s="80" t="s">
        <v>424</v>
      </c>
      <c r="I440" s="80">
        <v>4</v>
      </c>
      <c r="J440" s="80"/>
      <c r="K440" s="80"/>
      <c r="L440" s="80"/>
      <c r="M440" s="1" t="s">
        <v>725</v>
      </c>
      <c r="N440" s="1">
        <v>37</v>
      </c>
      <c r="O440" s="1">
        <v>5</v>
      </c>
      <c r="P440" s="13">
        <v>44808</v>
      </c>
      <c r="Q440" s="1" t="s">
        <v>133</v>
      </c>
      <c r="R440" s="1" t="s">
        <v>64</v>
      </c>
      <c r="S440" s="1">
        <v>1</v>
      </c>
      <c r="T440" s="1"/>
      <c r="U440" s="1" t="s">
        <v>18</v>
      </c>
      <c r="V440" s="76">
        <v>7</v>
      </c>
      <c r="W440" s="76">
        <v>1.0954451150103321</v>
      </c>
      <c r="X440" s="77">
        <v>0</v>
      </c>
      <c r="Y440" s="77">
        <v>3</v>
      </c>
      <c r="Z440" s="76">
        <v>8.8000000000000007</v>
      </c>
      <c r="AA440" s="76">
        <v>0.39999999999999997</v>
      </c>
      <c r="AB440" s="77">
        <v>0.49999999999999828</v>
      </c>
      <c r="AC440" s="77">
        <v>3</v>
      </c>
      <c r="AD440" s="76">
        <v>9</v>
      </c>
      <c r="AE440" s="76">
        <v>0.63245553203367588</v>
      </c>
      <c r="AF440" s="77">
        <v>1.5811388300841895</v>
      </c>
      <c r="AG440" s="77">
        <v>4</v>
      </c>
      <c r="AH440" s="76">
        <v>5.6</v>
      </c>
      <c r="AI440" s="76">
        <v>1.0198039027185568</v>
      </c>
      <c r="AJ440" s="77">
        <v>-1.5689290811054721</v>
      </c>
      <c r="AK440" s="77">
        <v>1</v>
      </c>
      <c r="AL440" s="76"/>
      <c r="AM440" s="76"/>
      <c r="AN440" s="77"/>
      <c r="AO440" s="77"/>
      <c r="AP440" s="76"/>
      <c r="AQ440" s="76"/>
      <c r="AR440" s="77"/>
      <c r="AS440" s="77"/>
      <c r="AT440" s="78">
        <v>0.75</v>
      </c>
    </row>
    <row r="441" spans="1:46" ht="12.5" x14ac:dyDescent="0.25">
      <c r="A441" s="79">
        <v>44808.348187025462</v>
      </c>
      <c r="B441" s="80" t="s">
        <v>196</v>
      </c>
      <c r="C441" s="80" t="str">
        <f>INDEX(TBL_Name,MATCH(Table2[[#This Row],[Athlete Name]],listNames,0),2)</f>
        <v>Athlete 31</v>
      </c>
      <c r="D441" s="80" t="s">
        <v>130</v>
      </c>
      <c r="E441" s="80">
        <v>5</v>
      </c>
      <c r="F441" s="80">
        <v>8</v>
      </c>
      <c r="G441" s="80">
        <v>8</v>
      </c>
      <c r="H441" s="80" t="s">
        <v>66</v>
      </c>
      <c r="I441" s="80">
        <v>9</v>
      </c>
      <c r="J441" s="80"/>
      <c r="K441" s="80"/>
      <c r="L441" s="80"/>
      <c r="M441" s="1" t="s">
        <v>726</v>
      </c>
      <c r="N441" s="1">
        <v>37</v>
      </c>
      <c r="O441" s="1">
        <v>5</v>
      </c>
      <c r="P441" s="13">
        <v>44808</v>
      </c>
      <c r="Q441" s="1" t="s">
        <v>133</v>
      </c>
      <c r="R441" s="1" t="s">
        <v>64</v>
      </c>
      <c r="S441" s="1">
        <v>1</v>
      </c>
      <c r="T441" s="1"/>
      <c r="U441" s="1" t="s">
        <v>28</v>
      </c>
      <c r="V441" s="76">
        <v>5.666666666666667</v>
      </c>
      <c r="W441" s="76">
        <v>1.1055415967851332</v>
      </c>
      <c r="X441" s="77">
        <v>-0.60302268915552759</v>
      </c>
      <c r="Y441" s="77">
        <v>2</v>
      </c>
      <c r="Z441" s="76">
        <v>8.1666666666666661</v>
      </c>
      <c r="AA441" s="76">
        <v>0.68718427093627654</v>
      </c>
      <c r="AB441" s="77">
        <v>-0.24253562503633219</v>
      </c>
      <c r="AC441" s="77">
        <v>2</v>
      </c>
      <c r="AD441" s="76">
        <v>8.75</v>
      </c>
      <c r="AE441" s="76">
        <v>0.69221865524317294</v>
      </c>
      <c r="AF441" s="77">
        <v>-1.0834726777719228</v>
      </c>
      <c r="AG441" s="77">
        <v>1</v>
      </c>
      <c r="AH441" s="76">
        <v>8.5</v>
      </c>
      <c r="AI441" s="76">
        <v>0.5</v>
      </c>
      <c r="AJ441" s="77">
        <v>1</v>
      </c>
      <c r="AK441" s="77">
        <v>4</v>
      </c>
      <c r="AL441" s="76"/>
      <c r="AM441" s="76"/>
      <c r="AN441" s="77"/>
      <c r="AO441" s="77"/>
      <c r="AP441" s="76"/>
      <c r="AQ441" s="76"/>
      <c r="AR441" s="77"/>
      <c r="AS441" s="77"/>
      <c r="AT441" s="78">
        <v>0.875</v>
      </c>
    </row>
    <row r="442" spans="1:46" ht="12.5" x14ac:dyDescent="0.25">
      <c r="A442" s="79">
        <v>44808.452465636576</v>
      </c>
      <c r="B442" s="80" t="s">
        <v>17</v>
      </c>
      <c r="C442" s="80" t="str">
        <f>INDEX(TBL_Name,MATCH(Table2[[#This Row],[Athlete Name]],listNames,0),2)</f>
        <v>Athlete 10</v>
      </c>
      <c r="D442" s="80" t="s">
        <v>130</v>
      </c>
      <c r="E442" s="80">
        <v>9</v>
      </c>
      <c r="F442" s="80">
        <v>9</v>
      </c>
      <c r="G442" s="80">
        <v>9</v>
      </c>
      <c r="H442" s="80" t="s">
        <v>508</v>
      </c>
      <c r="I442" s="80">
        <v>6</v>
      </c>
      <c r="J442" s="80"/>
      <c r="K442" s="80"/>
      <c r="L442" s="80"/>
      <c r="M442" s="1" t="s">
        <v>727</v>
      </c>
      <c r="N442" s="1">
        <v>37</v>
      </c>
      <c r="O442" s="1">
        <v>5</v>
      </c>
      <c r="P442" s="13">
        <v>44808</v>
      </c>
      <c r="Q442" s="1" t="s">
        <v>133</v>
      </c>
      <c r="R442" s="1" t="s">
        <v>64</v>
      </c>
      <c r="S442" s="1">
        <v>1</v>
      </c>
      <c r="T442" s="1"/>
      <c r="U442" s="1" t="s">
        <v>18</v>
      </c>
      <c r="V442" s="76">
        <v>8.7142857142857135</v>
      </c>
      <c r="W442" s="76">
        <v>0.8806305718527111</v>
      </c>
      <c r="X442" s="77">
        <v>0.32444284226152587</v>
      </c>
      <c r="Y442" s="77">
        <v>3</v>
      </c>
      <c r="Z442" s="76">
        <v>8</v>
      </c>
      <c r="AA442" s="76">
        <v>0.92582009977255153</v>
      </c>
      <c r="AB442" s="77">
        <v>1.0801234497346432</v>
      </c>
      <c r="AC442" s="77">
        <v>4</v>
      </c>
      <c r="AD442" s="76">
        <v>8</v>
      </c>
      <c r="AE442" s="76">
        <v>0.7559289460184544</v>
      </c>
      <c r="AF442" s="77">
        <v>1.3228756555322954</v>
      </c>
      <c r="AG442" s="77">
        <v>4</v>
      </c>
      <c r="AH442" s="76">
        <v>6.5714285714285712</v>
      </c>
      <c r="AI442" s="76">
        <v>0.72843135908468359</v>
      </c>
      <c r="AJ442" s="77">
        <v>-0.78446454055273573</v>
      </c>
      <c r="AK442" s="77">
        <v>2</v>
      </c>
      <c r="AL442" s="76"/>
      <c r="AM442" s="76"/>
      <c r="AN442" s="77"/>
      <c r="AO442" s="77"/>
      <c r="AP442" s="76"/>
      <c r="AQ442" s="76"/>
      <c r="AR442" s="77"/>
      <c r="AS442" s="77"/>
      <c r="AT442" s="78">
        <v>0.625</v>
      </c>
    </row>
    <row r="443" spans="1:46" ht="12.5" x14ac:dyDescent="0.25">
      <c r="A443" s="79">
        <v>44808.465701782407</v>
      </c>
      <c r="B443" s="80" t="s">
        <v>6</v>
      </c>
      <c r="C443" s="80" t="str">
        <f>INDEX(TBL_Name,MATCH(Table2[[#This Row],[Athlete Name]],listNames,0),2)</f>
        <v>Athlete 2</v>
      </c>
      <c r="D443" s="80" t="s">
        <v>130</v>
      </c>
      <c r="E443" s="80">
        <v>10</v>
      </c>
      <c r="F443" s="80">
        <v>6</v>
      </c>
      <c r="G443" s="80">
        <v>10</v>
      </c>
      <c r="H443" s="80" t="s">
        <v>231</v>
      </c>
      <c r="I443" s="80">
        <v>7</v>
      </c>
      <c r="J443" s="80"/>
      <c r="K443" s="80"/>
      <c r="L443" s="80"/>
      <c r="M443" s="1" t="s">
        <v>728</v>
      </c>
      <c r="N443" s="1">
        <v>37</v>
      </c>
      <c r="O443" s="1">
        <v>5</v>
      </c>
      <c r="P443" s="13">
        <v>44808</v>
      </c>
      <c r="Q443" s="1" t="s">
        <v>133</v>
      </c>
      <c r="R443" s="1" t="s">
        <v>64</v>
      </c>
      <c r="S443" s="1">
        <v>1</v>
      </c>
      <c r="T443" s="1"/>
      <c r="U443" s="1" t="s">
        <v>5</v>
      </c>
      <c r="V443" s="76">
        <v>9.6666666666666661</v>
      </c>
      <c r="W443" s="76">
        <v>0.47140452079103179</v>
      </c>
      <c r="X443" s="77">
        <v>0.70710678118654857</v>
      </c>
      <c r="Y443" s="77">
        <v>3</v>
      </c>
      <c r="Z443" s="76">
        <v>6.333333333333333</v>
      </c>
      <c r="AA443" s="76">
        <v>0.94280904158206336</v>
      </c>
      <c r="AB443" s="77">
        <v>-0.35355339059327345</v>
      </c>
      <c r="AC443" s="77">
        <v>2</v>
      </c>
      <c r="AD443" s="76">
        <v>8.3333333333333339</v>
      </c>
      <c r="AE443" s="76">
        <v>0.74535599249992979</v>
      </c>
      <c r="AF443" s="77">
        <v>2.2360679774997894</v>
      </c>
      <c r="AG443" s="77">
        <v>4</v>
      </c>
      <c r="AH443" s="76">
        <v>6.333333333333333</v>
      </c>
      <c r="AI443" s="76">
        <v>0.47140452079103157</v>
      </c>
      <c r="AJ443" s="77">
        <v>1.414213562373096</v>
      </c>
      <c r="AK443" s="77">
        <v>4</v>
      </c>
      <c r="AL443" s="76"/>
      <c r="AM443" s="76"/>
      <c r="AN443" s="77"/>
      <c r="AO443" s="77"/>
      <c r="AP443" s="76"/>
      <c r="AQ443" s="76"/>
      <c r="AR443" s="77"/>
      <c r="AS443" s="77"/>
      <c r="AT443" s="78">
        <v>0.5</v>
      </c>
    </row>
    <row r="444" spans="1:46" ht="12.5" x14ac:dyDescent="0.25">
      <c r="A444" s="79">
        <v>44808.593537488428</v>
      </c>
      <c r="B444" s="80" t="s">
        <v>19</v>
      </c>
      <c r="C444" s="80" t="str">
        <f>INDEX(TBL_Name,MATCH(Table2[[#This Row],[Athlete Name]],listNames,0),2)</f>
        <v>Athlete 11</v>
      </c>
      <c r="D444" s="80" t="s">
        <v>130</v>
      </c>
      <c r="E444" s="80">
        <v>8</v>
      </c>
      <c r="F444" s="80">
        <v>8</v>
      </c>
      <c r="G444" s="80">
        <v>8</v>
      </c>
      <c r="H444" s="80" t="s">
        <v>280</v>
      </c>
      <c r="I444" s="80">
        <v>3</v>
      </c>
      <c r="J444" s="80"/>
      <c r="K444" s="80"/>
      <c r="L444" s="80"/>
      <c r="M444" s="1" t="s">
        <v>729</v>
      </c>
      <c r="N444" s="1">
        <v>37</v>
      </c>
      <c r="O444" s="1">
        <v>5</v>
      </c>
      <c r="P444" s="13">
        <v>44808</v>
      </c>
      <c r="Q444" s="1" t="s">
        <v>133</v>
      </c>
      <c r="R444" s="1" t="s">
        <v>64</v>
      </c>
      <c r="S444" s="1">
        <v>1</v>
      </c>
      <c r="T444" s="1"/>
      <c r="U444" s="1" t="s">
        <v>18</v>
      </c>
      <c r="V444" s="76">
        <v>7</v>
      </c>
      <c r="W444" s="76">
        <v>1.2247448713915892</v>
      </c>
      <c r="X444" s="77">
        <v>0.81649658092772592</v>
      </c>
      <c r="Y444" s="77">
        <v>3</v>
      </c>
      <c r="Z444" s="76">
        <v>8</v>
      </c>
      <c r="AA444" s="76">
        <v>0.70710678118654757</v>
      </c>
      <c r="AB444" s="77">
        <v>0</v>
      </c>
      <c r="AC444" s="77">
        <v>3</v>
      </c>
      <c r="AD444" s="76">
        <v>7.75</v>
      </c>
      <c r="AE444" s="76">
        <v>1.0897247358851683</v>
      </c>
      <c r="AF444" s="77">
        <v>0.2294157338705618</v>
      </c>
      <c r="AG444" s="77">
        <v>3</v>
      </c>
      <c r="AH444" s="76">
        <v>3.5</v>
      </c>
      <c r="AI444" s="76">
        <v>0.5</v>
      </c>
      <c r="AJ444" s="77">
        <v>-1</v>
      </c>
      <c r="AK444" s="77">
        <v>1</v>
      </c>
      <c r="AL444" s="76"/>
      <c r="AM444" s="76"/>
      <c r="AN444" s="77"/>
      <c r="AO444" s="77"/>
      <c r="AP444" s="76"/>
      <c r="AQ444" s="76"/>
      <c r="AR444" s="77"/>
      <c r="AS444" s="77"/>
      <c r="AT444" s="78">
        <v>0.625</v>
      </c>
    </row>
    <row r="445" spans="1:46" ht="12.5" x14ac:dyDescent="0.25">
      <c r="A445" s="79">
        <v>44808.604647939814</v>
      </c>
      <c r="B445" s="80" t="s">
        <v>171</v>
      </c>
      <c r="C445" s="80" t="str">
        <f>INDEX(TBL_Name,MATCH(Table2[[#This Row],[Athlete Name]],listNames,0),2)</f>
        <v>Athlete 27</v>
      </c>
      <c r="D445" s="80" t="s">
        <v>130</v>
      </c>
      <c r="E445" s="80">
        <v>10</v>
      </c>
      <c r="F445" s="80">
        <v>7</v>
      </c>
      <c r="G445" s="80">
        <v>7</v>
      </c>
      <c r="H445" s="80" t="s">
        <v>66</v>
      </c>
      <c r="I445" s="80">
        <v>6</v>
      </c>
      <c r="J445" s="80"/>
      <c r="K445" s="80"/>
      <c r="L445" s="80"/>
      <c r="M445" s="1" t="s">
        <v>730</v>
      </c>
      <c r="N445" s="1">
        <v>37</v>
      </c>
      <c r="O445" s="1">
        <v>5</v>
      </c>
      <c r="P445" s="13">
        <v>44808</v>
      </c>
      <c r="Q445" s="1" t="s">
        <v>133</v>
      </c>
      <c r="R445" s="1" t="s">
        <v>64</v>
      </c>
      <c r="S445" s="1">
        <v>1</v>
      </c>
      <c r="T445" s="1"/>
      <c r="U445" s="1" t="s">
        <v>8</v>
      </c>
      <c r="V445" s="76">
        <v>9.8333333333333339</v>
      </c>
      <c r="W445" s="76">
        <v>0.37267799624996506</v>
      </c>
      <c r="X445" s="77">
        <v>0.44721359549995621</v>
      </c>
      <c r="Y445" s="77">
        <v>3</v>
      </c>
      <c r="Z445" s="76">
        <v>7.833333333333333</v>
      </c>
      <c r="AA445" s="76">
        <v>2.2669117514559076</v>
      </c>
      <c r="AB445" s="77">
        <v>-0.3676073110469037</v>
      </c>
      <c r="AC445" s="77">
        <v>2</v>
      </c>
      <c r="AD445" s="76">
        <v>8.1666666666666661</v>
      </c>
      <c r="AE445" s="76">
        <v>1.0671873729054751</v>
      </c>
      <c r="AF445" s="77">
        <v>-1.0932163332202416</v>
      </c>
      <c r="AG445" s="77">
        <v>1</v>
      </c>
      <c r="AH445" s="76">
        <v>9</v>
      </c>
      <c r="AI445" s="76">
        <v>1.5275252316519468</v>
      </c>
      <c r="AJ445" s="77">
        <v>-1.9639610121239313</v>
      </c>
      <c r="AK445" s="77">
        <v>1</v>
      </c>
      <c r="AL445" s="76"/>
      <c r="AM445" s="76"/>
      <c r="AN445" s="77"/>
      <c r="AO445" s="77"/>
      <c r="AP445" s="76"/>
      <c r="AQ445" s="76"/>
      <c r="AR445" s="77"/>
      <c r="AS445" s="77"/>
      <c r="AT445" s="78">
        <v>0.375</v>
      </c>
    </row>
    <row r="446" spans="1:46" ht="12.5" x14ac:dyDescent="0.25">
      <c r="A446" s="79">
        <v>44808.607257129624</v>
      </c>
      <c r="B446" s="80" t="s">
        <v>20</v>
      </c>
      <c r="C446" s="80" t="str">
        <f>INDEX(TBL_Name,MATCH(Table2[[#This Row],[Athlete Name]],listNames,0),2)</f>
        <v>Athlete 12</v>
      </c>
      <c r="D446" s="80" t="s">
        <v>130</v>
      </c>
      <c r="E446" s="80">
        <v>8</v>
      </c>
      <c r="F446" s="80">
        <v>6</v>
      </c>
      <c r="G446" s="80">
        <v>9</v>
      </c>
      <c r="H446" s="80" t="s">
        <v>432</v>
      </c>
      <c r="I446" s="80">
        <v>4</v>
      </c>
      <c r="J446" s="80"/>
      <c r="K446" s="80"/>
      <c r="L446" s="80"/>
      <c r="M446" s="1" t="s">
        <v>731</v>
      </c>
      <c r="N446" s="1">
        <v>37</v>
      </c>
      <c r="O446" s="1">
        <v>5</v>
      </c>
      <c r="P446" s="13">
        <v>44808</v>
      </c>
      <c r="Q446" s="1" t="s">
        <v>133</v>
      </c>
      <c r="R446" s="1" t="s">
        <v>64</v>
      </c>
      <c r="S446" s="1">
        <v>1</v>
      </c>
      <c r="T446" s="1"/>
      <c r="U446" s="1" t="s">
        <v>18</v>
      </c>
      <c r="V446" s="76">
        <v>6</v>
      </c>
      <c r="W446" s="76">
        <v>2</v>
      </c>
      <c r="X446" s="77">
        <v>1</v>
      </c>
      <c r="Y446" s="77">
        <v>4</v>
      </c>
      <c r="Z446" s="76">
        <v>6.5</v>
      </c>
      <c r="AA446" s="76">
        <v>0.5</v>
      </c>
      <c r="AB446" s="77">
        <v>-1</v>
      </c>
      <c r="AC446" s="77">
        <v>1</v>
      </c>
      <c r="AD446" s="76">
        <v>8.5</v>
      </c>
      <c r="AE446" s="76">
        <v>0.5</v>
      </c>
      <c r="AF446" s="77">
        <v>1</v>
      </c>
      <c r="AG446" s="77">
        <v>4</v>
      </c>
      <c r="AH446" s="76">
        <v>4.5</v>
      </c>
      <c r="AI446" s="76">
        <v>0.5</v>
      </c>
      <c r="AJ446" s="77">
        <v>-1</v>
      </c>
      <c r="AK446" s="77">
        <v>1</v>
      </c>
      <c r="AL446" s="76"/>
      <c r="AM446" s="76"/>
      <c r="AN446" s="77"/>
      <c r="AO446" s="77"/>
      <c r="AP446" s="76"/>
      <c r="AQ446" s="76"/>
      <c r="AR446" s="77"/>
      <c r="AS446" s="77"/>
      <c r="AT446" s="78">
        <v>0.75</v>
      </c>
    </row>
    <row r="447" spans="1:46" ht="12.5" x14ac:dyDescent="0.25">
      <c r="A447" s="79">
        <v>44808.86371539352</v>
      </c>
      <c r="B447" s="80" t="s">
        <v>136</v>
      </c>
      <c r="C447" s="80" t="str">
        <f>INDEX(TBL_Name,MATCH(Table2[[#This Row],[Athlete Name]],listNames,0),2)</f>
        <v>Athlete 20</v>
      </c>
      <c r="D447" s="80" t="s">
        <v>130</v>
      </c>
      <c r="E447" s="80">
        <v>10</v>
      </c>
      <c r="F447" s="80">
        <v>9</v>
      </c>
      <c r="G447" s="80">
        <v>10</v>
      </c>
      <c r="H447" s="80" t="s">
        <v>251</v>
      </c>
      <c r="I447" s="80">
        <v>4</v>
      </c>
      <c r="J447" s="80"/>
      <c r="K447" s="80"/>
      <c r="L447" s="80"/>
      <c r="M447" s="1" t="s">
        <v>732</v>
      </c>
      <c r="N447" s="1">
        <v>37</v>
      </c>
      <c r="O447" s="1">
        <v>5</v>
      </c>
      <c r="P447" s="13">
        <v>44808</v>
      </c>
      <c r="Q447" s="1" t="s">
        <v>133</v>
      </c>
      <c r="R447" s="1" t="s">
        <v>64</v>
      </c>
      <c r="S447" s="1">
        <v>1</v>
      </c>
      <c r="T447" s="1"/>
      <c r="U447" s="1" t="s">
        <v>18</v>
      </c>
      <c r="V447" s="76">
        <v>9.3333333333333339</v>
      </c>
      <c r="W447" s="76">
        <v>0.74535599249993012</v>
      </c>
      <c r="X447" s="77">
        <v>0.89442719099991486</v>
      </c>
      <c r="Y447" s="77">
        <v>3</v>
      </c>
      <c r="Z447" s="76">
        <v>8.8333333333333339</v>
      </c>
      <c r="AA447" s="76">
        <v>1.0671873729054746</v>
      </c>
      <c r="AB447" s="77">
        <v>0.15617376188860554</v>
      </c>
      <c r="AC447" s="77">
        <v>3</v>
      </c>
      <c r="AD447" s="76">
        <v>8.1666666666666661</v>
      </c>
      <c r="AE447" s="76">
        <v>0.89752746785575077</v>
      </c>
      <c r="AF447" s="77">
        <v>2.0426487199475711</v>
      </c>
      <c r="AG447" s="77">
        <v>4</v>
      </c>
      <c r="AH447" s="76">
        <v>8.6666666666666661</v>
      </c>
      <c r="AI447" s="76">
        <v>2.2110831935702664</v>
      </c>
      <c r="AJ447" s="77">
        <v>-2.1105794120443453</v>
      </c>
      <c r="AK447" s="77">
        <v>1</v>
      </c>
      <c r="AL447" s="76"/>
      <c r="AM447" s="76"/>
      <c r="AN447" s="77"/>
      <c r="AO447" s="77"/>
      <c r="AP447" s="76"/>
      <c r="AQ447" s="76"/>
      <c r="AR447" s="77"/>
      <c r="AS447" s="77"/>
      <c r="AT447" s="78">
        <v>0.5625</v>
      </c>
    </row>
    <row r="448" spans="1:46" ht="12.5" x14ac:dyDescent="0.25">
      <c r="A448" s="79">
        <v>44809.334311203704</v>
      </c>
      <c r="B448" s="80" t="s">
        <v>196</v>
      </c>
      <c r="C448" s="80" t="str">
        <f>INDEX(TBL_Name,MATCH(Table2[[#This Row],[Athlete Name]],listNames,0),2)</f>
        <v>Athlete 31</v>
      </c>
      <c r="D448" s="80" t="s">
        <v>130</v>
      </c>
      <c r="E448" s="80">
        <v>3</v>
      </c>
      <c r="F448" s="80">
        <v>8</v>
      </c>
      <c r="G448" s="80">
        <v>8</v>
      </c>
      <c r="H448" s="80" t="s">
        <v>598</v>
      </c>
      <c r="I448" s="80">
        <v>8</v>
      </c>
      <c r="J448" s="80"/>
      <c r="K448" s="80"/>
      <c r="L448" s="80"/>
      <c r="M448" s="1" t="s">
        <v>733</v>
      </c>
      <c r="N448" s="1">
        <v>37</v>
      </c>
      <c r="O448" s="1">
        <v>5</v>
      </c>
      <c r="P448" s="13">
        <v>44809</v>
      </c>
      <c r="Q448" s="1" t="s">
        <v>133</v>
      </c>
      <c r="R448" s="1" t="s">
        <v>64</v>
      </c>
      <c r="S448" s="1">
        <v>1</v>
      </c>
      <c r="T448" s="1"/>
      <c r="U448" s="1" t="s">
        <v>28</v>
      </c>
      <c r="V448" s="76">
        <v>5</v>
      </c>
      <c r="W448" s="76">
        <v>1.2909944487358058</v>
      </c>
      <c r="X448" s="77">
        <v>-1.5491933384829666</v>
      </c>
      <c r="Y448" s="77">
        <v>1</v>
      </c>
      <c r="Z448" s="76">
        <v>8</v>
      </c>
      <c r="AA448" s="76">
        <v>0.57735026918962573</v>
      </c>
      <c r="AB448" s="77">
        <v>0</v>
      </c>
      <c r="AC448" s="77">
        <v>3</v>
      </c>
      <c r="AD448" s="76">
        <v>8.5833333333333339</v>
      </c>
      <c r="AE448" s="76">
        <v>0.73124703228267662</v>
      </c>
      <c r="AF448" s="77">
        <v>-0.79772403521746671</v>
      </c>
      <c r="AG448" s="77">
        <v>2</v>
      </c>
      <c r="AH448" s="76">
        <v>8.5</v>
      </c>
      <c r="AI448" s="76">
        <v>0.5</v>
      </c>
      <c r="AJ448" s="77">
        <v>-1</v>
      </c>
      <c r="AK448" s="77">
        <v>1</v>
      </c>
      <c r="AL448" s="76"/>
      <c r="AM448" s="76"/>
      <c r="AN448" s="77"/>
      <c r="AO448" s="77"/>
      <c r="AP448" s="76"/>
      <c r="AQ448" s="76"/>
      <c r="AR448" s="77"/>
      <c r="AS448" s="77"/>
      <c r="AT448" s="78">
        <v>0.8125</v>
      </c>
    </row>
    <row r="449" spans="1:46" ht="12.5" x14ac:dyDescent="0.25">
      <c r="A449" s="79">
        <v>44809.370629594909</v>
      </c>
      <c r="B449" s="80" t="s">
        <v>23</v>
      </c>
      <c r="C449" s="80" t="str">
        <f>INDEX(TBL_Name,MATCH(Table2[[#This Row],[Athlete Name]],listNames,0),2)</f>
        <v>Athlete 15</v>
      </c>
      <c r="D449" s="80" t="s">
        <v>150</v>
      </c>
      <c r="E449" s="80">
        <v>4</v>
      </c>
      <c r="F449" s="80">
        <v>9</v>
      </c>
      <c r="G449" s="80">
        <v>8</v>
      </c>
      <c r="H449" s="80" t="s">
        <v>215</v>
      </c>
      <c r="I449" s="80">
        <v>8</v>
      </c>
      <c r="J449" s="80"/>
      <c r="K449" s="80"/>
      <c r="L449" s="80"/>
      <c r="M449" s="1" t="s">
        <v>734</v>
      </c>
      <c r="N449" s="1">
        <v>37</v>
      </c>
      <c r="O449" s="1">
        <v>5</v>
      </c>
      <c r="P449" s="13">
        <v>44809</v>
      </c>
      <c r="Q449" s="1" t="s">
        <v>133</v>
      </c>
      <c r="R449" s="1" t="s">
        <v>64</v>
      </c>
      <c r="S449" s="1">
        <v>3</v>
      </c>
      <c r="T449" s="1"/>
      <c r="U449" s="1" t="s">
        <v>18</v>
      </c>
      <c r="V449" s="76">
        <v>4</v>
      </c>
      <c r="W449" s="76">
        <v>0</v>
      </c>
      <c r="X449" s="77">
        <v>0</v>
      </c>
      <c r="Y449" s="77">
        <v>3</v>
      </c>
      <c r="Z449" s="76">
        <v>9</v>
      </c>
      <c r="AA449" s="76">
        <v>0</v>
      </c>
      <c r="AB449" s="77">
        <v>0</v>
      </c>
      <c r="AC449" s="77">
        <v>3</v>
      </c>
      <c r="AD449" s="76">
        <v>8</v>
      </c>
      <c r="AE449" s="76">
        <v>0</v>
      </c>
      <c r="AF449" s="77">
        <v>0</v>
      </c>
      <c r="AG449" s="77">
        <v>3</v>
      </c>
      <c r="AH449" s="76">
        <v>8</v>
      </c>
      <c r="AI449" s="76">
        <v>0</v>
      </c>
      <c r="AJ449" s="77">
        <v>0</v>
      </c>
      <c r="AK449" s="77">
        <v>3</v>
      </c>
      <c r="AL449" s="76"/>
      <c r="AM449" s="76"/>
      <c r="AN449" s="77"/>
      <c r="AO449" s="77"/>
      <c r="AP449" s="76"/>
      <c r="AQ449" s="76"/>
      <c r="AR449" s="77"/>
      <c r="AS449" s="77"/>
      <c r="AT449" s="78">
        <v>0.75</v>
      </c>
    </row>
    <row r="450" spans="1:46" ht="12.5" x14ac:dyDescent="0.25">
      <c r="A450" s="79">
        <v>44809.395780196763</v>
      </c>
      <c r="B450" s="80" t="s">
        <v>180</v>
      </c>
      <c r="C450" s="80" t="str">
        <f>INDEX(TBL_Name,MATCH(Table2[[#This Row],[Athlete Name]],listNames,0),2)</f>
        <v>Athlete 29</v>
      </c>
      <c r="D450" s="80" t="s">
        <v>143</v>
      </c>
      <c r="E450" s="80">
        <v>2</v>
      </c>
      <c r="F450" s="80">
        <v>7</v>
      </c>
      <c r="G450" s="80">
        <v>7.5</v>
      </c>
      <c r="H450" s="80" t="s">
        <v>370</v>
      </c>
      <c r="I450" s="80">
        <v>4</v>
      </c>
      <c r="J450" s="80"/>
      <c r="K450" s="80"/>
      <c r="L450" s="80"/>
      <c r="M450" s="1" t="s">
        <v>735</v>
      </c>
      <c r="N450" s="1">
        <v>37</v>
      </c>
      <c r="O450" s="1">
        <v>5</v>
      </c>
      <c r="P450" s="13">
        <v>44809</v>
      </c>
      <c r="Q450" s="1" t="s">
        <v>133</v>
      </c>
      <c r="R450" s="1" t="s">
        <v>64</v>
      </c>
      <c r="S450" s="1">
        <v>2</v>
      </c>
      <c r="T450" s="1"/>
      <c r="U450" s="1" t="s">
        <v>5</v>
      </c>
      <c r="V450" s="76">
        <v>5.5</v>
      </c>
      <c r="W450" s="76">
        <v>2.598076211353316</v>
      </c>
      <c r="X450" s="77">
        <v>-1.3471506281091268</v>
      </c>
      <c r="Y450" s="77">
        <v>1</v>
      </c>
      <c r="Z450" s="76">
        <v>7</v>
      </c>
      <c r="AA450" s="76">
        <v>0</v>
      </c>
      <c r="AB450" s="77">
        <v>0</v>
      </c>
      <c r="AC450" s="77">
        <v>3</v>
      </c>
      <c r="AD450" s="76">
        <v>8.5</v>
      </c>
      <c r="AE450" s="76">
        <v>0.61237243569579458</v>
      </c>
      <c r="AF450" s="77">
        <v>-1.6329931618554518</v>
      </c>
      <c r="AG450" s="77">
        <v>1</v>
      </c>
      <c r="AH450" s="76">
        <v>5</v>
      </c>
      <c r="AI450" s="76">
        <v>1.7320508075688772</v>
      </c>
      <c r="AJ450" s="77">
        <v>-0.57735026918962584</v>
      </c>
      <c r="AK450" s="77">
        <v>2</v>
      </c>
      <c r="AL450" s="76"/>
      <c r="AM450" s="76"/>
      <c r="AN450" s="77"/>
      <c r="AO450" s="77"/>
      <c r="AP450" s="76"/>
      <c r="AQ450" s="76"/>
      <c r="AR450" s="77"/>
      <c r="AS450" s="77"/>
      <c r="AT450" s="78">
        <v>0.5625</v>
      </c>
    </row>
    <row r="451" spans="1:46" ht="12.5" x14ac:dyDescent="0.25">
      <c r="A451" s="79">
        <v>44809.403591562499</v>
      </c>
      <c r="B451" s="80" t="s">
        <v>225</v>
      </c>
      <c r="C451" s="80" t="str">
        <f>INDEX(TBL_Name,MATCH(Table2[[#This Row],[Athlete Name]],listNames,0),2)</f>
        <v>Athlete 32</v>
      </c>
      <c r="D451" s="80" t="s">
        <v>130</v>
      </c>
      <c r="E451" s="80">
        <v>9</v>
      </c>
      <c r="F451" s="80">
        <v>10</v>
      </c>
      <c r="G451" s="80">
        <v>7</v>
      </c>
      <c r="H451" s="80"/>
      <c r="I451" s="80">
        <v>10</v>
      </c>
      <c r="J451" s="80"/>
      <c r="K451" s="80"/>
      <c r="L451" s="80"/>
      <c r="M451" s="1" t="s">
        <v>736</v>
      </c>
      <c r="N451" s="1">
        <v>37</v>
      </c>
      <c r="O451" s="1">
        <v>5</v>
      </c>
      <c r="P451" s="13">
        <v>44809</v>
      </c>
      <c r="Q451" s="1" t="s">
        <v>133</v>
      </c>
      <c r="R451" s="1" t="s">
        <v>64</v>
      </c>
      <c r="S451" s="1">
        <v>1</v>
      </c>
      <c r="T451" s="1"/>
      <c r="U451" s="1" t="s">
        <v>5</v>
      </c>
      <c r="V451" s="76">
        <v>9.5</v>
      </c>
      <c r="W451" s="76">
        <v>0.5</v>
      </c>
      <c r="X451" s="77">
        <v>-1</v>
      </c>
      <c r="Y451" s="77">
        <v>1</v>
      </c>
      <c r="Z451" s="76">
        <v>10</v>
      </c>
      <c r="AA451" s="76">
        <v>0</v>
      </c>
      <c r="AB451" s="77">
        <v>0</v>
      </c>
      <c r="AC451" s="77">
        <v>3</v>
      </c>
      <c r="AD451" s="76">
        <v>7</v>
      </c>
      <c r="AE451" s="76">
        <v>0</v>
      </c>
      <c r="AF451" s="77">
        <v>0</v>
      </c>
      <c r="AG451" s="77">
        <v>3</v>
      </c>
      <c r="AH451" s="76">
        <v>9.5</v>
      </c>
      <c r="AI451" s="76">
        <v>0.5</v>
      </c>
      <c r="AJ451" s="77">
        <v>1</v>
      </c>
      <c r="AK451" s="77">
        <v>4</v>
      </c>
      <c r="AL451" s="76"/>
      <c r="AM451" s="76"/>
      <c r="AN451" s="77"/>
      <c r="AO451" s="77"/>
      <c r="AP451" s="76"/>
      <c r="AQ451" s="76"/>
      <c r="AR451" s="77"/>
      <c r="AS451" s="77"/>
      <c r="AT451" s="78">
        <v>0.625</v>
      </c>
    </row>
    <row r="452" spans="1:46" ht="12.5" x14ac:dyDescent="0.25">
      <c r="A452" s="79">
        <v>44809.409892268523</v>
      </c>
      <c r="B452" s="80" t="s">
        <v>17</v>
      </c>
      <c r="C452" s="80" t="str">
        <f>INDEX(TBL_Name,MATCH(Table2[[#This Row],[Athlete Name]],listNames,0),2)</f>
        <v>Athlete 10</v>
      </c>
      <c r="D452" s="80" t="s">
        <v>130</v>
      </c>
      <c r="E452" s="80">
        <v>9</v>
      </c>
      <c r="F452" s="80">
        <v>8</v>
      </c>
      <c r="G452" s="80">
        <v>9</v>
      </c>
      <c r="H452" s="80" t="s">
        <v>508</v>
      </c>
      <c r="I452" s="80">
        <v>7</v>
      </c>
      <c r="J452" s="80"/>
      <c r="K452" s="80"/>
      <c r="L452" s="80"/>
      <c r="M452" s="1" t="s">
        <v>737</v>
      </c>
      <c r="N452" s="1">
        <v>37</v>
      </c>
      <c r="O452" s="1">
        <v>5</v>
      </c>
      <c r="P452" s="13">
        <v>44809</v>
      </c>
      <c r="Q452" s="1" t="s">
        <v>133</v>
      </c>
      <c r="R452" s="1" t="s">
        <v>64</v>
      </c>
      <c r="S452" s="1">
        <v>1</v>
      </c>
      <c r="T452" s="1"/>
      <c r="U452" s="1" t="s">
        <v>18</v>
      </c>
      <c r="V452" s="76">
        <v>8.7142857142857135</v>
      </c>
      <c r="W452" s="76">
        <v>0.88063057185271076</v>
      </c>
      <c r="X452" s="77">
        <v>0.32444284226152598</v>
      </c>
      <c r="Y452" s="77">
        <v>3</v>
      </c>
      <c r="Z452" s="76">
        <v>7.8571428571428568</v>
      </c>
      <c r="AA452" s="76">
        <v>0.83299312783504298</v>
      </c>
      <c r="AB452" s="77">
        <v>0.17149858514250929</v>
      </c>
      <c r="AC452" s="77">
        <v>3</v>
      </c>
      <c r="AD452" s="76">
        <v>8.2857142857142865</v>
      </c>
      <c r="AE452" s="76">
        <v>0.69985421222376532</v>
      </c>
      <c r="AF452" s="77">
        <v>1.0206207261596563</v>
      </c>
      <c r="AG452" s="77">
        <v>4</v>
      </c>
      <c r="AH452" s="76">
        <v>6.8571428571428568</v>
      </c>
      <c r="AI452" s="76">
        <v>0.34992710611188255</v>
      </c>
      <c r="AJ452" s="77">
        <v>0.40824829046386413</v>
      </c>
      <c r="AK452" s="77">
        <v>3</v>
      </c>
      <c r="AL452" s="76"/>
      <c r="AM452" s="76"/>
      <c r="AN452" s="77"/>
      <c r="AO452" s="77"/>
      <c r="AP452" s="76"/>
      <c r="AQ452" s="76"/>
      <c r="AR452" s="77"/>
      <c r="AS452" s="77"/>
      <c r="AT452" s="78">
        <v>0.5625</v>
      </c>
    </row>
    <row r="453" spans="1:46" ht="12.5" x14ac:dyDescent="0.25">
      <c r="A453" s="79">
        <v>44809.414268472217</v>
      </c>
      <c r="B453" s="80" t="s">
        <v>6</v>
      </c>
      <c r="C453" s="80" t="str">
        <f>INDEX(TBL_Name,MATCH(Table2[[#This Row],[Athlete Name]],listNames,0),2)</f>
        <v>Athlete 2</v>
      </c>
      <c r="D453" s="80" t="s">
        <v>130</v>
      </c>
      <c r="E453" s="80">
        <v>9</v>
      </c>
      <c r="F453" s="80">
        <v>5</v>
      </c>
      <c r="G453" s="80">
        <v>9</v>
      </c>
      <c r="H453" s="80" t="s">
        <v>73</v>
      </c>
      <c r="I453" s="80">
        <v>7</v>
      </c>
      <c r="J453" s="80"/>
      <c r="K453" s="80"/>
      <c r="L453" s="80"/>
      <c r="M453" s="1" t="s">
        <v>738</v>
      </c>
      <c r="N453" s="1">
        <v>37</v>
      </c>
      <c r="O453" s="1">
        <v>5</v>
      </c>
      <c r="P453" s="13">
        <v>44809</v>
      </c>
      <c r="Q453" s="1" t="s">
        <v>133</v>
      </c>
      <c r="R453" s="1" t="s">
        <v>64</v>
      </c>
      <c r="S453" s="1">
        <v>1</v>
      </c>
      <c r="T453" s="1"/>
      <c r="U453" s="1" t="s">
        <v>5</v>
      </c>
      <c r="V453" s="76">
        <v>9.5</v>
      </c>
      <c r="W453" s="76">
        <v>0.5</v>
      </c>
      <c r="X453" s="77">
        <v>-1</v>
      </c>
      <c r="Y453" s="77">
        <v>1</v>
      </c>
      <c r="Z453" s="76">
        <v>5.833333333333333</v>
      </c>
      <c r="AA453" s="76">
        <v>0.68718427093627665</v>
      </c>
      <c r="AB453" s="77">
        <v>-1.2126781251816645</v>
      </c>
      <c r="AC453" s="77">
        <v>1</v>
      </c>
      <c r="AD453" s="76">
        <v>8.5</v>
      </c>
      <c r="AE453" s="76">
        <v>0.76376261582597327</v>
      </c>
      <c r="AF453" s="77">
        <v>0.6546536707079772</v>
      </c>
      <c r="AG453" s="77">
        <v>3</v>
      </c>
      <c r="AH453" s="76">
        <v>6.5</v>
      </c>
      <c r="AI453" s="76">
        <v>0.49999999999999989</v>
      </c>
      <c r="AJ453" s="77">
        <v>1.0000000000000002</v>
      </c>
      <c r="AK453" s="77">
        <v>4</v>
      </c>
      <c r="AL453" s="76"/>
      <c r="AM453" s="76"/>
      <c r="AN453" s="77"/>
      <c r="AO453" s="77"/>
      <c r="AP453" s="76"/>
      <c r="AQ453" s="76"/>
      <c r="AR453" s="77"/>
      <c r="AS453" s="77"/>
      <c r="AT453" s="78">
        <v>0.25</v>
      </c>
    </row>
    <row r="454" spans="1:46" ht="12.5" x14ac:dyDescent="0.25">
      <c r="A454" s="79">
        <v>44809.416480625005</v>
      </c>
      <c r="B454" s="80" t="s">
        <v>142</v>
      </c>
      <c r="C454" s="80" t="str">
        <f>INDEX(TBL_Name,MATCH(Table2[[#This Row],[Athlete Name]],listNames,0),2)</f>
        <v>Athlete 21</v>
      </c>
      <c r="D454" s="80" t="s">
        <v>130</v>
      </c>
      <c r="E454" s="80">
        <v>8</v>
      </c>
      <c r="F454" s="80">
        <v>8</v>
      </c>
      <c r="G454" s="80">
        <v>8</v>
      </c>
      <c r="H454" s="80" t="s">
        <v>739</v>
      </c>
      <c r="I454" s="80">
        <v>4</v>
      </c>
      <c r="J454" s="80"/>
      <c r="K454" s="80"/>
      <c r="L454" s="80"/>
      <c r="M454" s="1" t="s">
        <v>740</v>
      </c>
      <c r="N454" s="1">
        <v>37</v>
      </c>
      <c r="O454" s="1">
        <v>5</v>
      </c>
      <c r="P454" s="13">
        <v>44809</v>
      </c>
      <c r="Q454" s="1" t="s">
        <v>133</v>
      </c>
      <c r="R454" s="1" t="s">
        <v>64</v>
      </c>
      <c r="S454" s="1">
        <v>1</v>
      </c>
      <c r="T454" s="1"/>
      <c r="U454" s="1" t="s">
        <v>18</v>
      </c>
      <c r="V454" s="76">
        <v>5.4</v>
      </c>
      <c r="W454" s="76">
        <v>1.4966629547095764</v>
      </c>
      <c r="X454" s="77">
        <v>1.7371980724307583</v>
      </c>
      <c r="Y454" s="77">
        <v>4</v>
      </c>
      <c r="Z454" s="76">
        <v>8.8000000000000007</v>
      </c>
      <c r="AA454" s="76">
        <v>0.40000000000000019</v>
      </c>
      <c r="AB454" s="77">
        <v>-2.0000000000000009</v>
      </c>
      <c r="AC454" s="77">
        <v>1</v>
      </c>
      <c r="AD454" s="76">
        <v>9</v>
      </c>
      <c r="AE454" s="76">
        <v>0.63245553203367588</v>
      </c>
      <c r="AF454" s="77">
        <v>-1.5811388300841895</v>
      </c>
      <c r="AG454" s="77">
        <v>1</v>
      </c>
      <c r="AH454" s="76">
        <v>3.6</v>
      </c>
      <c r="AI454" s="76">
        <v>1.3564659966250536</v>
      </c>
      <c r="AJ454" s="77">
        <v>0.29488391230979422</v>
      </c>
      <c r="AK454" s="77">
        <v>3</v>
      </c>
      <c r="AL454" s="76"/>
      <c r="AM454" s="76"/>
      <c r="AN454" s="77"/>
      <c r="AO454" s="77"/>
      <c r="AP454" s="76"/>
      <c r="AQ454" s="76"/>
      <c r="AR454" s="77"/>
      <c r="AS454" s="77"/>
      <c r="AT454" s="78">
        <v>0.875</v>
      </c>
    </row>
    <row r="455" spans="1:46" ht="12.5" x14ac:dyDescent="0.25">
      <c r="A455" s="79">
        <v>44809.424708252314</v>
      </c>
      <c r="B455" s="80" t="s">
        <v>10</v>
      </c>
      <c r="C455" s="80" t="str">
        <f>INDEX(TBL_Name,MATCH(Table2[[#This Row],[Athlete Name]],listNames,0),2)</f>
        <v>Athlete 5</v>
      </c>
      <c r="D455" s="80" t="s">
        <v>130</v>
      </c>
      <c r="E455" s="80">
        <v>8</v>
      </c>
      <c r="F455" s="80">
        <v>6</v>
      </c>
      <c r="G455" s="80">
        <v>7</v>
      </c>
      <c r="H455" s="80" t="s">
        <v>258</v>
      </c>
      <c r="I455" s="80">
        <v>8</v>
      </c>
      <c r="J455" s="80"/>
      <c r="K455" s="80"/>
      <c r="L455" s="80"/>
      <c r="M455" s="1" t="s">
        <v>741</v>
      </c>
      <c r="N455" s="1">
        <v>37</v>
      </c>
      <c r="O455" s="1">
        <v>5</v>
      </c>
      <c r="P455" s="13">
        <v>44809</v>
      </c>
      <c r="Q455" s="1" t="s">
        <v>133</v>
      </c>
      <c r="R455" s="1" t="s">
        <v>64</v>
      </c>
      <c r="S455" s="1">
        <v>1</v>
      </c>
      <c r="T455" s="1"/>
      <c r="U455" s="1" t="s">
        <v>11</v>
      </c>
      <c r="V455" s="76">
        <v>7.666666666666667</v>
      </c>
      <c r="W455" s="76">
        <v>0.47140452079103173</v>
      </c>
      <c r="X455" s="77">
        <v>0.7071067811865468</v>
      </c>
      <c r="Y455" s="77">
        <v>3</v>
      </c>
      <c r="Z455" s="76">
        <v>7.666666666666667</v>
      </c>
      <c r="AA455" s="76">
        <v>0.74535599249993001</v>
      </c>
      <c r="AB455" s="77">
        <v>-2.2360679774997898</v>
      </c>
      <c r="AC455" s="77">
        <v>1</v>
      </c>
      <c r="AD455" s="76">
        <v>7.833333333333333</v>
      </c>
      <c r="AE455" s="76">
        <v>0.37267799624996489</v>
      </c>
      <c r="AF455" s="77">
        <v>-2.2360679774997894</v>
      </c>
      <c r="AG455" s="77">
        <v>1</v>
      </c>
      <c r="AH455" s="76">
        <v>7.666666666666667</v>
      </c>
      <c r="AI455" s="76">
        <v>0.74535599249992979</v>
      </c>
      <c r="AJ455" s="77">
        <v>0.44721359549995759</v>
      </c>
      <c r="AK455" s="77">
        <v>3</v>
      </c>
      <c r="AL455" s="76"/>
      <c r="AM455" s="76"/>
      <c r="AN455" s="77"/>
      <c r="AO455" s="77"/>
      <c r="AP455" s="76"/>
      <c r="AQ455" s="76"/>
      <c r="AR455" s="77"/>
      <c r="AS455" s="77"/>
      <c r="AT455" s="78">
        <v>0.5</v>
      </c>
    </row>
    <row r="456" spans="1:46" ht="12.5" x14ac:dyDescent="0.25">
      <c r="A456" s="79">
        <v>44809.696689143515</v>
      </c>
      <c r="B456" s="80" t="s">
        <v>16</v>
      </c>
      <c r="C456" s="80" t="str">
        <f>INDEX(TBL_Name,MATCH(Table2[[#This Row],[Athlete Name]],listNames,0),2)</f>
        <v>Athlete 9</v>
      </c>
      <c r="D456" s="80" t="s">
        <v>130</v>
      </c>
      <c r="E456" s="80">
        <v>5</v>
      </c>
      <c r="F456" s="80">
        <v>7</v>
      </c>
      <c r="G456" s="80">
        <v>7</v>
      </c>
      <c r="H456" s="80" t="s">
        <v>742</v>
      </c>
      <c r="I456" s="80">
        <v>6</v>
      </c>
      <c r="J456" s="80"/>
      <c r="K456" s="80"/>
      <c r="L456" s="80"/>
      <c r="M456" s="1" t="s">
        <v>743</v>
      </c>
      <c r="N456" s="1">
        <v>37</v>
      </c>
      <c r="O456" s="1">
        <v>5</v>
      </c>
      <c r="P456" s="13">
        <v>44809</v>
      </c>
      <c r="Q456" s="1" t="s">
        <v>133</v>
      </c>
      <c r="R456" s="1" t="s">
        <v>64</v>
      </c>
      <c r="S456" s="1">
        <v>1</v>
      </c>
      <c r="T456" s="1"/>
      <c r="U456" s="1" t="s">
        <v>14</v>
      </c>
      <c r="V456" s="76">
        <v>6.2</v>
      </c>
      <c r="W456" s="76">
        <v>0.74833147735478833</v>
      </c>
      <c r="X456" s="77">
        <v>-1.6035674514745464</v>
      </c>
      <c r="Y456" s="77">
        <v>1</v>
      </c>
      <c r="Z456" s="76">
        <v>6.8</v>
      </c>
      <c r="AA456" s="76">
        <v>0.40000000000000008</v>
      </c>
      <c r="AB456" s="77">
        <v>0.50000000000000033</v>
      </c>
      <c r="AC456" s="77">
        <v>3</v>
      </c>
      <c r="AD456" s="76">
        <v>7.8</v>
      </c>
      <c r="AE456" s="76">
        <v>0.39999999999999997</v>
      </c>
      <c r="AF456" s="77">
        <v>-1.9999999999999998</v>
      </c>
      <c r="AG456" s="77">
        <v>1</v>
      </c>
      <c r="AH456" s="76">
        <v>6.2</v>
      </c>
      <c r="AI456" s="76">
        <v>0.4</v>
      </c>
      <c r="AJ456" s="77">
        <v>-0.50000000000000044</v>
      </c>
      <c r="AK456" s="77">
        <v>2</v>
      </c>
      <c r="AL456" s="76"/>
      <c r="AM456" s="76"/>
      <c r="AN456" s="77"/>
      <c r="AO456" s="77"/>
      <c r="AP456" s="76"/>
      <c r="AQ456" s="76"/>
      <c r="AR456" s="77"/>
      <c r="AS456" s="77"/>
      <c r="AT456" s="78">
        <v>0.6875</v>
      </c>
    </row>
    <row r="457" spans="1:46" ht="12.5" x14ac:dyDescent="0.25">
      <c r="A457" s="79">
        <v>44810.278847291665</v>
      </c>
      <c r="B457" s="80" t="s">
        <v>185</v>
      </c>
      <c r="C457" s="80" t="str">
        <f>INDEX(TBL_Name,MATCH(Table2[[#This Row],[Athlete Name]],listNames,0),2)</f>
        <v>Athlete 30</v>
      </c>
      <c r="D457" s="80" t="s">
        <v>130</v>
      </c>
      <c r="E457" s="80">
        <v>7</v>
      </c>
      <c r="F457" s="80">
        <v>3</v>
      </c>
      <c r="G457" s="80">
        <v>5</v>
      </c>
      <c r="H457" s="80" t="s">
        <v>744</v>
      </c>
      <c r="I457" s="80">
        <v>6</v>
      </c>
      <c r="J457" s="80"/>
      <c r="K457" s="80"/>
      <c r="L457" s="80"/>
      <c r="M457" s="1" t="s">
        <v>745</v>
      </c>
      <c r="N457" s="1">
        <v>37</v>
      </c>
      <c r="O457" s="1">
        <v>5</v>
      </c>
      <c r="P457" s="13">
        <v>44810</v>
      </c>
      <c r="Q457" s="1" t="s">
        <v>133</v>
      </c>
      <c r="R457" s="1" t="s">
        <v>64</v>
      </c>
      <c r="S457" s="1">
        <v>1</v>
      </c>
      <c r="T457" s="1"/>
      <c r="U457" s="1" t="s">
        <v>26</v>
      </c>
      <c r="V457" s="76">
        <v>8</v>
      </c>
      <c r="W457" s="76">
        <v>0.63245553203367588</v>
      </c>
      <c r="X457" s="77">
        <v>-1.5811388300841895</v>
      </c>
      <c r="Y457" s="77">
        <v>1</v>
      </c>
      <c r="Z457" s="76">
        <v>4.8</v>
      </c>
      <c r="AA457" s="76">
        <v>0.9797958971132712</v>
      </c>
      <c r="AB457" s="77">
        <v>-1.8371173070873834</v>
      </c>
      <c r="AC457" s="77">
        <v>1</v>
      </c>
      <c r="AD457" s="76">
        <v>6.4</v>
      </c>
      <c r="AE457" s="76">
        <v>0.8</v>
      </c>
      <c r="AF457" s="77">
        <v>-1.7500000000000004</v>
      </c>
      <c r="AG457" s="77">
        <v>1</v>
      </c>
      <c r="AH457" s="76">
        <v>4.5999999999999996</v>
      </c>
      <c r="AI457" s="76">
        <v>0.8</v>
      </c>
      <c r="AJ457" s="77">
        <v>1.7500000000000004</v>
      </c>
      <c r="AK457" s="77">
        <v>4</v>
      </c>
      <c r="AL457" s="76"/>
      <c r="AM457" s="76"/>
      <c r="AN457" s="77"/>
      <c r="AO457" s="77"/>
      <c r="AP457" s="76"/>
      <c r="AQ457" s="76"/>
      <c r="AR457" s="77"/>
      <c r="AS457" s="77"/>
      <c r="AT457" s="78">
        <v>0.25</v>
      </c>
    </row>
    <row r="458" spans="1:46" ht="12.5" x14ac:dyDescent="0.25">
      <c r="A458" s="79">
        <v>44810.312178506945</v>
      </c>
      <c r="B458" s="80" t="s">
        <v>168</v>
      </c>
      <c r="C458" s="80" t="str">
        <f>INDEX(TBL_Name,MATCH(Table2[[#This Row],[Athlete Name]],listNames,0),2)</f>
        <v>Athlete 26</v>
      </c>
      <c r="D458" s="80" t="s">
        <v>130</v>
      </c>
      <c r="E458" s="80">
        <v>9</v>
      </c>
      <c r="F458" s="80">
        <v>7</v>
      </c>
      <c r="G458" s="80">
        <v>8</v>
      </c>
      <c r="H458" s="80"/>
      <c r="I458" s="80">
        <v>7</v>
      </c>
      <c r="J458" s="80"/>
      <c r="K458" s="80"/>
      <c r="L458" s="80"/>
      <c r="M458" s="1" t="s">
        <v>746</v>
      </c>
      <c r="N458" s="1">
        <v>37</v>
      </c>
      <c r="O458" s="1">
        <v>5</v>
      </c>
      <c r="P458" s="13">
        <v>44810</v>
      </c>
      <c r="Q458" s="1" t="s">
        <v>133</v>
      </c>
      <c r="R458" s="1" t="s">
        <v>64</v>
      </c>
      <c r="S458" s="1">
        <v>1</v>
      </c>
      <c r="T458" s="1"/>
      <c r="U458" s="1" t="s">
        <v>5</v>
      </c>
      <c r="V458" s="76">
        <v>8</v>
      </c>
      <c r="W458" s="76">
        <v>1</v>
      </c>
      <c r="X458" s="77">
        <v>1</v>
      </c>
      <c r="Y458" s="77">
        <v>4</v>
      </c>
      <c r="Z458" s="76">
        <v>6.5</v>
      </c>
      <c r="AA458" s="76">
        <v>1.6583123951776999</v>
      </c>
      <c r="AB458" s="77">
        <v>0.30151134457776363</v>
      </c>
      <c r="AC458" s="77">
        <v>3</v>
      </c>
      <c r="AD458" s="76">
        <v>7.75</v>
      </c>
      <c r="AE458" s="76">
        <v>0.82915619758884995</v>
      </c>
      <c r="AF458" s="77">
        <v>0.30151134457776363</v>
      </c>
      <c r="AG458" s="77">
        <v>3</v>
      </c>
      <c r="AH458" s="76">
        <v>5.75</v>
      </c>
      <c r="AI458" s="76">
        <v>0.82915619758885006</v>
      </c>
      <c r="AJ458" s="77">
        <v>1.507556722888818</v>
      </c>
      <c r="AK458" s="77">
        <v>4</v>
      </c>
      <c r="AL458" s="76"/>
      <c r="AM458" s="76"/>
      <c r="AN458" s="77"/>
      <c r="AO458" s="77"/>
      <c r="AP458" s="76"/>
      <c r="AQ458" s="76"/>
      <c r="AR458" s="77"/>
      <c r="AS458" s="77"/>
      <c r="AT458" s="78">
        <v>0.5625</v>
      </c>
    </row>
    <row r="459" spans="1:46" ht="12.5" x14ac:dyDescent="0.25">
      <c r="A459" s="79">
        <v>44810.319357060187</v>
      </c>
      <c r="B459" s="80" t="s">
        <v>225</v>
      </c>
      <c r="C459" s="80" t="str">
        <f>INDEX(TBL_Name,MATCH(Table2[[#This Row],[Athlete Name]],listNames,0),2)</f>
        <v>Athlete 32</v>
      </c>
      <c r="D459" s="80" t="s">
        <v>130</v>
      </c>
      <c r="E459" s="80">
        <v>10</v>
      </c>
      <c r="F459" s="80">
        <v>10</v>
      </c>
      <c r="G459" s="80">
        <v>7</v>
      </c>
      <c r="H459" s="80"/>
      <c r="I459" s="80">
        <v>9</v>
      </c>
      <c r="J459" s="80"/>
      <c r="K459" s="80"/>
      <c r="L459" s="80"/>
      <c r="M459" s="1" t="s">
        <v>747</v>
      </c>
      <c r="N459" s="1">
        <v>37</v>
      </c>
      <c r="O459" s="1">
        <v>5</v>
      </c>
      <c r="P459" s="13">
        <v>44810</v>
      </c>
      <c r="Q459" s="1" t="s">
        <v>133</v>
      </c>
      <c r="R459" s="1" t="s">
        <v>64</v>
      </c>
      <c r="S459" s="1">
        <v>1</v>
      </c>
      <c r="T459" s="1"/>
      <c r="U459" s="1" t="s">
        <v>5</v>
      </c>
      <c r="V459" s="76">
        <v>9.6666666666666661</v>
      </c>
      <c r="W459" s="76">
        <v>0.47140452079103179</v>
      </c>
      <c r="X459" s="77">
        <v>0.70710678118654857</v>
      </c>
      <c r="Y459" s="77">
        <v>3</v>
      </c>
      <c r="Z459" s="76">
        <v>10</v>
      </c>
      <c r="AA459" s="76">
        <v>0</v>
      </c>
      <c r="AB459" s="77">
        <v>0</v>
      </c>
      <c r="AC459" s="77">
        <v>3</v>
      </c>
      <c r="AD459" s="76">
        <v>7</v>
      </c>
      <c r="AE459" s="76">
        <v>0</v>
      </c>
      <c r="AF459" s="77">
        <v>0</v>
      </c>
      <c r="AG459" s="77">
        <v>3</v>
      </c>
      <c r="AH459" s="76">
        <v>9.3333333333333339</v>
      </c>
      <c r="AI459" s="76">
        <v>0.47140452079103179</v>
      </c>
      <c r="AJ459" s="77">
        <v>-0.70710678118654857</v>
      </c>
      <c r="AK459" s="77">
        <v>2</v>
      </c>
      <c r="AL459" s="76"/>
      <c r="AM459" s="76"/>
      <c r="AN459" s="77"/>
      <c r="AO459" s="77"/>
      <c r="AP459" s="76"/>
      <c r="AQ459" s="76"/>
      <c r="AR459" s="77"/>
      <c r="AS459" s="77"/>
      <c r="AT459" s="78">
        <v>0.5</v>
      </c>
    </row>
    <row r="460" spans="1:46" ht="12.5" x14ac:dyDescent="0.25">
      <c r="A460" s="79">
        <v>44810.325042986107</v>
      </c>
      <c r="B460" s="80" t="s">
        <v>21</v>
      </c>
      <c r="C460" s="80" t="str">
        <f>INDEX(TBL_Name,MATCH(Table2[[#This Row],[Athlete Name]],listNames,0),2)</f>
        <v>Athlete 13</v>
      </c>
      <c r="D460" s="80" t="s">
        <v>130</v>
      </c>
      <c r="E460" s="80">
        <v>5</v>
      </c>
      <c r="F460" s="80">
        <v>8</v>
      </c>
      <c r="G460" s="80">
        <v>9</v>
      </c>
      <c r="H460" s="80" t="s">
        <v>340</v>
      </c>
      <c r="I460" s="80">
        <v>7</v>
      </c>
      <c r="J460" s="80"/>
      <c r="K460" s="80"/>
      <c r="L460" s="80"/>
      <c r="M460" s="1" t="s">
        <v>748</v>
      </c>
      <c r="N460" s="1">
        <v>37</v>
      </c>
      <c r="O460" s="1">
        <v>5</v>
      </c>
      <c r="P460" s="13">
        <v>44810</v>
      </c>
      <c r="Q460" s="1" t="s">
        <v>133</v>
      </c>
      <c r="R460" s="1" t="s">
        <v>64</v>
      </c>
      <c r="S460" s="1">
        <v>1</v>
      </c>
      <c r="T460" s="1"/>
      <c r="U460" s="1" t="s">
        <v>18</v>
      </c>
      <c r="V460" s="76">
        <v>7</v>
      </c>
      <c r="W460" s="76">
        <v>1.2247448713915892</v>
      </c>
      <c r="X460" s="77">
        <v>-1.6329931618554518</v>
      </c>
      <c r="Y460" s="77">
        <v>1</v>
      </c>
      <c r="Z460" s="76">
        <v>8.5</v>
      </c>
      <c r="AA460" s="76">
        <v>0.5</v>
      </c>
      <c r="AB460" s="77">
        <v>-1</v>
      </c>
      <c r="AC460" s="77">
        <v>1</v>
      </c>
      <c r="AD460" s="76">
        <v>9.25</v>
      </c>
      <c r="AE460" s="76">
        <v>0.43301270189221919</v>
      </c>
      <c r="AF460" s="77">
        <v>-0.57735026918962595</v>
      </c>
      <c r="AG460" s="77">
        <v>2</v>
      </c>
      <c r="AH460" s="76">
        <v>5.5</v>
      </c>
      <c r="AI460" s="76">
        <v>1.1180339887498949</v>
      </c>
      <c r="AJ460" s="77">
        <v>1.3416407864998738</v>
      </c>
      <c r="AK460" s="77">
        <v>4</v>
      </c>
      <c r="AL460" s="76"/>
      <c r="AM460" s="76"/>
      <c r="AN460" s="77"/>
      <c r="AO460" s="77"/>
      <c r="AP460" s="76"/>
      <c r="AQ460" s="76"/>
      <c r="AR460" s="77"/>
      <c r="AS460" s="77"/>
      <c r="AT460" s="78">
        <v>0.6875</v>
      </c>
    </row>
    <row r="461" spans="1:46" ht="12.5" x14ac:dyDescent="0.25">
      <c r="A461" s="79">
        <v>44810.372308356484</v>
      </c>
      <c r="B461" s="80" t="s">
        <v>6</v>
      </c>
      <c r="C461" s="80" t="str">
        <f>INDEX(TBL_Name,MATCH(Table2[[#This Row],[Athlete Name]],listNames,0),2)</f>
        <v>Athlete 2</v>
      </c>
      <c r="D461" s="80" t="s">
        <v>130</v>
      </c>
      <c r="E461" s="80">
        <v>9</v>
      </c>
      <c r="F461" s="80">
        <v>5</v>
      </c>
      <c r="G461" s="80">
        <v>8</v>
      </c>
      <c r="H461" s="80" t="s">
        <v>73</v>
      </c>
      <c r="I461" s="80">
        <v>8</v>
      </c>
      <c r="J461" s="80"/>
      <c r="K461" s="80"/>
      <c r="L461" s="80"/>
      <c r="M461" s="1" t="s">
        <v>749</v>
      </c>
      <c r="N461" s="1">
        <v>37</v>
      </c>
      <c r="O461" s="1">
        <v>5</v>
      </c>
      <c r="P461" s="13">
        <v>44810</v>
      </c>
      <c r="Q461" s="1" t="s">
        <v>133</v>
      </c>
      <c r="R461" s="1" t="s">
        <v>64</v>
      </c>
      <c r="S461" s="1">
        <v>1</v>
      </c>
      <c r="T461" s="1"/>
      <c r="U461" s="1" t="s">
        <v>5</v>
      </c>
      <c r="V461" s="76">
        <v>9.5</v>
      </c>
      <c r="W461" s="76">
        <v>0.5</v>
      </c>
      <c r="X461" s="77">
        <v>-1</v>
      </c>
      <c r="Y461" s="77">
        <v>1</v>
      </c>
      <c r="Z461" s="76">
        <v>5.833333333333333</v>
      </c>
      <c r="AA461" s="76">
        <v>0.68718427093627676</v>
      </c>
      <c r="AB461" s="77">
        <v>-1.2126781251816645</v>
      </c>
      <c r="AC461" s="77">
        <v>1</v>
      </c>
      <c r="AD461" s="76">
        <v>8.5</v>
      </c>
      <c r="AE461" s="76">
        <v>0.76376261582597338</v>
      </c>
      <c r="AF461" s="77">
        <v>-0.65465367070797709</v>
      </c>
      <c r="AG461" s="77">
        <v>2</v>
      </c>
      <c r="AH461" s="76">
        <v>6.666666666666667</v>
      </c>
      <c r="AI461" s="76">
        <v>0.74535599249992979</v>
      </c>
      <c r="AJ461" s="77">
        <v>1.7888543819998317</v>
      </c>
      <c r="AK461" s="77">
        <v>4</v>
      </c>
      <c r="AL461" s="76"/>
      <c r="AM461" s="76"/>
      <c r="AN461" s="77"/>
      <c r="AO461" s="77"/>
      <c r="AP461" s="76"/>
      <c r="AQ461" s="76"/>
      <c r="AR461" s="77"/>
      <c r="AS461" s="77"/>
      <c r="AT461" s="78">
        <v>0.25</v>
      </c>
    </row>
    <row r="462" spans="1:46" ht="12.5" x14ac:dyDescent="0.25">
      <c r="A462" s="79">
        <v>44810.372982789355</v>
      </c>
      <c r="B462" s="80" t="s">
        <v>142</v>
      </c>
      <c r="C462" s="80" t="str">
        <f>INDEX(TBL_Name,MATCH(Table2[[#This Row],[Athlete Name]],listNames,0),2)</f>
        <v>Athlete 21</v>
      </c>
      <c r="D462" s="80" t="s">
        <v>130</v>
      </c>
      <c r="E462" s="80">
        <v>5</v>
      </c>
      <c r="F462" s="80">
        <v>8</v>
      </c>
      <c r="G462" s="80">
        <v>8</v>
      </c>
      <c r="H462" s="80" t="s">
        <v>699</v>
      </c>
      <c r="I462" s="80">
        <v>3</v>
      </c>
      <c r="J462" s="80"/>
      <c r="K462" s="80"/>
      <c r="L462" s="80"/>
      <c r="M462" s="1" t="s">
        <v>750</v>
      </c>
      <c r="N462" s="1">
        <v>37</v>
      </c>
      <c r="O462" s="1">
        <v>5</v>
      </c>
      <c r="P462" s="13">
        <v>44810</v>
      </c>
      <c r="Q462" s="1" t="s">
        <v>133</v>
      </c>
      <c r="R462" s="1" t="s">
        <v>64</v>
      </c>
      <c r="S462" s="1">
        <v>1</v>
      </c>
      <c r="T462" s="1"/>
      <c r="U462" s="1" t="s">
        <v>18</v>
      </c>
      <c r="V462" s="76">
        <v>5.333333333333333</v>
      </c>
      <c r="W462" s="76">
        <v>1.3743685418725535</v>
      </c>
      <c r="X462" s="77">
        <v>-0.24253562503633275</v>
      </c>
      <c r="Y462" s="77">
        <v>2</v>
      </c>
      <c r="Z462" s="76">
        <v>8.6666666666666661</v>
      </c>
      <c r="AA462" s="76">
        <v>0.47140452079103207</v>
      </c>
      <c r="AB462" s="77">
        <v>-1.4142135623730927</v>
      </c>
      <c r="AC462" s="77">
        <v>1</v>
      </c>
      <c r="AD462" s="76">
        <v>8.8333333333333339</v>
      </c>
      <c r="AE462" s="76">
        <v>0.68718427093627688</v>
      </c>
      <c r="AF462" s="77">
        <v>-1.2126781251816656</v>
      </c>
      <c r="AG462" s="77">
        <v>1</v>
      </c>
      <c r="AH462" s="76">
        <v>3.5</v>
      </c>
      <c r="AI462" s="76">
        <v>1.2583057392117916</v>
      </c>
      <c r="AJ462" s="77">
        <v>-0.39735970711951318</v>
      </c>
      <c r="AK462" s="77">
        <v>2</v>
      </c>
      <c r="AL462" s="76"/>
      <c r="AM462" s="76"/>
      <c r="AN462" s="77"/>
      <c r="AO462" s="77"/>
      <c r="AP462" s="76"/>
      <c r="AQ462" s="76"/>
      <c r="AR462" s="77"/>
      <c r="AS462" s="77"/>
      <c r="AT462" s="78">
        <v>0.6875</v>
      </c>
    </row>
    <row r="463" spans="1:46" ht="12.5" x14ac:dyDescent="0.25">
      <c r="A463" s="79">
        <v>44810.382027546293</v>
      </c>
      <c r="B463" s="80" t="s">
        <v>17</v>
      </c>
      <c r="C463" s="80" t="str">
        <f>INDEX(TBL_Name,MATCH(Table2[[#This Row],[Athlete Name]],listNames,0),2)</f>
        <v>Athlete 10</v>
      </c>
      <c r="D463" s="80" t="s">
        <v>130</v>
      </c>
      <c r="E463" s="80">
        <v>8</v>
      </c>
      <c r="F463" s="80">
        <v>7</v>
      </c>
      <c r="G463" s="80">
        <v>7</v>
      </c>
      <c r="H463" s="80" t="s">
        <v>508</v>
      </c>
      <c r="I463" s="80">
        <v>8</v>
      </c>
      <c r="J463" s="80"/>
      <c r="K463" s="80"/>
      <c r="L463" s="80"/>
      <c r="M463" s="1" t="s">
        <v>751</v>
      </c>
      <c r="N463" s="1">
        <v>37</v>
      </c>
      <c r="O463" s="1">
        <v>5</v>
      </c>
      <c r="P463" s="13">
        <v>44810</v>
      </c>
      <c r="Q463" s="1" t="s">
        <v>133</v>
      </c>
      <c r="R463" s="1" t="s">
        <v>64</v>
      </c>
      <c r="S463" s="1">
        <v>1</v>
      </c>
      <c r="T463" s="1"/>
      <c r="U463" s="1" t="s">
        <v>18</v>
      </c>
      <c r="V463" s="76">
        <v>8.4285714285714288</v>
      </c>
      <c r="W463" s="76">
        <v>0.72843135908468348</v>
      </c>
      <c r="X463" s="77">
        <v>-0.58834840541455247</v>
      </c>
      <c r="Y463" s="77">
        <v>2</v>
      </c>
      <c r="Z463" s="76">
        <v>7.7142857142857144</v>
      </c>
      <c r="AA463" s="76">
        <v>0.88063057185271099</v>
      </c>
      <c r="AB463" s="77">
        <v>-0.81110710565381272</v>
      </c>
      <c r="AC463" s="77">
        <v>2</v>
      </c>
      <c r="AD463" s="76">
        <v>8</v>
      </c>
      <c r="AE463" s="76">
        <v>0.7559289460184544</v>
      </c>
      <c r="AF463" s="77">
        <v>-1.3228756555322954</v>
      </c>
      <c r="AG463" s="77">
        <v>1</v>
      </c>
      <c r="AH463" s="76">
        <v>7</v>
      </c>
      <c r="AI463" s="76">
        <v>0.53452248382484879</v>
      </c>
      <c r="AJ463" s="77">
        <v>1.8708286933869707</v>
      </c>
      <c r="AK463" s="77">
        <v>4</v>
      </c>
      <c r="AL463" s="76"/>
      <c r="AM463" s="76"/>
      <c r="AN463" s="77"/>
      <c r="AO463" s="77"/>
      <c r="AP463" s="76"/>
      <c r="AQ463" s="76"/>
      <c r="AR463" s="77"/>
      <c r="AS463" s="77"/>
      <c r="AT463" s="78">
        <v>0.375</v>
      </c>
    </row>
    <row r="464" spans="1:46" ht="12.5" x14ac:dyDescent="0.25">
      <c r="A464" s="79">
        <v>44810.410844780097</v>
      </c>
      <c r="B464" s="80" t="s">
        <v>10</v>
      </c>
      <c r="C464" s="80" t="str">
        <f>INDEX(TBL_Name,MATCH(Table2[[#This Row],[Athlete Name]],listNames,0),2)</f>
        <v>Athlete 5</v>
      </c>
      <c r="D464" s="80" t="s">
        <v>130</v>
      </c>
      <c r="E464" s="80">
        <v>8</v>
      </c>
      <c r="F464" s="80">
        <v>8</v>
      </c>
      <c r="G464" s="80">
        <v>8</v>
      </c>
      <c r="H464" s="80" t="s">
        <v>258</v>
      </c>
      <c r="I464" s="80">
        <v>7</v>
      </c>
      <c r="J464" s="80"/>
      <c r="K464" s="80"/>
      <c r="L464" s="80"/>
      <c r="M464" s="1" t="s">
        <v>752</v>
      </c>
      <c r="N464" s="1">
        <v>37</v>
      </c>
      <c r="O464" s="1">
        <v>5</v>
      </c>
      <c r="P464" s="13">
        <v>44810</v>
      </c>
      <c r="Q464" s="1" t="s">
        <v>133</v>
      </c>
      <c r="R464" s="1" t="s">
        <v>64</v>
      </c>
      <c r="S464" s="1">
        <v>1</v>
      </c>
      <c r="T464" s="1"/>
      <c r="U464" s="1" t="s">
        <v>11</v>
      </c>
      <c r="V464" s="76">
        <v>7.666666666666667</v>
      </c>
      <c r="W464" s="76">
        <v>0.47140452079103179</v>
      </c>
      <c r="X464" s="77">
        <v>0.70710678118654668</v>
      </c>
      <c r="Y464" s="77">
        <v>3</v>
      </c>
      <c r="Z464" s="76">
        <v>7.666666666666667</v>
      </c>
      <c r="AA464" s="76">
        <v>0.74535599249992979</v>
      </c>
      <c r="AB464" s="77">
        <v>0.44721359549995759</v>
      </c>
      <c r="AC464" s="77">
        <v>3</v>
      </c>
      <c r="AD464" s="76">
        <v>7.833333333333333</v>
      </c>
      <c r="AE464" s="76">
        <v>0.37267799624996489</v>
      </c>
      <c r="AF464" s="77">
        <v>0.44721359549995882</v>
      </c>
      <c r="AG464" s="77">
        <v>3</v>
      </c>
      <c r="AH464" s="76">
        <v>7.5</v>
      </c>
      <c r="AI464" s="76">
        <v>0.76376261582597338</v>
      </c>
      <c r="AJ464" s="77">
        <v>-0.65465367070797709</v>
      </c>
      <c r="AK464" s="77">
        <v>2</v>
      </c>
      <c r="AL464" s="76"/>
      <c r="AM464" s="76"/>
      <c r="AN464" s="77"/>
      <c r="AO464" s="77"/>
      <c r="AP464" s="76"/>
      <c r="AQ464" s="76"/>
      <c r="AR464" s="77"/>
      <c r="AS464" s="77"/>
      <c r="AT464" s="78">
        <v>0.625</v>
      </c>
    </row>
    <row r="465" spans="1:46" ht="12.5" x14ac:dyDescent="0.25">
      <c r="A465" s="79">
        <v>44810.411387534725</v>
      </c>
      <c r="B465" s="80" t="s">
        <v>180</v>
      </c>
      <c r="C465" s="80" t="str">
        <f>INDEX(TBL_Name,MATCH(Table2[[#This Row],[Athlete Name]],listNames,0),2)</f>
        <v>Athlete 29</v>
      </c>
      <c r="D465" s="80" t="s">
        <v>143</v>
      </c>
      <c r="E465" s="80">
        <v>3</v>
      </c>
      <c r="F465" s="80">
        <v>8</v>
      </c>
      <c r="G465" s="80">
        <v>7</v>
      </c>
      <c r="H465" s="80" t="s">
        <v>205</v>
      </c>
      <c r="I465" s="80">
        <v>4</v>
      </c>
      <c r="J465" s="80"/>
      <c r="K465" s="80"/>
      <c r="L465" s="80"/>
      <c r="M465" s="1" t="s">
        <v>753</v>
      </c>
      <c r="N465" s="1">
        <v>37</v>
      </c>
      <c r="O465" s="1">
        <v>5</v>
      </c>
      <c r="P465" s="13">
        <v>44810</v>
      </c>
      <c r="Q465" s="1" t="s">
        <v>133</v>
      </c>
      <c r="R465" s="1" t="s">
        <v>64</v>
      </c>
      <c r="S465" s="1">
        <v>2</v>
      </c>
      <c r="T465" s="1"/>
      <c r="U465" s="1" t="s">
        <v>5</v>
      </c>
      <c r="V465" s="76">
        <v>4.25</v>
      </c>
      <c r="W465" s="76">
        <v>2.2776083947860748</v>
      </c>
      <c r="X465" s="77">
        <v>-0.54882129994845175</v>
      </c>
      <c r="Y465" s="77">
        <v>2</v>
      </c>
      <c r="Z465" s="76">
        <v>7.25</v>
      </c>
      <c r="AA465" s="76">
        <v>0.4330127018922193</v>
      </c>
      <c r="AB465" s="77">
        <v>1.7320508075688774</v>
      </c>
      <c r="AC465" s="77">
        <v>4</v>
      </c>
      <c r="AD465" s="76">
        <v>8</v>
      </c>
      <c r="AE465" s="76">
        <v>0.79056941504209499</v>
      </c>
      <c r="AF465" s="77">
        <v>-1.2649110640673515</v>
      </c>
      <c r="AG465" s="77">
        <v>1</v>
      </c>
      <c r="AH465" s="76">
        <v>4</v>
      </c>
      <c r="AI465" s="76">
        <v>0</v>
      </c>
      <c r="AJ465" s="77">
        <v>0</v>
      </c>
      <c r="AK465" s="77">
        <v>3</v>
      </c>
      <c r="AL465" s="76"/>
      <c r="AM465" s="76"/>
      <c r="AN465" s="77"/>
      <c r="AO465" s="77"/>
      <c r="AP465" s="76"/>
      <c r="AQ465" s="76"/>
      <c r="AR465" s="77"/>
      <c r="AS465" s="77"/>
      <c r="AT465" s="78">
        <v>0.75</v>
      </c>
    </row>
    <row r="466" spans="1:46" ht="12.5" x14ac:dyDescent="0.25">
      <c r="A466" s="79">
        <v>44810.411458634262</v>
      </c>
      <c r="B466" s="80" t="s">
        <v>12</v>
      </c>
      <c r="C466" s="80" t="str">
        <f>INDEX(TBL_Name,MATCH(Table2[[#This Row],[Athlete Name]],listNames,0),2)</f>
        <v>Athlete 6</v>
      </c>
      <c r="D466" s="80" t="s">
        <v>130</v>
      </c>
      <c r="E466" s="80">
        <v>10</v>
      </c>
      <c r="F466" s="80">
        <v>8</v>
      </c>
      <c r="G466" s="80">
        <v>9</v>
      </c>
      <c r="H466" s="80" t="s">
        <v>131</v>
      </c>
      <c r="I466" s="80">
        <v>5</v>
      </c>
      <c r="J466" s="80"/>
      <c r="K466" s="80"/>
      <c r="L466" s="80"/>
      <c r="M466" s="1" t="s">
        <v>754</v>
      </c>
      <c r="N466" s="1">
        <v>37</v>
      </c>
      <c r="O466" s="1">
        <v>5</v>
      </c>
      <c r="P466" s="13">
        <v>44810</v>
      </c>
      <c r="Q466" s="1" t="s">
        <v>133</v>
      </c>
      <c r="R466" s="1" t="s">
        <v>64</v>
      </c>
      <c r="S466" s="1">
        <v>1</v>
      </c>
      <c r="T466" s="1"/>
      <c r="U466" s="1" t="s">
        <v>11</v>
      </c>
      <c r="V466" s="76">
        <v>10</v>
      </c>
      <c r="W466" s="76">
        <v>0</v>
      </c>
      <c r="X466" s="77">
        <v>0</v>
      </c>
      <c r="Y466" s="77">
        <v>3</v>
      </c>
      <c r="Z466" s="76">
        <v>8</v>
      </c>
      <c r="AA466" s="76">
        <v>0</v>
      </c>
      <c r="AB466" s="77">
        <v>0</v>
      </c>
      <c r="AC466" s="77">
        <v>3</v>
      </c>
      <c r="AD466" s="76">
        <v>9</v>
      </c>
      <c r="AE466" s="76">
        <v>0</v>
      </c>
      <c r="AF466" s="77">
        <v>0</v>
      </c>
      <c r="AG466" s="77">
        <v>3</v>
      </c>
      <c r="AH466" s="76">
        <v>5</v>
      </c>
      <c r="AI466" s="76">
        <v>0</v>
      </c>
      <c r="AJ466" s="77">
        <v>0</v>
      </c>
      <c r="AK466" s="77">
        <v>3</v>
      </c>
      <c r="AL466" s="76"/>
      <c r="AM466" s="76"/>
      <c r="AN466" s="77"/>
      <c r="AO466" s="77"/>
      <c r="AP466" s="76"/>
      <c r="AQ466" s="76"/>
      <c r="AR466" s="77"/>
      <c r="AS466" s="77"/>
      <c r="AT466" s="78">
        <v>0.75</v>
      </c>
    </row>
    <row r="467" spans="1:46" ht="12.5" x14ac:dyDescent="0.25">
      <c r="A467" s="79">
        <v>44810.411650231486</v>
      </c>
      <c r="B467" s="80" t="s">
        <v>196</v>
      </c>
      <c r="C467" s="80" t="str">
        <f>INDEX(TBL_Name,MATCH(Table2[[#This Row],[Athlete Name]],listNames,0),2)</f>
        <v>Athlete 31</v>
      </c>
      <c r="D467" s="80" t="s">
        <v>143</v>
      </c>
      <c r="E467" s="80">
        <v>5</v>
      </c>
      <c r="F467" s="80">
        <v>6</v>
      </c>
      <c r="G467" s="80">
        <v>7</v>
      </c>
      <c r="H467" s="80"/>
      <c r="I467" s="80">
        <v>9</v>
      </c>
      <c r="J467" s="80"/>
      <c r="K467" s="80"/>
      <c r="L467" s="80"/>
      <c r="M467" s="1" t="s">
        <v>755</v>
      </c>
      <c r="N467" s="1">
        <v>37</v>
      </c>
      <c r="O467" s="1">
        <v>5</v>
      </c>
      <c r="P467" s="13">
        <v>44810</v>
      </c>
      <c r="Q467" s="1" t="s">
        <v>133</v>
      </c>
      <c r="R467" s="1" t="s">
        <v>64</v>
      </c>
      <c r="S467" s="1">
        <v>2</v>
      </c>
      <c r="T467" s="1"/>
      <c r="U467" s="1" t="s">
        <v>28</v>
      </c>
      <c r="V467" s="76">
        <v>4.833333333333333</v>
      </c>
      <c r="W467" s="76">
        <v>1.2133516482134197</v>
      </c>
      <c r="X467" s="77">
        <v>0.13736056394868928</v>
      </c>
      <c r="Y467" s="77">
        <v>3</v>
      </c>
      <c r="Z467" s="76">
        <v>7.5</v>
      </c>
      <c r="AA467" s="76">
        <v>0.76376261582597327</v>
      </c>
      <c r="AB467" s="77">
        <v>-1.9639610121239317</v>
      </c>
      <c r="AC467" s="77">
        <v>1</v>
      </c>
      <c r="AD467" s="76">
        <v>8.25</v>
      </c>
      <c r="AE467" s="76">
        <v>0.90138781886599728</v>
      </c>
      <c r="AF467" s="77">
        <v>-1.386750490563073</v>
      </c>
      <c r="AG467" s="77">
        <v>1</v>
      </c>
      <c r="AH467" s="76">
        <v>8.5</v>
      </c>
      <c r="AI467" s="76">
        <v>0.49999999999999983</v>
      </c>
      <c r="AJ467" s="77">
        <v>1.0000000000000004</v>
      </c>
      <c r="AK467" s="77">
        <v>4</v>
      </c>
      <c r="AL467" s="76"/>
      <c r="AM467" s="76"/>
      <c r="AN467" s="77"/>
      <c r="AO467" s="77"/>
      <c r="AP467" s="76"/>
      <c r="AQ467" s="76"/>
      <c r="AR467" s="77"/>
      <c r="AS467" s="77"/>
      <c r="AT467" s="78">
        <v>0.875</v>
      </c>
    </row>
    <row r="468" spans="1:46" ht="12.5" x14ac:dyDescent="0.25">
      <c r="A468" s="79">
        <v>44810.412572824076</v>
      </c>
      <c r="B468" s="80" t="s">
        <v>25</v>
      </c>
      <c r="C468" s="80" t="str">
        <f>INDEX(TBL_Name,MATCH(Table2[[#This Row],[Athlete Name]],listNames,0),2)</f>
        <v>Athlete 23</v>
      </c>
      <c r="D468" s="80" t="s">
        <v>143</v>
      </c>
      <c r="E468" s="80">
        <v>7</v>
      </c>
      <c r="F468" s="80">
        <v>9</v>
      </c>
      <c r="G468" s="80">
        <v>9</v>
      </c>
      <c r="H468" s="80" t="s">
        <v>66</v>
      </c>
      <c r="I468" s="80">
        <v>8</v>
      </c>
      <c r="J468" s="80"/>
      <c r="K468" s="80"/>
      <c r="L468" s="80"/>
      <c r="M468" s="1" t="s">
        <v>756</v>
      </c>
      <c r="N468" s="1">
        <v>37</v>
      </c>
      <c r="O468" s="1">
        <v>5</v>
      </c>
      <c r="P468" s="13">
        <v>44810</v>
      </c>
      <c r="Q468" s="1" t="s">
        <v>133</v>
      </c>
      <c r="R468" s="1" t="s">
        <v>64</v>
      </c>
      <c r="S468" s="1">
        <v>2</v>
      </c>
      <c r="T468" s="1"/>
      <c r="U468" s="1" t="s">
        <v>26</v>
      </c>
      <c r="V468" s="76">
        <v>7</v>
      </c>
      <c r="W468" s="76">
        <v>0</v>
      </c>
      <c r="X468" s="77">
        <v>0</v>
      </c>
      <c r="Y468" s="77">
        <v>3</v>
      </c>
      <c r="Z468" s="76">
        <v>9</v>
      </c>
      <c r="AA468" s="76">
        <v>0</v>
      </c>
      <c r="AB468" s="77">
        <v>0</v>
      </c>
      <c r="AC468" s="77">
        <v>3</v>
      </c>
      <c r="AD468" s="76">
        <v>9.5</v>
      </c>
      <c r="AE468" s="76">
        <v>0.5</v>
      </c>
      <c r="AF468" s="77">
        <v>-1</v>
      </c>
      <c r="AG468" s="77">
        <v>1</v>
      </c>
      <c r="AH468" s="76">
        <v>7</v>
      </c>
      <c r="AI468" s="76">
        <v>1</v>
      </c>
      <c r="AJ468" s="77">
        <v>1</v>
      </c>
      <c r="AK468" s="77">
        <v>4</v>
      </c>
      <c r="AL468" s="76"/>
      <c r="AM468" s="76"/>
      <c r="AN468" s="77"/>
      <c r="AO468" s="77"/>
      <c r="AP468" s="76"/>
      <c r="AQ468" s="76"/>
      <c r="AR468" s="77"/>
      <c r="AS468" s="77"/>
      <c r="AT468" s="78">
        <v>0.75</v>
      </c>
    </row>
    <row r="469" spans="1:46" ht="12.5" x14ac:dyDescent="0.25">
      <c r="A469" s="79">
        <v>44810.413387835652</v>
      </c>
      <c r="B469" s="80" t="s">
        <v>23</v>
      </c>
      <c r="C469" s="80" t="str">
        <f>INDEX(TBL_Name,MATCH(Table2[[#This Row],[Athlete Name]],listNames,0),2)</f>
        <v>Athlete 15</v>
      </c>
      <c r="D469" s="80" t="s">
        <v>150</v>
      </c>
      <c r="E469" s="80">
        <v>4</v>
      </c>
      <c r="F469" s="80">
        <v>7</v>
      </c>
      <c r="G469" s="80">
        <v>8</v>
      </c>
      <c r="H469" s="80" t="s">
        <v>757</v>
      </c>
      <c r="I469" s="80">
        <v>8</v>
      </c>
      <c r="J469" s="80"/>
      <c r="K469" s="80"/>
      <c r="L469" s="80"/>
      <c r="M469" s="1" t="s">
        <v>758</v>
      </c>
      <c r="N469" s="1">
        <v>37</v>
      </c>
      <c r="O469" s="1">
        <v>5</v>
      </c>
      <c r="P469" s="13">
        <v>44810</v>
      </c>
      <c r="Q469" s="1" t="s">
        <v>133</v>
      </c>
      <c r="R469" s="1" t="s">
        <v>64</v>
      </c>
      <c r="S469" s="1">
        <v>3</v>
      </c>
      <c r="T469" s="1"/>
      <c r="U469" s="1" t="s">
        <v>18</v>
      </c>
      <c r="V469" s="76">
        <v>4</v>
      </c>
      <c r="W469" s="76">
        <v>0</v>
      </c>
      <c r="X469" s="77">
        <v>0</v>
      </c>
      <c r="Y469" s="77">
        <v>3</v>
      </c>
      <c r="Z469" s="76">
        <v>8</v>
      </c>
      <c r="AA469" s="76">
        <v>1</v>
      </c>
      <c r="AB469" s="77">
        <v>-1</v>
      </c>
      <c r="AC469" s="77">
        <v>1</v>
      </c>
      <c r="AD469" s="76">
        <v>8</v>
      </c>
      <c r="AE469" s="76">
        <v>0</v>
      </c>
      <c r="AF469" s="77">
        <v>0</v>
      </c>
      <c r="AG469" s="77">
        <v>3</v>
      </c>
      <c r="AH469" s="76">
        <v>8</v>
      </c>
      <c r="AI469" s="76">
        <v>0</v>
      </c>
      <c r="AJ469" s="77">
        <v>0</v>
      </c>
      <c r="AK469" s="77">
        <v>3</v>
      </c>
      <c r="AL469" s="76"/>
      <c r="AM469" s="76"/>
      <c r="AN469" s="77"/>
      <c r="AO469" s="77"/>
      <c r="AP469" s="76"/>
      <c r="AQ469" s="76"/>
      <c r="AR469" s="77"/>
      <c r="AS469" s="77"/>
      <c r="AT469" s="78">
        <v>0.75</v>
      </c>
    </row>
    <row r="470" spans="1:46" ht="12.5" x14ac:dyDescent="0.25">
      <c r="A470" s="79">
        <v>44810.414875821763</v>
      </c>
      <c r="B470" s="80" t="s">
        <v>148</v>
      </c>
      <c r="C470" s="80" t="str">
        <f>INDEX(TBL_Name,MATCH(Table2[[#This Row],[Athlete Name]],listNames,0),2)</f>
        <v>Athlete 22</v>
      </c>
      <c r="D470" s="80" t="s">
        <v>130</v>
      </c>
      <c r="E470" s="80">
        <v>10</v>
      </c>
      <c r="F470" s="80">
        <v>8</v>
      </c>
      <c r="G470" s="80">
        <v>8</v>
      </c>
      <c r="H470" s="80" t="s">
        <v>71</v>
      </c>
      <c r="I470" s="80">
        <v>5</v>
      </c>
      <c r="J470" s="80"/>
      <c r="K470" s="80"/>
      <c r="L470" s="80"/>
      <c r="M470" s="1" t="s">
        <v>759</v>
      </c>
      <c r="N470" s="1">
        <v>37</v>
      </c>
      <c r="O470" s="1">
        <v>5</v>
      </c>
      <c r="P470" s="13">
        <v>44810</v>
      </c>
      <c r="Q470" s="1" t="s">
        <v>133</v>
      </c>
      <c r="R470" s="1" t="s">
        <v>64</v>
      </c>
      <c r="S470" s="1">
        <v>1</v>
      </c>
      <c r="T470" s="1"/>
      <c r="U470" s="1" t="s">
        <v>11</v>
      </c>
      <c r="V470" s="76">
        <v>10</v>
      </c>
      <c r="W470" s="76">
        <v>0</v>
      </c>
      <c r="X470" s="77">
        <v>0</v>
      </c>
      <c r="Y470" s="77">
        <v>3</v>
      </c>
      <c r="Z470" s="76">
        <v>8</v>
      </c>
      <c r="AA470" s="76">
        <v>1.6329931618554521</v>
      </c>
      <c r="AB470" s="77">
        <v>0</v>
      </c>
      <c r="AC470" s="77">
        <v>3</v>
      </c>
      <c r="AD470" s="76">
        <v>8.3333333333333339</v>
      </c>
      <c r="AE470" s="76">
        <v>0.47140452079103179</v>
      </c>
      <c r="AF470" s="77">
        <v>-0.70710678118654857</v>
      </c>
      <c r="AG470" s="77">
        <v>2</v>
      </c>
      <c r="AH470" s="76">
        <v>6.333333333333333</v>
      </c>
      <c r="AI470" s="76">
        <v>1.247219128924647</v>
      </c>
      <c r="AJ470" s="77">
        <v>-1.0690449676496974</v>
      </c>
      <c r="AK470" s="77">
        <v>1</v>
      </c>
      <c r="AL470" s="76"/>
      <c r="AM470" s="76"/>
      <c r="AN470" s="77"/>
      <c r="AO470" s="77"/>
      <c r="AP470" s="76"/>
      <c r="AQ470" s="76"/>
      <c r="AR470" s="77"/>
      <c r="AS470" s="77"/>
      <c r="AT470" s="78">
        <v>0.75</v>
      </c>
    </row>
    <row r="471" spans="1:46" ht="12.5" x14ac:dyDescent="0.25">
      <c r="A471" s="79">
        <v>44810.424809733799</v>
      </c>
      <c r="B471" s="80" t="s">
        <v>22</v>
      </c>
      <c r="C471" s="80" t="str">
        <f>INDEX(TBL_Name,MATCH(Table2[[#This Row],[Athlete Name]],listNames,0),2)</f>
        <v>Athlete 14</v>
      </c>
      <c r="D471" s="80" t="s">
        <v>130</v>
      </c>
      <c r="E471" s="80">
        <v>7</v>
      </c>
      <c r="F471" s="80">
        <v>5</v>
      </c>
      <c r="G471" s="80">
        <v>9</v>
      </c>
      <c r="H471" s="80" t="s">
        <v>188</v>
      </c>
      <c r="I471" s="80">
        <v>6</v>
      </c>
      <c r="J471" s="80"/>
      <c r="K471" s="80"/>
      <c r="L471" s="80"/>
      <c r="M471" s="1" t="s">
        <v>760</v>
      </c>
      <c r="N471" s="1">
        <v>37</v>
      </c>
      <c r="O471" s="1">
        <v>5</v>
      </c>
      <c r="P471" s="13">
        <v>44810</v>
      </c>
      <c r="Q471" s="1" t="s">
        <v>133</v>
      </c>
      <c r="R471" s="1" t="s">
        <v>64</v>
      </c>
      <c r="S471" s="1">
        <v>1</v>
      </c>
      <c r="T471" s="1"/>
      <c r="U471" s="1" t="s">
        <v>18</v>
      </c>
      <c r="V471" s="76">
        <v>6.333333333333333</v>
      </c>
      <c r="W471" s="76">
        <v>0.47140452079103179</v>
      </c>
      <c r="X471" s="77">
        <v>1.4142135623730954</v>
      </c>
      <c r="Y471" s="77">
        <v>4</v>
      </c>
      <c r="Z471" s="76">
        <v>5.666666666666667</v>
      </c>
      <c r="AA471" s="76">
        <v>0.47140452079103179</v>
      </c>
      <c r="AB471" s="77">
        <v>-1.4142135623730954</v>
      </c>
      <c r="AC471" s="77">
        <v>1</v>
      </c>
      <c r="AD471" s="76">
        <v>9</v>
      </c>
      <c r="AE471" s="76">
        <v>0</v>
      </c>
      <c r="AF471" s="77">
        <v>0</v>
      </c>
      <c r="AG471" s="77">
        <v>3</v>
      </c>
      <c r="AH471" s="76">
        <v>4.333333333333333</v>
      </c>
      <c r="AI471" s="76">
        <v>1.699673171197595</v>
      </c>
      <c r="AJ471" s="77">
        <v>0.98058067569092033</v>
      </c>
      <c r="AK471" s="77">
        <v>3</v>
      </c>
      <c r="AL471" s="76"/>
      <c r="AM471" s="76"/>
      <c r="AN471" s="77"/>
      <c r="AO471" s="77"/>
      <c r="AP471" s="76"/>
      <c r="AQ471" s="76"/>
      <c r="AR471" s="77"/>
      <c r="AS471" s="77"/>
      <c r="AT471" s="78">
        <v>0.6875</v>
      </c>
    </row>
    <row r="472" spans="1:46" ht="12.5" x14ac:dyDescent="0.25">
      <c r="A472" s="79">
        <v>44810.444696736115</v>
      </c>
      <c r="B472" s="80" t="s">
        <v>136</v>
      </c>
      <c r="C472" s="80" t="str">
        <f>INDEX(TBL_Name,MATCH(Table2[[#This Row],[Athlete Name]],listNames,0),2)</f>
        <v>Athlete 20</v>
      </c>
      <c r="D472" s="80" t="s">
        <v>130</v>
      </c>
      <c r="E472" s="80">
        <v>7</v>
      </c>
      <c r="F472" s="80">
        <v>8</v>
      </c>
      <c r="G472" s="80">
        <v>8</v>
      </c>
      <c r="H472" s="80" t="s">
        <v>761</v>
      </c>
      <c r="I472" s="80">
        <v>7</v>
      </c>
      <c r="J472" s="80"/>
      <c r="K472" s="80"/>
      <c r="L472" s="80"/>
      <c r="M472" s="1" t="s">
        <v>762</v>
      </c>
      <c r="N472" s="1">
        <v>37</v>
      </c>
      <c r="O472" s="1">
        <v>5</v>
      </c>
      <c r="P472" s="13">
        <v>44810</v>
      </c>
      <c r="Q472" s="1" t="s">
        <v>133</v>
      </c>
      <c r="R472" s="1" t="s">
        <v>64</v>
      </c>
      <c r="S472" s="1">
        <v>1</v>
      </c>
      <c r="T472" s="1"/>
      <c r="U472" s="1" t="s">
        <v>18</v>
      </c>
      <c r="V472" s="76">
        <v>8.6</v>
      </c>
      <c r="W472" s="76">
        <v>1.019803902718557</v>
      </c>
      <c r="X472" s="77">
        <v>-1.5689290811054719</v>
      </c>
      <c r="Y472" s="77">
        <v>1</v>
      </c>
      <c r="Z472" s="76">
        <v>8.6</v>
      </c>
      <c r="AA472" s="76">
        <v>1.019803902718557</v>
      </c>
      <c r="AB472" s="77">
        <v>-0.58834840541455169</v>
      </c>
      <c r="AC472" s="77">
        <v>2</v>
      </c>
      <c r="AD472" s="76">
        <v>8.4</v>
      </c>
      <c r="AE472" s="76">
        <v>0.8</v>
      </c>
      <c r="AF472" s="77">
        <v>-0.50000000000000044</v>
      </c>
      <c r="AG472" s="77">
        <v>2</v>
      </c>
      <c r="AH472" s="76">
        <v>7.8</v>
      </c>
      <c r="AI472" s="76">
        <v>2.2271057451320089</v>
      </c>
      <c r="AJ472" s="77">
        <v>-0.35921060405354971</v>
      </c>
      <c r="AK472" s="77">
        <v>2</v>
      </c>
      <c r="AL472" s="76"/>
      <c r="AM472" s="76"/>
      <c r="AN472" s="77"/>
      <c r="AO472" s="77"/>
      <c r="AP472" s="76"/>
      <c r="AQ472" s="76"/>
      <c r="AR472" s="77"/>
      <c r="AS472" s="77"/>
      <c r="AT472" s="78">
        <v>0.375</v>
      </c>
    </row>
    <row r="473" spans="1:46" ht="12.5" x14ac:dyDescent="0.25">
      <c r="A473" s="79">
        <v>44810.482109189819</v>
      </c>
      <c r="B473" s="80" t="s">
        <v>15</v>
      </c>
      <c r="C473" s="80" t="str">
        <f>INDEX(TBL_Name,MATCH(Table2[[#This Row],[Athlete Name]],listNames,0),2)</f>
        <v>Athlete 8</v>
      </c>
      <c r="D473" s="80" t="s">
        <v>130</v>
      </c>
      <c r="E473" s="80">
        <v>7</v>
      </c>
      <c r="F473" s="80">
        <v>7</v>
      </c>
      <c r="G473" s="80">
        <v>7</v>
      </c>
      <c r="H473" s="80" t="s">
        <v>287</v>
      </c>
      <c r="I473" s="80">
        <v>7</v>
      </c>
      <c r="J473" s="80"/>
      <c r="K473" s="80"/>
      <c r="L473" s="80"/>
      <c r="M473" s="1" t="s">
        <v>763</v>
      </c>
      <c r="N473" s="1">
        <v>37</v>
      </c>
      <c r="O473" s="1">
        <v>5</v>
      </c>
      <c r="P473" s="13">
        <v>44810</v>
      </c>
      <c r="Q473" s="1" t="s">
        <v>133</v>
      </c>
      <c r="R473" s="1" t="s">
        <v>64</v>
      </c>
      <c r="S473" s="1">
        <v>1</v>
      </c>
      <c r="T473" s="1"/>
      <c r="U473" s="1" t="s">
        <v>14</v>
      </c>
      <c r="V473" s="76">
        <v>8.5</v>
      </c>
      <c r="W473" s="76">
        <v>1.1180339887498949</v>
      </c>
      <c r="X473" s="77">
        <v>-1.3416407864998738</v>
      </c>
      <c r="Y473" s="77">
        <v>1</v>
      </c>
      <c r="Z473" s="76">
        <v>8.5</v>
      </c>
      <c r="AA473" s="76">
        <v>1.5</v>
      </c>
      <c r="AB473" s="77">
        <v>-1</v>
      </c>
      <c r="AC473" s="77">
        <v>1</v>
      </c>
      <c r="AD473" s="76">
        <v>8</v>
      </c>
      <c r="AE473" s="76">
        <v>0.70710678118654768</v>
      </c>
      <c r="AF473" s="77">
        <v>-1.4142135623730947</v>
      </c>
      <c r="AG473" s="77">
        <v>1</v>
      </c>
      <c r="AH473" s="76">
        <v>5.75</v>
      </c>
      <c r="AI473" s="76">
        <v>0.82915619758885006</v>
      </c>
      <c r="AJ473" s="77">
        <v>1.507556722888818</v>
      </c>
      <c r="AK473" s="77">
        <v>4</v>
      </c>
      <c r="AL473" s="76"/>
      <c r="AM473" s="76"/>
      <c r="AN473" s="77"/>
      <c r="AO473" s="77"/>
      <c r="AP473" s="76"/>
      <c r="AQ473" s="76"/>
      <c r="AR473" s="77"/>
      <c r="AS473" s="77"/>
      <c r="AT473" s="78">
        <v>0.25</v>
      </c>
    </row>
    <row r="474" spans="1:46" ht="12.5" x14ac:dyDescent="0.25">
      <c r="A474" s="79">
        <v>44810.486370914354</v>
      </c>
      <c r="B474" s="80" t="s">
        <v>19</v>
      </c>
      <c r="C474" s="80" t="str">
        <f>INDEX(TBL_Name,MATCH(Table2[[#This Row],[Athlete Name]],listNames,0),2)</f>
        <v>Athlete 11</v>
      </c>
      <c r="D474" s="80" t="s">
        <v>130</v>
      </c>
      <c r="E474" s="80">
        <v>5</v>
      </c>
      <c r="F474" s="80">
        <v>7</v>
      </c>
      <c r="G474" s="80">
        <v>7</v>
      </c>
      <c r="H474" s="80" t="s">
        <v>435</v>
      </c>
      <c r="I474" s="80">
        <v>4</v>
      </c>
      <c r="J474" s="80"/>
      <c r="K474" s="80"/>
      <c r="L474" s="80"/>
      <c r="M474" s="1" t="s">
        <v>764</v>
      </c>
      <c r="N474" s="1">
        <v>37</v>
      </c>
      <c r="O474" s="1">
        <v>5</v>
      </c>
      <c r="P474" s="13">
        <v>44810</v>
      </c>
      <c r="Q474" s="1" t="s">
        <v>133</v>
      </c>
      <c r="R474" s="1" t="s">
        <v>64</v>
      </c>
      <c r="S474" s="1">
        <v>1</v>
      </c>
      <c r="T474" s="1"/>
      <c r="U474" s="1" t="s">
        <v>18</v>
      </c>
      <c r="V474" s="76">
        <v>6.5</v>
      </c>
      <c r="W474" s="76">
        <v>1.5</v>
      </c>
      <c r="X474" s="77">
        <v>-1</v>
      </c>
      <c r="Y474" s="77">
        <v>1</v>
      </c>
      <c r="Z474" s="76">
        <v>8</v>
      </c>
      <c r="AA474" s="76">
        <v>0.70710678118654768</v>
      </c>
      <c r="AB474" s="77">
        <v>-1.4142135623730947</v>
      </c>
      <c r="AC474" s="77">
        <v>1</v>
      </c>
      <c r="AD474" s="76">
        <v>8</v>
      </c>
      <c r="AE474" s="76">
        <v>0.70710678118654768</v>
      </c>
      <c r="AF474" s="77">
        <v>-1.4142135623730947</v>
      </c>
      <c r="AG474" s="77">
        <v>1</v>
      </c>
      <c r="AH474" s="76">
        <v>3.75</v>
      </c>
      <c r="AI474" s="76">
        <v>0.4330127018922193</v>
      </c>
      <c r="AJ474" s="77">
        <v>0.57735026918962584</v>
      </c>
      <c r="AK474" s="77">
        <v>3</v>
      </c>
      <c r="AL474" s="76"/>
      <c r="AM474" s="76"/>
      <c r="AN474" s="77"/>
      <c r="AO474" s="77"/>
      <c r="AP474" s="76"/>
      <c r="AQ474" s="76"/>
      <c r="AR474" s="77"/>
      <c r="AS474" s="77"/>
      <c r="AT474" s="78">
        <v>0.5</v>
      </c>
    </row>
    <row r="475" spans="1:46" ht="12.5" x14ac:dyDescent="0.25">
      <c r="A475" s="79">
        <v>44810.747697372688</v>
      </c>
      <c r="B475" s="80" t="s">
        <v>16</v>
      </c>
      <c r="C475" s="80" t="str">
        <f>INDEX(TBL_Name,MATCH(Table2[[#This Row],[Athlete Name]],listNames,0),2)</f>
        <v>Athlete 9</v>
      </c>
      <c r="D475" s="80" t="s">
        <v>130</v>
      </c>
      <c r="E475" s="80">
        <v>6</v>
      </c>
      <c r="F475" s="80">
        <v>7</v>
      </c>
      <c r="G475" s="80">
        <v>8</v>
      </c>
      <c r="H475" s="80" t="s">
        <v>415</v>
      </c>
      <c r="I475" s="80">
        <v>6</v>
      </c>
      <c r="J475" s="80"/>
      <c r="K475" s="80"/>
      <c r="L475" s="80"/>
      <c r="M475" s="1" t="s">
        <v>765</v>
      </c>
      <c r="N475" s="1">
        <v>37</v>
      </c>
      <c r="O475" s="1">
        <v>5</v>
      </c>
      <c r="P475" s="13">
        <v>44810</v>
      </c>
      <c r="Q475" s="1" t="s">
        <v>133</v>
      </c>
      <c r="R475" s="1" t="s">
        <v>64</v>
      </c>
      <c r="S475" s="1">
        <v>1</v>
      </c>
      <c r="T475" s="1"/>
      <c r="U475" s="1" t="s">
        <v>14</v>
      </c>
      <c r="V475" s="76">
        <v>6</v>
      </c>
      <c r="W475" s="76">
        <v>0.63245553203367577</v>
      </c>
      <c r="X475" s="77">
        <v>0</v>
      </c>
      <c r="Y475" s="77">
        <v>3</v>
      </c>
      <c r="Z475" s="76">
        <v>6.8</v>
      </c>
      <c r="AA475" s="76">
        <v>0.39999999999999997</v>
      </c>
      <c r="AB475" s="77">
        <v>0.50000000000000044</v>
      </c>
      <c r="AC475" s="77">
        <v>3</v>
      </c>
      <c r="AD475" s="76">
        <v>7.8</v>
      </c>
      <c r="AE475" s="76">
        <v>0.4</v>
      </c>
      <c r="AF475" s="77">
        <v>0.50000000000000044</v>
      </c>
      <c r="AG475" s="77">
        <v>3</v>
      </c>
      <c r="AH475" s="76">
        <v>6.2</v>
      </c>
      <c r="AI475" s="76">
        <v>0.40000000000000008</v>
      </c>
      <c r="AJ475" s="77">
        <v>-0.50000000000000033</v>
      </c>
      <c r="AK475" s="77">
        <v>2</v>
      </c>
      <c r="AL475" s="76"/>
      <c r="AM475" s="76"/>
      <c r="AN475" s="77"/>
      <c r="AO475" s="77"/>
      <c r="AP475" s="76"/>
      <c r="AQ475" s="76"/>
      <c r="AR475" s="77"/>
      <c r="AS475" s="77"/>
      <c r="AT475" s="78">
        <v>0.875</v>
      </c>
    </row>
    <row r="476" spans="1:46" ht="12.5" x14ac:dyDescent="0.25">
      <c r="A476" s="79">
        <v>44811.321545659725</v>
      </c>
      <c r="B476" s="80" t="s">
        <v>17</v>
      </c>
      <c r="C476" s="80" t="str">
        <f>INDEX(TBL_Name,MATCH(Table2[[#This Row],[Athlete Name]],listNames,0),2)</f>
        <v>Athlete 10</v>
      </c>
      <c r="D476" s="80" t="s">
        <v>130</v>
      </c>
      <c r="E476" s="80">
        <v>8</v>
      </c>
      <c r="F476" s="80">
        <v>7</v>
      </c>
      <c r="G476" s="80">
        <v>8</v>
      </c>
      <c r="H476" s="80" t="s">
        <v>676</v>
      </c>
      <c r="I476" s="80">
        <v>8</v>
      </c>
      <c r="J476" s="80"/>
      <c r="K476" s="80"/>
      <c r="L476" s="80"/>
      <c r="M476" s="1" t="s">
        <v>766</v>
      </c>
      <c r="N476" s="1">
        <v>37</v>
      </c>
      <c r="O476" s="1">
        <v>5</v>
      </c>
      <c r="P476" s="13">
        <v>44811</v>
      </c>
      <c r="Q476" s="1" t="s">
        <v>133</v>
      </c>
      <c r="R476" s="1" t="s">
        <v>64</v>
      </c>
      <c r="S476" s="1">
        <v>1</v>
      </c>
      <c r="T476" s="1"/>
      <c r="U476" s="1" t="s">
        <v>18</v>
      </c>
      <c r="V476" s="76">
        <v>8.2857142857142865</v>
      </c>
      <c r="W476" s="76">
        <v>0.6998542122237652</v>
      </c>
      <c r="X476" s="77">
        <v>-0.40824829046386407</v>
      </c>
      <c r="Y476" s="77">
        <v>2</v>
      </c>
      <c r="Z476" s="76">
        <v>7.7142857142857144</v>
      </c>
      <c r="AA476" s="76">
        <v>0.88063057185271076</v>
      </c>
      <c r="AB476" s="77">
        <v>-0.81110710565381294</v>
      </c>
      <c r="AC476" s="77">
        <v>2</v>
      </c>
      <c r="AD476" s="76">
        <v>8</v>
      </c>
      <c r="AE476" s="76">
        <v>0.75592894601845428</v>
      </c>
      <c r="AF476" s="77">
        <v>0</v>
      </c>
      <c r="AG476" s="77">
        <v>3</v>
      </c>
      <c r="AH476" s="76">
        <v>7.1428571428571432</v>
      </c>
      <c r="AI476" s="76">
        <v>0.63887656499993983</v>
      </c>
      <c r="AJ476" s="77">
        <v>1.3416407864998734</v>
      </c>
      <c r="AK476" s="77">
        <v>4</v>
      </c>
      <c r="AL476" s="76"/>
      <c r="AM476" s="76"/>
      <c r="AN476" s="77"/>
      <c r="AO476" s="77"/>
      <c r="AP476" s="76"/>
      <c r="AQ476" s="76"/>
      <c r="AR476" s="77"/>
      <c r="AS476" s="77"/>
      <c r="AT476" s="78">
        <v>0.4375</v>
      </c>
    </row>
    <row r="477" spans="1:46" ht="12.5" x14ac:dyDescent="0.25">
      <c r="A477" s="79">
        <v>44811.41265032407</v>
      </c>
      <c r="B477" s="80" t="s">
        <v>171</v>
      </c>
      <c r="C477" s="80" t="str">
        <f>INDEX(TBL_Name,MATCH(Table2[[#This Row],[Athlete Name]],listNames,0),2)</f>
        <v>Athlete 27</v>
      </c>
      <c r="D477" s="80" t="s">
        <v>130</v>
      </c>
      <c r="E477" s="80">
        <v>10</v>
      </c>
      <c r="F477" s="80">
        <v>6</v>
      </c>
      <c r="G477" s="80">
        <v>7</v>
      </c>
      <c r="H477" s="80" t="s">
        <v>767</v>
      </c>
      <c r="I477" s="80">
        <v>4</v>
      </c>
      <c r="J477" s="80"/>
      <c r="K477" s="80"/>
      <c r="L477" s="80"/>
      <c r="M477" s="1" t="s">
        <v>768</v>
      </c>
      <c r="N477" s="1">
        <v>37</v>
      </c>
      <c r="O477" s="1">
        <v>5</v>
      </c>
      <c r="P477" s="13">
        <v>44811</v>
      </c>
      <c r="Q477" s="1" t="s">
        <v>133</v>
      </c>
      <c r="R477" s="1" t="s">
        <v>64</v>
      </c>
      <c r="S477" s="1">
        <v>1</v>
      </c>
      <c r="T477" s="1"/>
      <c r="U477" s="1" t="s">
        <v>8</v>
      </c>
      <c r="V477" s="76">
        <v>9.8000000000000007</v>
      </c>
      <c r="W477" s="76">
        <v>0.39999999999999986</v>
      </c>
      <c r="X477" s="77">
        <v>0.49999999999999839</v>
      </c>
      <c r="Y477" s="77">
        <v>3</v>
      </c>
      <c r="Z477" s="76">
        <v>6.6</v>
      </c>
      <c r="AA477" s="76">
        <v>1.8547236990991405</v>
      </c>
      <c r="AB477" s="77">
        <v>-0.32349831961031511</v>
      </c>
      <c r="AC477" s="77">
        <v>2</v>
      </c>
      <c r="AD477" s="76">
        <v>7.8</v>
      </c>
      <c r="AE477" s="76">
        <v>1.16619037896906</v>
      </c>
      <c r="AF477" s="77">
        <v>-0.68599434057003528</v>
      </c>
      <c r="AG477" s="77">
        <v>2</v>
      </c>
      <c r="AH477" s="76">
        <v>7.6</v>
      </c>
      <c r="AI477" s="76">
        <v>2.3323807579381204</v>
      </c>
      <c r="AJ477" s="77">
        <v>-1.5434872662825792</v>
      </c>
      <c r="AK477" s="77">
        <v>1</v>
      </c>
      <c r="AL477" s="76"/>
      <c r="AM477" s="76"/>
      <c r="AN477" s="77"/>
      <c r="AO477" s="77"/>
      <c r="AP477" s="76"/>
      <c r="AQ477" s="76"/>
      <c r="AR477" s="77"/>
      <c r="AS477" s="77"/>
      <c r="AT477" s="78">
        <v>0.375</v>
      </c>
    </row>
    <row r="478" spans="1:46" ht="12.5" x14ac:dyDescent="0.25">
      <c r="A478" s="79">
        <v>44811.502031238429</v>
      </c>
      <c r="B478" s="80" t="s">
        <v>6</v>
      </c>
      <c r="C478" s="80" t="str">
        <f>INDEX(TBL_Name,MATCH(Table2[[#This Row],[Athlete Name]],listNames,0),2)</f>
        <v>Athlete 2</v>
      </c>
      <c r="D478" s="80" t="s">
        <v>130</v>
      </c>
      <c r="E478" s="80">
        <v>9</v>
      </c>
      <c r="F478" s="80">
        <v>8</v>
      </c>
      <c r="G478" s="80">
        <v>8</v>
      </c>
      <c r="H478" s="80" t="s">
        <v>73</v>
      </c>
      <c r="I478" s="80">
        <v>5</v>
      </c>
      <c r="J478" s="80"/>
      <c r="K478" s="80"/>
      <c r="L478" s="80"/>
      <c r="M478" s="1" t="s">
        <v>769</v>
      </c>
      <c r="N478" s="1">
        <v>37</v>
      </c>
      <c r="O478" s="1">
        <v>5</v>
      </c>
      <c r="P478" s="13">
        <v>44811</v>
      </c>
      <c r="Q478" s="1" t="s">
        <v>133</v>
      </c>
      <c r="R478" s="1" t="s">
        <v>64</v>
      </c>
      <c r="S478" s="1">
        <v>1</v>
      </c>
      <c r="T478" s="1"/>
      <c r="U478" s="1" t="s">
        <v>5</v>
      </c>
      <c r="V478" s="76">
        <v>9.3333333333333339</v>
      </c>
      <c r="W478" s="76">
        <v>0.47140452079103179</v>
      </c>
      <c r="X478" s="77">
        <v>-0.70710678118654857</v>
      </c>
      <c r="Y478" s="77">
        <v>2</v>
      </c>
      <c r="Z478" s="76">
        <v>6.166666666666667</v>
      </c>
      <c r="AA478" s="76">
        <v>1.0671873729054748</v>
      </c>
      <c r="AB478" s="77">
        <v>1.7179113807746664</v>
      </c>
      <c r="AC478" s="77">
        <v>4</v>
      </c>
      <c r="AD478" s="76">
        <v>8.5</v>
      </c>
      <c r="AE478" s="76">
        <v>0.76376261582597338</v>
      </c>
      <c r="AF478" s="77">
        <v>-0.65465367070797709</v>
      </c>
      <c r="AG478" s="77">
        <v>2</v>
      </c>
      <c r="AH478" s="76">
        <v>6.5</v>
      </c>
      <c r="AI478" s="76">
        <v>0.9574271077563381</v>
      </c>
      <c r="AJ478" s="77">
        <v>-1.5666989036012806</v>
      </c>
      <c r="AK478" s="77">
        <v>1</v>
      </c>
      <c r="AL478" s="76"/>
      <c r="AM478" s="76"/>
      <c r="AN478" s="77"/>
      <c r="AO478" s="77"/>
      <c r="AP478" s="76"/>
      <c r="AQ478" s="76"/>
      <c r="AR478" s="77"/>
      <c r="AS478" s="77"/>
      <c r="AT478" s="78">
        <v>0.3125</v>
      </c>
    </row>
    <row r="479" spans="1:46" ht="12.5" x14ac:dyDescent="0.25">
      <c r="A479" s="79">
        <v>44811.987975428245</v>
      </c>
      <c r="B479" s="80" t="s">
        <v>180</v>
      </c>
      <c r="C479" s="80" t="str">
        <f>INDEX(TBL_Name,MATCH(Table2[[#This Row],[Athlete Name]],listNames,0),2)</f>
        <v>Athlete 29</v>
      </c>
      <c r="D479" s="80" t="s">
        <v>143</v>
      </c>
      <c r="E479" s="80">
        <v>4</v>
      </c>
      <c r="F479" s="80">
        <v>8</v>
      </c>
      <c r="G479" s="80">
        <v>8</v>
      </c>
      <c r="H479" s="80" t="s">
        <v>770</v>
      </c>
      <c r="I479" s="80">
        <v>4</v>
      </c>
      <c r="J479" s="80"/>
      <c r="K479" s="80"/>
      <c r="L479" s="80"/>
      <c r="M479" s="1" t="s">
        <v>771</v>
      </c>
      <c r="N479" s="1">
        <v>37</v>
      </c>
      <c r="O479" s="1">
        <v>5</v>
      </c>
      <c r="P479" s="13">
        <v>44811</v>
      </c>
      <c r="Q479" s="1" t="s">
        <v>133</v>
      </c>
      <c r="R479" s="1" t="s">
        <v>64</v>
      </c>
      <c r="S479" s="1">
        <v>2</v>
      </c>
      <c r="T479" s="1"/>
      <c r="U479" s="1" t="s">
        <v>5</v>
      </c>
      <c r="V479" s="76">
        <v>3.25</v>
      </c>
      <c r="W479" s="76">
        <v>0.82915619758884995</v>
      </c>
      <c r="X479" s="77">
        <v>0.90453403373329089</v>
      </c>
      <c r="Y479" s="77">
        <v>3</v>
      </c>
      <c r="Z479" s="76">
        <v>7.5</v>
      </c>
      <c r="AA479" s="76">
        <v>0.50000000000000011</v>
      </c>
      <c r="AB479" s="77">
        <v>0.99999999999999978</v>
      </c>
      <c r="AC479" s="77">
        <v>4</v>
      </c>
      <c r="AD479" s="76">
        <v>7.875</v>
      </c>
      <c r="AE479" s="76">
        <v>0.73950997288745191</v>
      </c>
      <c r="AF479" s="77">
        <v>0.16903085094570333</v>
      </c>
      <c r="AG479" s="77">
        <v>3</v>
      </c>
      <c r="AH479" s="76">
        <v>4</v>
      </c>
      <c r="AI479" s="76">
        <v>0</v>
      </c>
      <c r="AJ479" s="77">
        <v>0</v>
      </c>
      <c r="AK479" s="77">
        <v>3</v>
      </c>
      <c r="AL479" s="76"/>
      <c r="AM479" s="76"/>
      <c r="AN479" s="77"/>
      <c r="AO479" s="77"/>
      <c r="AP479" s="76"/>
      <c r="AQ479" s="76"/>
      <c r="AR479" s="77"/>
      <c r="AS479" s="77"/>
      <c r="AT479" s="78">
        <v>0.875</v>
      </c>
    </row>
    <row r="480" spans="1:46" ht="12.5" x14ac:dyDescent="0.25">
      <c r="A480" s="79">
        <v>44812.271710543981</v>
      </c>
      <c r="B480" s="80" t="s">
        <v>177</v>
      </c>
      <c r="C480" s="80" t="str">
        <f>INDEX(TBL_Name,MATCH(Table2[[#This Row],[Athlete Name]],listNames,0),2)</f>
        <v>Athlete 28</v>
      </c>
      <c r="D480" s="80" t="s">
        <v>130</v>
      </c>
      <c r="E480" s="80">
        <v>4</v>
      </c>
      <c r="F480" s="80">
        <v>7</v>
      </c>
      <c r="G480" s="80">
        <v>7</v>
      </c>
      <c r="H480" s="80" t="s">
        <v>772</v>
      </c>
      <c r="I480" s="80">
        <v>3</v>
      </c>
      <c r="J480" s="80"/>
      <c r="K480" s="80"/>
      <c r="L480" s="80"/>
      <c r="M480" s="1" t="s">
        <v>773</v>
      </c>
      <c r="N480" s="1">
        <v>37</v>
      </c>
      <c r="O480" s="1">
        <v>5</v>
      </c>
      <c r="P480" s="13">
        <v>44812</v>
      </c>
      <c r="Q480" s="1" t="s">
        <v>133</v>
      </c>
      <c r="R480" s="1" t="s">
        <v>64</v>
      </c>
      <c r="S480" s="1">
        <v>1</v>
      </c>
      <c r="T480" s="1"/>
      <c r="U480" s="1" t="s">
        <v>28</v>
      </c>
      <c r="V480" s="76">
        <v>4</v>
      </c>
      <c r="W480" s="76">
        <v>0</v>
      </c>
      <c r="X480" s="77">
        <v>0</v>
      </c>
      <c r="Y480" s="77">
        <v>3</v>
      </c>
      <c r="Z480" s="76">
        <v>6</v>
      </c>
      <c r="AA480" s="76">
        <v>1</v>
      </c>
      <c r="AB480" s="77">
        <v>1</v>
      </c>
      <c r="AC480" s="77">
        <v>4</v>
      </c>
      <c r="AD480" s="76">
        <v>6</v>
      </c>
      <c r="AE480" s="76">
        <v>1</v>
      </c>
      <c r="AF480" s="77">
        <v>1</v>
      </c>
      <c r="AG480" s="77">
        <v>4</v>
      </c>
      <c r="AH480" s="76">
        <v>3.5</v>
      </c>
      <c r="AI480" s="76">
        <v>0.5</v>
      </c>
      <c r="AJ480" s="77">
        <v>-1</v>
      </c>
      <c r="AK480" s="77">
        <v>1</v>
      </c>
      <c r="AL480" s="76"/>
      <c r="AM480" s="76"/>
      <c r="AN480" s="77"/>
      <c r="AO480" s="77"/>
      <c r="AP480" s="76"/>
      <c r="AQ480" s="76"/>
      <c r="AR480" s="77"/>
      <c r="AS480" s="77"/>
      <c r="AT480" s="78">
        <v>0.75</v>
      </c>
    </row>
    <row r="481" spans="1:46" ht="12.5" x14ac:dyDescent="0.25">
      <c r="A481" s="79">
        <v>44812.322729050924</v>
      </c>
      <c r="B481" s="80" t="s">
        <v>225</v>
      </c>
      <c r="C481" s="80" t="str">
        <f>INDEX(TBL_Name,MATCH(Table2[[#This Row],[Athlete Name]],listNames,0),2)</f>
        <v>Athlete 32</v>
      </c>
      <c r="D481" s="80" t="s">
        <v>130</v>
      </c>
      <c r="E481" s="80">
        <v>10</v>
      </c>
      <c r="F481" s="80">
        <v>10</v>
      </c>
      <c r="G481" s="80">
        <v>8</v>
      </c>
      <c r="H481" s="80"/>
      <c r="I481" s="80">
        <v>9</v>
      </c>
      <c r="J481" s="80"/>
      <c r="K481" s="80"/>
      <c r="L481" s="80"/>
      <c r="M481" s="1" t="s">
        <v>774</v>
      </c>
      <c r="N481" s="1">
        <v>37</v>
      </c>
      <c r="O481" s="1">
        <v>5</v>
      </c>
      <c r="P481" s="13">
        <v>44812</v>
      </c>
      <c r="Q481" s="1" t="s">
        <v>133</v>
      </c>
      <c r="R481" s="1" t="s">
        <v>64</v>
      </c>
      <c r="S481" s="1">
        <v>1</v>
      </c>
      <c r="T481" s="1"/>
      <c r="U481" s="1" t="s">
        <v>5</v>
      </c>
      <c r="V481" s="76">
        <v>9.6666666666666661</v>
      </c>
      <c r="W481" s="76">
        <v>0.47140452079103179</v>
      </c>
      <c r="X481" s="77">
        <v>0.70710678118654857</v>
      </c>
      <c r="Y481" s="77">
        <v>3</v>
      </c>
      <c r="Z481" s="76">
        <v>10</v>
      </c>
      <c r="AA481" s="76">
        <v>0</v>
      </c>
      <c r="AB481" s="77">
        <v>0</v>
      </c>
      <c r="AC481" s="77">
        <v>3</v>
      </c>
      <c r="AD481" s="76">
        <v>7.333333333333333</v>
      </c>
      <c r="AE481" s="76">
        <v>0.47140452079103179</v>
      </c>
      <c r="AF481" s="77">
        <v>1.4142135623730954</v>
      </c>
      <c r="AG481" s="77">
        <v>4</v>
      </c>
      <c r="AH481" s="76">
        <v>9.3333333333333339</v>
      </c>
      <c r="AI481" s="76">
        <v>0.47140452079103179</v>
      </c>
      <c r="AJ481" s="77">
        <v>-0.70710678118654857</v>
      </c>
      <c r="AK481" s="77">
        <v>2</v>
      </c>
      <c r="AL481" s="76"/>
      <c r="AM481" s="76"/>
      <c r="AN481" s="77"/>
      <c r="AO481" s="77"/>
      <c r="AP481" s="76"/>
      <c r="AQ481" s="76"/>
      <c r="AR481" s="77"/>
      <c r="AS481" s="77"/>
      <c r="AT481" s="78">
        <v>0.5</v>
      </c>
    </row>
    <row r="482" spans="1:46" ht="12.5" x14ac:dyDescent="0.25">
      <c r="A482" s="79">
        <v>44812.323844004626</v>
      </c>
      <c r="B482" s="80" t="s">
        <v>21</v>
      </c>
      <c r="C482" s="80" t="str">
        <f>INDEX(TBL_Name,MATCH(Table2[[#This Row],[Athlete Name]],listNames,0),2)</f>
        <v>Athlete 13</v>
      </c>
      <c r="D482" s="80" t="s">
        <v>130</v>
      </c>
      <c r="E482" s="80">
        <v>6</v>
      </c>
      <c r="F482" s="80">
        <v>7</v>
      </c>
      <c r="G482" s="80">
        <v>9</v>
      </c>
      <c r="H482" s="80" t="s">
        <v>775</v>
      </c>
      <c r="I482" s="80">
        <v>6</v>
      </c>
      <c r="J482" s="80"/>
      <c r="K482" s="80"/>
      <c r="L482" s="80"/>
      <c r="M482" s="1" t="s">
        <v>776</v>
      </c>
      <c r="N482" s="1">
        <v>37</v>
      </c>
      <c r="O482" s="1">
        <v>5</v>
      </c>
      <c r="P482" s="13">
        <v>44812</v>
      </c>
      <c r="Q482" s="1" t="s">
        <v>133</v>
      </c>
      <c r="R482" s="1" t="s">
        <v>64</v>
      </c>
      <c r="S482" s="1">
        <v>1</v>
      </c>
      <c r="T482" s="1"/>
      <c r="U482" s="1" t="s">
        <v>18</v>
      </c>
      <c r="V482" s="76">
        <v>6.5</v>
      </c>
      <c r="W482" s="76">
        <v>1.1180339887498951</v>
      </c>
      <c r="X482" s="77">
        <v>-0.44721359549995782</v>
      </c>
      <c r="Y482" s="77">
        <v>2</v>
      </c>
      <c r="Z482" s="76">
        <v>8</v>
      </c>
      <c r="AA482" s="76">
        <v>0.70710678118654768</v>
      </c>
      <c r="AB482" s="77">
        <v>-1.4142135623730947</v>
      </c>
      <c r="AC482" s="77">
        <v>1</v>
      </c>
      <c r="AD482" s="76">
        <v>9.25</v>
      </c>
      <c r="AE482" s="76">
        <v>0.43301270189221946</v>
      </c>
      <c r="AF482" s="77">
        <v>-0.57735026918962562</v>
      </c>
      <c r="AG482" s="77">
        <v>2</v>
      </c>
      <c r="AH482" s="76">
        <v>5.75</v>
      </c>
      <c r="AI482" s="76">
        <v>1.0897247358851683</v>
      </c>
      <c r="AJ482" s="77">
        <v>0.2294157338705618</v>
      </c>
      <c r="AK482" s="77">
        <v>3</v>
      </c>
      <c r="AL482" s="76"/>
      <c r="AM482" s="76"/>
      <c r="AN482" s="77"/>
      <c r="AO482" s="77"/>
      <c r="AP482" s="76"/>
      <c r="AQ482" s="76"/>
      <c r="AR482" s="77"/>
      <c r="AS482" s="77"/>
      <c r="AT482" s="78">
        <v>0.6875</v>
      </c>
    </row>
    <row r="483" spans="1:46" ht="12.5" x14ac:dyDescent="0.25">
      <c r="A483" s="79">
        <v>44812.328040752313</v>
      </c>
      <c r="B483" s="80" t="s">
        <v>196</v>
      </c>
      <c r="C483" s="80" t="str">
        <f>INDEX(TBL_Name,MATCH(Table2[[#This Row],[Athlete Name]],listNames,0),2)</f>
        <v>Athlete 31</v>
      </c>
      <c r="D483" s="80" t="s">
        <v>130</v>
      </c>
      <c r="E483" s="80">
        <v>6</v>
      </c>
      <c r="F483" s="80">
        <v>9</v>
      </c>
      <c r="G483" s="80">
        <v>9</v>
      </c>
      <c r="H483" s="80" t="s">
        <v>65</v>
      </c>
      <c r="I483" s="80">
        <v>9</v>
      </c>
      <c r="J483" s="80"/>
      <c r="K483" s="80"/>
      <c r="L483" s="80"/>
      <c r="M483" s="1" t="s">
        <v>777</v>
      </c>
      <c r="N483" s="1">
        <v>37</v>
      </c>
      <c r="O483" s="1">
        <v>5</v>
      </c>
      <c r="P483" s="13">
        <v>44812</v>
      </c>
      <c r="Q483" s="1" t="s">
        <v>133</v>
      </c>
      <c r="R483" s="1" t="s">
        <v>64</v>
      </c>
      <c r="S483" s="1">
        <v>1</v>
      </c>
      <c r="T483" s="1"/>
      <c r="U483" s="1" t="s">
        <v>28</v>
      </c>
      <c r="V483" s="76">
        <v>4.666666666666667</v>
      </c>
      <c r="W483" s="76">
        <v>0.94280904158206325</v>
      </c>
      <c r="X483" s="77">
        <v>1.4142135623730949</v>
      </c>
      <c r="Y483" s="77">
        <v>4</v>
      </c>
      <c r="Z483" s="76">
        <v>7.666666666666667</v>
      </c>
      <c r="AA483" s="76">
        <v>0.94280904158206325</v>
      </c>
      <c r="AB483" s="77">
        <v>1.4142135623730949</v>
      </c>
      <c r="AC483" s="77">
        <v>4</v>
      </c>
      <c r="AD483" s="76">
        <v>8.3333333333333339</v>
      </c>
      <c r="AE483" s="76">
        <v>0.94280904158206336</v>
      </c>
      <c r="AF483" s="77">
        <v>0.70710678118654691</v>
      </c>
      <c r="AG483" s="77">
        <v>3</v>
      </c>
      <c r="AH483" s="76">
        <v>8.6666666666666661</v>
      </c>
      <c r="AI483" s="76">
        <v>0.47140452079103179</v>
      </c>
      <c r="AJ483" s="77">
        <v>0.70710678118654857</v>
      </c>
      <c r="AK483" s="77">
        <v>3</v>
      </c>
      <c r="AL483" s="76"/>
      <c r="AM483" s="76"/>
      <c r="AN483" s="77"/>
      <c r="AO483" s="77"/>
      <c r="AP483" s="76"/>
      <c r="AQ483" s="76"/>
      <c r="AR483" s="77"/>
      <c r="AS483" s="77"/>
      <c r="AT483" s="78">
        <v>1</v>
      </c>
    </row>
    <row r="484" spans="1:46" ht="12.5" x14ac:dyDescent="0.25">
      <c r="A484" s="79">
        <v>44812.429151168981</v>
      </c>
      <c r="B484" s="80" t="s">
        <v>6</v>
      </c>
      <c r="C484" s="80" t="str">
        <f>INDEX(TBL_Name,MATCH(Table2[[#This Row],[Athlete Name]],listNames,0),2)</f>
        <v>Athlete 2</v>
      </c>
      <c r="D484" s="80" t="s">
        <v>143</v>
      </c>
      <c r="E484" s="80">
        <v>8</v>
      </c>
      <c r="F484" s="80">
        <v>8</v>
      </c>
      <c r="G484" s="80">
        <v>8</v>
      </c>
      <c r="H484" s="80" t="s">
        <v>778</v>
      </c>
      <c r="I484" s="80">
        <v>6</v>
      </c>
      <c r="J484" s="80"/>
      <c r="K484" s="80"/>
      <c r="L484" s="80"/>
      <c r="M484" s="1" t="s">
        <v>779</v>
      </c>
      <c r="N484" s="1">
        <v>37</v>
      </c>
      <c r="O484" s="1">
        <v>5</v>
      </c>
      <c r="P484" s="13">
        <v>44812</v>
      </c>
      <c r="Q484" s="1" t="s">
        <v>133</v>
      </c>
      <c r="R484" s="1" t="s">
        <v>64</v>
      </c>
      <c r="S484" s="1">
        <v>2</v>
      </c>
      <c r="T484" s="1"/>
      <c r="U484" s="1" t="s">
        <v>5</v>
      </c>
      <c r="V484" s="76">
        <v>9.1666666666666661</v>
      </c>
      <c r="W484" s="76">
        <v>0.68718427093627699</v>
      </c>
      <c r="X484" s="77">
        <v>-1.6977493752543293</v>
      </c>
      <c r="Y484" s="77">
        <v>1</v>
      </c>
      <c r="Z484" s="76">
        <v>6.5</v>
      </c>
      <c r="AA484" s="76">
        <v>1.2583057392117916</v>
      </c>
      <c r="AB484" s="77">
        <v>1.1920791213585396</v>
      </c>
      <c r="AC484" s="77">
        <v>4</v>
      </c>
      <c r="AD484" s="76">
        <v>8.5</v>
      </c>
      <c r="AE484" s="76">
        <v>0.76376261582597327</v>
      </c>
      <c r="AF484" s="77">
        <v>-0.6546536707079772</v>
      </c>
      <c r="AG484" s="77">
        <v>2</v>
      </c>
      <c r="AH484" s="76">
        <v>6.5</v>
      </c>
      <c r="AI484" s="76">
        <v>0.95742710775633799</v>
      </c>
      <c r="AJ484" s="77">
        <v>-0.52223296786709361</v>
      </c>
      <c r="AK484" s="77">
        <v>2</v>
      </c>
      <c r="AL484" s="76"/>
      <c r="AM484" s="76"/>
      <c r="AN484" s="77"/>
      <c r="AO484" s="77"/>
      <c r="AP484" s="76"/>
      <c r="AQ484" s="76"/>
      <c r="AR484" s="77"/>
      <c r="AS484" s="77"/>
      <c r="AT484" s="78">
        <v>0.25</v>
      </c>
    </row>
    <row r="485" spans="1:46" ht="12.5" x14ac:dyDescent="0.25">
      <c r="A485" s="79">
        <v>44812.438684293986</v>
      </c>
      <c r="B485" s="80" t="s">
        <v>10</v>
      </c>
      <c r="C485" s="80" t="str">
        <f>INDEX(TBL_Name,MATCH(Table2[[#This Row],[Athlete Name]],listNames,0),2)</f>
        <v>Athlete 5</v>
      </c>
      <c r="D485" s="80" t="s">
        <v>130</v>
      </c>
      <c r="E485" s="80">
        <v>7</v>
      </c>
      <c r="F485" s="80">
        <v>8</v>
      </c>
      <c r="G485" s="80">
        <v>9</v>
      </c>
      <c r="H485" s="80" t="s">
        <v>74</v>
      </c>
      <c r="I485" s="80">
        <v>7</v>
      </c>
      <c r="J485" s="80"/>
      <c r="K485" s="80"/>
      <c r="L485" s="80"/>
      <c r="M485" s="1" t="s">
        <v>780</v>
      </c>
      <c r="N485" s="1">
        <v>37</v>
      </c>
      <c r="O485" s="1">
        <v>5</v>
      </c>
      <c r="P485" s="13">
        <v>44812</v>
      </c>
      <c r="Q485" s="1" t="s">
        <v>133</v>
      </c>
      <c r="R485" s="1" t="s">
        <v>64</v>
      </c>
      <c r="S485" s="1">
        <v>1</v>
      </c>
      <c r="T485" s="1"/>
      <c r="U485" s="1" t="s">
        <v>11</v>
      </c>
      <c r="V485" s="76">
        <v>7.6</v>
      </c>
      <c r="W485" s="76">
        <v>0.48989794855663554</v>
      </c>
      <c r="X485" s="77">
        <v>-1.2247448713915885</v>
      </c>
      <c r="Y485" s="77">
        <v>1</v>
      </c>
      <c r="Z485" s="76">
        <v>7.6</v>
      </c>
      <c r="AA485" s="76">
        <v>0.79999999999999993</v>
      </c>
      <c r="AB485" s="77">
        <v>0.50000000000000044</v>
      </c>
      <c r="AC485" s="77">
        <v>3</v>
      </c>
      <c r="AD485" s="76">
        <v>8</v>
      </c>
      <c r="AE485" s="76">
        <v>0.63245553203367588</v>
      </c>
      <c r="AF485" s="77">
        <v>1.5811388300841895</v>
      </c>
      <c r="AG485" s="77">
        <v>4</v>
      </c>
      <c r="AH485" s="76">
        <v>7.2</v>
      </c>
      <c r="AI485" s="76">
        <v>0.74833147735478822</v>
      </c>
      <c r="AJ485" s="77">
        <v>-0.26726124191242462</v>
      </c>
      <c r="AK485" s="77">
        <v>2</v>
      </c>
      <c r="AL485" s="76"/>
      <c r="AM485" s="76"/>
      <c r="AN485" s="77"/>
      <c r="AO485" s="77"/>
      <c r="AP485" s="76"/>
      <c r="AQ485" s="76"/>
      <c r="AR485" s="77"/>
      <c r="AS485" s="77"/>
      <c r="AT485" s="78">
        <v>0.5625</v>
      </c>
    </row>
    <row r="486" spans="1:46" ht="12.5" x14ac:dyDescent="0.25">
      <c r="A486" s="79">
        <v>44812.441001689818</v>
      </c>
      <c r="B486" s="80" t="s">
        <v>185</v>
      </c>
      <c r="C486" s="80" t="str">
        <f>INDEX(TBL_Name,MATCH(Table2[[#This Row],[Athlete Name]],listNames,0),2)</f>
        <v>Athlete 30</v>
      </c>
      <c r="D486" s="80" t="s">
        <v>130</v>
      </c>
      <c r="E486" s="80">
        <v>8</v>
      </c>
      <c r="F486" s="80">
        <v>4</v>
      </c>
      <c r="G486" s="80">
        <v>8</v>
      </c>
      <c r="H486" s="80" t="s">
        <v>781</v>
      </c>
      <c r="I486" s="80">
        <v>4</v>
      </c>
      <c r="J486" s="80"/>
      <c r="K486" s="80"/>
      <c r="L486" s="80"/>
      <c r="M486" s="1" t="s">
        <v>782</v>
      </c>
      <c r="N486" s="1">
        <v>37</v>
      </c>
      <c r="O486" s="1">
        <v>5</v>
      </c>
      <c r="P486" s="13">
        <v>44812</v>
      </c>
      <c r="Q486" s="1" t="s">
        <v>133</v>
      </c>
      <c r="R486" s="1" t="s">
        <v>64</v>
      </c>
      <c r="S486" s="1">
        <v>1</v>
      </c>
      <c r="T486" s="1"/>
      <c r="U486" s="1" t="s">
        <v>26</v>
      </c>
      <c r="V486" s="76">
        <v>8</v>
      </c>
      <c r="W486" s="76">
        <v>0.70710678118654757</v>
      </c>
      <c r="X486" s="77">
        <v>0</v>
      </c>
      <c r="Y486" s="77">
        <v>3</v>
      </c>
      <c r="Z486" s="76">
        <v>4.5</v>
      </c>
      <c r="AA486" s="76">
        <v>1.1180339887498951</v>
      </c>
      <c r="AB486" s="77">
        <v>-0.44721359549995782</v>
      </c>
      <c r="AC486" s="77">
        <v>2</v>
      </c>
      <c r="AD486" s="76">
        <v>6.75</v>
      </c>
      <c r="AE486" s="76">
        <v>1.0897247358851685</v>
      </c>
      <c r="AF486" s="77">
        <v>1.1470786693528088</v>
      </c>
      <c r="AG486" s="77">
        <v>4</v>
      </c>
      <c r="AH486" s="76">
        <v>4.5</v>
      </c>
      <c r="AI486" s="76">
        <v>0.8660254037844386</v>
      </c>
      <c r="AJ486" s="77">
        <v>-0.57735026918962584</v>
      </c>
      <c r="AK486" s="77">
        <v>2</v>
      </c>
      <c r="AL486" s="76"/>
      <c r="AM486" s="76"/>
      <c r="AN486" s="77"/>
      <c r="AO486" s="77"/>
      <c r="AP486" s="76"/>
      <c r="AQ486" s="76"/>
      <c r="AR486" s="77"/>
      <c r="AS486" s="77"/>
      <c r="AT486" s="78">
        <v>0.5</v>
      </c>
    </row>
    <row r="487" spans="1:46" ht="12.5" x14ac:dyDescent="0.25">
      <c r="A487" s="79">
        <v>44812.668917233794</v>
      </c>
      <c r="B487" s="80" t="s">
        <v>180</v>
      </c>
      <c r="C487" s="80" t="str">
        <f>INDEX(TBL_Name,MATCH(Table2[[#This Row],[Athlete Name]],listNames,0),2)</f>
        <v>Athlete 29</v>
      </c>
      <c r="D487" s="80" t="s">
        <v>143</v>
      </c>
      <c r="E487" s="80">
        <v>5</v>
      </c>
      <c r="F487" s="80">
        <v>9</v>
      </c>
      <c r="G487" s="80">
        <v>10.3</v>
      </c>
      <c r="H487" s="80" t="s">
        <v>175</v>
      </c>
      <c r="I487" s="80">
        <v>5</v>
      </c>
      <c r="J487" s="80"/>
      <c r="K487" s="80"/>
      <c r="L487" s="80"/>
      <c r="M487" s="1" t="s">
        <v>783</v>
      </c>
      <c r="N487" s="1">
        <v>37</v>
      </c>
      <c r="O487" s="1">
        <v>5</v>
      </c>
      <c r="P487" s="13">
        <v>44812</v>
      </c>
      <c r="Q487" s="1" t="s">
        <v>133</v>
      </c>
      <c r="R487" s="1" t="s">
        <v>64</v>
      </c>
      <c r="S487" s="1">
        <v>2</v>
      </c>
      <c r="T487" s="1"/>
      <c r="U487" s="1" t="s">
        <v>5</v>
      </c>
      <c r="V487" s="76">
        <v>3.5</v>
      </c>
      <c r="W487" s="76">
        <v>1.1180339887498949</v>
      </c>
      <c r="X487" s="77">
        <v>1.3416407864998738</v>
      </c>
      <c r="Y487" s="77">
        <v>4</v>
      </c>
      <c r="Z487" s="76">
        <v>8</v>
      </c>
      <c r="AA487" s="76">
        <v>0.70710678118654746</v>
      </c>
      <c r="AB487" s="77">
        <v>1.4142135623730951</v>
      </c>
      <c r="AC487" s="77">
        <v>4</v>
      </c>
      <c r="AD487" s="76">
        <v>8.1999999999999993</v>
      </c>
      <c r="AE487" s="76">
        <v>1.2629330940315093</v>
      </c>
      <c r="AF487" s="77">
        <v>1.6627959231762817</v>
      </c>
      <c r="AG487" s="77">
        <v>4</v>
      </c>
      <c r="AH487" s="76">
        <v>4.25</v>
      </c>
      <c r="AI487" s="76">
        <v>0.4330127018922193</v>
      </c>
      <c r="AJ487" s="77">
        <v>1.7320508075688774</v>
      </c>
      <c r="AK487" s="77">
        <v>4</v>
      </c>
      <c r="AL487" s="76"/>
      <c r="AM487" s="76"/>
      <c r="AN487" s="77"/>
      <c r="AO487" s="77"/>
      <c r="AP487" s="76"/>
      <c r="AQ487" s="76"/>
      <c r="AR487" s="77"/>
      <c r="AS487" s="77"/>
      <c r="AT487" s="78">
        <v>1</v>
      </c>
    </row>
    <row r="488" spans="1:46" ht="12.5" x14ac:dyDescent="0.25">
      <c r="A488" s="79">
        <v>44813.271864131944</v>
      </c>
      <c r="B488" s="80" t="s">
        <v>21</v>
      </c>
      <c r="C488" s="80" t="str">
        <f>INDEX(TBL_Name,MATCH(Table2[[#This Row],[Athlete Name]],listNames,0),2)</f>
        <v>Athlete 13</v>
      </c>
      <c r="D488" s="80" t="s">
        <v>130</v>
      </c>
      <c r="E488" s="80">
        <v>8</v>
      </c>
      <c r="F488" s="80">
        <v>8</v>
      </c>
      <c r="G488" s="80">
        <v>7</v>
      </c>
      <c r="H488" s="80" t="s">
        <v>784</v>
      </c>
      <c r="I488" s="80">
        <v>5</v>
      </c>
      <c r="J488" s="80"/>
      <c r="K488" s="80"/>
      <c r="L488" s="80"/>
      <c r="M488" s="1" t="s">
        <v>785</v>
      </c>
      <c r="N488" s="1">
        <v>37</v>
      </c>
      <c r="O488" s="1">
        <v>5</v>
      </c>
      <c r="P488" s="13">
        <v>44813</v>
      </c>
      <c r="Q488" s="1" t="s">
        <v>133</v>
      </c>
      <c r="R488" s="1" t="s">
        <v>64</v>
      </c>
      <c r="S488" s="1">
        <v>1</v>
      </c>
      <c r="T488" s="1"/>
      <c r="U488" s="1" t="s">
        <v>18</v>
      </c>
      <c r="V488" s="76">
        <v>6.8</v>
      </c>
      <c r="W488" s="76">
        <v>1.1661903789690604</v>
      </c>
      <c r="X488" s="77">
        <v>1.0289915108550529</v>
      </c>
      <c r="Y488" s="77">
        <v>4</v>
      </c>
      <c r="Z488" s="76">
        <v>8</v>
      </c>
      <c r="AA488" s="76">
        <v>0.63245553203367599</v>
      </c>
      <c r="AB488" s="77">
        <v>0</v>
      </c>
      <c r="AC488" s="77">
        <v>3</v>
      </c>
      <c r="AD488" s="76">
        <v>8.8000000000000007</v>
      </c>
      <c r="AE488" s="76">
        <v>0.97979589711327153</v>
      </c>
      <c r="AF488" s="77">
        <v>-1.8371173070873839</v>
      </c>
      <c r="AG488" s="77">
        <v>1</v>
      </c>
      <c r="AH488" s="76">
        <v>5.6</v>
      </c>
      <c r="AI488" s="76">
        <v>1.0198039027185568</v>
      </c>
      <c r="AJ488" s="77">
        <v>-0.5883484054145518</v>
      </c>
      <c r="AK488" s="77">
        <v>2</v>
      </c>
      <c r="AL488" s="76"/>
      <c r="AM488" s="76"/>
      <c r="AN488" s="77"/>
      <c r="AO488" s="77"/>
      <c r="AP488" s="76"/>
      <c r="AQ488" s="76"/>
      <c r="AR488" s="77"/>
      <c r="AS488" s="77"/>
      <c r="AT488" s="78">
        <v>0.75</v>
      </c>
    </row>
    <row r="489" spans="1:46" ht="12.5" x14ac:dyDescent="0.25">
      <c r="A489" s="79">
        <v>44813.271905150468</v>
      </c>
      <c r="B489" s="80" t="s">
        <v>171</v>
      </c>
      <c r="C489" s="80" t="str">
        <f>INDEX(TBL_Name,MATCH(Table2[[#This Row],[Athlete Name]],listNames,0),2)</f>
        <v>Athlete 27</v>
      </c>
      <c r="D489" s="80" t="s">
        <v>130</v>
      </c>
      <c r="E489" s="80">
        <v>10</v>
      </c>
      <c r="F489" s="80">
        <v>7</v>
      </c>
      <c r="G489" s="80">
        <v>6</v>
      </c>
      <c r="H489" s="80" t="s">
        <v>786</v>
      </c>
      <c r="I489" s="80">
        <v>7</v>
      </c>
      <c r="J489" s="80"/>
      <c r="K489" s="80"/>
      <c r="L489" s="80"/>
      <c r="M489" s="1" t="s">
        <v>787</v>
      </c>
      <c r="N489" s="1">
        <v>37</v>
      </c>
      <c r="O489" s="1">
        <v>5</v>
      </c>
      <c r="P489" s="13">
        <v>44813</v>
      </c>
      <c r="Q489" s="1" t="s">
        <v>133</v>
      </c>
      <c r="R489" s="1" t="s">
        <v>64</v>
      </c>
      <c r="S489" s="1">
        <v>1</v>
      </c>
      <c r="T489" s="1"/>
      <c r="U489" s="1" t="s">
        <v>8</v>
      </c>
      <c r="V489" s="76">
        <v>9.75</v>
      </c>
      <c r="W489" s="76">
        <v>0.43301270189221946</v>
      </c>
      <c r="X489" s="77">
        <v>0.57735026918962562</v>
      </c>
      <c r="Y489" s="77">
        <v>3</v>
      </c>
      <c r="Z489" s="76">
        <v>7.5</v>
      </c>
      <c r="AA489" s="76">
        <v>1.5000000000000002</v>
      </c>
      <c r="AB489" s="77">
        <v>-0.33333333333333326</v>
      </c>
      <c r="AC489" s="77">
        <v>2</v>
      </c>
      <c r="AD489" s="76">
        <v>7.5</v>
      </c>
      <c r="AE489" s="76">
        <v>1.5</v>
      </c>
      <c r="AF489" s="77">
        <v>-1</v>
      </c>
      <c r="AG489" s="77">
        <v>1</v>
      </c>
      <c r="AH489" s="76">
        <v>6.75</v>
      </c>
      <c r="AI489" s="76">
        <v>2.1650635094610968</v>
      </c>
      <c r="AJ489" s="77">
        <v>0.11547005383792514</v>
      </c>
      <c r="AK489" s="77">
        <v>3</v>
      </c>
      <c r="AL489" s="76"/>
      <c r="AM489" s="76"/>
      <c r="AN489" s="77"/>
      <c r="AO489" s="77"/>
      <c r="AP489" s="76"/>
      <c r="AQ489" s="76"/>
      <c r="AR489" s="77"/>
      <c r="AS489" s="77"/>
      <c r="AT489" s="78">
        <v>0.375</v>
      </c>
    </row>
    <row r="490" spans="1:46" ht="12.5" x14ac:dyDescent="0.25">
      <c r="A490" s="79">
        <v>44813.272501724539</v>
      </c>
      <c r="B490" s="80" t="s">
        <v>148</v>
      </c>
      <c r="C490" s="80" t="str">
        <f>INDEX(TBL_Name,MATCH(Table2[[#This Row],[Athlete Name]],listNames,0),2)</f>
        <v>Athlete 22</v>
      </c>
      <c r="D490" s="80" t="s">
        <v>130</v>
      </c>
      <c r="E490" s="80">
        <v>10</v>
      </c>
      <c r="F490" s="80">
        <v>6</v>
      </c>
      <c r="G490" s="80">
        <v>7</v>
      </c>
      <c r="H490" s="80" t="s">
        <v>71</v>
      </c>
      <c r="I490" s="80">
        <v>6</v>
      </c>
      <c r="J490" s="80"/>
      <c r="K490" s="80"/>
      <c r="L490" s="80"/>
      <c r="M490" s="1" t="s">
        <v>788</v>
      </c>
      <c r="N490" s="1">
        <v>37</v>
      </c>
      <c r="O490" s="1">
        <v>5</v>
      </c>
      <c r="P490" s="13">
        <v>44813</v>
      </c>
      <c r="Q490" s="1" t="s">
        <v>133</v>
      </c>
      <c r="R490" s="1" t="s">
        <v>64</v>
      </c>
      <c r="S490" s="1">
        <v>1</v>
      </c>
      <c r="T490" s="1"/>
      <c r="U490" s="1" t="s">
        <v>11</v>
      </c>
      <c r="V490" s="76">
        <v>10</v>
      </c>
      <c r="W490" s="76">
        <v>0</v>
      </c>
      <c r="X490" s="77">
        <v>0</v>
      </c>
      <c r="Y490" s="77">
        <v>3</v>
      </c>
      <c r="Z490" s="76">
        <v>7</v>
      </c>
      <c r="AA490" s="76">
        <v>1</v>
      </c>
      <c r="AB490" s="77">
        <v>-1</v>
      </c>
      <c r="AC490" s="77">
        <v>1</v>
      </c>
      <c r="AD490" s="76">
        <v>7.5</v>
      </c>
      <c r="AE490" s="76">
        <v>0.5</v>
      </c>
      <c r="AF490" s="77">
        <v>-1</v>
      </c>
      <c r="AG490" s="77">
        <v>1</v>
      </c>
      <c r="AH490" s="76">
        <v>5.5</v>
      </c>
      <c r="AI490" s="76">
        <v>0.5</v>
      </c>
      <c r="AJ490" s="77">
        <v>1</v>
      </c>
      <c r="AK490" s="77">
        <v>4</v>
      </c>
      <c r="AL490" s="76"/>
      <c r="AM490" s="76"/>
      <c r="AN490" s="77"/>
      <c r="AO490" s="77"/>
      <c r="AP490" s="76"/>
      <c r="AQ490" s="76"/>
      <c r="AR490" s="77"/>
      <c r="AS490" s="77"/>
      <c r="AT490" s="78">
        <v>0.75</v>
      </c>
    </row>
    <row r="491" spans="1:46" ht="12.5" x14ac:dyDescent="0.25">
      <c r="A491" s="79">
        <v>44813.278428356483</v>
      </c>
      <c r="B491" s="80" t="s">
        <v>225</v>
      </c>
      <c r="C491" s="80" t="str">
        <f>INDEX(TBL_Name,MATCH(Table2[[#This Row],[Athlete Name]],listNames,0),2)</f>
        <v>Athlete 32</v>
      </c>
      <c r="D491" s="80" t="s">
        <v>130</v>
      </c>
      <c r="E491" s="80">
        <v>10</v>
      </c>
      <c r="F491" s="80">
        <v>10</v>
      </c>
      <c r="G491" s="80">
        <v>7</v>
      </c>
      <c r="H491" s="80"/>
      <c r="I491" s="80">
        <v>7</v>
      </c>
      <c r="J491" s="80"/>
      <c r="K491" s="80"/>
      <c r="L491" s="80"/>
      <c r="M491" s="1" t="s">
        <v>789</v>
      </c>
      <c r="N491" s="1">
        <v>37</v>
      </c>
      <c r="O491" s="1">
        <v>5</v>
      </c>
      <c r="P491" s="13">
        <v>44813</v>
      </c>
      <c r="Q491" s="1" t="s">
        <v>133</v>
      </c>
      <c r="R491" s="1" t="s">
        <v>64</v>
      </c>
      <c r="S491" s="1">
        <v>1</v>
      </c>
      <c r="T491" s="1"/>
      <c r="U491" s="1" t="s">
        <v>5</v>
      </c>
      <c r="V491" s="76">
        <v>9.75</v>
      </c>
      <c r="W491" s="76">
        <v>0.43301270189221946</v>
      </c>
      <c r="X491" s="77">
        <v>0.57735026918962562</v>
      </c>
      <c r="Y491" s="77">
        <v>3</v>
      </c>
      <c r="Z491" s="76">
        <v>10</v>
      </c>
      <c r="AA491" s="76">
        <v>0</v>
      </c>
      <c r="AB491" s="77">
        <v>0</v>
      </c>
      <c r="AC491" s="77">
        <v>3</v>
      </c>
      <c r="AD491" s="76">
        <v>7.25</v>
      </c>
      <c r="AE491" s="76">
        <v>0.43301270189221941</v>
      </c>
      <c r="AF491" s="77">
        <v>-0.57735026918962562</v>
      </c>
      <c r="AG491" s="77">
        <v>2</v>
      </c>
      <c r="AH491" s="76">
        <v>8.75</v>
      </c>
      <c r="AI491" s="76">
        <v>1.0897247358851685</v>
      </c>
      <c r="AJ491" s="77">
        <v>-1.6059101370939322</v>
      </c>
      <c r="AK491" s="77">
        <v>1</v>
      </c>
      <c r="AL491" s="76"/>
      <c r="AM491" s="76"/>
      <c r="AN491" s="77"/>
      <c r="AO491" s="77"/>
      <c r="AP491" s="76"/>
      <c r="AQ491" s="76"/>
      <c r="AR491" s="77"/>
      <c r="AS491" s="77"/>
      <c r="AT491" s="78">
        <v>0.5</v>
      </c>
    </row>
    <row r="492" spans="1:46" ht="12.5" x14ac:dyDescent="0.25">
      <c r="A492" s="79">
        <v>44813.281126655093</v>
      </c>
      <c r="B492" s="80" t="s">
        <v>168</v>
      </c>
      <c r="C492" s="80" t="str">
        <f>INDEX(TBL_Name,MATCH(Table2[[#This Row],[Athlete Name]],listNames,0),2)</f>
        <v>Athlete 26</v>
      </c>
      <c r="D492" s="80" t="s">
        <v>130</v>
      </c>
      <c r="E492" s="80">
        <v>5</v>
      </c>
      <c r="F492" s="80">
        <v>5</v>
      </c>
      <c r="G492" s="80">
        <v>6</v>
      </c>
      <c r="H492" s="80" t="s">
        <v>362</v>
      </c>
      <c r="I492" s="80">
        <v>7</v>
      </c>
      <c r="J492" s="80"/>
      <c r="K492" s="80"/>
      <c r="L492" s="80"/>
      <c r="M492" s="1" t="s">
        <v>790</v>
      </c>
      <c r="N492" s="1">
        <v>37</v>
      </c>
      <c r="O492" s="1">
        <v>5</v>
      </c>
      <c r="P492" s="13">
        <v>44813</v>
      </c>
      <c r="Q492" s="1" t="s">
        <v>133</v>
      </c>
      <c r="R492" s="1" t="s">
        <v>64</v>
      </c>
      <c r="S492" s="1">
        <v>1</v>
      </c>
      <c r="T492" s="1"/>
      <c r="U492" s="1" t="s">
        <v>5</v>
      </c>
      <c r="V492" s="76">
        <v>7</v>
      </c>
      <c r="W492" s="76">
        <v>2</v>
      </c>
      <c r="X492" s="77">
        <v>-1</v>
      </c>
      <c r="Y492" s="77">
        <v>1</v>
      </c>
      <c r="Z492" s="76">
        <v>6</v>
      </c>
      <c r="AA492" s="76">
        <v>1</v>
      </c>
      <c r="AB492" s="77">
        <v>-1</v>
      </c>
      <c r="AC492" s="77">
        <v>1</v>
      </c>
      <c r="AD492" s="76">
        <v>7</v>
      </c>
      <c r="AE492" s="76">
        <v>1</v>
      </c>
      <c r="AF492" s="77">
        <v>-1</v>
      </c>
      <c r="AG492" s="77">
        <v>1</v>
      </c>
      <c r="AH492" s="76">
        <v>7</v>
      </c>
      <c r="AI492" s="76">
        <v>0</v>
      </c>
      <c r="AJ492" s="77">
        <v>0</v>
      </c>
      <c r="AK492" s="77">
        <v>3</v>
      </c>
      <c r="AL492" s="76"/>
      <c r="AM492" s="76"/>
      <c r="AN492" s="77"/>
      <c r="AO492" s="77"/>
      <c r="AP492" s="76"/>
      <c r="AQ492" s="76"/>
      <c r="AR492" s="77"/>
      <c r="AS492" s="77"/>
      <c r="AT492" s="78">
        <v>0.4375</v>
      </c>
    </row>
    <row r="493" spans="1:46" ht="12.5" x14ac:dyDescent="0.25">
      <c r="A493" s="79">
        <v>44813.283363692128</v>
      </c>
      <c r="B493" s="80" t="s">
        <v>10</v>
      </c>
      <c r="C493" s="80" t="str">
        <f>INDEX(TBL_Name,MATCH(Table2[[#This Row],[Athlete Name]],listNames,0),2)</f>
        <v>Athlete 5</v>
      </c>
      <c r="D493" s="80" t="s">
        <v>130</v>
      </c>
      <c r="E493" s="80">
        <v>9</v>
      </c>
      <c r="F493" s="80">
        <v>7</v>
      </c>
      <c r="G493" s="80">
        <v>7</v>
      </c>
      <c r="H493" s="80" t="s">
        <v>287</v>
      </c>
      <c r="I493" s="80">
        <v>6</v>
      </c>
      <c r="J493" s="80"/>
      <c r="K493" s="80"/>
      <c r="L493" s="80"/>
      <c r="M493" s="1" t="s">
        <v>791</v>
      </c>
      <c r="N493" s="1">
        <v>37</v>
      </c>
      <c r="O493" s="1">
        <v>5</v>
      </c>
      <c r="P493" s="13">
        <v>44813</v>
      </c>
      <c r="Q493" s="1" t="s">
        <v>133</v>
      </c>
      <c r="R493" s="1" t="s">
        <v>64</v>
      </c>
      <c r="S493" s="1">
        <v>1</v>
      </c>
      <c r="T493" s="1"/>
      <c r="U493" s="1" t="s">
        <v>11</v>
      </c>
      <c r="V493" s="76">
        <v>7.8</v>
      </c>
      <c r="W493" s="76">
        <v>0.74833147735478833</v>
      </c>
      <c r="X493" s="77">
        <v>1.6035674514745464</v>
      </c>
      <c r="Y493" s="77">
        <v>4</v>
      </c>
      <c r="Z493" s="76">
        <v>7.4</v>
      </c>
      <c r="AA493" s="76">
        <v>0.8</v>
      </c>
      <c r="AB493" s="77">
        <v>-0.50000000000000044</v>
      </c>
      <c r="AC493" s="77">
        <v>2</v>
      </c>
      <c r="AD493" s="76">
        <v>7.8</v>
      </c>
      <c r="AE493" s="76">
        <v>0.74833147735478811</v>
      </c>
      <c r="AF493" s="77">
        <v>-1.0690449676496976</v>
      </c>
      <c r="AG493" s="77">
        <v>1</v>
      </c>
      <c r="AH493" s="76">
        <v>6.8</v>
      </c>
      <c r="AI493" s="76">
        <v>0.74833147735478822</v>
      </c>
      <c r="AJ493" s="77">
        <v>-1.0690449676496974</v>
      </c>
      <c r="AK493" s="77">
        <v>1</v>
      </c>
      <c r="AL493" s="76"/>
      <c r="AM493" s="76"/>
      <c r="AN493" s="77"/>
      <c r="AO493" s="77"/>
      <c r="AP493" s="76"/>
      <c r="AQ493" s="76"/>
      <c r="AR493" s="77"/>
      <c r="AS493" s="77"/>
      <c r="AT493" s="78">
        <v>0.4375</v>
      </c>
    </row>
    <row r="494" spans="1:46" ht="12.5" x14ac:dyDescent="0.25">
      <c r="A494" s="79">
        <v>44813.341750740743</v>
      </c>
      <c r="B494" s="80" t="s">
        <v>196</v>
      </c>
      <c r="C494" s="80" t="str">
        <f>INDEX(TBL_Name,MATCH(Table2[[#This Row],[Athlete Name]],listNames,0),2)</f>
        <v>Athlete 31</v>
      </c>
      <c r="D494" s="80" t="s">
        <v>143</v>
      </c>
      <c r="E494" s="80">
        <v>6</v>
      </c>
      <c r="F494" s="80">
        <v>9</v>
      </c>
      <c r="G494" s="80">
        <v>7</v>
      </c>
      <c r="H494" s="80"/>
      <c r="I494" s="80">
        <v>9</v>
      </c>
      <c r="J494" s="80"/>
      <c r="K494" s="80"/>
      <c r="L494" s="80"/>
      <c r="M494" s="1" t="s">
        <v>792</v>
      </c>
      <c r="N494" s="1">
        <v>37</v>
      </c>
      <c r="O494" s="1">
        <v>5</v>
      </c>
      <c r="P494" s="13">
        <v>44813</v>
      </c>
      <c r="Q494" s="1" t="s">
        <v>133</v>
      </c>
      <c r="R494" s="1" t="s">
        <v>64</v>
      </c>
      <c r="S494" s="1">
        <v>2</v>
      </c>
      <c r="T494" s="1"/>
      <c r="U494" s="1" t="s">
        <v>28</v>
      </c>
      <c r="V494" s="76">
        <v>5</v>
      </c>
      <c r="W494" s="76">
        <v>1</v>
      </c>
      <c r="X494" s="77">
        <v>1</v>
      </c>
      <c r="Y494" s="77">
        <v>4</v>
      </c>
      <c r="Z494" s="76">
        <v>8</v>
      </c>
      <c r="AA494" s="76">
        <v>1</v>
      </c>
      <c r="AB494" s="77">
        <v>1</v>
      </c>
      <c r="AC494" s="77">
        <v>4</v>
      </c>
      <c r="AD494" s="76">
        <v>8.1666666666666661</v>
      </c>
      <c r="AE494" s="76">
        <v>1.0671873729054748</v>
      </c>
      <c r="AF494" s="77">
        <v>-1.0932163332202418</v>
      </c>
      <c r="AG494" s="77">
        <v>1</v>
      </c>
      <c r="AH494" s="76">
        <v>8.8333333333333339</v>
      </c>
      <c r="AI494" s="76">
        <v>0.37267799624996478</v>
      </c>
      <c r="AJ494" s="77">
        <v>0.44721359549995654</v>
      </c>
      <c r="AK494" s="77">
        <v>3</v>
      </c>
      <c r="AL494" s="76"/>
      <c r="AM494" s="76"/>
      <c r="AN494" s="77"/>
      <c r="AO494" s="77"/>
      <c r="AP494" s="76"/>
      <c r="AQ494" s="76"/>
      <c r="AR494" s="77"/>
      <c r="AS494" s="77"/>
      <c r="AT494" s="78">
        <v>1</v>
      </c>
    </row>
    <row r="495" spans="1:46" ht="12.5" x14ac:dyDescent="0.25">
      <c r="A495" s="79">
        <v>44813.354166550926</v>
      </c>
      <c r="B495" s="80" t="s">
        <v>185</v>
      </c>
      <c r="C495" s="80" t="str">
        <f>INDEX(TBL_Name,MATCH(Table2[[#This Row],[Athlete Name]],listNames,0),2)</f>
        <v>Athlete 30</v>
      </c>
      <c r="D495" s="80" t="s">
        <v>130</v>
      </c>
      <c r="E495" s="80">
        <v>7</v>
      </c>
      <c r="F495" s="80">
        <v>4</v>
      </c>
      <c r="G495" s="80">
        <v>7</v>
      </c>
      <c r="H495" s="80" t="s">
        <v>793</v>
      </c>
      <c r="I495" s="80">
        <v>5</v>
      </c>
      <c r="J495" s="80"/>
      <c r="K495" s="80"/>
      <c r="L495" s="80"/>
      <c r="M495" s="1" t="s">
        <v>794</v>
      </c>
      <c r="N495" s="1">
        <v>37</v>
      </c>
      <c r="O495" s="1">
        <v>5</v>
      </c>
      <c r="P495" s="13">
        <v>44813</v>
      </c>
      <c r="Q495" s="1" t="s">
        <v>133</v>
      </c>
      <c r="R495" s="1" t="s">
        <v>64</v>
      </c>
      <c r="S495" s="1">
        <v>1</v>
      </c>
      <c r="T495" s="1"/>
      <c r="U495" s="1" t="s">
        <v>26</v>
      </c>
      <c r="V495" s="76">
        <v>7.75</v>
      </c>
      <c r="W495" s="76">
        <v>0.82915619758884995</v>
      </c>
      <c r="X495" s="77">
        <v>-0.90453403373329089</v>
      </c>
      <c r="Y495" s="77">
        <v>2</v>
      </c>
      <c r="Z495" s="76">
        <v>4.25</v>
      </c>
      <c r="AA495" s="76">
        <v>1.0897247358851683</v>
      </c>
      <c r="AB495" s="77">
        <v>-0.2294157338705618</v>
      </c>
      <c r="AC495" s="77">
        <v>2</v>
      </c>
      <c r="AD495" s="76">
        <v>6.75</v>
      </c>
      <c r="AE495" s="76">
        <v>1.0897247358851683</v>
      </c>
      <c r="AF495" s="77">
        <v>0.2294157338705618</v>
      </c>
      <c r="AG495" s="77">
        <v>3</v>
      </c>
      <c r="AH495" s="76">
        <v>4.75</v>
      </c>
      <c r="AI495" s="76">
        <v>0.82915619758884995</v>
      </c>
      <c r="AJ495" s="77">
        <v>0.30151134457776363</v>
      </c>
      <c r="AK495" s="77">
        <v>3</v>
      </c>
      <c r="AL495" s="76"/>
      <c r="AM495" s="76"/>
      <c r="AN495" s="77"/>
      <c r="AO495" s="77"/>
      <c r="AP495" s="76"/>
      <c r="AQ495" s="76"/>
      <c r="AR495" s="77"/>
      <c r="AS495" s="77"/>
      <c r="AT495" s="78">
        <v>0.375</v>
      </c>
    </row>
    <row r="496" spans="1:46" ht="12.5" x14ac:dyDescent="0.25">
      <c r="A496" s="79">
        <v>44813.374205312502</v>
      </c>
      <c r="B496" s="80" t="s">
        <v>15</v>
      </c>
      <c r="C496" s="80" t="str">
        <f>INDEX(TBL_Name,MATCH(Table2[[#This Row],[Athlete Name]],listNames,0),2)</f>
        <v>Athlete 8</v>
      </c>
      <c r="D496" s="80" t="s">
        <v>130</v>
      </c>
      <c r="E496" s="80">
        <v>10</v>
      </c>
      <c r="F496" s="80">
        <v>4</v>
      </c>
      <c r="G496" s="80">
        <v>4</v>
      </c>
      <c r="H496" s="80" t="s">
        <v>74</v>
      </c>
      <c r="I496" s="80">
        <v>9</v>
      </c>
      <c r="J496" s="80"/>
      <c r="K496" s="80"/>
      <c r="L496" s="80"/>
      <c r="M496" s="1" t="s">
        <v>795</v>
      </c>
      <c r="N496" s="1">
        <v>37</v>
      </c>
      <c r="O496" s="1">
        <v>5</v>
      </c>
      <c r="P496" s="13">
        <v>44813</v>
      </c>
      <c r="Q496" s="1" t="s">
        <v>133</v>
      </c>
      <c r="R496" s="1" t="s">
        <v>64</v>
      </c>
      <c r="S496" s="1">
        <v>1</v>
      </c>
      <c r="T496" s="1"/>
      <c r="U496" s="1" t="s">
        <v>14</v>
      </c>
      <c r="V496" s="76">
        <v>8.6666666666666661</v>
      </c>
      <c r="W496" s="76">
        <v>1.2472191289246473</v>
      </c>
      <c r="X496" s="77">
        <v>1.0690449676496978</v>
      </c>
      <c r="Y496" s="77">
        <v>4</v>
      </c>
      <c r="Z496" s="76">
        <v>6</v>
      </c>
      <c r="AA496" s="76">
        <v>1.4142135623730951</v>
      </c>
      <c r="AB496" s="77">
        <v>-1.4142135623730949</v>
      </c>
      <c r="AC496" s="77">
        <v>1</v>
      </c>
      <c r="AD496" s="76">
        <v>6.333333333333333</v>
      </c>
      <c r="AE496" s="76">
        <v>1.699673171197595</v>
      </c>
      <c r="AF496" s="77">
        <v>-1.372812945967288</v>
      </c>
      <c r="AG496" s="77">
        <v>1</v>
      </c>
      <c r="AH496" s="76">
        <v>7.333333333333333</v>
      </c>
      <c r="AI496" s="76">
        <v>1.2472191289246473</v>
      </c>
      <c r="AJ496" s="77">
        <v>1.3363062095621221</v>
      </c>
      <c r="AK496" s="77">
        <v>4</v>
      </c>
      <c r="AL496" s="76"/>
      <c r="AM496" s="76"/>
      <c r="AN496" s="77"/>
      <c r="AO496" s="77"/>
      <c r="AP496" s="76"/>
      <c r="AQ496" s="76"/>
      <c r="AR496" s="77"/>
      <c r="AS496" s="77"/>
      <c r="AT496" s="78">
        <v>0.5625</v>
      </c>
    </row>
    <row r="497" spans="1:46" ht="12.5" x14ac:dyDescent="0.25">
      <c r="A497" s="79">
        <v>44813.374277997689</v>
      </c>
      <c r="B497" s="80" t="s">
        <v>159</v>
      </c>
      <c r="C497" s="80" t="str">
        <f>INDEX(TBL_Name,MATCH(Table2[[#This Row],[Athlete Name]],listNames,0),2)</f>
        <v>Athlete 25</v>
      </c>
      <c r="D497" s="80" t="s">
        <v>130</v>
      </c>
      <c r="E497" s="80">
        <v>8</v>
      </c>
      <c r="F497" s="80">
        <v>4</v>
      </c>
      <c r="G497" s="80">
        <v>5</v>
      </c>
      <c r="H497" s="80"/>
      <c r="I497" s="80">
        <v>7</v>
      </c>
      <c r="J497" s="80"/>
      <c r="K497" s="80"/>
      <c r="L497" s="80"/>
      <c r="M497" s="1" t="s">
        <v>796</v>
      </c>
      <c r="N497" s="1">
        <v>37</v>
      </c>
      <c r="O497" s="1">
        <v>5</v>
      </c>
      <c r="P497" s="13">
        <v>44813</v>
      </c>
      <c r="Q497" s="1" t="s">
        <v>133</v>
      </c>
      <c r="R497" s="1" t="s">
        <v>64</v>
      </c>
      <c r="S497" s="1">
        <v>1</v>
      </c>
      <c r="T497" s="1"/>
      <c r="U497" s="1" t="s">
        <v>28</v>
      </c>
      <c r="V497" s="76">
        <v>8</v>
      </c>
      <c r="W497" s="76">
        <v>0</v>
      </c>
      <c r="X497" s="77">
        <v>0</v>
      </c>
      <c r="Y497" s="77">
        <v>3</v>
      </c>
      <c r="Z497" s="76">
        <v>4</v>
      </c>
      <c r="AA497" s="76">
        <v>0</v>
      </c>
      <c r="AB497" s="77">
        <v>0</v>
      </c>
      <c r="AC497" s="77">
        <v>3</v>
      </c>
      <c r="AD497" s="76">
        <v>5</v>
      </c>
      <c r="AE497" s="76">
        <v>0</v>
      </c>
      <c r="AF497" s="77">
        <v>0</v>
      </c>
      <c r="AG497" s="77">
        <v>3</v>
      </c>
      <c r="AH497" s="76">
        <v>7</v>
      </c>
      <c r="AI497" s="76">
        <v>0</v>
      </c>
      <c r="AJ497" s="77">
        <v>0</v>
      </c>
      <c r="AK497" s="77">
        <v>3</v>
      </c>
      <c r="AL497" s="76"/>
      <c r="AM497" s="76"/>
      <c r="AN497" s="77"/>
      <c r="AO497" s="77"/>
      <c r="AP497" s="76"/>
      <c r="AQ497" s="76"/>
      <c r="AR497" s="77"/>
      <c r="AS497" s="77"/>
      <c r="AT497" s="78">
        <v>0.75</v>
      </c>
    </row>
    <row r="498" spans="1:46" ht="12.5" x14ac:dyDescent="0.25">
      <c r="A498" s="79">
        <v>44813.378134664352</v>
      </c>
      <c r="B498" s="80" t="s">
        <v>22</v>
      </c>
      <c r="C498" s="80" t="str">
        <f>INDEX(TBL_Name,MATCH(Table2[[#This Row],[Athlete Name]],listNames,0),2)</f>
        <v>Athlete 14</v>
      </c>
      <c r="D498" s="80" t="s">
        <v>130</v>
      </c>
      <c r="E498" s="80">
        <v>5</v>
      </c>
      <c r="F498" s="80">
        <v>2</v>
      </c>
      <c r="G498" s="80">
        <v>6</v>
      </c>
      <c r="H498" s="80" t="s">
        <v>797</v>
      </c>
      <c r="I498" s="80">
        <v>4</v>
      </c>
      <c r="J498" s="80"/>
      <c r="K498" s="80"/>
      <c r="L498" s="80"/>
      <c r="M498" s="1" t="s">
        <v>798</v>
      </c>
      <c r="N498" s="1">
        <v>37</v>
      </c>
      <c r="O498" s="1">
        <v>5</v>
      </c>
      <c r="P498" s="13">
        <v>44813</v>
      </c>
      <c r="Q498" s="1" t="s">
        <v>133</v>
      </c>
      <c r="R498" s="1" t="s">
        <v>64</v>
      </c>
      <c r="S498" s="1">
        <v>1</v>
      </c>
      <c r="T498" s="1"/>
      <c r="U498" s="1" t="s">
        <v>18</v>
      </c>
      <c r="V498" s="76">
        <v>6</v>
      </c>
      <c r="W498" s="76">
        <v>1</v>
      </c>
      <c r="X498" s="77">
        <v>-1</v>
      </c>
      <c r="Y498" s="77">
        <v>1</v>
      </c>
      <c r="Z498" s="76">
        <v>3.5</v>
      </c>
      <c r="AA498" s="76">
        <v>1.5</v>
      </c>
      <c r="AB498" s="77">
        <v>-1</v>
      </c>
      <c r="AC498" s="77">
        <v>1</v>
      </c>
      <c r="AD498" s="76">
        <v>7.5</v>
      </c>
      <c r="AE498" s="76">
        <v>1.5</v>
      </c>
      <c r="AF498" s="77">
        <v>-1</v>
      </c>
      <c r="AG498" s="77">
        <v>1</v>
      </c>
      <c r="AH498" s="76">
        <v>5</v>
      </c>
      <c r="AI498" s="76">
        <v>1</v>
      </c>
      <c r="AJ498" s="77">
        <v>-1</v>
      </c>
      <c r="AK498" s="77">
        <v>1</v>
      </c>
      <c r="AL498" s="76"/>
      <c r="AM498" s="76"/>
      <c r="AN498" s="77"/>
      <c r="AO498" s="77"/>
      <c r="AP498" s="76"/>
      <c r="AQ498" s="76"/>
      <c r="AR498" s="77"/>
      <c r="AS498" s="77"/>
      <c r="AT498" s="78">
        <v>0.375</v>
      </c>
    </row>
    <row r="499" spans="1:46" ht="12.5" x14ac:dyDescent="0.25">
      <c r="A499" s="79">
        <v>44813.432605104172</v>
      </c>
      <c r="B499" s="80" t="s">
        <v>6</v>
      </c>
      <c r="C499" s="80" t="str">
        <f>INDEX(TBL_Name,MATCH(Table2[[#This Row],[Athlete Name]],listNames,0),2)</f>
        <v>Athlete 2</v>
      </c>
      <c r="D499" s="80" t="s">
        <v>130</v>
      </c>
      <c r="E499" s="80">
        <v>10</v>
      </c>
      <c r="F499" s="80">
        <v>8</v>
      </c>
      <c r="G499" s="80">
        <v>9</v>
      </c>
      <c r="H499" s="80" t="s">
        <v>231</v>
      </c>
      <c r="I499" s="80">
        <v>7</v>
      </c>
      <c r="J499" s="80"/>
      <c r="K499" s="80"/>
      <c r="L499" s="80"/>
      <c r="M499" s="1" t="s">
        <v>799</v>
      </c>
      <c r="N499" s="1">
        <v>37</v>
      </c>
      <c r="O499" s="1">
        <v>5</v>
      </c>
      <c r="P499" s="13">
        <v>44813</v>
      </c>
      <c r="Q499" s="1" t="s">
        <v>133</v>
      </c>
      <c r="R499" s="1" t="s">
        <v>64</v>
      </c>
      <c r="S499" s="1">
        <v>1</v>
      </c>
      <c r="T499" s="1"/>
      <c r="U499" s="1" t="s">
        <v>5</v>
      </c>
      <c r="V499" s="76">
        <v>9.1666666666666661</v>
      </c>
      <c r="W499" s="76">
        <v>0.68718427093627688</v>
      </c>
      <c r="X499" s="77">
        <v>1.2126781251816656</v>
      </c>
      <c r="Y499" s="77">
        <v>4</v>
      </c>
      <c r="Z499" s="76">
        <v>6.666666666666667</v>
      </c>
      <c r="AA499" s="76">
        <v>1.3743685418725535</v>
      </c>
      <c r="AB499" s="77">
        <v>0.97014250014533165</v>
      </c>
      <c r="AC499" s="77">
        <v>3</v>
      </c>
      <c r="AD499" s="76">
        <v>8.6666666666666661</v>
      </c>
      <c r="AE499" s="76">
        <v>0.7453559924999299</v>
      </c>
      <c r="AF499" s="77">
        <v>0.44721359549995876</v>
      </c>
      <c r="AG499" s="77">
        <v>3</v>
      </c>
      <c r="AH499" s="76">
        <v>6.666666666666667</v>
      </c>
      <c r="AI499" s="76">
        <v>0.94280904158206336</v>
      </c>
      <c r="AJ499" s="77">
        <v>0.35355339059327345</v>
      </c>
      <c r="AK499" s="77">
        <v>3</v>
      </c>
      <c r="AL499" s="76"/>
      <c r="AM499" s="76"/>
      <c r="AN499" s="77"/>
      <c r="AO499" s="77"/>
      <c r="AP499" s="76"/>
      <c r="AQ499" s="76"/>
      <c r="AR499" s="77"/>
      <c r="AS499" s="77"/>
      <c r="AT499" s="78">
        <v>0.5</v>
      </c>
    </row>
    <row r="500" spans="1:46" ht="12.5" x14ac:dyDescent="0.25">
      <c r="A500" s="79">
        <v>44813.520827789354</v>
      </c>
      <c r="B500" s="80" t="s">
        <v>17</v>
      </c>
      <c r="C500" s="80" t="str">
        <f>INDEX(TBL_Name,MATCH(Table2[[#This Row],[Athlete Name]],listNames,0),2)</f>
        <v>Athlete 10</v>
      </c>
      <c r="D500" s="80" t="s">
        <v>130</v>
      </c>
      <c r="E500" s="80">
        <v>7</v>
      </c>
      <c r="F500" s="80">
        <v>4</v>
      </c>
      <c r="G500" s="80">
        <v>4</v>
      </c>
      <c r="H500" s="80" t="s">
        <v>131</v>
      </c>
      <c r="I500" s="80">
        <v>7</v>
      </c>
      <c r="J500" s="80"/>
      <c r="K500" s="80"/>
      <c r="L500" s="80"/>
      <c r="M500" s="1" t="s">
        <v>800</v>
      </c>
      <c r="N500" s="1">
        <v>37</v>
      </c>
      <c r="O500" s="1">
        <v>5</v>
      </c>
      <c r="P500" s="13">
        <v>44813</v>
      </c>
      <c r="Q500" s="1" t="s">
        <v>133</v>
      </c>
      <c r="R500" s="1" t="s">
        <v>64</v>
      </c>
      <c r="S500" s="1">
        <v>1</v>
      </c>
      <c r="T500" s="1"/>
      <c r="U500" s="1" t="s">
        <v>18</v>
      </c>
      <c r="V500" s="76">
        <v>8.1666666666666661</v>
      </c>
      <c r="W500" s="76">
        <v>0.68718427093627699</v>
      </c>
      <c r="X500" s="77">
        <v>-1.6977493752543293</v>
      </c>
      <c r="Y500" s="77">
        <v>1</v>
      </c>
      <c r="Z500" s="76">
        <v>7.333333333333333</v>
      </c>
      <c r="AA500" s="76">
        <v>1.699673171197595</v>
      </c>
      <c r="AB500" s="77">
        <v>-1.96116135138184</v>
      </c>
      <c r="AC500" s="77">
        <v>1</v>
      </c>
      <c r="AD500" s="76">
        <v>7.5</v>
      </c>
      <c r="AE500" s="76">
        <v>1.7078251276599328</v>
      </c>
      <c r="AF500" s="77">
        <v>-2.0493901531919199</v>
      </c>
      <c r="AG500" s="77">
        <v>1</v>
      </c>
      <c r="AH500" s="76">
        <v>7.166666666666667</v>
      </c>
      <c r="AI500" s="76">
        <v>0.68718427093627665</v>
      </c>
      <c r="AJ500" s="77">
        <v>-0.24253562503633344</v>
      </c>
      <c r="AK500" s="77">
        <v>2</v>
      </c>
      <c r="AL500" s="76"/>
      <c r="AM500" s="76"/>
      <c r="AN500" s="77"/>
      <c r="AO500" s="77"/>
      <c r="AP500" s="76"/>
      <c r="AQ500" s="76"/>
      <c r="AR500" s="77"/>
      <c r="AS500" s="77"/>
      <c r="AT500" s="78">
        <v>0.25</v>
      </c>
    </row>
    <row r="501" spans="1:46" ht="12.5" x14ac:dyDescent="0.25">
      <c r="A501" s="79">
        <v>44814.292281307869</v>
      </c>
      <c r="B501" s="80" t="s">
        <v>148</v>
      </c>
      <c r="C501" s="80" t="str">
        <f>INDEX(TBL_Name,MATCH(Table2[[#This Row],[Athlete Name]],listNames,0),2)</f>
        <v>Athlete 22</v>
      </c>
      <c r="D501" s="80" t="s">
        <v>130</v>
      </c>
      <c r="E501" s="80">
        <v>10</v>
      </c>
      <c r="F501" s="80">
        <v>7</v>
      </c>
      <c r="G501" s="80">
        <v>8</v>
      </c>
      <c r="H501" s="80" t="s">
        <v>71</v>
      </c>
      <c r="I501" s="80">
        <v>9</v>
      </c>
      <c r="J501" s="80"/>
      <c r="K501" s="80"/>
      <c r="L501" s="80"/>
      <c r="M501" s="1" t="s">
        <v>801</v>
      </c>
      <c r="N501" s="1">
        <v>37</v>
      </c>
      <c r="O501" s="1">
        <v>5</v>
      </c>
      <c r="P501" s="13">
        <v>44814</v>
      </c>
      <c r="Q501" s="1" t="s">
        <v>133</v>
      </c>
      <c r="R501" s="1" t="s">
        <v>64</v>
      </c>
      <c r="S501" s="1">
        <v>1</v>
      </c>
      <c r="T501" s="1"/>
      <c r="U501" s="1" t="s">
        <v>11</v>
      </c>
      <c r="V501" s="76">
        <v>10</v>
      </c>
      <c r="W501" s="76">
        <v>0</v>
      </c>
      <c r="X501" s="77">
        <v>0</v>
      </c>
      <c r="Y501" s="77">
        <v>3</v>
      </c>
      <c r="Z501" s="76">
        <v>7</v>
      </c>
      <c r="AA501" s="76">
        <v>0.81649658092772603</v>
      </c>
      <c r="AB501" s="77">
        <v>0</v>
      </c>
      <c r="AC501" s="77">
        <v>3</v>
      </c>
      <c r="AD501" s="76">
        <v>7.666666666666667</v>
      </c>
      <c r="AE501" s="76">
        <v>0.47140452079103162</v>
      </c>
      <c r="AF501" s="77">
        <v>0.70710678118654702</v>
      </c>
      <c r="AG501" s="77">
        <v>3</v>
      </c>
      <c r="AH501" s="76">
        <v>6.666666666666667</v>
      </c>
      <c r="AI501" s="76">
        <v>1.699673171197595</v>
      </c>
      <c r="AJ501" s="77">
        <v>1.372812945967288</v>
      </c>
      <c r="AK501" s="77">
        <v>4</v>
      </c>
      <c r="AL501" s="76"/>
      <c r="AM501" s="76"/>
      <c r="AN501" s="77"/>
      <c r="AO501" s="77"/>
      <c r="AP501" s="76"/>
      <c r="AQ501" s="76"/>
      <c r="AR501" s="77"/>
      <c r="AS501" s="77"/>
      <c r="AT501" s="78">
        <v>0.75</v>
      </c>
    </row>
    <row r="502" spans="1:46" ht="12.5" x14ac:dyDescent="0.25">
      <c r="A502" s="79">
        <v>44814.300639351852</v>
      </c>
      <c r="B502" s="80" t="s">
        <v>10</v>
      </c>
      <c r="C502" s="80" t="str">
        <f>INDEX(TBL_Name,MATCH(Table2[[#This Row],[Athlete Name]],listNames,0),2)</f>
        <v>Athlete 5</v>
      </c>
      <c r="D502" s="80" t="s">
        <v>130</v>
      </c>
      <c r="E502" s="80">
        <v>8</v>
      </c>
      <c r="F502" s="80">
        <v>7</v>
      </c>
      <c r="G502" s="80">
        <v>6.5</v>
      </c>
      <c r="H502" s="80" t="s">
        <v>432</v>
      </c>
      <c r="I502" s="80">
        <v>7</v>
      </c>
      <c r="J502" s="80"/>
      <c r="K502" s="80"/>
      <c r="L502" s="80"/>
      <c r="M502" s="1" t="s">
        <v>802</v>
      </c>
      <c r="N502" s="1">
        <v>37</v>
      </c>
      <c r="O502" s="1">
        <v>5</v>
      </c>
      <c r="P502" s="13">
        <v>44814</v>
      </c>
      <c r="Q502" s="1" t="s">
        <v>133</v>
      </c>
      <c r="R502" s="1" t="s">
        <v>64</v>
      </c>
      <c r="S502" s="1">
        <v>1</v>
      </c>
      <c r="T502" s="1"/>
      <c r="U502" s="1" t="s">
        <v>11</v>
      </c>
      <c r="V502" s="76">
        <v>8</v>
      </c>
      <c r="W502" s="76">
        <v>0.63245553203367588</v>
      </c>
      <c r="X502" s="77">
        <v>0</v>
      </c>
      <c r="Y502" s="77">
        <v>3</v>
      </c>
      <c r="Z502" s="76">
        <v>7.2</v>
      </c>
      <c r="AA502" s="76">
        <v>0.74833147735478822</v>
      </c>
      <c r="AB502" s="77">
        <v>-0.26726124191242462</v>
      </c>
      <c r="AC502" s="77">
        <v>2</v>
      </c>
      <c r="AD502" s="76">
        <v>7.5</v>
      </c>
      <c r="AE502" s="76">
        <v>0.89442719099991586</v>
      </c>
      <c r="AF502" s="77">
        <v>-1.1180339887498949</v>
      </c>
      <c r="AG502" s="77">
        <v>1</v>
      </c>
      <c r="AH502" s="76">
        <v>7</v>
      </c>
      <c r="AI502" s="76">
        <v>0.63245553203367577</v>
      </c>
      <c r="AJ502" s="77">
        <v>0</v>
      </c>
      <c r="AK502" s="77">
        <v>3</v>
      </c>
      <c r="AL502" s="76"/>
      <c r="AM502" s="76"/>
      <c r="AN502" s="77"/>
      <c r="AO502" s="77"/>
      <c r="AP502" s="76"/>
      <c r="AQ502" s="76"/>
      <c r="AR502" s="77"/>
      <c r="AS502" s="77"/>
      <c r="AT502" s="78">
        <v>0.375</v>
      </c>
    </row>
    <row r="503" spans="1:46" ht="12.5" x14ac:dyDescent="0.25">
      <c r="A503" s="79">
        <v>44814.304178854167</v>
      </c>
      <c r="B503" s="80" t="s">
        <v>6</v>
      </c>
      <c r="C503" s="80" t="str">
        <f>INDEX(TBL_Name,MATCH(Table2[[#This Row],[Athlete Name]],listNames,0),2)</f>
        <v>Athlete 2</v>
      </c>
      <c r="D503" s="80" t="s">
        <v>130</v>
      </c>
      <c r="E503" s="80">
        <v>10</v>
      </c>
      <c r="F503" s="80">
        <v>8</v>
      </c>
      <c r="G503" s="80">
        <v>8</v>
      </c>
      <c r="H503" s="80" t="s">
        <v>432</v>
      </c>
      <c r="I503" s="80">
        <v>7</v>
      </c>
      <c r="J503" s="80"/>
      <c r="K503" s="80"/>
      <c r="L503" s="80"/>
      <c r="M503" s="1" t="s">
        <v>803</v>
      </c>
      <c r="N503" s="1">
        <v>37</v>
      </c>
      <c r="O503" s="1">
        <v>5</v>
      </c>
      <c r="P503" s="13">
        <v>44814</v>
      </c>
      <c r="Q503" s="1" t="s">
        <v>133</v>
      </c>
      <c r="R503" s="1" t="s">
        <v>64</v>
      </c>
      <c r="S503" s="1">
        <v>1</v>
      </c>
      <c r="T503" s="1"/>
      <c r="U503" s="1" t="s">
        <v>5</v>
      </c>
      <c r="V503" s="76">
        <v>9.2857142857142865</v>
      </c>
      <c r="W503" s="76">
        <v>0.69985421222376532</v>
      </c>
      <c r="X503" s="77">
        <v>1.0206207261596563</v>
      </c>
      <c r="Y503" s="77">
        <v>4</v>
      </c>
      <c r="Z503" s="76">
        <v>6.8571428571428568</v>
      </c>
      <c r="AA503" s="76">
        <v>1.3552618543578767</v>
      </c>
      <c r="AB503" s="77">
        <v>0.84327404271156814</v>
      </c>
      <c r="AC503" s="77">
        <v>3</v>
      </c>
      <c r="AD503" s="76">
        <v>8.5714285714285712</v>
      </c>
      <c r="AE503" s="76">
        <v>0.72843135908468348</v>
      </c>
      <c r="AF503" s="77">
        <v>-0.78446454055273585</v>
      </c>
      <c r="AG503" s="77">
        <v>2</v>
      </c>
      <c r="AH503" s="76">
        <v>6.7142857142857144</v>
      </c>
      <c r="AI503" s="76">
        <v>0.88063057185271099</v>
      </c>
      <c r="AJ503" s="77">
        <v>0.32444284226152492</v>
      </c>
      <c r="AK503" s="77">
        <v>3</v>
      </c>
      <c r="AL503" s="76"/>
      <c r="AM503" s="76"/>
      <c r="AN503" s="77"/>
      <c r="AO503" s="77"/>
      <c r="AP503" s="76"/>
      <c r="AQ503" s="76"/>
      <c r="AR503" s="77"/>
      <c r="AS503" s="77"/>
      <c r="AT503" s="78">
        <v>0.4375</v>
      </c>
    </row>
    <row r="504" spans="1:46" ht="12.5" x14ac:dyDescent="0.25">
      <c r="A504" s="79">
        <v>44814.313116423611</v>
      </c>
      <c r="B504" s="80" t="s">
        <v>17</v>
      </c>
      <c r="C504" s="80" t="str">
        <f>INDEX(TBL_Name,MATCH(Table2[[#This Row],[Athlete Name]],listNames,0),2)</f>
        <v>Athlete 10</v>
      </c>
      <c r="D504" s="80" t="s">
        <v>130</v>
      </c>
      <c r="E504" s="80">
        <v>9</v>
      </c>
      <c r="F504" s="80">
        <v>6</v>
      </c>
      <c r="G504" s="80">
        <v>6</v>
      </c>
      <c r="H504" s="80" t="s">
        <v>131</v>
      </c>
      <c r="I504" s="80">
        <v>6</v>
      </c>
      <c r="J504" s="80"/>
      <c r="K504" s="80"/>
      <c r="L504" s="80"/>
      <c r="M504" s="1" t="s">
        <v>804</v>
      </c>
      <c r="N504" s="1">
        <v>37</v>
      </c>
      <c r="O504" s="1">
        <v>5</v>
      </c>
      <c r="P504" s="13">
        <v>44814</v>
      </c>
      <c r="Q504" s="1" t="s">
        <v>133</v>
      </c>
      <c r="R504" s="1" t="s">
        <v>64</v>
      </c>
      <c r="S504" s="1">
        <v>1</v>
      </c>
      <c r="T504" s="1"/>
      <c r="U504" s="1" t="s">
        <v>18</v>
      </c>
      <c r="V504" s="76">
        <v>8.3333333333333339</v>
      </c>
      <c r="W504" s="76">
        <v>0.74535599249992979</v>
      </c>
      <c r="X504" s="77">
        <v>0.89442719099991519</v>
      </c>
      <c r="Y504" s="77">
        <v>3</v>
      </c>
      <c r="Z504" s="76">
        <v>6.833333333333333</v>
      </c>
      <c r="AA504" s="76">
        <v>1.5723301886761005</v>
      </c>
      <c r="AB504" s="77">
        <v>-0.52999894000317982</v>
      </c>
      <c r="AC504" s="77">
        <v>2</v>
      </c>
      <c r="AD504" s="76">
        <v>7.166666666666667</v>
      </c>
      <c r="AE504" s="76">
        <v>1.7716909687891083</v>
      </c>
      <c r="AF504" s="77">
        <v>-0.65850460786851828</v>
      </c>
      <c r="AG504" s="77">
        <v>2</v>
      </c>
      <c r="AH504" s="76">
        <v>7</v>
      </c>
      <c r="AI504" s="76">
        <v>0.81649658092772603</v>
      </c>
      <c r="AJ504" s="77">
        <v>-1.2247448713915889</v>
      </c>
      <c r="AK504" s="77">
        <v>1</v>
      </c>
      <c r="AL504" s="76"/>
      <c r="AM504" s="76"/>
      <c r="AN504" s="77"/>
      <c r="AO504" s="77"/>
      <c r="AP504" s="76"/>
      <c r="AQ504" s="76"/>
      <c r="AR504" s="77"/>
      <c r="AS504" s="77"/>
      <c r="AT504" s="78">
        <v>0.375</v>
      </c>
    </row>
    <row r="505" spans="1:46" ht="12.5" x14ac:dyDescent="0.25">
      <c r="A505" s="79">
        <v>44814.315095150465</v>
      </c>
      <c r="B505" s="80" t="s">
        <v>13</v>
      </c>
      <c r="C505" s="80" t="str">
        <f>INDEX(TBL_Name,MATCH(Table2[[#This Row],[Athlete Name]],listNames,0),2)</f>
        <v>Athlete 7</v>
      </c>
      <c r="D505" s="80" t="s">
        <v>130</v>
      </c>
      <c r="E505" s="80">
        <v>10</v>
      </c>
      <c r="F505" s="80">
        <v>6</v>
      </c>
      <c r="G505" s="80">
        <v>7</v>
      </c>
      <c r="H505" s="80" t="s">
        <v>508</v>
      </c>
      <c r="I505" s="80">
        <v>7</v>
      </c>
      <c r="J505" s="80"/>
      <c r="K505" s="80"/>
      <c r="L505" s="80"/>
      <c r="M505" s="1" t="s">
        <v>805</v>
      </c>
      <c r="N505" s="1">
        <v>37</v>
      </c>
      <c r="O505" s="1">
        <v>5</v>
      </c>
      <c r="P505" s="13">
        <v>44814</v>
      </c>
      <c r="Q505" s="1" t="s">
        <v>133</v>
      </c>
      <c r="R505" s="1" t="s">
        <v>64</v>
      </c>
      <c r="S505" s="1">
        <v>1</v>
      </c>
      <c r="T505" s="1"/>
      <c r="U505" s="1" t="s">
        <v>14</v>
      </c>
      <c r="V505" s="76">
        <v>10</v>
      </c>
      <c r="W505" s="76">
        <v>0</v>
      </c>
      <c r="X505" s="77">
        <v>0</v>
      </c>
      <c r="Y505" s="77">
        <v>3</v>
      </c>
      <c r="Z505" s="76">
        <v>6</v>
      </c>
      <c r="AA505" s="76">
        <v>0</v>
      </c>
      <c r="AB505" s="77">
        <v>0</v>
      </c>
      <c r="AC505" s="77">
        <v>3</v>
      </c>
      <c r="AD505" s="76">
        <v>7</v>
      </c>
      <c r="AE505" s="76">
        <v>0</v>
      </c>
      <c r="AF505" s="77">
        <v>0</v>
      </c>
      <c r="AG505" s="77">
        <v>3</v>
      </c>
      <c r="AH505" s="76">
        <v>7</v>
      </c>
      <c r="AI505" s="76">
        <v>0</v>
      </c>
      <c r="AJ505" s="77">
        <v>0</v>
      </c>
      <c r="AK505" s="77">
        <v>3</v>
      </c>
      <c r="AL505" s="76"/>
      <c r="AM505" s="76"/>
      <c r="AN505" s="77"/>
      <c r="AO505" s="77"/>
      <c r="AP505" s="76"/>
      <c r="AQ505" s="76"/>
      <c r="AR505" s="77"/>
      <c r="AS505" s="77"/>
      <c r="AT505" s="78">
        <v>0.75</v>
      </c>
    </row>
    <row r="506" spans="1:46" ht="12.5" x14ac:dyDescent="0.25">
      <c r="A506" s="79">
        <v>44814.322938043981</v>
      </c>
      <c r="B506" s="80" t="s">
        <v>15</v>
      </c>
      <c r="C506" s="80" t="str">
        <f>INDEX(TBL_Name,MATCH(Table2[[#This Row],[Athlete Name]],listNames,0),2)</f>
        <v>Athlete 8</v>
      </c>
      <c r="D506" s="80" t="s">
        <v>130</v>
      </c>
      <c r="E506" s="80">
        <v>10</v>
      </c>
      <c r="F506" s="80">
        <v>10</v>
      </c>
      <c r="G506" s="80">
        <v>8</v>
      </c>
      <c r="H506" s="80" t="s">
        <v>287</v>
      </c>
      <c r="I506" s="80">
        <v>10</v>
      </c>
      <c r="J506" s="80"/>
      <c r="K506" s="80"/>
      <c r="L506" s="80"/>
      <c r="M506" s="1" t="s">
        <v>806</v>
      </c>
      <c r="N506" s="1">
        <v>37</v>
      </c>
      <c r="O506" s="1">
        <v>5</v>
      </c>
      <c r="P506" s="13">
        <v>44814</v>
      </c>
      <c r="Q506" s="1" t="s">
        <v>133</v>
      </c>
      <c r="R506" s="1" t="s">
        <v>64</v>
      </c>
      <c r="S506" s="1">
        <v>1</v>
      </c>
      <c r="T506" s="1"/>
      <c r="U506" s="1" t="s">
        <v>14</v>
      </c>
      <c r="V506" s="76">
        <v>9</v>
      </c>
      <c r="W506" s="76">
        <v>1.4142135623730951</v>
      </c>
      <c r="X506" s="77">
        <v>0.70710678118654746</v>
      </c>
      <c r="Y506" s="77">
        <v>3</v>
      </c>
      <c r="Z506" s="76">
        <v>7</v>
      </c>
      <c r="AA506" s="76">
        <v>2.4494897427831779</v>
      </c>
      <c r="AB506" s="77">
        <v>1.2247448713915892</v>
      </c>
      <c r="AC506" s="77">
        <v>4</v>
      </c>
      <c r="AD506" s="76">
        <v>6.333333333333333</v>
      </c>
      <c r="AE506" s="76">
        <v>1.699673171197595</v>
      </c>
      <c r="AF506" s="77">
        <v>0.98058067569092033</v>
      </c>
      <c r="AG506" s="77">
        <v>3</v>
      </c>
      <c r="AH506" s="76">
        <v>8.6666666666666661</v>
      </c>
      <c r="AI506" s="76">
        <v>1.2472191289246473</v>
      </c>
      <c r="AJ506" s="77">
        <v>1.0690449676496978</v>
      </c>
      <c r="AK506" s="77">
        <v>4</v>
      </c>
      <c r="AL506" s="76"/>
      <c r="AM506" s="76"/>
      <c r="AN506" s="77"/>
      <c r="AO506" s="77"/>
      <c r="AP506" s="76"/>
      <c r="AQ506" s="76"/>
      <c r="AR506" s="77"/>
      <c r="AS506" s="77"/>
      <c r="AT506" s="78">
        <v>0.6875</v>
      </c>
    </row>
    <row r="507" spans="1:46" ht="12.5" x14ac:dyDescent="0.25">
      <c r="A507" s="79">
        <v>44814.325671122686</v>
      </c>
      <c r="B507" s="80" t="s">
        <v>21</v>
      </c>
      <c r="C507" s="80" t="str">
        <f>INDEX(TBL_Name,MATCH(Table2[[#This Row],[Athlete Name]],listNames,0),2)</f>
        <v>Athlete 13</v>
      </c>
      <c r="D507" s="80" t="s">
        <v>130</v>
      </c>
      <c r="E507" s="80">
        <v>8</v>
      </c>
      <c r="F507" s="80">
        <v>8</v>
      </c>
      <c r="G507" s="80">
        <v>9</v>
      </c>
      <c r="H507" s="80" t="s">
        <v>807</v>
      </c>
      <c r="I507" s="80">
        <v>5</v>
      </c>
      <c r="J507" s="80"/>
      <c r="K507" s="80"/>
      <c r="L507" s="80"/>
      <c r="M507" s="1" t="s">
        <v>808</v>
      </c>
      <c r="N507" s="1">
        <v>37</v>
      </c>
      <c r="O507" s="1">
        <v>5</v>
      </c>
      <c r="P507" s="13">
        <v>44814</v>
      </c>
      <c r="Q507" s="1" t="s">
        <v>133</v>
      </c>
      <c r="R507" s="1" t="s">
        <v>64</v>
      </c>
      <c r="S507" s="1">
        <v>1</v>
      </c>
      <c r="T507" s="1"/>
      <c r="U507" s="1" t="s">
        <v>18</v>
      </c>
      <c r="V507" s="76">
        <v>6.8</v>
      </c>
      <c r="W507" s="76">
        <v>1.1661903789690602</v>
      </c>
      <c r="X507" s="77">
        <v>1.0289915108550531</v>
      </c>
      <c r="Y507" s="77">
        <v>4</v>
      </c>
      <c r="Z507" s="76">
        <v>8</v>
      </c>
      <c r="AA507" s="76">
        <v>0.63245553203367588</v>
      </c>
      <c r="AB507" s="77">
        <v>0</v>
      </c>
      <c r="AC507" s="77">
        <v>3</v>
      </c>
      <c r="AD507" s="76">
        <v>8.8000000000000007</v>
      </c>
      <c r="AE507" s="76">
        <v>0.97979589711327131</v>
      </c>
      <c r="AF507" s="77">
        <v>0.20412414523193076</v>
      </c>
      <c r="AG507" s="77">
        <v>3</v>
      </c>
      <c r="AH507" s="76">
        <v>5.4</v>
      </c>
      <c r="AI507" s="76">
        <v>1.019803902718557</v>
      </c>
      <c r="AJ507" s="77">
        <v>-0.39223227027636837</v>
      </c>
      <c r="AK507" s="77">
        <v>2</v>
      </c>
      <c r="AL507" s="76"/>
      <c r="AM507" s="76"/>
      <c r="AN507" s="77"/>
      <c r="AO507" s="77"/>
      <c r="AP507" s="76"/>
      <c r="AQ507" s="76"/>
      <c r="AR507" s="77"/>
      <c r="AS507" s="77"/>
      <c r="AT507" s="78">
        <v>0.8125</v>
      </c>
    </row>
    <row r="508" spans="1:46" ht="12.5" x14ac:dyDescent="0.25">
      <c r="A508" s="79">
        <v>44814.456153900464</v>
      </c>
      <c r="B508" s="80" t="s">
        <v>25</v>
      </c>
      <c r="C508" s="80" t="str">
        <f>INDEX(TBL_Name,MATCH(Table2[[#This Row],[Athlete Name]],listNames,0),2)</f>
        <v>Athlete 23</v>
      </c>
      <c r="D508" s="80" t="s">
        <v>143</v>
      </c>
      <c r="E508" s="80">
        <v>4</v>
      </c>
      <c r="F508" s="80">
        <v>6</v>
      </c>
      <c r="G508" s="80">
        <v>5</v>
      </c>
      <c r="H508" s="80" t="s">
        <v>809</v>
      </c>
      <c r="I508" s="80">
        <v>4</v>
      </c>
      <c r="J508" s="80"/>
      <c r="K508" s="80"/>
      <c r="L508" s="80"/>
      <c r="M508" s="1" t="s">
        <v>810</v>
      </c>
      <c r="N508" s="1">
        <v>37</v>
      </c>
      <c r="O508" s="1">
        <v>5</v>
      </c>
      <c r="P508" s="13">
        <v>44814</v>
      </c>
      <c r="Q508" s="1" t="s">
        <v>133</v>
      </c>
      <c r="R508" s="1" t="s">
        <v>64</v>
      </c>
      <c r="S508" s="1">
        <v>2</v>
      </c>
      <c r="T508" s="1"/>
      <c r="U508" s="1" t="s">
        <v>26</v>
      </c>
      <c r="V508" s="76">
        <v>5.5</v>
      </c>
      <c r="W508" s="76">
        <v>1.5</v>
      </c>
      <c r="X508" s="77">
        <v>-1</v>
      </c>
      <c r="Y508" s="77">
        <v>1</v>
      </c>
      <c r="Z508" s="76">
        <v>7.5</v>
      </c>
      <c r="AA508" s="76">
        <v>1.5</v>
      </c>
      <c r="AB508" s="77">
        <v>-1</v>
      </c>
      <c r="AC508" s="77">
        <v>1</v>
      </c>
      <c r="AD508" s="76">
        <v>7</v>
      </c>
      <c r="AE508" s="76">
        <v>2</v>
      </c>
      <c r="AF508" s="77">
        <v>-1</v>
      </c>
      <c r="AG508" s="77">
        <v>1</v>
      </c>
      <c r="AH508" s="76">
        <v>6</v>
      </c>
      <c r="AI508" s="76">
        <v>2</v>
      </c>
      <c r="AJ508" s="77">
        <v>-1</v>
      </c>
      <c r="AK508" s="77">
        <v>1</v>
      </c>
      <c r="AL508" s="76"/>
      <c r="AM508" s="76"/>
      <c r="AN508" s="77"/>
      <c r="AO508" s="77"/>
      <c r="AP508" s="76"/>
      <c r="AQ508" s="76"/>
      <c r="AR508" s="77"/>
      <c r="AS508" s="77"/>
      <c r="AT508" s="78">
        <v>0.4375</v>
      </c>
    </row>
    <row r="509" spans="1:46" ht="12.5" x14ac:dyDescent="0.25">
      <c r="A509" s="79">
        <v>44814.557760902782</v>
      </c>
      <c r="B509" s="80" t="s">
        <v>136</v>
      </c>
      <c r="C509" s="80" t="str">
        <f>INDEX(TBL_Name,MATCH(Table2[[#This Row],[Athlete Name]],listNames,0),2)</f>
        <v>Athlete 20</v>
      </c>
      <c r="D509" s="80" t="s">
        <v>143</v>
      </c>
      <c r="E509" s="80">
        <v>7</v>
      </c>
      <c r="F509" s="80">
        <v>8</v>
      </c>
      <c r="G509" s="80">
        <v>7</v>
      </c>
      <c r="H509" s="80" t="s">
        <v>251</v>
      </c>
      <c r="I509" s="80">
        <v>6</v>
      </c>
      <c r="J509" s="80"/>
      <c r="K509" s="80"/>
      <c r="L509" s="80"/>
      <c r="M509" s="1" t="s">
        <v>811</v>
      </c>
      <c r="N509" s="1">
        <v>37</v>
      </c>
      <c r="O509" s="1">
        <v>5</v>
      </c>
      <c r="P509" s="13">
        <v>44814</v>
      </c>
      <c r="Q509" s="1" t="s">
        <v>133</v>
      </c>
      <c r="R509" s="1" t="s">
        <v>64</v>
      </c>
      <c r="S509" s="1">
        <v>2</v>
      </c>
      <c r="T509" s="1"/>
      <c r="U509" s="1" t="s">
        <v>18</v>
      </c>
      <c r="V509" s="76">
        <v>8</v>
      </c>
      <c r="W509" s="76">
        <v>1.4142135623730951</v>
      </c>
      <c r="X509" s="77">
        <v>-0.70710678118654746</v>
      </c>
      <c r="Y509" s="77">
        <v>2</v>
      </c>
      <c r="Z509" s="76">
        <v>8.3333333333333339</v>
      </c>
      <c r="AA509" s="76">
        <v>0.47140452079103179</v>
      </c>
      <c r="AB509" s="77">
        <v>-0.70710678118654857</v>
      </c>
      <c r="AC509" s="77">
        <v>2</v>
      </c>
      <c r="AD509" s="76">
        <v>8.3333333333333339</v>
      </c>
      <c r="AE509" s="76">
        <v>1.2472191289246473</v>
      </c>
      <c r="AF509" s="77">
        <v>-1.0690449676496978</v>
      </c>
      <c r="AG509" s="77">
        <v>1</v>
      </c>
      <c r="AH509" s="76">
        <v>5.666666666666667</v>
      </c>
      <c r="AI509" s="76">
        <v>1.247219128924647</v>
      </c>
      <c r="AJ509" s="77">
        <v>0.26726124191242417</v>
      </c>
      <c r="AK509" s="77">
        <v>3</v>
      </c>
      <c r="AL509" s="76"/>
      <c r="AM509" s="76"/>
      <c r="AN509" s="77"/>
      <c r="AO509" s="77"/>
      <c r="AP509" s="76"/>
      <c r="AQ509" s="76"/>
      <c r="AR509" s="77"/>
      <c r="AS509" s="77"/>
      <c r="AT509" s="78">
        <v>0.5</v>
      </c>
    </row>
    <row r="510" spans="1:46" ht="12.5" x14ac:dyDescent="0.25">
      <c r="A510" s="79">
        <v>44814.79647479167</v>
      </c>
      <c r="B510" s="80" t="s">
        <v>168</v>
      </c>
      <c r="C510" s="80" t="str">
        <f>INDEX(TBL_Name,MATCH(Table2[[#This Row],[Athlete Name]],listNames,0),2)</f>
        <v>Athlete 26</v>
      </c>
      <c r="D510" s="80" t="s">
        <v>130</v>
      </c>
      <c r="E510" s="80">
        <v>8</v>
      </c>
      <c r="F510" s="80">
        <v>8</v>
      </c>
      <c r="G510" s="80">
        <v>8</v>
      </c>
      <c r="H510" s="80"/>
      <c r="I510" s="80">
        <v>5</v>
      </c>
      <c r="J510" s="80"/>
      <c r="K510" s="80"/>
      <c r="L510" s="80"/>
      <c r="M510" s="1" t="s">
        <v>812</v>
      </c>
      <c r="N510" s="1">
        <v>37</v>
      </c>
      <c r="O510" s="1">
        <v>5</v>
      </c>
      <c r="P510" s="13">
        <v>44814</v>
      </c>
      <c r="Q510" s="1" t="s">
        <v>133</v>
      </c>
      <c r="R510" s="1" t="s">
        <v>64</v>
      </c>
      <c r="S510" s="1">
        <v>1</v>
      </c>
      <c r="T510" s="1"/>
      <c r="U510" s="1" t="s">
        <v>5</v>
      </c>
      <c r="V510" s="76">
        <v>7.333333333333333</v>
      </c>
      <c r="W510" s="76">
        <v>1.699673171197595</v>
      </c>
      <c r="X510" s="77">
        <v>0.39223227027636826</v>
      </c>
      <c r="Y510" s="77">
        <v>3</v>
      </c>
      <c r="Z510" s="76">
        <v>6.666666666666667</v>
      </c>
      <c r="AA510" s="76">
        <v>1.247219128924647</v>
      </c>
      <c r="AB510" s="77">
        <v>1.0690449676496974</v>
      </c>
      <c r="AC510" s="77">
        <v>4</v>
      </c>
      <c r="AD510" s="76">
        <v>7.333333333333333</v>
      </c>
      <c r="AE510" s="76">
        <v>0.94280904158206336</v>
      </c>
      <c r="AF510" s="77">
        <v>0.70710678118654779</v>
      </c>
      <c r="AG510" s="77">
        <v>3</v>
      </c>
      <c r="AH510" s="76">
        <v>6.333333333333333</v>
      </c>
      <c r="AI510" s="76">
        <v>0.94280904158206325</v>
      </c>
      <c r="AJ510" s="77">
        <v>-1.4142135623730949</v>
      </c>
      <c r="AK510" s="77">
        <v>1</v>
      </c>
      <c r="AL510" s="76"/>
      <c r="AM510" s="76"/>
      <c r="AN510" s="77"/>
      <c r="AO510" s="77"/>
      <c r="AP510" s="76"/>
      <c r="AQ510" s="76"/>
      <c r="AR510" s="77"/>
      <c r="AS510" s="77"/>
      <c r="AT510" s="78">
        <v>0.625</v>
      </c>
    </row>
    <row r="511" spans="1:46" ht="12.5" x14ac:dyDescent="0.25">
      <c r="A511" s="79">
        <v>44814.958578935184</v>
      </c>
      <c r="B511" s="80" t="s">
        <v>180</v>
      </c>
      <c r="C511" s="80" t="str">
        <f>INDEX(TBL_Name,MATCH(Table2[[#This Row],[Athlete Name]],listNames,0),2)</f>
        <v>Athlete 29</v>
      </c>
      <c r="D511" s="80" t="s">
        <v>143</v>
      </c>
      <c r="E511" s="80">
        <v>7</v>
      </c>
      <c r="F511" s="80">
        <v>3</v>
      </c>
      <c r="G511" s="80">
        <v>6</v>
      </c>
      <c r="H511" s="80" t="s">
        <v>813</v>
      </c>
      <c r="I511" s="80">
        <v>6</v>
      </c>
      <c r="J511" s="80"/>
      <c r="K511" s="80"/>
      <c r="L511" s="80"/>
      <c r="M511" s="1" t="s">
        <v>814</v>
      </c>
      <c r="N511" s="1">
        <v>37</v>
      </c>
      <c r="O511" s="1">
        <v>5</v>
      </c>
      <c r="P511" s="13">
        <v>44814</v>
      </c>
      <c r="Q511" s="1" t="s">
        <v>133</v>
      </c>
      <c r="R511" s="1" t="s">
        <v>64</v>
      </c>
      <c r="S511" s="1">
        <v>2</v>
      </c>
      <c r="T511" s="1"/>
      <c r="U511" s="1" t="s">
        <v>5</v>
      </c>
      <c r="V511" s="76">
        <v>4.2</v>
      </c>
      <c r="W511" s="76">
        <v>1.7204650534085253</v>
      </c>
      <c r="X511" s="77">
        <v>1.6274669424134698</v>
      </c>
      <c r="Y511" s="77">
        <v>4</v>
      </c>
      <c r="Z511" s="76">
        <v>7</v>
      </c>
      <c r="AA511" s="76">
        <v>2.0976176963403033</v>
      </c>
      <c r="AB511" s="77">
        <v>-1.9069251784911845</v>
      </c>
      <c r="AC511" s="77">
        <v>1</v>
      </c>
      <c r="AD511" s="76">
        <v>7.76</v>
      </c>
      <c r="AE511" s="76">
        <v>1.4319217855735</v>
      </c>
      <c r="AF511" s="77">
        <v>-1.2291174125094415</v>
      </c>
      <c r="AG511" s="77">
        <v>1</v>
      </c>
      <c r="AH511" s="76">
        <v>4.5999999999999996</v>
      </c>
      <c r="AI511" s="76">
        <v>0.8</v>
      </c>
      <c r="AJ511" s="77">
        <v>1.7500000000000004</v>
      </c>
      <c r="AK511" s="77">
        <v>4</v>
      </c>
      <c r="AL511" s="76"/>
      <c r="AM511" s="76"/>
      <c r="AN511" s="77"/>
      <c r="AO511" s="77"/>
      <c r="AP511" s="76"/>
      <c r="AQ511" s="76"/>
      <c r="AR511" s="77"/>
      <c r="AS511" s="77"/>
      <c r="AT511" s="78">
        <v>0.875</v>
      </c>
    </row>
    <row r="512" spans="1:46" ht="12.5" x14ac:dyDescent="0.25">
      <c r="A512" s="79">
        <v>44815.27674789352</v>
      </c>
      <c r="B512" s="80" t="s">
        <v>196</v>
      </c>
      <c r="C512" s="80" t="str">
        <f>INDEX(TBL_Name,MATCH(Table2[[#This Row],[Athlete Name]],listNames,0),2)</f>
        <v>Athlete 31</v>
      </c>
      <c r="D512" s="80" t="s">
        <v>143</v>
      </c>
      <c r="E512" s="80">
        <v>6</v>
      </c>
      <c r="F512" s="80">
        <v>9</v>
      </c>
      <c r="G512" s="80">
        <v>8</v>
      </c>
      <c r="H512" s="80" t="s">
        <v>66</v>
      </c>
      <c r="I512" s="80">
        <v>9</v>
      </c>
      <c r="J512" s="80"/>
      <c r="K512" s="80"/>
      <c r="L512" s="80"/>
      <c r="M512" s="1" t="s">
        <v>815</v>
      </c>
      <c r="N512" s="1">
        <v>38</v>
      </c>
      <c r="O512" s="1">
        <v>6</v>
      </c>
      <c r="P512" s="13">
        <v>44815</v>
      </c>
      <c r="Q512" s="1" t="s">
        <v>133</v>
      </c>
      <c r="R512" s="1" t="s">
        <v>64</v>
      </c>
      <c r="S512" s="1">
        <v>2</v>
      </c>
      <c r="T512" s="1"/>
      <c r="U512" s="1" t="s">
        <v>28</v>
      </c>
      <c r="V512" s="76">
        <v>5.2</v>
      </c>
      <c r="W512" s="76">
        <v>1.16619037896906</v>
      </c>
      <c r="X512" s="77">
        <v>0.68599434057003528</v>
      </c>
      <c r="Y512" s="77">
        <v>3</v>
      </c>
      <c r="Z512" s="76">
        <v>8.1999999999999993</v>
      </c>
      <c r="AA512" s="76">
        <v>1.16619037896906</v>
      </c>
      <c r="AB512" s="77">
        <v>0.68599434057003605</v>
      </c>
      <c r="AC512" s="77">
        <v>3</v>
      </c>
      <c r="AD512" s="76">
        <v>7.8</v>
      </c>
      <c r="AE512" s="76">
        <v>0.74833147735478822</v>
      </c>
      <c r="AF512" s="77">
        <v>0.26726124191242462</v>
      </c>
      <c r="AG512" s="77">
        <v>3</v>
      </c>
      <c r="AH512" s="76">
        <v>8.8000000000000007</v>
      </c>
      <c r="AI512" s="76">
        <v>0.40000000000000008</v>
      </c>
      <c r="AJ512" s="77">
        <v>0.49999999999999811</v>
      </c>
      <c r="AK512" s="77">
        <v>3</v>
      </c>
      <c r="AL512" s="76"/>
      <c r="AM512" s="76"/>
      <c r="AN512" s="77"/>
      <c r="AO512" s="77"/>
      <c r="AP512" s="76"/>
      <c r="AQ512" s="76"/>
      <c r="AR512" s="77"/>
      <c r="AS512" s="77"/>
      <c r="AT512" s="78">
        <v>0.9375</v>
      </c>
    </row>
    <row r="513" spans="1:46" ht="12.5" x14ac:dyDescent="0.25">
      <c r="A513" s="79">
        <v>44815.277745497689</v>
      </c>
      <c r="B513" s="80" t="s">
        <v>177</v>
      </c>
      <c r="C513" s="80" t="str">
        <f>INDEX(TBL_Name,MATCH(Table2[[#This Row],[Athlete Name]],listNames,0),2)</f>
        <v>Athlete 28</v>
      </c>
      <c r="D513" s="80" t="s">
        <v>130</v>
      </c>
      <c r="E513" s="80">
        <v>2</v>
      </c>
      <c r="F513" s="80">
        <v>4</v>
      </c>
      <c r="G513" s="80">
        <v>5</v>
      </c>
      <c r="H513" s="80" t="s">
        <v>816</v>
      </c>
      <c r="I513" s="80">
        <v>4</v>
      </c>
      <c r="J513" s="80"/>
      <c r="K513" s="80"/>
      <c r="L513" s="80"/>
      <c r="M513" s="1" t="s">
        <v>817</v>
      </c>
      <c r="N513" s="1">
        <v>38</v>
      </c>
      <c r="O513" s="1">
        <v>6</v>
      </c>
      <c r="P513" s="13">
        <v>44815</v>
      </c>
      <c r="Q513" s="1" t="s">
        <v>133</v>
      </c>
      <c r="R513" s="1" t="s">
        <v>64</v>
      </c>
      <c r="S513" s="1">
        <v>1</v>
      </c>
      <c r="T513" s="1"/>
      <c r="U513" s="1" t="s">
        <v>28</v>
      </c>
      <c r="V513" s="76">
        <v>3</v>
      </c>
      <c r="W513" s="76">
        <v>1</v>
      </c>
      <c r="X513" s="77">
        <v>-1</v>
      </c>
      <c r="Y513" s="77">
        <v>1</v>
      </c>
      <c r="Z513" s="76">
        <v>5.5</v>
      </c>
      <c r="AA513" s="76">
        <v>1.5</v>
      </c>
      <c r="AB513" s="77">
        <v>-1</v>
      </c>
      <c r="AC513" s="77">
        <v>1</v>
      </c>
      <c r="AD513" s="76">
        <v>6</v>
      </c>
      <c r="AE513" s="76">
        <v>1</v>
      </c>
      <c r="AF513" s="77">
        <v>-1</v>
      </c>
      <c r="AG513" s="77">
        <v>1</v>
      </c>
      <c r="AH513" s="76">
        <v>3.5</v>
      </c>
      <c r="AI513" s="76">
        <v>0.5</v>
      </c>
      <c r="AJ513" s="77">
        <v>1</v>
      </c>
      <c r="AK513" s="77">
        <v>4</v>
      </c>
      <c r="AL513" s="76"/>
      <c r="AM513" s="76"/>
      <c r="AN513" s="77"/>
      <c r="AO513" s="77"/>
      <c r="AP513" s="76"/>
      <c r="AQ513" s="76"/>
      <c r="AR513" s="77"/>
      <c r="AS513" s="77"/>
      <c r="AT513" s="78">
        <v>0.8125</v>
      </c>
    </row>
    <row r="514" spans="1:46" ht="12.5" x14ac:dyDescent="0.25">
      <c r="A514" s="79">
        <v>44815.286365092594</v>
      </c>
      <c r="B514" s="80" t="s">
        <v>17</v>
      </c>
      <c r="C514" s="80" t="str">
        <f>INDEX(TBL_Name,MATCH(Table2[[#This Row],[Athlete Name]],listNames,0),2)</f>
        <v>Athlete 10</v>
      </c>
      <c r="D514" s="80" t="s">
        <v>130</v>
      </c>
      <c r="E514" s="80">
        <v>9</v>
      </c>
      <c r="F514" s="80">
        <v>6</v>
      </c>
      <c r="G514" s="80">
        <v>6</v>
      </c>
      <c r="H514" s="80" t="s">
        <v>71</v>
      </c>
      <c r="I514" s="80">
        <v>7</v>
      </c>
      <c r="J514" s="80"/>
      <c r="K514" s="80"/>
      <c r="L514" s="80"/>
      <c r="M514" s="1" t="s">
        <v>818</v>
      </c>
      <c r="N514" s="1">
        <v>38</v>
      </c>
      <c r="O514" s="1">
        <v>6</v>
      </c>
      <c r="P514" s="13">
        <v>44815</v>
      </c>
      <c r="Q514" s="1" t="s">
        <v>133</v>
      </c>
      <c r="R514" s="1" t="s">
        <v>64</v>
      </c>
      <c r="S514" s="1">
        <v>1</v>
      </c>
      <c r="T514" s="1"/>
      <c r="U514" s="1" t="s">
        <v>18</v>
      </c>
      <c r="V514" s="76">
        <v>8.3333333333333339</v>
      </c>
      <c r="W514" s="76">
        <v>0.74535599249993034</v>
      </c>
      <c r="X514" s="77">
        <v>0.89442719099991452</v>
      </c>
      <c r="Y514" s="77">
        <v>3</v>
      </c>
      <c r="Z514" s="76">
        <v>6.333333333333333</v>
      </c>
      <c r="AA514" s="76">
        <v>1.247219128924647</v>
      </c>
      <c r="AB514" s="77">
        <v>-0.26726124191242417</v>
      </c>
      <c r="AC514" s="77">
        <v>2</v>
      </c>
      <c r="AD514" s="76">
        <v>6.666666666666667</v>
      </c>
      <c r="AE514" s="76">
        <v>1.5986105077709065</v>
      </c>
      <c r="AF514" s="77">
        <v>-0.41702882811414971</v>
      </c>
      <c r="AG514" s="77">
        <v>2</v>
      </c>
      <c r="AH514" s="76">
        <v>7.166666666666667</v>
      </c>
      <c r="AI514" s="76">
        <v>0.68718427093627676</v>
      </c>
      <c r="AJ514" s="77">
        <v>-0.24253562503633341</v>
      </c>
      <c r="AK514" s="77">
        <v>2</v>
      </c>
      <c r="AL514" s="76"/>
      <c r="AM514" s="76"/>
      <c r="AN514" s="77"/>
      <c r="AO514" s="77"/>
      <c r="AP514" s="76"/>
      <c r="AQ514" s="76"/>
      <c r="AR514" s="77"/>
      <c r="AS514" s="77"/>
      <c r="AT514" s="78">
        <v>0.375</v>
      </c>
    </row>
    <row r="515" spans="1:46" ht="12.5" x14ac:dyDescent="0.25">
      <c r="A515" s="79">
        <v>44815.292339259264</v>
      </c>
      <c r="B515" s="80" t="s">
        <v>21</v>
      </c>
      <c r="C515" s="80" t="str">
        <f>INDEX(TBL_Name,MATCH(Table2[[#This Row],[Athlete Name]],listNames,0),2)</f>
        <v>Athlete 13</v>
      </c>
      <c r="D515" s="80" t="s">
        <v>130</v>
      </c>
      <c r="E515" s="80">
        <v>7</v>
      </c>
      <c r="F515" s="80">
        <v>8</v>
      </c>
      <c r="G515" s="80">
        <v>9</v>
      </c>
      <c r="H515" s="80" t="s">
        <v>607</v>
      </c>
      <c r="I515" s="80">
        <v>8</v>
      </c>
      <c r="J515" s="80"/>
      <c r="K515" s="80"/>
      <c r="L515" s="80"/>
      <c r="M515" s="1" t="s">
        <v>819</v>
      </c>
      <c r="N515" s="1">
        <v>38</v>
      </c>
      <c r="O515" s="1">
        <v>6</v>
      </c>
      <c r="P515" s="13">
        <v>44815</v>
      </c>
      <c r="Q515" s="1" t="s">
        <v>133</v>
      </c>
      <c r="R515" s="1" t="s">
        <v>64</v>
      </c>
      <c r="S515" s="1">
        <v>1</v>
      </c>
      <c r="T515" s="1"/>
      <c r="U515" s="1" t="s">
        <v>18</v>
      </c>
      <c r="V515" s="76">
        <v>6.8</v>
      </c>
      <c r="W515" s="76">
        <v>1.1661903789690602</v>
      </c>
      <c r="X515" s="77">
        <v>0.17149858514250899</v>
      </c>
      <c r="Y515" s="77">
        <v>3</v>
      </c>
      <c r="Z515" s="76">
        <v>7.8</v>
      </c>
      <c r="AA515" s="76">
        <v>0.39999999999999997</v>
      </c>
      <c r="AB515" s="77">
        <v>0.50000000000000044</v>
      </c>
      <c r="AC515" s="77">
        <v>3</v>
      </c>
      <c r="AD515" s="76">
        <v>8.6</v>
      </c>
      <c r="AE515" s="76">
        <v>0.80000000000000016</v>
      </c>
      <c r="AF515" s="77">
        <v>0.50000000000000033</v>
      </c>
      <c r="AG515" s="77">
        <v>3</v>
      </c>
      <c r="AH515" s="76">
        <v>6.2</v>
      </c>
      <c r="AI515" s="76">
        <v>1.16619037896906</v>
      </c>
      <c r="AJ515" s="77">
        <v>1.5434872662825796</v>
      </c>
      <c r="AK515" s="77">
        <v>4</v>
      </c>
      <c r="AL515" s="76"/>
      <c r="AM515" s="76"/>
      <c r="AN515" s="77"/>
      <c r="AO515" s="77"/>
      <c r="AP515" s="76"/>
      <c r="AQ515" s="76"/>
      <c r="AR515" s="77"/>
      <c r="AS515" s="77"/>
      <c r="AT515" s="78">
        <v>0.9375</v>
      </c>
    </row>
    <row r="516" spans="1:46" ht="12.5" x14ac:dyDescent="0.25">
      <c r="A516" s="79">
        <v>44815.293591469905</v>
      </c>
      <c r="B516" s="80" t="s">
        <v>6</v>
      </c>
      <c r="C516" s="80" t="str">
        <f>INDEX(TBL_Name,MATCH(Table2[[#This Row],[Athlete Name]],listNames,0),2)</f>
        <v>Athlete 2</v>
      </c>
      <c r="D516" s="80" t="s">
        <v>130</v>
      </c>
      <c r="E516" s="80">
        <v>8</v>
      </c>
      <c r="F516" s="80">
        <v>5</v>
      </c>
      <c r="G516" s="80">
        <v>7</v>
      </c>
      <c r="H516" s="80" t="s">
        <v>73</v>
      </c>
      <c r="I516" s="80">
        <v>7</v>
      </c>
      <c r="J516" s="80"/>
      <c r="K516" s="80"/>
      <c r="L516" s="80"/>
      <c r="M516" s="1" t="s">
        <v>820</v>
      </c>
      <c r="N516" s="1">
        <v>38</v>
      </c>
      <c r="O516" s="1">
        <v>6</v>
      </c>
      <c r="P516" s="13">
        <v>44815</v>
      </c>
      <c r="Q516" s="1" t="s">
        <v>133</v>
      </c>
      <c r="R516" s="1" t="s">
        <v>64</v>
      </c>
      <c r="S516" s="1">
        <v>1</v>
      </c>
      <c r="T516" s="1"/>
      <c r="U516" s="1" t="s">
        <v>5</v>
      </c>
      <c r="V516" s="76">
        <v>9</v>
      </c>
      <c r="W516" s="76">
        <v>0.7559289460184544</v>
      </c>
      <c r="X516" s="77">
        <v>-1.3228756555322954</v>
      </c>
      <c r="Y516" s="77">
        <v>1</v>
      </c>
      <c r="Z516" s="76">
        <v>6.7142857142857144</v>
      </c>
      <c r="AA516" s="76">
        <v>1.4846149779161806</v>
      </c>
      <c r="AB516" s="77">
        <v>-1.1547005383792517</v>
      </c>
      <c r="AC516" s="77">
        <v>1</v>
      </c>
      <c r="AD516" s="76">
        <v>8.1428571428571423</v>
      </c>
      <c r="AE516" s="76">
        <v>0.63887656499994028</v>
      </c>
      <c r="AF516" s="77">
        <v>-1.7888543819998299</v>
      </c>
      <c r="AG516" s="77">
        <v>1</v>
      </c>
      <c r="AH516" s="76">
        <v>6.7142857142857144</v>
      </c>
      <c r="AI516" s="76">
        <v>0.88063057185271121</v>
      </c>
      <c r="AJ516" s="77">
        <v>0.32444284226152481</v>
      </c>
      <c r="AK516" s="77">
        <v>3</v>
      </c>
      <c r="AL516" s="76"/>
      <c r="AM516" s="76"/>
      <c r="AN516" s="77"/>
      <c r="AO516" s="77"/>
      <c r="AP516" s="76"/>
      <c r="AQ516" s="76"/>
      <c r="AR516" s="77"/>
      <c r="AS516" s="77"/>
      <c r="AT516" s="78">
        <v>0.25</v>
      </c>
    </row>
    <row r="517" spans="1:46" ht="12.5" x14ac:dyDescent="0.25">
      <c r="A517" s="79">
        <v>44815.315659652777</v>
      </c>
      <c r="B517" s="80" t="s">
        <v>10</v>
      </c>
      <c r="C517" s="80" t="str">
        <f>INDEX(TBL_Name,MATCH(Table2[[#This Row],[Athlete Name]],listNames,0),2)</f>
        <v>Athlete 5</v>
      </c>
      <c r="D517" s="80" t="s">
        <v>130</v>
      </c>
      <c r="E517" s="80">
        <v>8</v>
      </c>
      <c r="F517" s="80">
        <v>8</v>
      </c>
      <c r="G517" s="80">
        <v>8</v>
      </c>
      <c r="H517" s="80" t="s">
        <v>432</v>
      </c>
      <c r="I517" s="80">
        <v>8</v>
      </c>
      <c r="J517" s="80"/>
      <c r="K517" s="80"/>
      <c r="L517" s="80"/>
      <c r="M517" s="1" t="s">
        <v>821</v>
      </c>
      <c r="N517" s="1">
        <v>38</v>
      </c>
      <c r="O517" s="1">
        <v>6</v>
      </c>
      <c r="P517" s="13">
        <v>44815</v>
      </c>
      <c r="Q517" s="1" t="s">
        <v>133</v>
      </c>
      <c r="R517" s="1" t="s">
        <v>64</v>
      </c>
      <c r="S517" s="1">
        <v>1</v>
      </c>
      <c r="T517" s="1"/>
      <c r="U517" s="1" t="s">
        <v>11</v>
      </c>
      <c r="V517" s="76">
        <v>8</v>
      </c>
      <c r="W517" s="76">
        <v>0.57735026918962573</v>
      </c>
      <c r="X517" s="77">
        <v>0</v>
      </c>
      <c r="Y517" s="77">
        <v>3</v>
      </c>
      <c r="Z517" s="76">
        <v>7.333333333333333</v>
      </c>
      <c r="AA517" s="76">
        <v>0.74535599249992979</v>
      </c>
      <c r="AB517" s="77">
        <v>0.89442719099991641</v>
      </c>
      <c r="AC517" s="77">
        <v>3</v>
      </c>
      <c r="AD517" s="76">
        <v>7.583333333333333</v>
      </c>
      <c r="AE517" s="76">
        <v>0.83748963509340757</v>
      </c>
      <c r="AF517" s="77">
        <v>0.49751859510499491</v>
      </c>
      <c r="AG517" s="77">
        <v>3</v>
      </c>
      <c r="AH517" s="76">
        <v>7.166666666666667</v>
      </c>
      <c r="AI517" s="76">
        <v>0.68718427093627665</v>
      </c>
      <c r="AJ517" s="77">
        <v>1.2126781251816645</v>
      </c>
      <c r="AK517" s="77">
        <v>4</v>
      </c>
      <c r="AL517" s="76"/>
      <c r="AM517" s="76"/>
      <c r="AN517" s="77"/>
      <c r="AO517" s="77"/>
      <c r="AP517" s="76"/>
      <c r="AQ517" s="76"/>
      <c r="AR517" s="77"/>
      <c r="AS517" s="77"/>
      <c r="AT517" s="78">
        <v>0.75</v>
      </c>
    </row>
    <row r="518" spans="1:46" ht="12.5" x14ac:dyDescent="0.25">
      <c r="A518" s="79">
        <v>44815.328096956015</v>
      </c>
      <c r="B518" s="80" t="s">
        <v>142</v>
      </c>
      <c r="C518" s="80" t="str">
        <f>INDEX(TBL_Name,MATCH(Table2[[#This Row],[Athlete Name]],listNames,0),2)</f>
        <v>Athlete 21</v>
      </c>
      <c r="D518" s="80" t="s">
        <v>130</v>
      </c>
      <c r="E518" s="80">
        <v>3</v>
      </c>
      <c r="F518" s="80">
        <v>4</v>
      </c>
      <c r="G518" s="80">
        <v>7</v>
      </c>
      <c r="H518" s="80" t="s">
        <v>296</v>
      </c>
      <c r="I518" s="80">
        <v>4</v>
      </c>
      <c r="J518" s="80"/>
      <c r="K518" s="80"/>
      <c r="L518" s="80"/>
      <c r="M518" s="1" t="s">
        <v>822</v>
      </c>
      <c r="N518" s="1">
        <v>38</v>
      </c>
      <c r="O518" s="1">
        <v>6</v>
      </c>
      <c r="P518" s="13">
        <v>44815</v>
      </c>
      <c r="Q518" s="1" t="s">
        <v>133</v>
      </c>
      <c r="R518" s="1" t="s">
        <v>64</v>
      </c>
      <c r="S518" s="1">
        <v>1</v>
      </c>
      <c r="T518" s="1"/>
      <c r="U518" s="1" t="s">
        <v>18</v>
      </c>
      <c r="V518" s="76">
        <v>5.333333333333333</v>
      </c>
      <c r="W518" s="76">
        <v>2.0548046676563256</v>
      </c>
      <c r="X518" s="77">
        <v>-1.1355499479153375</v>
      </c>
      <c r="Y518" s="77">
        <v>1</v>
      </c>
      <c r="Z518" s="76">
        <v>6.666666666666667</v>
      </c>
      <c r="AA518" s="76">
        <v>1.8856180831641267</v>
      </c>
      <c r="AB518" s="77">
        <v>-1.4142135623730951</v>
      </c>
      <c r="AC518" s="77">
        <v>1</v>
      </c>
      <c r="AD518" s="76">
        <v>7.666666666666667</v>
      </c>
      <c r="AE518" s="76">
        <v>0.47140452079103179</v>
      </c>
      <c r="AF518" s="77">
        <v>-1.4142135623730954</v>
      </c>
      <c r="AG518" s="77">
        <v>1</v>
      </c>
      <c r="AH518" s="76">
        <v>3.6666666666666665</v>
      </c>
      <c r="AI518" s="76">
        <v>0.47140452079103168</v>
      </c>
      <c r="AJ518" s="77">
        <v>0.70710678118654779</v>
      </c>
      <c r="AK518" s="77">
        <v>3</v>
      </c>
      <c r="AL518" s="76"/>
      <c r="AM518" s="76"/>
      <c r="AN518" s="77"/>
      <c r="AO518" s="77"/>
      <c r="AP518" s="76"/>
      <c r="AQ518" s="76"/>
      <c r="AR518" s="77"/>
      <c r="AS518" s="77"/>
      <c r="AT518" s="78">
        <v>0.5</v>
      </c>
    </row>
    <row r="519" spans="1:46" ht="12.5" x14ac:dyDescent="0.25">
      <c r="A519" s="79">
        <v>44815.447410983797</v>
      </c>
      <c r="B519" s="80" t="s">
        <v>25</v>
      </c>
      <c r="C519" s="80" t="str">
        <f>INDEX(TBL_Name,MATCH(Table2[[#This Row],[Athlete Name]],listNames,0),2)</f>
        <v>Athlete 23</v>
      </c>
      <c r="D519" s="80" t="s">
        <v>143</v>
      </c>
      <c r="E519" s="80">
        <v>5</v>
      </c>
      <c r="F519" s="80">
        <v>7</v>
      </c>
      <c r="G519" s="80">
        <v>9</v>
      </c>
      <c r="H519" s="80" t="s">
        <v>823</v>
      </c>
      <c r="I519" s="80">
        <v>5</v>
      </c>
      <c r="J519" s="80"/>
      <c r="K519" s="80"/>
      <c r="L519" s="80"/>
      <c r="M519" s="1" t="s">
        <v>824</v>
      </c>
      <c r="N519" s="1">
        <v>38</v>
      </c>
      <c r="O519" s="1">
        <v>6</v>
      </c>
      <c r="P519" s="13">
        <v>44815</v>
      </c>
      <c r="Q519" s="1" t="s">
        <v>133</v>
      </c>
      <c r="R519" s="1" t="s">
        <v>64</v>
      </c>
      <c r="S519" s="1">
        <v>2</v>
      </c>
      <c r="T519" s="1"/>
      <c r="U519" s="1" t="s">
        <v>26</v>
      </c>
      <c r="V519" s="76">
        <v>5.333333333333333</v>
      </c>
      <c r="W519" s="76">
        <v>1.247219128924647</v>
      </c>
      <c r="X519" s="77">
        <v>-0.26726124191242417</v>
      </c>
      <c r="Y519" s="77">
        <v>2</v>
      </c>
      <c r="Z519" s="76">
        <v>7.333333333333333</v>
      </c>
      <c r="AA519" s="76">
        <v>1.247219128924647</v>
      </c>
      <c r="AB519" s="77">
        <v>-0.26726124191242417</v>
      </c>
      <c r="AC519" s="77">
        <v>2</v>
      </c>
      <c r="AD519" s="76">
        <v>7.666666666666667</v>
      </c>
      <c r="AE519" s="76">
        <v>1.8856180831641267</v>
      </c>
      <c r="AF519" s="77">
        <v>0.70710678118654735</v>
      </c>
      <c r="AG519" s="77">
        <v>3</v>
      </c>
      <c r="AH519" s="76">
        <v>5.666666666666667</v>
      </c>
      <c r="AI519" s="76">
        <v>1.699673171197595</v>
      </c>
      <c r="AJ519" s="77">
        <v>-0.39223227027636826</v>
      </c>
      <c r="AK519" s="77">
        <v>2</v>
      </c>
      <c r="AL519" s="76"/>
      <c r="AM519" s="76"/>
      <c r="AN519" s="77"/>
      <c r="AO519" s="77"/>
      <c r="AP519" s="76"/>
      <c r="AQ519" s="76"/>
      <c r="AR519" s="77"/>
      <c r="AS519" s="77"/>
      <c r="AT519" s="78">
        <v>0.75</v>
      </c>
    </row>
    <row r="520" spans="1:46" ht="12.5" x14ac:dyDescent="0.25">
      <c r="A520" s="79">
        <v>44815.447422592595</v>
      </c>
      <c r="B520" s="80" t="s">
        <v>136</v>
      </c>
      <c r="C520" s="80" t="str">
        <f>INDEX(TBL_Name,MATCH(Table2[[#This Row],[Athlete Name]],listNames,0),2)</f>
        <v>Athlete 20</v>
      </c>
      <c r="D520" s="80" t="s">
        <v>143</v>
      </c>
      <c r="E520" s="80">
        <v>8</v>
      </c>
      <c r="F520" s="80">
        <v>5</v>
      </c>
      <c r="G520" s="80">
        <v>6</v>
      </c>
      <c r="H520" s="80" t="s">
        <v>215</v>
      </c>
      <c r="I520" s="80">
        <v>9</v>
      </c>
      <c r="J520" s="80"/>
      <c r="K520" s="80"/>
      <c r="L520" s="80"/>
      <c r="M520" s="1" t="s">
        <v>825</v>
      </c>
      <c r="N520" s="1">
        <v>38</v>
      </c>
      <c r="O520" s="1">
        <v>6</v>
      </c>
      <c r="P520" s="13">
        <v>44815</v>
      </c>
      <c r="Q520" s="1" t="s">
        <v>133</v>
      </c>
      <c r="R520" s="1" t="s">
        <v>64</v>
      </c>
      <c r="S520" s="1">
        <v>2</v>
      </c>
      <c r="T520" s="1"/>
      <c r="U520" s="1" t="s">
        <v>18</v>
      </c>
      <c r="V520" s="76">
        <v>7.333333333333333</v>
      </c>
      <c r="W520" s="76">
        <v>0.47140452079103179</v>
      </c>
      <c r="X520" s="77">
        <v>1.4142135623730954</v>
      </c>
      <c r="Y520" s="77">
        <v>4</v>
      </c>
      <c r="Z520" s="76">
        <v>7</v>
      </c>
      <c r="AA520" s="76">
        <v>1.4142135623730951</v>
      </c>
      <c r="AB520" s="77">
        <v>-1.4142135623730949</v>
      </c>
      <c r="AC520" s="77">
        <v>1</v>
      </c>
      <c r="AD520" s="76">
        <v>7</v>
      </c>
      <c r="AE520" s="76">
        <v>0.81649658092772603</v>
      </c>
      <c r="AF520" s="77">
        <v>-1.2247448713915889</v>
      </c>
      <c r="AG520" s="77">
        <v>1</v>
      </c>
      <c r="AH520" s="76">
        <v>7.333333333333333</v>
      </c>
      <c r="AI520" s="76">
        <v>1.2472191289246473</v>
      </c>
      <c r="AJ520" s="77">
        <v>1.3363062095621221</v>
      </c>
      <c r="AK520" s="77">
        <v>4</v>
      </c>
      <c r="AL520" s="76"/>
      <c r="AM520" s="76"/>
      <c r="AN520" s="77"/>
      <c r="AO520" s="77"/>
      <c r="AP520" s="76"/>
      <c r="AQ520" s="76"/>
      <c r="AR520" s="77"/>
      <c r="AS520" s="77"/>
      <c r="AT520" s="78">
        <v>0.625</v>
      </c>
    </row>
    <row r="521" spans="1:46" ht="12.5" x14ac:dyDescent="0.25">
      <c r="A521" s="79">
        <v>44815.447657523153</v>
      </c>
      <c r="B521" s="80" t="s">
        <v>180</v>
      </c>
      <c r="C521" s="80" t="str">
        <f>INDEX(TBL_Name,MATCH(Table2[[#This Row],[Athlete Name]],listNames,0),2)</f>
        <v>Athlete 29</v>
      </c>
      <c r="D521" s="80" t="s">
        <v>143</v>
      </c>
      <c r="E521" s="80">
        <v>4</v>
      </c>
      <c r="F521" s="80">
        <v>7</v>
      </c>
      <c r="G521" s="80">
        <v>6</v>
      </c>
      <c r="H521" s="80" t="s">
        <v>826</v>
      </c>
      <c r="I521" s="80">
        <v>5</v>
      </c>
      <c r="J521" s="80"/>
      <c r="K521" s="80"/>
      <c r="L521" s="80"/>
      <c r="M521" s="1" t="s">
        <v>827</v>
      </c>
      <c r="N521" s="1">
        <v>38</v>
      </c>
      <c r="O521" s="1">
        <v>6</v>
      </c>
      <c r="P521" s="13">
        <v>44815</v>
      </c>
      <c r="Q521" s="1" t="s">
        <v>133</v>
      </c>
      <c r="R521" s="1" t="s">
        <v>64</v>
      </c>
      <c r="S521" s="1">
        <v>2</v>
      </c>
      <c r="T521" s="1"/>
      <c r="U521" s="1" t="s">
        <v>5</v>
      </c>
      <c r="V521" s="76">
        <v>4.166666666666667</v>
      </c>
      <c r="W521" s="76">
        <v>1.5723301886761005</v>
      </c>
      <c r="X521" s="77">
        <v>-0.1059997880006362</v>
      </c>
      <c r="Y521" s="77">
        <v>2</v>
      </c>
      <c r="Z521" s="76">
        <v>7</v>
      </c>
      <c r="AA521" s="76">
        <v>1.9148542155126762</v>
      </c>
      <c r="AB521" s="77">
        <v>0</v>
      </c>
      <c r="AC521" s="77">
        <v>3</v>
      </c>
      <c r="AD521" s="76">
        <v>7.4666666666666659</v>
      </c>
      <c r="AE521" s="76">
        <v>1.4624940645653539</v>
      </c>
      <c r="AF521" s="77">
        <v>-1.0028530728448133</v>
      </c>
      <c r="AG521" s="77">
        <v>1</v>
      </c>
      <c r="AH521" s="76">
        <v>4.666666666666667</v>
      </c>
      <c r="AI521" s="76">
        <v>0.74535599249993001</v>
      </c>
      <c r="AJ521" s="77">
        <v>0.44721359549995748</v>
      </c>
      <c r="AK521" s="77">
        <v>3</v>
      </c>
      <c r="AL521" s="76"/>
      <c r="AM521" s="76"/>
      <c r="AN521" s="77"/>
      <c r="AO521" s="77"/>
      <c r="AP521" s="76"/>
      <c r="AQ521" s="76"/>
      <c r="AR521" s="77"/>
      <c r="AS521" s="77"/>
      <c r="AT521" s="78">
        <v>0.8125</v>
      </c>
    </row>
    <row r="522" spans="1:46" ht="12.5" x14ac:dyDescent="0.25">
      <c r="A522" s="79">
        <v>44815.449617488426</v>
      </c>
      <c r="B522" s="80" t="s">
        <v>9</v>
      </c>
      <c r="C522" s="80" t="str">
        <f>INDEX(TBL_Name,MATCH(Table2[[#This Row],[Athlete Name]],listNames,0),2)</f>
        <v>Athlete 4</v>
      </c>
      <c r="D522" s="80" t="s">
        <v>130</v>
      </c>
      <c r="E522" s="80">
        <v>6</v>
      </c>
      <c r="F522" s="80">
        <v>7</v>
      </c>
      <c r="G522" s="80">
        <v>7</v>
      </c>
      <c r="H522" s="80" t="s">
        <v>450</v>
      </c>
      <c r="I522" s="80">
        <v>5</v>
      </c>
      <c r="J522" s="80"/>
      <c r="K522" s="80"/>
      <c r="L522" s="80"/>
      <c r="M522" s="1" t="s">
        <v>828</v>
      </c>
      <c r="N522" s="1">
        <v>38</v>
      </c>
      <c r="O522" s="1">
        <v>6</v>
      </c>
      <c r="P522" s="13">
        <v>44815</v>
      </c>
      <c r="Q522" s="1" t="s">
        <v>133</v>
      </c>
      <c r="R522" s="1" t="s">
        <v>64</v>
      </c>
      <c r="S522" s="1">
        <v>1</v>
      </c>
      <c r="T522" s="1"/>
      <c r="U522" s="1" t="s">
        <v>8</v>
      </c>
      <c r="V522" s="76">
        <v>6</v>
      </c>
      <c r="W522" s="76">
        <v>0</v>
      </c>
      <c r="X522" s="77">
        <v>0</v>
      </c>
      <c r="Y522" s="77">
        <v>3</v>
      </c>
      <c r="Z522" s="76">
        <v>7</v>
      </c>
      <c r="AA522" s="76">
        <v>0</v>
      </c>
      <c r="AB522" s="77">
        <v>0</v>
      </c>
      <c r="AC522" s="77">
        <v>3</v>
      </c>
      <c r="AD522" s="76">
        <v>7</v>
      </c>
      <c r="AE522" s="76">
        <v>0</v>
      </c>
      <c r="AF522" s="77">
        <v>0</v>
      </c>
      <c r="AG522" s="77">
        <v>3</v>
      </c>
      <c r="AH522" s="76">
        <v>5</v>
      </c>
      <c r="AI522" s="76">
        <v>0</v>
      </c>
      <c r="AJ522" s="77">
        <v>0</v>
      </c>
      <c r="AK522" s="77">
        <v>3</v>
      </c>
      <c r="AL522" s="76"/>
      <c r="AM522" s="76"/>
      <c r="AN522" s="77"/>
      <c r="AO522" s="77"/>
      <c r="AP522" s="76"/>
      <c r="AQ522" s="76"/>
      <c r="AR522" s="77"/>
      <c r="AS522" s="77"/>
      <c r="AT522" s="78">
        <v>0.75</v>
      </c>
    </row>
    <row r="523" spans="1:46" ht="12.5" x14ac:dyDescent="0.25">
      <c r="A523" s="79">
        <v>44815.453980613427</v>
      </c>
      <c r="B523" s="80" t="s">
        <v>168</v>
      </c>
      <c r="C523" s="80" t="str">
        <f>INDEX(TBL_Name,MATCH(Table2[[#This Row],[Athlete Name]],listNames,0),2)</f>
        <v>Athlete 26</v>
      </c>
      <c r="D523" s="80" t="s">
        <v>130</v>
      </c>
      <c r="E523" s="80">
        <v>7</v>
      </c>
      <c r="F523" s="80">
        <v>6</v>
      </c>
      <c r="G523" s="80">
        <v>7</v>
      </c>
      <c r="H523" s="80" t="s">
        <v>69</v>
      </c>
      <c r="I523" s="80">
        <v>6</v>
      </c>
      <c r="J523" s="80"/>
      <c r="K523" s="80"/>
      <c r="L523" s="80"/>
      <c r="M523" s="1" t="s">
        <v>829</v>
      </c>
      <c r="N523" s="1">
        <v>38</v>
      </c>
      <c r="O523" s="1">
        <v>6</v>
      </c>
      <c r="P523" s="13">
        <v>44815</v>
      </c>
      <c r="Q523" s="1" t="s">
        <v>133</v>
      </c>
      <c r="R523" s="1" t="s">
        <v>64</v>
      </c>
      <c r="S523" s="1">
        <v>1</v>
      </c>
      <c r="T523" s="1"/>
      <c r="U523" s="1" t="s">
        <v>5</v>
      </c>
      <c r="V523" s="76">
        <v>7.25</v>
      </c>
      <c r="W523" s="76">
        <v>1.4790199457749043</v>
      </c>
      <c r="X523" s="77">
        <v>-0.16903085094570328</v>
      </c>
      <c r="Y523" s="77">
        <v>2</v>
      </c>
      <c r="Z523" s="76">
        <v>6.5</v>
      </c>
      <c r="AA523" s="76">
        <v>1.1180339887498949</v>
      </c>
      <c r="AB523" s="77">
        <v>-0.44721359549995793</v>
      </c>
      <c r="AC523" s="77">
        <v>2</v>
      </c>
      <c r="AD523" s="76">
        <v>7.25</v>
      </c>
      <c r="AE523" s="76">
        <v>0.82915619758884995</v>
      </c>
      <c r="AF523" s="77">
        <v>-0.30151134457776363</v>
      </c>
      <c r="AG523" s="77">
        <v>2</v>
      </c>
      <c r="AH523" s="76">
        <v>6.25</v>
      </c>
      <c r="AI523" s="76">
        <v>0.82915619758884984</v>
      </c>
      <c r="AJ523" s="77">
        <v>-0.30151134457776368</v>
      </c>
      <c r="AK523" s="77">
        <v>2</v>
      </c>
      <c r="AL523" s="76"/>
      <c r="AM523" s="76"/>
      <c r="AN523" s="77"/>
      <c r="AO523" s="77"/>
      <c r="AP523" s="76"/>
      <c r="AQ523" s="76"/>
      <c r="AR523" s="77"/>
      <c r="AS523" s="77"/>
      <c r="AT523" s="78">
        <v>0.5</v>
      </c>
    </row>
    <row r="524" spans="1:46" ht="12.5" x14ac:dyDescent="0.25">
      <c r="A524" s="79">
        <v>44815.561965057874</v>
      </c>
      <c r="B524" s="80" t="s">
        <v>15</v>
      </c>
      <c r="C524" s="80" t="str">
        <f>INDEX(TBL_Name,MATCH(Table2[[#This Row],[Athlete Name]],listNames,0),2)</f>
        <v>Athlete 8</v>
      </c>
      <c r="D524" s="80" t="s">
        <v>130</v>
      </c>
      <c r="E524" s="80">
        <v>10</v>
      </c>
      <c r="F524" s="80">
        <v>7</v>
      </c>
      <c r="G524" s="80">
        <v>7</v>
      </c>
      <c r="H524" s="80" t="s">
        <v>830</v>
      </c>
      <c r="I524" s="80">
        <v>7</v>
      </c>
      <c r="J524" s="80"/>
      <c r="K524" s="80"/>
      <c r="L524" s="80"/>
      <c r="M524" s="1" t="s">
        <v>831</v>
      </c>
      <c r="N524" s="1">
        <v>38</v>
      </c>
      <c r="O524" s="1">
        <v>6</v>
      </c>
      <c r="P524" s="13">
        <v>44815</v>
      </c>
      <c r="Q524" s="1" t="s">
        <v>133</v>
      </c>
      <c r="R524" s="1" t="s">
        <v>64</v>
      </c>
      <c r="S524" s="1">
        <v>1</v>
      </c>
      <c r="T524" s="1"/>
      <c r="U524" s="1" t="s">
        <v>14</v>
      </c>
      <c r="V524" s="76">
        <v>9.25</v>
      </c>
      <c r="W524" s="76">
        <v>1.299038105676658</v>
      </c>
      <c r="X524" s="77">
        <v>0.57735026918962573</v>
      </c>
      <c r="Y524" s="77">
        <v>3</v>
      </c>
      <c r="Z524" s="76">
        <v>7</v>
      </c>
      <c r="AA524" s="76">
        <v>2.1213203435596424</v>
      </c>
      <c r="AB524" s="77">
        <v>0</v>
      </c>
      <c r="AC524" s="77">
        <v>3</v>
      </c>
      <c r="AD524" s="76">
        <v>6.5</v>
      </c>
      <c r="AE524" s="76">
        <v>1.5000000000000002</v>
      </c>
      <c r="AF524" s="77">
        <v>0.33333333333333326</v>
      </c>
      <c r="AG524" s="77">
        <v>3</v>
      </c>
      <c r="AH524" s="76">
        <v>8.25</v>
      </c>
      <c r="AI524" s="76">
        <v>1.299038105676658</v>
      </c>
      <c r="AJ524" s="77">
        <v>-0.96225044864937626</v>
      </c>
      <c r="AK524" s="77">
        <v>2</v>
      </c>
      <c r="AL524" s="76"/>
      <c r="AM524" s="76"/>
      <c r="AN524" s="77"/>
      <c r="AO524" s="77"/>
      <c r="AP524" s="76"/>
      <c r="AQ524" s="76"/>
      <c r="AR524" s="77"/>
      <c r="AS524" s="77"/>
      <c r="AT524" s="78">
        <v>0.375</v>
      </c>
    </row>
    <row r="525" spans="1:46" ht="12.5" x14ac:dyDescent="0.25">
      <c r="A525" s="79">
        <v>44816.288940798608</v>
      </c>
      <c r="B525" s="80" t="s">
        <v>148</v>
      </c>
      <c r="C525" s="80" t="str">
        <f>INDEX(TBL_Name,MATCH(Table2[[#This Row],[Athlete Name]],listNames,0),2)</f>
        <v>Athlete 22</v>
      </c>
      <c r="D525" s="80" t="s">
        <v>130</v>
      </c>
      <c r="E525" s="80">
        <v>10</v>
      </c>
      <c r="F525" s="80">
        <v>8</v>
      </c>
      <c r="G525" s="80">
        <v>7</v>
      </c>
      <c r="H525" s="80" t="s">
        <v>71</v>
      </c>
      <c r="I525" s="80">
        <v>7</v>
      </c>
      <c r="J525" s="80"/>
      <c r="K525" s="80"/>
      <c r="L525" s="80"/>
      <c r="M525" s="1" t="s">
        <v>832</v>
      </c>
      <c r="N525" s="1">
        <v>38</v>
      </c>
      <c r="O525" s="1">
        <v>6</v>
      </c>
      <c r="P525" s="13">
        <v>44816</v>
      </c>
      <c r="Q525" s="1" t="s">
        <v>133</v>
      </c>
      <c r="R525" s="1" t="s">
        <v>64</v>
      </c>
      <c r="S525" s="1">
        <v>1</v>
      </c>
      <c r="T525" s="1"/>
      <c r="U525" s="1" t="s">
        <v>11</v>
      </c>
      <c r="V525" s="76">
        <v>10</v>
      </c>
      <c r="W525" s="76">
        <v>0</v>
      </c>
      <c r="X525" s="77">
        <v>0</v>
      </c>
      <c r="Y525" s="77">
        <v>3</v>
      </c>
      <c r="Z525" s="76">
        <v>7.25</v>
      </c>
      <c r="AA525" s="76">
        <v>0.82915619758884995</v>
      </c>
      <c r="AB525" s="77">
        <v>0.90453403373329089</v>
      </c>
      <c r="AC525" s="77">
        <v>3</v>
      </c>
      <c r="AD525" s="76">
        <v>7.5</v>
      </c>
      <c r="AE525" s="76">
        <v>0.5</v>
      </c>
      <c r="AF525" s="77">
        <v>-1</v>
      </c>
      <c r="AG525" s="77">
        <v>1</v>
      </c>
      <c r="AH525" s="76">
        <v>6.75</v>
      </c>
      <c r="AI525" s="76">
        <v>1.479019945774904</v>
      </c>
      <c r="AJ525" s="77">
        <v>0.1690308509457033</v>
      </c>
      <c r="AK525" s="77">
        <v>3</v>
      </c>
      <c r="AL525" s="76"/>
      <c r="AM525" s="76"/>
      <c r="AN525" s="77"/>
      <c r="AO525" s="77"/>
      <c r="AP525" s="76"/>
      <c r="AQ525" s="76"/>
      <c r="AR525" s="77"/>
      <c r="AS525" s="77"/>
      <c r="AT525" s="78">
        <v>0.75</v>
      </c>
    </row>
    <row r="526" spans="1:46" ht="12.5" x14ac:dyDescent="0.25">
      <c r="A526" s="79">
        <v>44816.303030648152</v>
      </c>
      <c r="B526" s="80" t="s">
        <v>136</v>
      </c>
      <c r="C526" s="80" t="str">
        <f>INDEX(TBL_Name,MATCH(Table2[[#This Row],[Athlete Name]],listNames,0),2)</f>
        <v>Athlete 20</v>
      </c>
      <c r="D526" s="80" t="s">
        <v>143</v>
      </c>
      <c r="E526" s="80">
        <v>7</v>
      </c>
      <c r="F526" s="80">
        <v>8</v>
      </c>
      <c r="G526" s="80">
        <v>8</v>
      </c>
      <c r="H526" s="80"/>
      <c r="I526" s="80">
        <v>9</v>
      </c>
      <c r="J526" s="80"/>
      <c r="K526" s="80"/>
      <c r="L526" s="80"/>
      <c r="M526" s="1" t="s">
        <v>833</v>
      </c>
      <c r="N526" s="1">
        <v>38</v>
      </c>
      <c r="O526" s="1">
        <v>6</v>
      </c>
      <c r="P526" s="13">
        <v>44816</v>
      </c>
      <c r="Q526" s="1" t="s">
        <v>133</v>
      </c>
      <c r="R526" s="1" t="s">
        <v>64</v>
      </c>
      <c r="S526" s="1">
        <v>2</v>
      </c>
      <c r="T526" s="1"/>
      <c r="U526" s="1" t="s">
        <v>18</v>
      </c>
      <c r="V526" s="76">
        <v>7.25</v>
      </c>
      <c r="W526" s="76">
        <v>0.43301270189221941</v>
      </c>
      <c r="X526" s="77">
        <v>-0.57735026918962562</v>
      </c>
      <c r="Y526" s="77">
        <v>2</v>
      </c>
      <c r="Z526" s="76">
        <v>7.25</v>
      </c>
      <c r="AA526" s="76">
        <v>1.299038105676658</v>
      </c>
      <c r="AB526" s="77">
        <v>0.57735026918962573</v>
      </c>
      <c r="AC526" s="77">
        <v>3</v>
      </c>
      <c r="AD526" s="76">
        <v>7.25</v>
      </c>
      <c r="AE526" s="76">
        <v>0.82915619758884995</v>
      </c>
      <c r="AF526" s="77">
        <v>0.90453403373329089</v>
      </c>
      <c r="AG526" s="77">
        <v>3</v>
      </c>
      <c r="AH526" s="76">
        <v>7.75</v>
      </c>
      <c r="AI526" s="76">
        <v>1.2990381056766582</v>
      </c>
      <c r="AJ526" s="77">
        <v>0.96225044864937603</v>
      </c>
      <c r="AK526" s="77">
        <v>3</v>
      </c>
      <c r="AL526" s="76"/>
      <c r="AM526" s="76"/>
      <c r="AN526" s="77"/>
      <c r="AO526" s="77"/>
      <c r="AP526" s="76"/>
      <c r="AQ526" s="76"/>
      <c r="AR526" s="77"/>
      <c r="AS526" s="77"/>
      <c r="AT526" s="78">
        <v>0.875</v>
      </c>
    </row>
    <row r="527" spans="1:46" ht="12.5" x14ac:dyDescent="0.25">
      <c r="A527" s="79">
        <v>44816.319805636573</v>
      </c>
      <c r="B527" s="80" t="s">
        <v>25</v>
      </c>
      <c r="C527" s="80" t="str">
        <f>INDEX(TBL_Name,MATCH(Table2[[#This Row],[Athlete Name]],listNames,0),2)</f>
        <v>Athlete 23</v>
      </c>
      <c r="D527" s="80" t="s">
        <v>143</v>
      </c>
      <c r="E527" s="80">
        <v>8</v>
      </c>
      <c r="F527" s="80">
        <v>7</v>
      </c>
      <c r="G527" s="80">
        <v>9</v>
      </c>
      <c r="H527" s="80" t="s">
        <v>834</v>
      </c>
      <c r="I527" s="80">
        <v>7</v>
      </c>
      <c r="J527" s="80"/>
      <c r="K527" s="80"/>
      <c r="L527" s="80"/>
      <c r="M527" s="1" t="s">
        <v>835</v>
      </c>
      <c r="N527" s="1">
        <v>38</v>
      </c>
      <c r="O527" s="1">
        <v>6</v>
      </c>
      <c r="P527" s="13">
        <v>44816</v>
      </c>
      <c r="Q527" s="1" t="s">
        <v>133</v>
      </c>
      <c r="R527" s="1" t="s">
        <v>64</v>
      </c>
      <c r="S527" s="1">
        <v>2</v>
      </c>
      <c r="T527" s="1"/>
      <c r="U527" s="1" t="s">
        <v>26</v>
      </c>
      <c r="V527" s="76">
        <v>6</v>
      </c>
      <c r="W527" s="76">
        <v>1.5811388300841898</v>
      </c>
      <c r="X527" s="77">
        <v>1.2649110640673518</v>
      </c>
      <c r="Y527" s="77">
        <v>4</v>
      </c>
      <c r="Z527" s="76">
        <v>7.25</v>
      </c>
      <c r="AA527" s="76">
        <v>1.0897247358851683</v>
      </c>
      <c r="AB527" s="77">
        <v>-0.2294157338705618</v>
      </c>
      <c r="AC527" s="77">
        <v>2</v>
      </c>
      <c r="AD527" s="76">
        <v>8</v>
      </c>
      <c r="AE527" s="76">
        <v>1.7320508075688772</v>
      </c>
      <c r="AF527" s="77">
        <v>0.57735026918962584</v>
      </c>
      <c r="AG527" s="77">
        <v>3</v>
      </c>
      <c r="AH527" s="76">
        <v>6</v>
      </c>
      <c r="AI527" s="76">
        <v>1.5811388300841898</v>
      </c>
      <c r="AJ527" s="77">
        <v>0.63245553203367588</v>
      </c>
      <c r="AK527" s="77">
        <v>3</v>
      </c>
      <c r="AL527" s="76"/>
      <c r="AM527" s="76"/>
      <c r="AN527" s="77"/>
      <c r="AO527" s="77"/>
      <c r="AP527" s="76"/>
      <c r="AQ527" s="76"/>
      <c r="AR527" s="77"/>
      <c r="AS527" s="77"/>
      <c r="AT527" s="78">
        <v>0.875</v>
      </c>
    </row>
    <row r="528" spans="1:46" ht="12.5" x14ac:dyDescent="0.25">
      <c r="A528" s="79">
        <v>44816.329302997685</v>
      </c>
      <c r="B528" s="80" t="s">
        <v>177</v>
      </c>
      <c r="C528" s="80" t="str">
        <f>INDEX(TBL_Name,MATCH(Table2[[#This Row],[Athlete Name]],listNames,0),2)</f>
        <v>Athlete 28</v>
      </c>
      <c r="D528" s="80" t="s">
        <v>130</v>
      </c>
      <c r="E528" s="80">
        <v>4</v>
      </c>
      <c r="F528" s="80">
        <v>7</v>
      </c>
      <c r="G528" s="80">
        <v>7</v>
      </c>
      <c r="H528" s="80" t="s">
        <v>836</v>
      </c>
      <c r="I528" s="80">
        <v>6</v>
      </c>
      <c r="J528" s="80"/>
      <c r="K528" s="80"/>
      <c r="L528" s="80"/>
      <c r="M528" s="1" t="s">
        <v>837</v>
      </c>
      <c r="N528" s="1">
        <v>38</v>
      </c>
      <c r="O528" s="1">
        <v>6</v>
      </c>
      <c r="P528" s="13">
        <v>44816</v>
      </c>
      <c r="Q528" s="1" t="s">
        <v>133</v>
      </c>
      <c r="R528" s="1" t="s">
        <v>64</v>
      </c>
      <c r="S528" s="1">
        <v>1</v>
      </c>
      <c r="T528" s="1"/>
      <c r="U528" s="1" t="s">
        <v>28</v>
      </c>
      <c r="V528" s="76">
        <v>3.3333333333333335</v>
      </c>
      <c r="W528" s="76">
        <v>0.94280904158206336</v>
      </c>
      <c r="X528" s="77">
        <v>0.70710678118654735</v>
      </c>
      <c r="Y528" s="77">
        <v>3</v>
      </c>
      <c r="Z528" s="76">
        <v>6</v>
      </c>
      <c r="AA528" s="76">
        <v>1.4142135623730951</v>
      </c>
      <c r="AB528" s="77">
        <v>0.70710678118654746</v>
      </c>
      <c r="AC528" s="77">
        <v>3</v>
      </c>
      <c r="AD528" s="76">
        <v>6.333333333333333</v>
      </c>
      <c r="AE528" s="76">
        <v>0.94280904158206336</v>
      </c>
      <c r="AF528" s="77">
        <v>0.70710678118654779</v>
      </c>
      <c r="AG528" s="77">
        <v>3</v>
      </c>
      <c r="AH528" s="76">
        <v>4.333333333333333</v>
      </c>
      <c r="AI528" s="76">
        <v>1.2472191289246473</v>
      </c>
      <c r="AJ528" s="77">
        <v>1.3363062095621221</v>
      </c>
      <c r="AK528" s="77">
        <v>4</v>
      </c>
      <c r="AL528" s="76"/>
      <c r="AM528" s="76"/>
      <c r="AN528" s="77"/>
      <c r="AO528" s="77"/>
      <c r="AP528" s="76"/>
      <c r="AQ528" s="76"/>
      <c r="AR528" s="77"/>
      <c r="AS528" s="77"/>
      <c r="AT528" s="78">
        <v>0.9375</v>
      </c>
    </row>
    <row r="529" spans="1:46" ht="12.5" x14ac:dyDescent="0.25">
      <c r="A529" s="79">
        <v>44816.33361332176</v>
      </c>
      <c r="B529" s="80" t="s">
        <v>17</v>
      </c>
      <c r="C529" s="80" t="str">
        <f>INDEX(TBL_Name,MATCH(Table2[[#This Row],[Athlete Name]],listNames,0),2)</f>
        <v>Athlete 10</v>
      </c>
      <c r="D529" s="80" t="s">
        <v>143</v>
      </c>
      <c r="E529" s="80">
        <v>7</v>
      </c>
      <c r="F529" s="80">
        <v>8</v>
      </c>
      <c r="G529" s="80">
        <v>9</v>
      </c>
      <c r="H529" s="80" t="s">
        <v>71</v>
      </c>
      <c r="I529" s="80">
        <v>8</v>
      </c>
      <c r="J529" s="80"/>
      <c r="K529" s="80"/>
      <c r="L529" s="80"/>
      <c r="M529" s="1" t="s">
        <v>838</v>
      </c>
      <c r="N529" s="1">
        <v>38</v>
      </c>
      <c r="O529" s="1">
        <v>6</v>
      </c>
      <c r="P529" s="13">
        <v>44816</v>
      </c>
      <c r="Q529" s="1" t="s">
        <v>133</v>
      </c>
      <c r="R529" s="1" t="s">
        <v>64</v>
      </c>
      <c r="S529" s="1">
        <v>2</v>
      </c>
      <c r="T529" s="1"/>
      <c r="U529" s="1" t="s">
        <v>18</v>
      </c>
      <c r="V529" s="76">
        <v>8</v>
      </c>
      <c r="W529" s="76">
        <v>0.81649658092772592</v>
      </c>
      <c r="X529" s="77">
        <v>-1.2247448713915892</v>
      </c>
      <c r="Y529" s="77">
        <v>1</v>
      </c>
      <c r="Z529" s="76">
        <v>6.333333333333333</v>
      </c>
      <c r="AA529" s="76">
        <v>1.247219128924647</v>
      </c>
      <c r="AB529" s="77">
        <v>1.3363062095621223</v>
      </c>
      <c r="AC529" s="77">
        <v>4</v>
      </c>
      <c r="AD529" s="76">
        <v>6.666666666666667</v>
      </c>
      <c r="AE529" s="76">
        <v>1.5986105077709065</v>
      </c>
      <c r="AF529" s="77">
        <v>1.4596008983995232</v>
      </c>
      <c r="AG529" s="77">
        <v>4</v>
      </c>
      <c r="AH529" s="76">
        <v>7.333333333333333</v>
      </c>
      <c r="AI529" s="76">
        <v>0.7453559924999299</v>
      </c>
      <c r="AJ529" s="77">
        <v>0.8944271909999163</v>
      </c>
      <c r="AK529" s="77">
        <v>3</v>
      </c>
      <c r="AL529" s="76"/>
      <c r="AM529" s="76"/>
      <c r="AN529" s="77"/>
      <c r="AO529" s="77"/>
      <c r="AP529" s="76"/>
      <c r="AQ529" s="76"/>
      <c r="AR529" s="77"/>
      <c r="AS529" s="77"/>
      <c r="AT529" s="78">
        <v>0.6875</v>
      </c>
    </row>
    <row r="530" spans="1:46" ht="12.5" x14ac:dyDescent="0.25">
      <c r="A530" s="79">
        <v>44816.334431863426</v>
      </c>
      <c r="B530" s="80" t="s">
        <v>196</v>
      </c>
      <c r="C530" s="80" t="str">
        <f>INDEX(TBL_Name,MATCH(Table2[[#This Row],[Athlete Name]],listNames,0),2)</f>
        <v>Athlete 31</v>
      </c>
      <c r="D530" s="80" t="s">
        <v>130</v>
      </c>
      <c r="E530" s="80">
        <v>6</v>
      </c>
      <c r="F530" s="80">
        <v>7</v>
      </c>
      <c r="G530" s="80">
        <v>8</v>
      </c>
      <c r="H530" s="80" t="s">
        <v>598</v>
      </c>
      <c r="I530" s="80">
        <v>9</v>
      </c>
      <c r="J530" s="80"/>
      <c r="K530" s="80"/>
      <c r="L530" s="80"/>
      <c r="M530" s="1" t="s">
        <v>839</v>
      </c>
      <c r="N530" s="1">
        <v>38</v>
      </c>
      <c r="O530" s="1">
        <v>6</v>
      </c>
      <c r="P530" s="13">
        <v>44816</v>
      </c>
      <c r="Q530" s="1" t="s">
        <v>133</v>
      </c>
      <c r="R530" s="1" t="s">
        <v>64</v>
      </c>
      <c r="S530" s="1">
        <v>1</v>
      </c>
      <c r="T530" s="1"/>
      <c r="U530" s="1" t="s">
        <v>28</v>
      </c>
      <c r="V530" s="76">
        <v>5.8</v>
      </c>
      <c r="W530" s="76">
        <v>0.39999999999999997</v>
      </c>
      <c r="X530" s="77">
        <v>0.50000000000000044</v>
      </c>
      <c r="Y530" s="77">
        <v>3</v>
      </c>
      <c r="Z530" s="76">
        <v>8</v>
      </c>
      <c r="AA530" s="76">
        <v>1.2649110640673518</v>
      </c>
      <c r="AB530" s="77">
        <v>-0.79056941504209477</v>
      </c>
      <c r="AC530" s="77">
        <v>2</v>
      </c>
      <c r="AD530" s="76">
        <v>7.8</v>
      </c>
      <c r="AE530" s="76">
        <v>0.74833147735478822</v>
      </c>
      <c r="AF530" s="77">
        <v>0.26726124191242462</v>
      </c>
      <c r="AG530" s="77">
        <v>3</v>
      </c>
      <c r="AH530" s="76">
        <v>9</v>
      </c>
      <c r="AI530" s="76">
        <v>0</v>
      </c>
      <c r="AJ530" s="77">
        <v>0</v>
      </c>
      <c r="AK530" s="77">
        <v>3</v>
      </c>
      <c r="AL530" s="76"/>
      <c r="AM530" s="76"/>
      <c r="AN530" s="77"/>
      <c r="AO530" s="77"/>
      <c r="AP530" s="76"/>
      <c r="AQ530" s="76"/>
      <c r="AR530" s="77"/>
      <c r="AS530" s="77"/>
      <c r="AT530" s="78">
        <v>0.9375</v>
      </c>
    </row>
    <row r="531" spans="1:46" ht="12.5" x14ac:dyDescent="0.25">
      <c r="A531" s="79">
        <v>44816.374115335653</v>
      </c>
      <c r="B531" s="80" t="s">
        <v>225</v>
      </c>
      <c r="C531" s="80" t="str">
        <f>INDEX(TBL_Name,MATCH(Table2[[#This Row],[Athlete Name]],listNames,0),2)</f>
        <v>Athlete 32</v>
      </c>
      <c r="D531" s="80" t="s">
        <v>130</v>
      </c>
      <c r="E531" s="80">
        <v>10</v>
      </c>
      <c r="F531" s="80">
        <v>10</v>
      </c>
      <c r="G531" s="80">
        <v>8</v>
      </c>
      <c r="H531" s="80"/>
      <c r="I531" s="80">
        <v>10</v>
      </c>
      <c r="J531" s="80"/>
      <c r="K531" s="80"/>
      <c r="L531" s="80"/>
      <c r="M531" s="1" t="s">
        <v>840</v>
      </c>
      <c r="N531" s="1">
        <v>38</v>
      </c>
      <c r="O531" s="1">
        <v>6</v>
      </c>
      <c r="P531" s="13">
        <v>44816</v>
      </c>
      <c r="Q531" s="1" t="s">
        <v>133</v>
      </c>
      <c r="R531" s="1" t="s">
        <v>64</v>
      </c>
      <c r="S531" s="1">
        <v>1</v>
      </c>
      <c r="T531" s="1"/>
      <c r="U531" s="1" t="s">
        <v>5</v>
      </c>
      <c r="V531" s="76">
        <v>10</v>
      </c>
      <c r="W531" s="76">
        <v>0</v>
      </c>
      <c r="X531" s="77">
        <v>0</v>
      </c>
      <c r="Y531" s="77">
        <v>3</v>
      </c>
      <c r="Z531" s="76">
        <v>10</v>
      </c>
      <c r="AA531" s="76">
        <v>0</v>
      </c>
      <c r="AB531" s="77">
        <v>0</v>
      </c>
      <c r="AC531" s="77">
        <v>3</v>
      </c>
      <c r="AD531" s="76">
        <v>7.5</v>
      </c>
      <c r="AE531" s="76">
        <v>0.5</v>
      </c>
      <c r="AF531" s="77">
        <v>1</v>
      </c>
      <c r="AG531" s="77">
        <v>4</v>
      </c>
      <c r="AH531" s="76">
        <v>8.75</v>
      </c>
      <c r="AI531" s="76">
        <v>1.0897247358851685</v>
      </c>
      <c r="AJ531" s="77">
        <v>1.1470786693528088</v>
      </c>
      <c r="AK531" s="77">
        <v>4</v>
      </c>
      <c r="AL531" s="76"/>
      <c r="AM531" s="76"/>
      <c r="AN531" s="77"/>
      <c r="AO531" s="77"/>
      <c r="AP531" s="76"/>
      <c r="AQ531" s="76"/>
      <c r="AR531" s="77"/>
      <c r="AS531" s="77"/>
      <c r="AT531" s="78">
        <v>0.75</v>
      </c>
    </row>
    <row r="532" spans="1:46" ht="12.5" x14ac:dyDescent="0.25">
      <c r="A532" s="79">
        <v>44816.375932719908</v>
      </c>
      <c r="B532" s="80" t="s">
        <v>168</v>
      </c>
      <c r="C532" s="80" t="str">
        <f>INDEX(TBL_Name,MATCH(Table2[[#This Row],[Athlete Name]],listNames,0),2)</f>
        <v>Athlete 26</v>
      </c>
      <c r="D532" s="80" t="s">
        <v>130</v>
      </c>
      <c r="E532" s="80">
        <v>6</v>
      </c>
      <c r="F532" s="80">
        <v>5</v>
      </c>
      <c r="G532" s="80">
        <v>7</v>
      </c>
      <c r="H532" s="80" t="s">
        <v>362</v>
      </c>
      <c r="I532" s="80">
        <v>5</v>
      </c>
      <c r="J532" s="80"/>
      <c r="K532" s="80"/>
      <c r="L532" s="80"/>
      <c r="M532" s="1" t="s">
        <v>841</v>
      </c>
      <c r="N532" s="1">
        <v>38</v>
      </c>
      <c r="O532" s="1">
        <v>6</v>
      </c>
      <c r="P532" s="13">
        <v>44816</v>
      </c>
      <c r="Q532" s="1" t="s">
        <v>133</v>
      </c>
      <c r="R532" s="1" t="s">
        <v>64</v>
      </c>
      <c r="S532" s="1">
        <v>1</v>
      </c>
      <c r="T532" s="1"/>
      <c r="U532" s="1" t="s">
        <v>5</v>
      </c>
      <c r="V532" s="76">
        <v>7</v>
      </c>
      <c r="W532" s="76">
        <v>1.4142135623730951</v>
      </c>
      <c r="X532" s="77">
        <v>-0.70710678118654746</v>
      </c>
      <c r="Y532" s="77">
        <v>2</v>
      </c>
      <c r="Z532" s="76">
        <v>6.2</v>
      </c>
      <c r="AA532" s="76">
        <v>1.1661903789690602</v>
      </c>
      <c r="AB532" s="77">
        <v>-1.0289915108550531</v>
      </c>
      <c r="AC532" s="77">
        <v>1</v>
      </c>
      <c r="AD532" s="76">
        <v>7.2</v>
      </c>
      <c r="AE532" s="76">
        <v>0.74833147735478822</v>
      </c>
      <c r="AF532" s="77">
        <v>-0.26726124191242462</v>
      </c>
      <c r="AG532" s="77">
        <v>2</v>
      </c>
      <c r="AH532" s="76">
        <v>6</v>
      </c>
      <c r="AI532" s="76">
        <v>0.89442719099991574</v>
      </c>
      <c r="AJ532" s="77">
        <v>-1.1180339887498951</v>
      </c>
      <c r="AK532" s="77">
        <v>1</v>
      </c>
      <c r="AL532" s="76"/>
      <c r="AM532" s="76"/>
      <c r="AN532" s="77"/>
      <c r="AO532" s="77"/>
      <c r="AP532" s="76"/>
      <c r="AQ532" s="76"/>
      <c r="AR532" s="77"/>
      <c r="AS532" s="77"/>
      <c r="AT532" s="78">
        <v>0.4375</v>
      </c>
    </row>
    <row r="533" spans="1:46" ht="12.5" x14ac:dyDescent="0.25">
      <c r="A533" s="79">
        <v>44816.412574016205</v>
      </c>
      <c r="B533" s="80" t="s">
        <v>6</v>
      </c>
      <c r="C533" s="80" t="str">
        <f>INDEX(TBL_Name,MATCH(Table2[[#This Row],[Athlete Name]],listNames,0),2)</f>
        <v>Athlete 2</v>
      </c>
      <c r="D533" s="80" t="s">
        <v>130</v>
      </c>
      <c r="E533" s="80">
        <v>9</v>
      </c>
      <c r="F533" s="80">
        <v>9</v>
      </c>
      <c r="G533" s="80">
        <v>9</v>
      </c>
      <c r="H533" s="80" t="s">
        <v>231</v>
      </c>
      <c r="I533" s="80">
        <v>7</v>
      </c>
      <c r="J533" s="80"/>
      <c r="K533" s="80"/>
      <c r="L533" s="80"/>
      <c r="M533" s="1" t="s">
        <v>842</v>
      </c>
      <c r="N533" s="1">
        <v>38</v>
      </c>
      <c r="O533" s="1">
        <v>6</v>
      </c>
      <c r="P533" s="13">
        <v>44816</v>
      </c>
      <c r="Q533" s="1" t="s">
        <v>133</v>
      </c>
      <c r="R533" s="1" t="s">
        <v>64</v>
      </c>
      <c r="S533" s="1">
        <v>1</v>
      </c>
      <c r="T533" s="1"/>
      <c r="U533" s="1" t="s">
        <v>5</v>
      </c>
      <c r="V533" s="76">
        <v>9</v>
      </c>
      <c r="W533" s="76">
        <v>0.7559289460184544</v>
      </c>
      <c r="X533" s="77">
        <v>0</v>
      </c>
      <c r="Y533" s="77">
        <v>3</v>
      </c>
      <c r="Z533" s="76">
        <v>7.2857142857142856</v>
      </c>
      <c r="AA533" s="76">
        <v>1.4846149779161806</v>
      </c>
      <c r="AB533" s="77">
        <v>1.1547005383792517</v>
      </c>
      <c r="AC533" s="77">
        <v>4</v>
      </c>
      <c r="AD533" s="76">
        <v>8.1428571428571423</v>
      </c>
      <c r="AE533" s="76">
        <v>0.63887656499993983</v>
      </c>
      <c r="AF533" s="77">
        <v>1.3416407864998747</v>
      </c>
      <c r="AG533" s="77">
        <v>4</v>
      </c>
      <c r="AH533" s="76">
        <v>6.7142857142857144</v>
      </c>
      <c r="AI533" s="76">
        <v>0.88063057185271099</v>
      </c>
      <c r="AJ533" s="77">
        <v>0.32444284226152492</v>
      </c>
      <c r="AK533" s="77">
        <v>3</v>
      </c>
      <c r="AL533" s="76"/>
      <c r="AM533" s="76"/>
      <c r="AN533" s="77"/>
      <c r="AO533" s="77"/>
      <c r="AP533" s="76"/>
      <c r="AQ533" s="76"/>
      <c r="AR533" s="77"/>
      <c r="AS533" s="77"/>
      <c r="AT533" s="78">
        <v>0.625</v>
      </c>
    </row>
    <row r="534" spans="1:46" ht="12.5" x14ac:dyDescent="0.25">
      <c r="A534" s="79">
        <v>44816.413784201388</v>
      </c>
      <c r="B534" s="80" t="s">
        <v>21</v>
      </c>
      <c r="C534" s="80" t="str">
        <f>INDEX(TBL_Name,MATCH(Table2[[#This Row],[Athlete Name]],listNames,0),2)</f>
        <v>Athlete 13</v>
      </c>
      <c r="D534" s="80" t="s">
        <v>130</v>
      </c>
      <c r="E534" s="80">
        <v>8</v>
      </c>
      <c r="F534" s="80">
        <v>10</v>
      </c>
      <c r="G534" s="80">
        <v>10</v>
      </c>
      <c r="H534" s="80" t="s">
        <v>607</v>
      </c>
      <c r="I534" s="80">
        <v>7</v>
      </c>
      <c r="J534" s="80"/>
      <c r="K534" s="80"/>
      <c r="L534" s="80"/>
      <c r="M534" s="1" t="s">
        <v>843</v>
      </c>
      <c r="N534" s="1">
        <v>38</v>
      </c>
      <c r="O534" s="1">
        <v>6</v>
      </c>
      <c r="P534" s="13">
        <v>44816</v>
      </c>
      <c r="Q534" s="1" t="s">
        <v>133</v>
      </c>
      <c r="R534" s="1" t="s">
        <v>64</v>
      </c>
      <c r="S534" s="1">
        <v>1</v>
      </c>
      <c r="T534" s="1"/>
      <c r="U534" s="1" t="s">
        <v>18</v>
      </c>
      <c r="V534" s="76">
        <v>7</v>
      </c>
      <c r="W534" s="76">
        <v>1.1547005383792517</v>
      </c>
      <c r="X534" s="77">
        <v>0.86602540378443849</v>
      </c>
      <c r="Y534" s="77">
        <v>3</v>
      </c>
      <c r="Z534" s="76">
        <v>8.1666666666666661</v>
      </c>
      <c r="AA534" s="76">
        <v>0.89752746785575077</v>
      </c>
      <c r="AB534" s="77">
        <v>2.0426487199475711</v>
      </c>
      <c r="AC534" s="77">
        <v>4</v>
      </c>
      <c r="AD534" s="76">
        <v>8.8333333333333339</v>
      </c>
      <c r="AE534" s="76">
        <v>0.89752746785575099</v>
      </c>
      <c r="AF534" s="77">
        <v>1.2998673672393619</v>
      </c>
      <c r="AG534" s="77">
        <v>4</v>
      </c>
      <c r="AH534" s="76">
        <v>6.333333333333333</v>
      </c>
      <c r="AI534" s="76">
        <v>1.1055415967851332</v>
      </c>
      <c r="AJ534" s="77">
        <v>0.60302268915552759</v>
      </c>
      <c r="AK534" s="77">
        <v>3</v>
      </c>
      <c r="AL534" s="76"/>
      <c r="AM534" s="76"/>
      <c r="AN534" s="77"/>
      <c r="AO534" s="77"/>
      <c r="AP534" s="76"/>
      <c r="AQ534" s="76"/>
      <c r="AR534" s="77"/>
      <c r="AS534" s="77"/>
      <c r="AT534" s="78">
        <v>0.875</v>
      </c>
    </row>
    <row r="535" spans="1:46" ht="12.5" x14ac:dyDescent="0.25">
      <c r="A535" s="79">
        <v>44816.464619120372</v>
      </c>
      <c r="B535" s="80" t="s">
        <v>19</v>
      </c>
      <c r="C535" s="80" t="str">
        <f>INDEX(TBL_Name,MATCH(Table2[[#This Row],[Athlete Name]],listNames,0),2)</f>
        <v>Athlete 11</v>
      </c>
      <c r="D535" s="80" t="s">
        <v>130</v>
      </c>
      <c r="E535" s="80">
        <v>5</v>
      </c>
      <c r="F535" s="80">
        <v>7</v>
      </c>
      <c r="G535" s="80">
        <v>7</v>
      </c>
      <c r="H535" s="80" t="s">
        <v>131</v>
      </c>
      <c r="I535" s="80">
        <v>4</v>
      </c>
      <c r="J535" s="80"/>
      <c r="K535" s="80"/>
      <c r="L535" s="80"/>
      <c r="M535" s="1" t="s">
        <v>844</v>
      </c>
      <c r="N535" s="1">
        <v>38</v>
      </c>
      <c r="O535" s="1">
        <v>6</v>
      </c>
      <c r="P535" s="13">
        <v>44816</v>
      </c>
      <c r="Q535" s="1" t="s">
        <v>133</v>
      </c>
      <c r="R535" s="1" t="s">
        <v>64</v>
      </c>
      <c r="S535" s="1">
        <v>1</v>
      </c>
      <c r="T535" s="1"/>
      <c r="U535" s="1" t="s">
        <v>18</v>
      </c>
      <c r="V535" s="76">
        <v>5</v>
      </c>
      <c r="W535" s="76">
        <v>0</v>
      </c>
      <c r="X535" s="77">
        <v>0</v>
      </c>
      <c r="Y535" s="77">
        <v>3</v>
      </c>
      <c r="Z535" s="76">
        <v>7</v>
      </c>
      <c r="AA535" s="76">
        <v>0</v>
      </c>
      <c r="AB535" s="77">
        <v>0</v>
      </c>
      <c r="AC535" s="77">
        <v>3</v>
      </c>
      <c r="AD535" s="76">
        <v>7</v>
      </c>
      <c r="AE535" s="76">
        <v>0</v>
      </c>
      <c r="AF535" s="77">
        <v>0</v>
      </c>
      <c r="AG535" s="77">
        <v>3</v>
      </c>
      <c r="AH535" s="76">
        <v>4</v>
      </c>
      <c r="AI535" s="76">
        <v>0</v>
      </c>
      <c r="AJ535" s="77">
        <v>0</v>
      </c>
      <c r="AK535" s="77">
        <v>3</v>
      </c>
      <c r="AL535" s="76"/>
      <c r="AM535" s="76"/>
      <c r="AN535" s="77"/>
      <c r="AO535" s="77"/>
      <c r="AP535" s="76"/>
      <c r="AQ535" s="76"/>
      <c r="AR535" s="77"/>
      <c r="AS535" s="77"/>
      <c r="AT535" s="78">
        <v>0.75</v>
      </c>
    </row>
    <row r="536" spans="1:46" ht="12.5" x14ac:dyDescent="0.25">
      <c r="A536" s="79">
        <v>44816.604968206018</v>
      </c>
      <c r="B536" s="80" t="s">
        <v>10</v>
      </c>
      <c r="C536" s="80" t="str">
        <f>INDEX(TBL_Name,MATCH(Table2[[#This Row],[Athlete Name]],listNames,0),2)</f>
        <v>Athlete 5</v>
      </c>
      <c r="D536" s="80" t="s">
        <v>130</v>
      </c>
      <c r="E536" s="80">
        <v>8</v>
      </c>
      <c r="F536" s="80">
        <v>9</v>
      </c>
      <c r="G536" s="80">
        <v>9</v>
      </c>
      <c r="H536" s="80" t="s">
        <v>432</v>
      </c>
      <c r="I536" s="80">
        <v>8</v>
      </c>
      <c r="J536" s="80"/>
      <c r="K536" s="80"/>
      <c r="L536" s="80"/>
      <c r="M536" s="1" t="s">
        <v>845</v>
      </c>
      <c r="N536" s="1">
        <v>38</v>
      </c>
      <c r="O536" s="1">
        <v>6</v>
      </c>
      <c r="P536" s="13">
        <v>44816</v>
      </c>
      <c r="Q536" s="1" t="s">
        <v>133</v>
      </c>
      <c r="R536" s="1" t="s">
        <v>64</v>
      </c>
      <c r="S536" s="1">
        <v>1</v>
      </c>
      <c r="T536" s="1"/>
      <c r="U536" s="1" t="s">
        <v>11</v>
      </c>
      <c r="V536" s="76">
        <v>8</v>
      </c>
      <c r="W536" s="76">
        <v>0.57735026918962573</v>
      </c>
      <c r="X536" s="77">
        <v>0</v>
      </c>
      <c r="Y536" s="77">
        <v>3</v>
      </c>
      <c r="Z536" s="76">
        <v>7.833333333333333</v>
      </c>
      <c r="AA536" s="76">
        <v>0.68718427093627699</v>
      </c>
      <c r="AB536" s="77">
        <v>1.6977493752543307</v>
      </c>
      <c r="AC536" s="77">
        <v>4</v>
      </c>
      <c r="AD536" s="76">
        <v>7.916666666666667</v>
      </c>
      <c r="AE536" s="76">
        <v>0.93169499062491223</v>
      </c>
      <c r="AF536" s="77">
        <v>1.1627553482998905</v>
      </c>
      <c r="AG536" s="77">
        <v>4</v>
      </c>
      <c r="AH536" s="76">
        <v>7.166666666666667</v>
      </c>
      <c r="AI536" s="76">
        <v>0.68718427093627676</v>
      </c>
      <c r="AJ536" s="77">
        <v>1.2126781251816645</v>
      </c>
      <c r="AK536" s="77">
        <v>4</v>
      </c>
      <c r="AL536" s="76"/>
      <c r="AM536" s="76"/>
      <c r="AN536" s="77"/>
      <c r="AO536" s="77"/>
      <c r="AP536" s="76"/>
      <c r="AQ536" s="76"/>
      <c r="AR536" s="77"/>
      <c r="AS536" s="77"/>
      <c r="AT536" s="78">
        <v>0.875</v>
      </c>
    </row>
    <row r="537" spans="1:46" ht="12.5" x14ac:dyDescent="0.25">
      <c r="A537" s="79">
        <v>44816.606326331021</v>
      </c>
      <c r="B537" s="80" t="s">
        <v>180</v>
      </c>
      <c r="C537" s="80" t="str">
        <f>INDEX(TBL_Name,MATCH(Table2[[#This Row],[Athlete Name]],listNames,0),2)</f>
        <v>Athlete 29</v>
      </c>
      <c r="D537" s="80" t="s">
        <v>143</v>
      </c>
      <c r="E537" s="80">
        <v>6</v>
      </c>
      <c r="F537" s="80">
        <v>9</v>
      </c>
      <c r="G537" s="80">
        <v>8</v>
      </c>
      <c r="H537" s="80" t="s">
        <v>846</v>
      </c>
      <c r="I537" s="80">
        <v>4</v>
      </c>
      <c r="J537" s="80"/>
      <c r="K537" s="80"/>
      <c r="L537" s="80"/>
      <c r="M537" s="1" t="s">
        <v>847</v>
      </c>
      <c r="N537" s="1">
        <v>38</v>
      </c>
      <c r="O537" s="1">
        <v>6</v>
      </c>
      <c r="P537" s="13">
        <v>44816</v>
      </c>
      <c r="Q537" s="1" t="s">
        <v>133</v>
      </c>
      <c r="R537" s="1" t="s">
        <v>64</v>
      </c>
      <c r="S537" s="1">
        <v>2</v>
      </c>
      <c r="T537" s="1"/>
      <c r="U537" s="1" t="s">
        <v>5</v>
      </c>
      <c r="V537" s="76">
        <v>4.833333333333333</v>
      </c>
      <c r="W537" s="76">
        <v>1.3437096247164249</v>
      </c>
      <c r="X537" s="77">
        <v>0.86824314212445952</v>
      </c>
      <c r="Y537" s="77">
        <v>3</v>
      </c>
      <c r="Z537" s="76">
        <v>7.333333333333333</v>
      </c>
      <c r="AA537" s="76">
        <v>2.0548046676563256</v>
      </c>
      <c r="AB537" s="77">
        <v>0.81110710565381272</v>
      </c>
      <c r="AC537" s="77">
        <v>3</v>
      </c>
      <c r="AD537" s="76">
        <v>7.55</v>
      </c>
      <c r="AE537" s="76">
        <v>1.4762000767736965</v>
      </c>
      <c r="AF537" s="77">
        <v>0.3048367271349125</v>
      </c>
      <c r="AG537" s="77">
        <v>3</v>
      </c>
      <c r="AH537" s="76">
        <v>4.666666666666667</v>
      </c>
      <c r="AI537" s="76">
        <v>0.7453559924999299</v>
      </c>
      <c r="AJ537" s="77">
        <v>-0.8944271909999163</v>
      </c>
      <c r="AK537" s="77">
        <v>2</v>
      </c>
      <c r="AL537" s="76"/>
      <c r="AM537" s="76"/>
      <c r="AN537" s="77"/>
      <c r="AO537" s="77"/>
      <c r="AP537" s="76"/>
      <c r="AQ537" s="76"/>
      <c r="AR537" s="77"/>
      <c r="AS537" s="77"/>
      <c r="AT537" s="78">
        <v>0.8125</v>
      </c>
    </row>
    <row r="538" spans="1:46" ht="12.5" x14ac:dyDescent="0.25">
      <c r="A538" s="79">
        <v>44816.923035960644</v>
      </c>
      <c r="B538" s="80" t="s">
        <v>15</v>
      </c>
      <c r="C538" s="80" t="str">
        <f>INDEX(TBL_Name,MATCH(Table2[[#This Row],[Athlete Name]],listNames,0),2)</f>
        <v>Athlete 8</v>
      </c>
      <c r="D538" s="80" t="s">
        <v>130</v>
      </c>
      <c r="E538" s="80">
        <v>8</v>
      </c>
      <c r="F538" s="80">
        <v>10</v>
      </c>
      <c r="G538" s="80">
        <v>9</v>
      </c>
      <c r="H538" s="80" t="s">
        <v>287</v>
      </c>
      <c r="I538" s="80">
        <v>8</v>
      </c>
      <c r="J538" s="80"/>
      <c r="K538" s="80"/>
      <c r="L538" s="80"/>
      <c r="M538" s="1" t="s">
        <v>848</v>
      </c>
      <c r="N538" s="1">
        <v>38</v>
      </c>
      <c r="O538" s="1">
        <v>6</v>
      </c>
      <c r="P538" s="13">
        <v>44816</v>
      </c>
      <c r="Q538" s="1" t="s">
        <v>133</v>
      </c>
      <c r="R538" s="1" t="s">
        <v>64</v>
      </c>
      <c r="S538" s="1">
        <v>1</v>
      </c>
      <c r="T538" s="1"/>
      <c r="U538" s="1" t="s">
        <v>14</v>
      </c>
      <c r="V538" s="76">
        <v>9</v>
      </c>
      <c r="W538" s="76">
        <v>1.2649110640673518</v>
      </c>
      <c r="X538" s="77">
        <v>-0.79056941504209477</v>
      </c>
      <c r="Y538" s="77">
        <v>2</v>
      </c>
      <c r="Z538" s="76">
        <v>7.6</v>
      </c>
      <c r="AA538" s="76">
        <v>2.2449944320643649</v>
      </c>
      <c r="AB538" s="77">
        <v>1.0690449676496976</v>
      </c>
      <c r="AC538" s="77">
        <v>4</v>
      </c>
      <c r="AD538" s="76">
        <v>7</v>
      </c>
      <c r="AE538" s="76">
        <v>1.6733200530681511</v>
      </c>
      <c r="AF538" s="77">
        <v>1.1952286093343936</v>
      </c>
      <c r="AG538" s="77">
        <v>4</v>
      </c>
      <c r="AH538" s="76">
        <v>8.1999999999999993</v>
      </c>
      <c r="AI538" s="76">
        <v>1.16619037896906</v>
      </c>
      <c r="AJ538" s="77">
        <v>-0.17149858514250824</v>
      </c>
      <c r="AK538" s="77">
        <v>2</v>
      </c>
      <c r="AL538" s="76"/>
      <c r="AM538" s="76"/>
      <c r="AN538" s="77"/>
      <c r="AO538" s="77"/>
      <c r="AP538" s="76"/>
      <c r="AQ538" s="76"/>
      <c r="AR538" s="77"/>
      <c r="AS538" s="77"/>
      <c r="AT538" s="78">
        <v>0.625</v>
      </c>
    </row>
    <row r="539" spans="1:46" ht="12.5" x14ac:dyDescent="0.25">
      <c r="A539" s="79">
        <v>44817.302262430559</v>
      </c>
      <c r="B539" s="80" t="s">
        <v>21</v>
      </c>
      <c r="C539" s="80" t="str">
        <f>INDEX(TBL_Name,MATCH(Table2[[#This Row],[Athlete Name]],listNames,0),2)</f>
        <v>Athlete 13</v>
      </c>
      <c r="D539" s="80" t="s">
        <v>130</v>
      </c>
      <c r="E539" s="80">
        <v>8</v>
      </c>
      <c r="F539" s="80">
        <v>9</v>
      </c>
      <c r="G539" s="80">
        <v>9</v>
      </c>
      <c r="H539" s="80" t="s">
        <v>849</v>
      </c>
      <c r="I539" s="80">
        <v>6</v>
      </c>
      <c r="J539" s="80"/>
      <c r="K539" s="80"/>
      <c r="L539" s="80"/>
      <c r="M539" s="1" t="s">
        <v>850</v>
      </c>
      <c r="N539" s="1">
        <v>38</v>
      </c>
      <c r="O539" s="1">
        <v>6</v>
      </c>
      <c r="P539" s="13">
        <v>44817</v>
      </c>
      <c r="Q539" s="1" t="s">
        <v>133</v>
      </c>
      <c r="R539" s="1" t="s">
        <v>64</v>
      </c>
      <c r="S539" s="1">
        <v>1</v>
      </c>
      <c r="T539" s="1"/>
      <c r="U539" s="1" t="s">
        <v>18</v>
      </c>
      <c r="V539" s="76">
        <v>7.5</v>
      </c>
      <c r="W539" s="76">
        <v>0.76376261582597327</v>
      </c>
      <c r="X539" s="77">
        <v>0.6546536707079772</v>
      </c>
      <c r="Y539" s="77">
        <v>3</v>
      </c>
      <c r="Z539" s="76">
        <v>8.3333333333333339</v>
      </c>
      <c r="AA539" s="76">
        <v>0.94280904158206369</v>
      </c>
      <c r="AB539" s="77">
        <v>0.70710678118654668</v>
      </c>
      <c r="AC539" s="77">
        <v>3</v>
      </c>
      <c r="AD539" s="76">
        <v>8.8333333333333339</v>
      </c>
      <c r="AE539" s="76">
        <v>0.89752746785575055</v>
      </c>
      <c r="AF539" s="77">
        <v>0.18569533817705122</v>
      </c>
      <c r="AG539" s="77">
        <v>3</v>
      </c>
      <c r="AH539" s="76">
        <v>6.166666666666667</v>
      </c>
      <c r="AI539" s="76">
        <v>1.0671873729054748</v>
      </c>
      <c r="AJ539" s="77">
        <v>-0.15617376188860635</v>
      </c>
      <c r="AK539" s="77">
        <v>2</v>
      </c>
      <c r="AL539" s="76"/>
      <c r="AM539" s="76"/>
      <c r="AN539" s="77"/>
      <c r="AO539" s="77"/>
      <c r="AP539" s="76"/>
      <c r="AQ539" s="76"/>
      <c r="AR539" s="77"/>
      <c r="AS539" s="77"/>
      <c r="AT539" s="78">
        <v>0.75</v>
      </c>
    </row>
    <row r="540" spans="1:46" ht="12.5" x14ac:dyDescent="0.25">
      <c r="A540" s="79">
        <v>44817.335348136578</v>
      </c>
      <c r="B540" s="80" t="s">
        <v>168</v>
      </c>
      <c r="C540" s="80" t="str">
        <f>INDEX(TBL_Name,MATCH(Table2[[#This Row],[Athlete Name]],listNames,0),2)</f>
        <v>Athlete 26</v>
      </c>
      <c r="D540" s="80" t="s">
        <v>130</v>
      </c>
      <c r="E540" s="80">
        <v>4</v>
      </c>
      <c r="F540" s="80">
        <v>9</v>
      </c>
      <c r="G540" s="80">
        <v>9</v>
      </c>
      <c r="H540" s="80" t="s">
        <v>362</v>
      </c>
      <c r="I540" s="80">
        <v>7</v>
      </c>
      <c r="J540" s="80"/>
      <c r="K540" s="80"/>
      <c r="L540" s="80"/>
      <c r="M540" s="1" t="s">
        <v>851</v>
      </c>
      <c r="N540" s="1">
        <v>38</v>
      </c>
      <c r="O540" s="1">
        <v>6</v>
      </c>
      <c r="P540" s="13">
        <v>44817</v>
      </c>
      <c r="Q540" s="1" t="s">
        <v>133</v>
      </c>
      <c r="R540" s="1" t="s">
        <v>64</v>
      </c>
      <c r="S540" s="1">
        <v>1</v>
      </c>
      <c r="T540" s="1"/>
      <c r="U540" s="1" t="s">
        <v>5</v>
      </c>
      <c r="V540" s="76">
        <v>6</v>
      </c>
      <c r="W540" s="76">
        <v>1.4142135623730951</v>
      </c>
      <c r="X540" s="77">
        <v>-1.4142135623730949</v>
      </c>
      <c r="Y540" s="77">
        <v>1</v>
      </c>
      <c r="Z540" s="76">
        <v>6.6</v>
      </c>
      <c r="AA540" s="76">
        <v>1.6248076809271921</v>
      </c>
      <c r="AB540" s="77">
        <v>1.477097891751993</v>
      </c>
      <c r="AC540" s="77">
        <v>4</v>
      </c>
      <c r="AD540" s="76">
        <v>7.4</v>
      </c>
      <c r="AE540" s="76">
        <v>1.0198039027185568</v>
      </c>
      <c r="AF540" s="77">
        <v>1.5689290811054721</v>
      </c>
      <c r="AG540" s="77">
        <v>4</v>
      </c>
      <c r="AH540" s="76">
        <v>6</v>
      </c>
      <c r="AI540" s="76">
        <v>0.89442719099991586</v>
      </c>
      <c r="AJ540" s="77">
        <v>1.1180339887498949</v>
      </c>
      <c r="AK540" s="77">
        <v>4</v>
      </c>
      <c r="AL540" s="76"/>
      <c r="AM540" s="76"/>
      <c r="AN540" s="77"/>
      <c r="AO540" s="77"/>
      <c r="AP540" s="76"/>
      <c r="AQ540" s="76"/>
      <c r="AR540" s="77"/>
      <c r="AS540" s="77"/>
      <c r="AT540" s="78">
        <v>0.75</v>
      </c>
    </row>
    <row r="541" spans="1:46" ht="12.5" x14ac:dyDescent="0.25">
      <c r="A541" s="79">
        <v>44817.342559097218</v>
      </c>
      <c r="B541" s="80" t="s">
        <v>196</v>
      </c>
      <c r="C541" s="80" t="str">
        <f>INDEX(TBL_Name,MATCH(Table2[[#This Row],[Athlete Name]],listNames,0),2)</f>
        <v>Athlete 31</v>
      </c>
      <c r="D541" s="80" t="s">
        <v>143</v>
      </c>
      <c r="E541" s="80">
        <v>6</v>
      </c>
      <c r="F541" s="80">
        <v>8</v>
      </c>
      <c r="G541" s="80">
        <v>9</v>
      </c>
      <c r="H541" s="80" t="s">
        <v>598</v>
      </c>
      <c r="I541" s="80">
        <v>9</v>
      </c>
      <c r="J541" s="80"/>
      <c r="K541" s="80"/>
      <c r="L541" s="80"/>
      <c r="M541" s="1" t="s">
        <v>852</v>
      </c>
      <c r="N541" s="1">
        <v>38</v>
      </c>
      <c r="O541" s="1">
        <v>6</v>
      </c>
      <c r="P541" s="13">
        <v>44817</v>
      </c>
      <c r="Q541" s="1" t="s">
        <v>133</v>
      </c>
      <c r="R541" s="1" t="s">
        <v>64</v>
      </c>
      <c r="S541" s="1">
        <v>2</v>
      </c>
      <c r="T541" s="1"/>
      <c r="U541" s="1" t="s">
        <v>28</v>
      </c>
      <c r="V541" s="76">
        <v>6</v>
      </c>
      <c r="W541" s="76">
        <v>0</v>
      </c>
      <c r="X541" s="77">
        <v>0</v>
      </c>
      <c r="Y541" s="77">
        <v>3</v>
      </c>
      <c r="Z541" s="76">
        <v>8.4</v>
      </c>
      <c r="AA541" s="76">
        <v>0.8</v>
      </c>
      <c r="AB541" s="77">
        <v>-0.50000000000000044</v>
      </c>
      <c r="AC541" s="77">
        <v>2</v>
      </c>
      <c r="AD541" s="76">
        <v>8.1999999999999993</v>
      </c>
      <c r="AE541" s="76">
        <v>0.74833147735478833</v>
      </c>
      <c r="AF541" s="77">
        <v>1.0690449676496985</v>
      </c>
      <c r="AG541" s="77">
        <v>4</v>
      </c>
      <c r="AH541" s="76">
        <v>9</v>
      </c>
      <c r="AI541" s="76">
        <v>0</v>
      </c>
      <c r="AJ541" s="77">
        <v>0</v>
      </c>
      <c r="AK541" s="77">
        <v>3</v>
      </c>
      <c r="AL541" s="76"/>
      <c r="AM541" s="76"/>
      <c r="AN541" s="77"/>
      <c r="AO541" s="77"/>
      <c r="AP541" s="76"/>
      <c r="AQ541" s="76"/>
      <c r="AR541" s="77"/>
      <c r="AS541" s="77"/>
      <c r="AT541" s="78">
        <v>0.75</v>
      </c>
    </row>
    <row r="542" spans="1:46" ht="12.5" x14ac:dyDescent="0.25">
      <c r="A542" s="79">
        <v>44817.343668807865</v>
      </c>
      <c r="B542" s="80" t="s">
        <v>17</v>
      </c>
      <c r="C542" s="80" t="str">
        <f>INDEX(TBL_Name,MATCH(Table2[[#This Row],[Athlete Name]],listNames,0),2)</f>
        <v>Athlete 10</v>
      </c>
      <c r="D542" s="80" t="s">
        <v>130</v>
      </c>
      <c r="E542" s="80">
        <v>7</v>
      </c>
      <c r="F542" s="80">
        <v>8</v>
      </c>
      <c r="G542" s="80">
        <v>9</v>
      </c>
      <c r="H542" s="80" t="s">
        <v>71</v>
      </c>
      <c r="I542" s="80">
        <v>7</v>
      </c>
      <c r="J542" s="80"/>
      <c r="K542" s="80"/>
      <c r="L542" s="80"/>
      <c r="M542" s="1" t="s">
        <v>853</v>
      </c>
      <c r="N542" s="1">
        <v>38</v>
      </c>
      <c r="O542" s="1">
        <v>6</v>
      </c>
      <c r="P542" s="13">
        <v>44817</v>
      </c>
      <c r="Q542" s="1" t="s">
        <v>133</v>
      </c>
      <c r="R542" s="1" t="s">
        <v>64</v>
      </c>
      <c r="S542" s="1">
        <v>1</v>
      </c>
      <c r="T542" s="1"/>
      <c r="U542" s="1" t="s">
        <v>18</v>
      </c>
      <c r="V542" s="76">
        <v>7.833333333333333</v>
      </c>
      <c r="W542" s="76">
        <v>0.89752746785575066</v>
      </c>
      <c r="X542" s="77">
        <v>-0.92847669088525897</v>
      </c>
      <c r="Y542" s="77">
        <v>2</v>
      </c>
      <c r="Z542" s="76">
        <v>6.5</v>
      </c>
      <c r="AA542" s="76">
        <v>1.3844373104863457</v>
      </c>
      <c r="AB542" s="77">
        <v>1.083472677771923</v>
      </c>
      <c r="AC542" s="77">
        <v>4</v>
      </c>
      <c r="AD542" s="76">
        <v>7</v>
      </c>
      <c r="AE542" s="76">
        <v>1.8257418583505538</v>
      </c>
      <c r="AF542" s="77">
        <v>1.0954451150103321</v>
      </c>
      <c r="AG542" s="77">
        <v>4</v>
      </c>
      <c r="AH542" s="76">
        <v>7.166666666666667</v>
      </c>
      <c r="AI542" s="76">
        <v>0.68718427093627676</v>
      </c>
      <c r="AJ542" s="77">
        <v>-0.24253562503633341</v>
      </c>
      <c r="AK542" s="77">
        <v>2</v>
      </c>
      <c r="AL542" s="76"/>
      <c r="AM542" s="76"/>
      <c r="AN542" s="77"/>
      <c r="AO542" s="77"/>
      <c r="AP542" s="76"/>
      <c r="AQ542" s="76"/>
      <c r="AR542" s="77"/>
      <c r="AS542" s="77"/>
      <c r="AT542" s="78">
        <v>0.6875</v>
      </c>
    </row>
    <row r="543" spans="1:46" ht="12.5" x14ac:dyDescent="0.25">
      <c r="A543" s="79">
        <v>44817.370472210649</v>
      </c>
      <c r="B543" s="80" t="s">
        <v>6</v>
      </c>
      <c r="C543" s="80" t="str">
        <f>INDEX(TBL_Name,MATCH(Table2[[#This Row],[Athlete Name]],listNames,0),2)</f>
        <v>Athlete 2</v>
      </c>
      <c r="D543" s="80" t="s">
        <v>130</v>
      </c>
      <c r="E543" s="80">
        <v>9</v>
      </c>
      <c r="F543" s="80">
        <v>9</v>
      </c>
      <c r="G543" s="80">
        <v>8</v>
      </c>
      <c r="H543" s="80" t="s">
        <v>231</v>
      </c>
      <c r="I543" s="80">
        <v>5</v>
      </c>
      <c r="J543" s="80"/>
      <c r="K543" s="80"/>
      <c r="L543" s="80"/>
      <c r="M543" s="1" t="s">
        <v>854</v>
      </c>
      <c r="N543" s="1">
        <v>38</v>
      </c>
      <c r="O543" s="1">
        <v>6</v>
      </c>
      <c r="P543" s="13">
        <v>44817</v>
      </c>
      <c r="Q543" s="1" t="s">
        <v>133</v>
      </c>
      <c r="R543" s="1" t="s">
        <v>64</v>
      </c>
      <c r="S543" s="1">
        <v>1</v>
      </c>
      <c r="T543" s="1"/>
      <c r="U543" s="1" t="s">
        <v>5</v>
      </c>
      <c r="V543" s="76">
        <v>9</v>
      </c>
      <c r="W543" s="76">
        <v>0.7559289460184544</v>
      </c>
      <c r="X543" s="77">
        <v>0</v>
      </c>
      <c r="Y543" s="77">
        <v>3</v>
      </c>
      <c r="Z543" s="76">
        <v>7.8571428571428568</v>
      </c>
      <c r="AA543" s="76">
        <v>1.2453996981544782</v>
      </c>
      <c r="AB543" s="77">
        <v>0.91766293548224742</v>
      </c>
      <c r="AC543" s="77">
        <v>3</v>
      </c>
      <c r="AD543" s="76">
        <v>8.1428571428571423</v>
      </c>
      <c r="AE543" s="76">
        <v>0.63887656499993994</v>
      </c>
      <c r="AF543" s="77">
        <v>-0.22360679774997816</v>
      </c>
      <c r="AG543" s="77">
        <v>2</v>
      </c>
      <c r="AH543" s="76">
        <v>6.2857142857142856</v>
      </c>
      <c r="AI543" s="76">
        <v>0.88063057185271088</v>
      </c>
      <c r="AJ543" s="77">
        <v>-1.4599927901768628</v>
      </c>
      <c r="AK543" s="77">
        <v>1</v>
      </c>
      <c r="AL543" s="76"/>
      <c r="AM543" s="76"/>
      <c r="AN543" s="77"/>
      <c r="AO543" s="77"/>
      <c r="AP543" s="76"/>
      <c r="AQ543" s="76"/>
      <c r="AR543" s="77"/>
      <c r="AS543" s="77"/>
      <c r="AT543" s="78">
        <v>0.5</v>
      </c>
    </row>
    <row r="544" spans="1:46" ht="12.5" x14ac:dyDescent="0.25">
      <c r="A544" s="79">
        <v>44817.375649421301</v>
      </c>
      <c r="B544" s="80" t="s">
        <v>136</v>
      </c>
      <c r="C544" s="80" t="str">
        <f>INDEX(TBL_Name,MATCH(Table2[[#This Row],[Athlete Name]],listNames,0),2)</f>
        <v>Athlete 20</v>
      </c>
      <c r="D544" s="80" t="s">
        <v>130</v>
      </c>
      <c r="E544" s="80">
        <v>9</v>
      </c>
      <c r="F544" s="80">
        <v>9</v>
      </c>
      <c r="G544" s="80">
        <v>8</v>
      </c>
      <c r="H544" s="80"/>
      <c r="I544" s="80">
        <v>10</v>
      </c>
      <c r="J544" s="80"/>
      <c r="K544" s="80"/>
      <c r="L544" s="80"/>
      <c r="M544" s="1" t="s">
        <v>855</v>
      </c>
      <c r="N544" s="1">
        <v>38</v>
      </c>
      <c r="O544" s="1">
        <v>6</v>
      </c>
      <c r="P544" s="13">
        <v>44817</v>
      </c>
      <c r="Q544" s="1" t="s">
        <v>133</v>
      </c>
      <c r="R544" s="1" t="s">
        <v>64</v>
      </c>
      <c r="S544" s="1">
        <v>1</v>
      </c>
      <c r="T544" s="1"/>
      <c r="U544" s="1" t="s">
        <v>18</v>
      </c>
      <c r="V544" s="76">
        <v>7.75</v>
      </c>
      <c r="W544" s="76">
        <v>0.82915619758885006</v>
      </c>
      <c r="X544" s="77">
        <v>1.507556722888818</v>
      </c>
      <c r="Y544" s="77">
        <v>4</v>
      </c>
      <c r="Z544" s="76">
        <v>7.5</v>
      </c>
      <c r="AA544" s="76">
        <v>1.5</v>
      </c>
      <c r="AB544" s="77">
        <v>1</v>
      </c>
      <c r="AC544" s="77">
        <v>4</v>
      </c>
      <c r="AD544" s="76">
        <v>7.25</v>
      </c>
      <c r="AE544" s="76">
        <v>0.82915619758884995</v>
      </c>
      <c r="AF544" s="77">
        <v>0.90453403373329089</v>
      </c>
      <c r="AG544" s="77">
        <v>3</v>
      </c>
      <c r="AH544" s="76">
        <v>8.5</v>
      </c>
      <c r="AI544" s="76">
        <v>1.5</v>
      </c>
      <c r="AJ544" s="77">
        <v>1</v>
      </c>
      <c r="AK544" s="77">
        <v>4</v>
      </c>
      <c r="AL544" s="76"/>
      <c r="AM544" s="76"/>
      <c r="AN544" s="77"/>
      <c r="AO544" s="77"/>
      <c r="AP544" s="76"/>
      <c r="AQ544" s="76"/>
      <c r="AR544" s="77"/>
      <c r="AS544" s="77"/>
      <c r="AT544" s="78">
        <v>0.9375</v>
      </c>
    </row>
    <row r="545" spans="1:46" ht="12.5" x14ac:dyDescent="0.25">
      <c r="A545" s="79">
        <v>44817.407225555551</v>
      </c>
      <c r="B545" s="80" t="s">
        <v>10</v>
      </c>
      <c r="C545" s="80" t="str">
        <f>INDEX(TBL_Name,MATCH(Table2[[#This Row],[Athlete Name]],listNames,0),2)</f>
        <v>Athlete 5</v>
      </c>
      <c r="D545" s="80" t="s">
        <v>130</v>
      </c>
      <c r="E545" s="80">
        <v>7</v>
      </c>
      <c r="F545" s="80">
        <v>8</v>
      </c>
      <c r="G545" s="80">
        <v>8</v>
      </c>
      <c r="H545" s="80" t="s">
        <v>432</v>
      </c>
      <c r="I545" s="80">
        <v>7</v>
      </c>
      <c r="J545" s="80"/>
      <c r="K545" s="80"/>
      <c r="L545" s="80"/>
      <c r="M545" s="1" t="s">
        <v>856</v>
      </c>
      <c r="N545" s="1">
        <v>38</v>
      </c>
      <c r="O545" s="1">
        <v>6</v>
      </c>
      <c r="P545" s="13">
        <v>44817</v>
      </c>
      <c r="Q545" s="1" t="s">
        <v>133</v>
      </c>
      <c r="R545" s="1" t="s">
        <v>64</v>
      </c>
      <c r="S545" s="1">
        <v>1</v>
      </c>
      <c r="T545" s="1"/>
      <c r="U545" s="1" t="s">
        <v>11</v>
      </c>
      <c r="V545" s="76">
        <v>7.833333333333333</v>
      </c>
      <c r="W545" s="76">
        <v>0.68718427093627676</v>
      </c>
      <c r="X545" s="77">
        <v>-1.2126781251816645</v>
      </c>
      <c r="Y545" s="77">
        <v>1</v>
      </c>
      <c r="Z545" s="76">
        <v>7.833333333333333</v>
      </c>
      <c r="AA545" s="76">
        <v>0.68718427093627676</v>
      </c>
      <c r="AB545" s="77">
        <v>0.24253562503633341</v>
      </c>
      <c r="AC545" s="77">
        <v>3</v>
      </c>
      <c r="AD545" s="76">
        <v>7.916666666666667</v>
      </c>
      <c r="AE545" s="76">
        <v>0.93169499062491223</v>
      </c>
      <c r="AF545" s="77">
        <v>8.9442719099991283E-2</v>
      </c>
      <c r="AG545" s="77">
        <v>3</v>
      </c>
      <c r="AH545" s="76">
        <v>7.166666666666667</v>
      </c>
      <c r="AI545" s="76">
        <v>0.68718427093627665</v>
      </c>
      <c r="AJ545" s="77">
        <v>-0.24253562503633344</v>
      </c>
      <c r="AK545" s="77">
        <v>2</v>
      </c>
      <c r="AL545" s="76"/>
      <c r="AM545" s="76"/>
      <c r="AN545" s="77"/>
      <c r="AO545" s="77"/>
      <c r="AP545" s="76"/>
      <c r="AQ545" s="76"/>
      <c r="AR545" s="77"/>
      <c r="AS545" s="77"/>
      <c r="AT545" s="78">
        <v>0.5</v>
      </c>
    </row>
    <row r="546" spans="1:46" ht="12.5" x14ac:dyDescent="0.25">
      <c r="A546" s="79">
        <v>44817.441570219904</v>
      </c>
      <c r="B546" s="80" t="s">
        <v>171</v>
      </c>
      <c r="C546" s="80" t="str">
        <f>INDEX(TBL_Name,MATCH(Table2[[#This Row],[Athlete Name]],listNames,0),2)</f>
        <v>Athlete 27</v>
      </c>
      <c r="D546" s="80" t="s">
        <v>130</v>
      </c>
      <c r="E546" s="80">
        <v>10</v>
      </c>
      <c r="F546" s="80">
        <v>10</v>
      </c>
      <c r="G546" s="80">
        <v>9</v>
      </c>
      <c r="H546" s="80"/>
      <c r="I546" s="80">
        <v>10</v>
      </c>
      <c r="J546" s="80"/>
      <c r="K546" s="80"/>
      <c r="L546" s="80"/>
      <c r="M546" s="1" t="s">
        <v>857</v>
      </c>
      <c r="N546" s="1">
        <v>38</v>
      </c>
      <c r="O546" s="1">
        <v>6</v>
      </c>
      <c r="P546" s="13">
        <v>44817</v>
      </c>
      <c r="Q546" s="1" t="s">
        <v>133</v>
      </c>
      <c r="R546" s="1" t="s">
        <v>64</v>
      </c>
      <c r="S546" s="1">
        <v>1</v>
      </c>
      <c r="T546" s="1"/>
      <c r="U546" s="1" t="s">
        <v>8</v>
      </c>
      <c r="V546" s="76">
        <v>10</v>
      </c>
      <c r="W546" s="76">
        <v>0</v>
      </c>
      <c r="X546" s="77">
        <v>0</v>
      </c>
      <c r="Y546" s="77">
        <v>3</v>
      </c>
      <c r="Z546" s="76">
        <v>7.666666666666667</v>
      </c>
      <c r="AA546" s="76">
        <v>1.699673171197595</v>
      </c>
      <c r="AB546" s="77">
        <v>1.372812945967288</v>
      </c>
      <c r="AC546" s="77">
        <v>4</v>
      </c>
      <c r="AD546" s="76">
        <v>7.333333333333333</v>
      </c>
      <c r="AE546" s="76">
        <v>1.2472191289246473</v>
      </c>
      <c r="AF546" s="77">
        <v>1.3363062095621221</v>
      </c>
      <c r="AG546" s="77">
        <v>4</v>
      </c>
      <c r="AH546" s="76">
        <v>7</v>
      </c>
      <c r="AI546" s="76">
        <v>2.4494897427831779</v>
      </c>
      <c r="AJ546" s="77">
        <v>1.2247448713915892</v>
      </c>
      <c r="AK546" s="77">
        <v>4</v>
      </c>
      <c r="AL546" s="76"/>
      <c r="AM546" s="76"/>
      <c r="AN546" s="77"/>
      <c r="AO546" s="77"/>
      <c r="AP546" s="76"/>
      <c r="AQ546" s="76"/>
      <c r="AR546" s="77"/>
      <c r="AS546" s="77"/>
      <c r="AT546" s="78">
        <v>0.75</v>
      </c>
    </row>
    <row r="547" spans="1:46" ht="12.5" x14ac:dyDescent="0.25">
      <c r="A547" s="79">
        <v>44818.309506666672</v>
      </c>
      <c r="B547" s="80" t="s">
        <v>17</v>
      </c>
      <c r="C547" s="80" t="str">
        <f>INDEX(TBL_Name,MATCH(Table2[[#This Row],[Athlete Name]],listNames,0),2)</f>
        <v>Athlete 10</v>
      </c>
      <c r="D547" s="80" t="s">
        <v>130</v>
      </c>
      <c r="E547" s="80">
        <v>7</v>
      </c>
      <c r="F547" s="80">
        <v>7</v>
      </c>
      <c r="G547" s="80">
        <v>7</v>
      </c>
      <c r="H547" s="80" t="s">
        <v>71</v>
      </c>
      <c r="I547" s="80">
        <v>8</v>
      </c>
      <c r="J547" s="80"/>
      <c r="K547" s="80"/>
      <c r="L547" s="80"/>
      <c r="M547" s="1" t="s">
        <v>858</v>
      </c>
      <c r="N547" s="1">
        <v>38</v>
      </c>
      <c r="O547" s="1">
        <v>6</v>
      </c>
      <c r="P547" s="13">
        <v>44818</v>
      </c>
      <c r="Q547" s="1" t="s">
        <v>133</v>
      </c>
      <c r="R547" s="1" t="s">
        <v>64</v>
      </c>
      <c r="S547" s="1">
        <v>1</v>
      </c>
      <c r="T547" s="1"/>
      <c r="U547" s="1" t="s">
        <v>18</v>
      </c>
      <c r="V547" s="76">
        <v>7.666666666666667</v>
      </c>
      <c r="W547" s="76">
        <v>0.94280904158206325</v>
      </c>
      <c r="X547" s="77">
        <v>-0.70710678118654791</v>
      </c>
      <c r="Y547" s="77">
        <v>2</v>
      </c>
      <c r="Z547" s="76">
        <v>6.5</v>
      </c>
      <c r="AA547" s="76">
        <v>1.3844373104863459</v>
      </c>
      <c r="AB547" s="77">
        <v>0.36115755925730758</v>
      </c>
      <c r="AC547" s="77">
        <v>3</v>
      </c>
      <c r="AD547" s="76">
        <v>6.833333333333333</v>
      </c>
      <c r="AE547" s="76">
        <v>1.7716909687891083</v>
      </c>
      <c r="AF547" s="77">
        <v>9.4072086838359895E-2</v>
      </c>
      <c r="AG547" s="77">
        <v>3</v>
      </c>
      <c r="AH547" s="76">
        <v>7.166666666666667</v>
      </c>
      <c r="AI547" s="76">
        <v>0.68718427093627665</v>
      </c>
      <c r="AJ547" s="77">
        <v>1.2126781251816645</v>
      </c>
      <c r="AK547" s="77">
        <v>4</v>
      </c>
      <c r="AL547" s="76"/>
      <c r="AM547" s="76"/>
      <c r="AN547" s="77"/>
      <c r="AO547" s="77"/>
      <c r="AP547" s="76"/>
      <c r="AQ547" s="76"/>
      <c r="AR547" s="77"/>
      <c r="AS547" s="77"/>
      <c r="AT547" s="78">
        <v>0.5625</v>
      </c>
    </row>
    <row r="548" spans="1:46" ht="12.5" x14ac:dyDescent="0.25">
      <c r="A548" s="79">
        <v>44818.331972361106</v>
      </c>
      <c r="B548" s="80" t="s">
        <v>136</v>
      </c>
      <c r="C548" s="80" t="str">
        <f>INDEX(TBL_Name,MATCH(Table2[[#This Row],[Athlete Name]],listNames,0),2)</f>
        <v>Athlete 20</v>
      </c>
      <c r="D548" s="80" t="s">
        <v>130</v>
      </c>
      <c r="E548" s="80">
        <v>7</v>
      </c>
      <c r="F548" s="80">
        <v>9</v>
      </c>
      <c r="G548" s="80">
        <v>8</v>
      </c>
      <c r="H548" s="80" t="s">
        <v>280</v>
      </c>
      <c r="I548" s="80">
        <v>7</v>
      </c>
      <c r="J548" s="80"/>
      <c r="K548" s="80"/>
      <c r="L548" s="80"/>
      <c r="M548" s="1" t="s">
        <v>859</v>
      </c>
      <c r="N548" s="1">
        <v>38</v>
      </c>
      <c r="O548" s="1">
        <v>6</v>
      </c>
      <c r="P548" s="13">
        <v>44818</v>
      </c>
      <c r="Q548" s="1" t="s">
        <v>133</v>
      </c>
      <c r="R548" s="1" t="s">
        <v>64</v>
      </c>
      <c r="S548" s="1">
        <v>1</v>
      </c>
      <c r="T548" s="1"/>
      <c r="U548" s="1" t="s">
        <v>18</v>
      </c>
      <c r="V548" s="76">
        <v>7.6</v>
      </c>
      <c r="W548" s="76">
        <v>0.8</v>
      </c>
      <c r="X548" s="77">
        <v>-0.74999999999999956</v>
      </c>
      <c r="Y548" s="77">
        <v>2</v>
      </c>
      <c r="Z548" s="76">
        <v>7.8</v>
      </c>
      <c r="AA548" s="76">
        <v>1.4696938456699069</v>
      </c>
      <c r="AB548" s="77">
        <v>0.81649658092772615</v>
      </c>
      <c r="AC548" s="77">
        <v>3</v>
      </c>
      <c r="AD548" s="76">
        <v>7.4</v>
      </c>
      <c r="AE548" s="76">
        <v>0.79999999999999993</v>
      </c>
      <c r="AF548" s="77">
        <v>0.74999999999999967</v>
      </c>
      <c r="AG548" s="77">
        <v>3</v>
      </c>
      <c r="AH548" s="76">
        <v>8.1999999999999993</v>
      </c>
      <c r="AI548" s="76">
        <v>1.4696938456699067</v>
      </c>
      <c r="AJ548" s="77">
        <v>-0.8164965809277257</v>
      </c>
      <c r="AK548" s="77">
        <v>2</v>
      </c>
      <c r="AL548" s="76"/>
      <c r="AM548" s="76"/>
      <c r="AN548" s="77"/>
      <c r="AO548" s="77"/>
      <c r="AP548" s="76"/>
      <c r="AQ548" s="76"/>
      <c r="AR548" s="77"/>
      <c r="AS548" s="77"/>
      <c r="AT548" s="78">
        <v>0.6875</v>
      </c>
    </row>
    <row r="549" spans="1:46" ht="12.5" x14ac:dyDescent="0.25">
      <c r="A549" s="79">
        <v>44818.345730937501</v>
      </c>
      <c r="B549" s="80" t="s">
        <v>6</v>
      </c>
      <c r="C549" s="80" t="str">
        <f>INDEX(TBL_Name,MATCH(Table2[[#This Row],[Athlete Name]],listNames,0),2)</f>
        <v>Athlete 2</v>
      </c>
      <c r="D549" s="80" t="s">
        <v>143</v>
      </c>
      <c r="E549" s="80">
        <v>8</v>
      </c>
      <c r="F549" s="80">
        <v>7</v>
      </c>
      <c r="G549" s="80">
        <v>8</v>
      </c>
      <c r="H549" s="80" t="s">
        <v>231</v>
      </c>
      <c r="I549" s="80">
        <v>7</v>
      </c>
      <c r="J549" s="80"/>
      <c r="K549" s="80"/>
      <c r="L549" s="80"/>
      <c r="M549" s="1" t="s">
        <v>860</v>
      </c>
      <c r="N549" s="1">
        <v>38</v>
      </c>
      <c r="O549" s="1">
        <v>6</v>
      </c>
      <c r="P549" s="13">
        <v>44818</v>
      </c>
      <c r="Q549" s="1" t="s">
        <v>133</v>
      </c>
      <c r="R549" s="1" t="s">
        <v>64</v>
      </c>
      <c r="S549" s="1">
        <v>2</v>
      </c>
      <c r="T549" s="1"/>
      <c r="U549" s="1" t="s">
        <v>5</v>
      </c>
      <c r="V549" s="76">
        <v>8.8571428571428577</v>
      </c>
      <c r="W549" s="76">
        <v>0.83299312783504298</v>
      </c>
      <c r="X549" s="77">
        <v>-1.0289915108550536</v>
      </c>
      <c r="Y549" s="77">
        <v>1</v>
      </c>
      <c r="Z549" s="76">
        <v>7.7142857142857144</v>
      </c>
      <c r="AA549" s="76">
        <v>1.2777531299998799</v>
      </c>
      <c r="AB549" s="77">
        <v>-0.55901699437494745</v>
      </c>
      <c r="AC549" s="77">
        <v>2</v>
      </c>
      <c r="AD549" s="76">
        <v>8.1428571428571423</v>
      </c>
      <c r="AE549" s="76">
        <v>0.63887656499994006</v>
      </c>
      <c r="AF549" s="77">
        <v>-0.22360679774997813</v>
      </c>
      <c r="AG549" s="77">
        <v>2</v>
      </c>
      <c r="AH549" s="76">
        <v>6.5714285714285712</v>
      </c>
      <c r="AI549" s="76">
        <v>0.72843135908468348</v>
      </c>
      <c r="AJ549" s="77">
        <v>0.58834840541455247</v>
      </c>
      <c r="AK549" s="77">
        <v>3</v>
      </c>
      <c r="AL549" s="76"/>
      <c r="AM549" s="76"/>
      <c r="AN549" s="77"/>
      <c r="AO549" s="77"/>
      <c r="AP549" s="76"/>
      <c r="AQ549" s="76"/>
      <c r="AR549" s="77"/>
      <c r="AS549" s="77"/>
      <c r="AT549" s="78">
        <v>0.25</v>
      </c>
    </row>
    <row r="550" spans="1:46" ht="12.5" x14ac:dyDescent="0.25">
      <c r="A550" s="79">
        <v>44818.348084791665</v>
      </c>
      <c r="B550" s="80" t="s">
        <v>21</v>
      </c>
      <c r="C550" s="80" t="str">
        <f>INDEX(TBL_Name,MATCH(Table2[[#This Row],[Athlete Name]],listNames,0),2)</f>
        <v>Athlete 13</v>
      </c>
      <c r="D550" s="80" t="s">
        <v>130</v>
      </c>
      <c r="E550" s="80">
        <v>7</v>
      </c>
      <c r="F550" s="80">
        <v>8</v>
      </c>
      <c r="G550" s="80">
        <v>9</v>
      </c>
      <c r="H550" s="80" t="s">
        <v>775</v>
      </c>
      <c r="I550" s="80">
        <v>6</v>
      </c>
      <c r="J550" s="80"/>
      <c r="K550" s="80"/>
      <c r="L550" s="80"/>
      <c r="M550" s="1" t="s">
        <v>861</v>
      </c>
      <c r="N550" s="1">
        <v>38</v>
      </c>
      <c r="O550" s="1">
        <v>6</v>
      </c>
      <c r="P550" s="13">
        <v>44818</v>
      </c>
      <c r="Q550" s="1" t="s">
        <v>133</v>
      </c>
      <c r="R550" s="1" t="s">
        <v>64</v>
      </c>
      <c r="S550" s="1">
        <v>1</v>
      </c>
      <c r="T550" s="1"/>
      <c r="U550" s="1" t="s">
        <v>18</v>
      </c>
      <c r="V550" s="76">
        <v>7.4285714285714288</v>
      </c>
      <c r="W550" s="76">
        <v>0.72843135908468348</v>
      </c>
      <c r="X550" s="77">
        <v>-0.58834840541455247</v>
      </c>
      <c r="Y550" s="77">
        <v>2</v>
      </c>
      <c r="Z550" s="76">
        <v>8.2857142857142865</v>
      </c>
      <c r="AA550" s="76">
        <v>0.88063057185271121</v>
      </c>
      <c r="AB550" s="77">
        <v>-0.32444284226152581</v>
      </c>
      <c r="AC550" s="77">
        <v>2</v>
      </c>
      <c r="AD550" s="76">
        <v>8.8571428571428577</v>
      </c>
      <c r="AE550" s="76">
        <v>0.83299312783504276</v>
      </c>
      <c r="AF550" s="77">
        <v>0.17149858514250826</v>
      </c>
      <c r="AG550" s="77">
        <v>3</v>
      </c>
      <c r="AH550" s="76">
        <v>6.1428571428571432</v>
      </c>
      <c r="AI550" s="76">
        <v>0.98974331861078702</v>
      </c>
      <c r="AJ550" s="77">
        <v>-0.14433756729740682</v>
      </c>
      <c r="AK550" s="77">
        <v>2</v>
      </c>
      <c r="AL550" s="76"/>
      <c r="AM550" s="76"/>
      <c r="AN550" s="77"/>
      <c r="AO550" s="77"/>
      <c r="AP550" s="76"/>
      <c r="AQ550" s="76"/>
      <c r="AR550" s="77"/>
      <c r="AS550" s="77"/>
      <c r="AT550" s="78">
        <v>0.625</v>
      </c>
    </row>
    <row r="551" spans="1:46" ht="12.5" x14ac:dyDescent="0.25">
      <c r="A551" s="79">
        <v>44818.359832824077</v>
      </c>
      <c r="B551" s="80" t="s">
        <v>185</v>
      </c>
      <c r="C551" s="80" t="str">
        <f>INDEX(TBL_Name,MATCH(Table2[[#This Row],[Athlete Name]],listNames,0),2)</f>
        <v>Athlete 30</v>
      </c>
      <c r="D551" s="80" t="s">
        <v>130</v>
      </c>
      <c r="E551" s="80">
        <v>8</v>
      </c>
      <c r="F551" s="80">
        <v>5</v>
      </c>
      <c r="G551" s="80">
        <v>8</v>
      </c>
      <c r="H551" s="80" t="s">
        <v>862</v>
      </c>
      <c r="I551" s="80">
        <v>8</v>
      </c>
      <c r="J551" s="80"/>
      <c r="K551" s="80"/>
      <c r="L551" s="80"/>
      <c r="M551" s="1" t="s">
        <v>863</v>
      </c>
      <c r="N551" s="1">
        <v>38</v>
      </c>
      <c r="O551" s="1">
        <v>6</v>
      </c>
      <c r="P551" s="13">
        <v>44818</v>
      </c>
      <c r="Q551" s="1" t="s">
        <v>133</v>
      </c>
      <c r="R551" s="1" t="s">
        <v>64</v>
      </c>
      <c r="S551" s="1">
        <v>1</v>
      </c>
      <c r="T551" s="1"/>
      <c r="U551" s="1" t="s">
        <v>26</v>
      </c>
      <c r="V551" s="76">
        <v>7.666666666666667</v>
      </c>
      <c r="W551" s="76">
        <v>0.47140452079103162</v>
      </c>
      <c r="X551" s="77">
        <v>0.70710678118654702</v>
      </c>
      <c r="Y551" s="77">
        <v>3</v>
      </c>
      <c r="Z551" s="76">
        <v>4.333333333333333</v>
      </c>
      <c r="AA551" s="76">
        <v>0.47140452079103179</v>
      </c>
      <c r="AB551" s="77">
        <v>1.4142135623730954</v>
      </c>
      <c r="AC551" s="77">
        <v>4</v>
      </c>
      <c r="AD551" s="76">
        <v>7.666666666666667</v>
      </c>
      <c r="AE551" s="76">
        <v>0.47140452079103162</v>
      </c>
      <c r="AF551" s="77">
        <v>0.70710678118654702</v>
      </c>
      <c r="AG551" s="77">
        <v>3</v>
      </c>
      <c r="AH551" s="76">
        <v>5.666666666666667</v>
      </c>
      <c r="AI551" s="76">
        <v>1.699673171197595</v>
      </c>
      <c r="AJ551" s="77">
        <v>1.372812945967288</v>
      </c>
      <c r="AK551" s="77">
        <v>4</v>
      </c>
      <c r="AL551" s="76"/>
      <c r="AM551" s="76"/>
      <c r="AN551" s="77"/>
      <c r="AO551" s="77"/>
      <c r="AP551" s="76"/>
      <c r="AQ551" s="76"/>
      <c r="AR551" s="77"/>
      <c r="AS551" s="77"/>
      <c r="AT551" s="78">
        <v>0.625</v>
      </c>
    </row>
    <row r="552" spans="1:46" ht="12.5" x14ac:dyDescent="0.25">
      <c r="A552" s="79">
        <v>44818.453409467591</v>
      </c>
      <c r="B552" s="80" t="s">
        <v>171</v>
      </c>
      <c r="C552" s="80" t="str">
        <f>INDEX(TBL_Name,MATCH(Table2[[#This Row],[Athlete Name]],listNames,0),2)</f>
        <v>Athlete 27</v>
      </c>
      <c r="D552" s="80" t="s">
        <v>130</v>
      </c>
      <c r="E552" s="80">
        <v>10</v>
      </c>
      <c r="F552" s="80">
        <v>8</v>
      </c>
      <c r="G552" s="80">
        <v>8</v>
      </c>
      <c r="H552" s="80"/>
      <c r="I552" s="80">
        <v>10</v>
      </c>
      <c r="J552" s="80"/>
      <c r="K552" s="80"/>
      <c r="L552" s="80"/>
      <c r="M552" s="1" t="s">
        <v>864</v>
      </c>
      <c r="N552" s="1">
        <v>38</v>
      </c>
      <c r="O552" s="1">
        <v>6</v>
      </c>
      <c r="P552" s="13">
        <v>44818</v>
      </c>
      <c r="Q552" s="1" t="s">
        <v>133</v>
      </c>
      <c r="R552" s="1" t="s">
        <v>64</v>
      </c>
      <c r="S552" s="1">
        <v>1</v>
      </c>
      <c r="T552" s="1"/>
      <c r="U552" s="1" t="s">
        <v>8</v>
      </c>
      <c r="V552" s="76">
        <v>10</v>
      </c>
      <c r="W552" s="76">
        <v>0</v>
      </c>
      <c r="X552" s="77">
        <v>0</v>
      </c>
      <c r="Y552" s="77">
        <v>3</v>
      </c>
      <c r="Z552" s="76">
        <v>8.3333333333333339</v>
      </c>
      <c r="AA552" s="76">
        <v>1.247219128924647</v>
      </c>
      <c r="AB552" s="77">
        <v>-0.2672612419124249</v>
      </c>
      <c r="AC552" s="77">
        <v>2</v>
      </c>
      <c r="AD552" s="76">
        <v>7.666666666666667</v>
      </c>
      <c r="AE552" s="76">
        <v>1.247219128924647</v>
      </c>
      <c r="AF552" s="77">
        <v>0.26726124191242417</v>
      </c>
      <c r="AG552" s="77">
        <v>3</v>
      </c>
      <c r="AH552" s="76">
        <v>9</v>
      </c>
      <c r="AI552" s="76">
        <v>1.4142135623730951</v>
      </c>
      <c r="AJ552" s="77">
        <v>0.70710678118654746</v>
      </c>
      <c r="AK552" s="77">
        <v>3</v>
      </c>
      <c r="AL552" s="76"/>
      <c r="AM552" s="76"/>
      <c r="AN552" s="77"/>
      <c r="AO552" s="77"/>
      <c r="AP552" s="76"/>
      <c r="AQ552" s="76"/>
      <c r="AR552" s="77"/>
      <c r="AS552" s="77"/>
      <c r="AT552" s="78">
        <v>0.75</v>
      </c>
    </row>
    <row r="553" spans="1:46" ht="12.5" x14ac:dyDescent="0.25">
      <c r="A553" s="79">
        <v>44818.469849293979</v>
      </c>
      <c r="B553" s="80" t="s">
        <v>10</v>
      </c>
      <c r="C553" s="80" t="str">
        <f>INDEX(TBL_Name,MATCH(Table2[[#This Row],[Athlete Name]],listNames,0),2)</f>
        <v>Athlete 5</v>
      </c>
      <c r="D553" s="80" t="s">
        <v>130</v>
      </c>
      <c r="E553" s="80">
        <v>8</v>
      </c>
      <c r="F553" s="80">
        <v>8</v>
      </c>
      <c r="G553" s="80">
        <v>8</v>
      </c>
      <c r="H553" s="80" t="s">
        <v>432</v>
      </c>
      <c r="I553" s="80">
        <v>6</v>
      </c>
      <c r="J553" s="80"/>
      <c r="K553" s="80"/>
      <c r="L553" s="80"/>
      <c r="M553" s="1" t="s">
        <v>865</v>
      </c>
      <c r="N553" s="1">
        <v>38</v>
      </c>
      <c r="O553" s="1">
        <v>6</v>
      </c>
      <c r="P553" s="13">
        <v>44818</v>
      </c>
      <c r="Q553" s="1" t="s">
        <v>133</v>
      </c>
      <c r="R553" s="1" t="s">
        <v>64</v>
      </c>
      <c r="S553" s="1">
        <v>1</v>
      </c>
      <c r="T553" s="1"/>
      <c r="U553" s="1" t="s">
        <v>11</v>
      </c>
      <c r="V553" s="76">
        <v>7.8571428571428568</v>
      </c>
      <c r="W553" s="76">
        <v>0.63887656499993983</v>
      </c>
      <c r="X553" s="77">
        <v>0.2236067977499796</v>
      </c>
      <c r="Y553" s="77">
        <v>3</v>
      </c>
      <c r="Z553" s="76">
        <v>7.8571428571428568</v>
      </c>
      <c r="AA553" s="76">
        <v>0.63887656499993994</v>
      </c>
      <c r="AB553" s="77">
        <v>0.22360679774997955</v>
      </c>
      <c r="AC553" s="77">
        <v>3</v>
      </c>
      <c r="AD553" s="76">
        <v>7.9285714285714288</v>
      </c>
      <c r="AE553" s="76">
        <v>0.86307471239961209</v>
      </c>
      <c r="AF553" s="77">
        <v>8.2760588860236517E-2</v>
      </c>
      <c r="AG553" s="77">
        <v>3</v>
      </c>
      <c r="AH553" s="76">
        <v>7</v>
      </c>
      <c r="AI553" s="76">
        <v>0.7559289460184544</v>
      </c>
      <c r="AJ553" s="77">
        <v>-1.3228756555322954</v>
      </c>
      <c r="AK553" s="77">
        <v>1</v>
      </c>
      <c r="AL553" s="76"/>
      <c r="AM553" s="76"/>
      <c r="AN553" s="77"/>
      <c r="AO553" s="77"/>
      <c r="AP553" s="76"/>
      <c r="AQ553" s="76"/>
      <c r="AR553" s="77"/>
      <c r="AS553" s="77"/>
      <c r="AT553" s="78">
        <v>0.625</v>
      </c>
    </row>
    <row r="554" spans="1:46" ht="12.5" x14ac:dyDescent="0.25">
      <c r="A554" s="79">
        <v>44818.498912777781</v>
      </c>
      <c r="B554" s="80" t="s">
        <v>168</v>
      </c>
      <c r="C554" s="80" t="str">
        <f>INDEX(TBL_Name,MATCH(Table2[[#This Row],[Athlete Name]],listNames,0),2)</f>
        <v>Athlete 26</v>
      </c>
      <c r="D554" s="80" t="s">
        <v>130</v>
      </c>
      <c r="E554" s="80">
        <v>5</v>
      </c>
      <c r="F554" s="80">
        <v>7</v>
      </c>
      <c r="G554" s="80">
        <v>7</v>
      </c>
      <c r="H554" s="80" t="s">
        <v>362</v>
      </c>
      <c r="I554" s="80">
        <v>7</v>
      </c>
      <c r="J554" s="80"/>
      <c r="K554" s="80"/>
      <c r="L554" s="80"/>
      <c r="M554" s="1" t="s">
        <v>866</v>
      </c>
      <c r="N554" s="1">
        <v>38</v>
      </c>
      <c r="O554" s="1">
        <v>6</v>
      </c>
      <c r="P554" s="13">
        <v>44818</v>
      </c>
      <c r="Q554" s="1" t="s">
        <v>133</v>
      </c>
      <c r="R554" s="1" t="s">
        <v>64</v>
      </c>
      <c r="S554" s="1">
        <v>1</v>
      </c>
      <c r="T554" s="1"/>
      <c r="U554" s="1" t="s">
        <v>5</v>
      </c>
      <c r="V554" s="76">
        <v>5.833333333333333</v>
      </c>
      <c r="W554" s="76">
        <v>1.3437096247164249</v>
      </c>
      <c r="X554" s="77">
        <v>-0.62017367294604209</v>
      </c>
      <c r="Y554" s="77">
        <v>2</v>
      </c>
      <c r="Z554" s="76">
        <v>6.666666666666667</v>
      </c>
      <c r="AA554" s="76">
        <v>1.4907119849998596</v>
      </c>
      <c r="AB554" s="77">
        <v>0.2236067977499788</v>
      </c>
      <c r="AC554" s="77">
        <v>3</v>
      </c>
      <c r="AD554" s="76">
        <v>7.333333333333333</v>
      </c>
      <c r="AE554" s="76">
        <v>0.94280904158206336</v>
      </c>
      <c r="AF554" s="77">
        <v>-0.35355339059327345</v>
      </c>
      <c r="AG554" s="77">
        <v>2</v>
      </c>
      <c r="AH554" s="76">
        <v>6.166666666666667</v>
      </c>
      <c r="AI554" s="76">
        <v>0.89752746785575066</v>
      </c>
      <c r="AJ554" s="77">
        <v>0.92847669088525897</v>
      </c>
      <c r="AK554" s="77">
        <v>3</v>
      </c>
      <c r="AL554" s="76"/>
      <c r="AM554" s="76"/>
      <c r="AN554" s="77"/>
      <c r="AO554" s="77"/>
      <c r="AP554" s="76"/>
      <c r="AQ554" s="76"/>
      <c r="AR554" s="77"/>
      <c r="AS554" s="77"/>
      <c r="AT554" s="78">
        <v>0.6875</v>
      </c>
    </row>
    <row r="555" spans="1:46" ht="12.5" x14ac:dyDescent="0.25">
      <c r="A555" s="79">
        <v>44819.309076134261</v>
      </c>
      <c r="B555" s="80" t="s">
        <v>136</v>
      </c>
      <c r="C555" s="80" t="str">
        <f>INDEX(TBL_Name,MATCH(Table2[[#This Row],[Athlete Name]],listNames,0),2)</f>
        <v>Athlete 20</v>
      </c>
      <c r="D555" s="80" t="s">
        <v>130</v>
      </c>
      <c r="E555" s="80">
        <v>6</v>
      </c>
      <c r="F555" s="80">
        <v>9</v>
      </c>
      <c r="G555" s="80">
        <v>9</v>
      </c>
      <c r="H555" s="80" t="s">
        <v>188</v>
      </c>
      <c r="I555" s="80">
        <v>8</v>
      </c>
      <c r="J555" s="80"/>
      <c r="K555" s="80"/>
      <c r="L555" s="80"/>
      <c r="M555" s="1" t="s">
        <v>867</v>
      </c>
      <c r="N555" s="1">
        <v>38</v>
      </c>
      <c r="O555" s="1">
        <v>6</v>
      </c>
      <c r="P555" s="13">
        <v>44819</v>
      </c>
      <c r="Q555" s="1" t="s">
        <v>133</v>
      </c>
      <c r="R555" s="1" t="s">
        <v>64</v>
      </c>
      <c r="S555" s="1">
        <v>1</v>
      </c>
      <c r="T555" s="1"/>
      <c r="U555" s="1" t="s">
        <v>18</v>
      </c>
      <c r="V555" s="76">
        <v>7.333333333333333</v>
      </c>
      <c r="W555" s="76">
        <v>0.94280904158206325</v>
      </c>
      <c r="X555" s="77">
        <v>-1.4142135623730949</v>
      </c>
      <c r="Y555" s="77">
        <v>1</v>
      </c>
      <c r="Z555" s="76">
        <v>8</v>
      </c>
      <c r="AA555" s="76">
        <v>1.4142135623730951</v>
      </c>
      <c r="AB555" s="77">
        <v>0.70710678118654746</v>
      </c>
      <c r="AC555" s="77">
        <v>3</v>
      </c>
      <c r="AD555" s="76">
        <v>7.666666666666667</v>
      </c>
      <c r="AE555" s="76">
        <v>0.94280904158206325</v>
      </c>
      <c r="AF555" s="77">
        <v>1.4142135623730949</v>
      </c>
      <c r="AG555" s="77">
        <v>4</v>
      </c>
      <c r="AH555" s="76">
        <v>8.1666666666666661</v>
      </c>
      <c r="AI555" s="76">
        <v>1.3437096247164249</v>
      </c>
      <c r="AJ555" s="77">
        <v>-0.12403473458920802</v>
      </c>
      <c r="AK555" s="77">
        <v>2</v>
      </c>
      <c r="AL555" s="76"/>
      <c r="AM555" s="76"/>
      <c r="AN555" s="77"/>
      <c r="AO555" s="77"/>
      <c r="AP555" s="76"/>
      <c r="AQ555" s="76"/>
      <c r="AR555" s="77"/>
      <c r="AS555" s="77"/>
      <c r="AT555" s="78">
        <v>0.75</v>
      </c>
    </row>
    <row r="556" spans="1:46" ht="12.5" x14ac:dyDescent="0.25">
      <c r="A556" s="79">
        <v>44819.315819236115</v>
      </c>
      <c r="B556" s="80" t="s">
        <v>168</v>
      </c>
      <c r="C556" s="80" t="str">
        <f>INDEX(TBL_Name,MATCH(Table2[[#This Row],[Athlete Name]],listNames,0),2)</f>
        <v>Athlete 26</v>
      </c>
      <c r="D556" s="80" t="s">
        <v>130</v>
      </c>
      <c r="E556" s="80">
        <v>6</v>
      </c>
      <c r="F556" s="80">
        <v>9</v>
      </c>
      <c r="G556" s="80">
        <v>9</v>
      </c>
      <c r="H556" s="80" t="s">
        <v>362</v>
      </c>
      <c r="I556" s="80">
        <v>7</v>
      </c>
      <c r="J556" s="80"/>
      <c r="K556" s="80"/>
      <c r="L556" s="80"/>
      <c r="M556" s="1" t="s">
        <v>868</v>
      </c>
      <c r="N556" s="1">
        <v>38</v>
      </c>
      <c r="O556" s="1">
        <v>6</v>
      </c>
      <c r="P556" s="13">
        <v>44819</v>
      </c>
      <c r="Q556" s="1" t="s">
        <v>133</v>
      </c>
      <c r="R556" s="1" t="s">
        <v>64</v>
      </c>
      <c r="S556" s="1">
        <v>1</v>
      </c>
      <c r="T556" s="1"/>
      <c r="U556" s="1" t="s">
        <v>5</v>
      </c>
      <c r="V556" s="76">
        <v>5.8571428571428568</v>
      </c>
      <c r="W556" s="76">
        <v>1.2453996981544782</v>
      </c>
      <c r="X556" s="77">
        <v>0.11470786693528119</v>
      </c>
      <c r="Y556" s="77">
        <v>3</v>
      </c>
      <c r="Z556" s="76">
        <v>7</v>
      </c>
      <c r="AA556" s="76">
        <v>1.6035674514745464</v>
      </c>
      <c r="AB556" s="77">
        <v>1.247219128924647</v>
      </c>
      <c r="AC556" s="77">
        <v>4</v>
      </c>
      <c r="AD556" s="76">
        <v>7.5714285714285712</v>
      </c>
      <c r="AE556" s="76">
        <v>1.0497813183356477</v>
      </c>
      <c r="AF556" s="77">
        <v>1.3608276348795436</v>
      </c>
      <c r="AG556" s="77">
        <v>4</v>
      </c>
      <c r="AH556" s="76">
        <v>6.2857142857142856</v>
      </c>
      <c r="AI556" s="76">
        <v>0.88063057185271088</v>
      </c>
      <c r="AJ556" s="77">
        <v>0.81110710565381283</v>
      </c>
      <c r="AK556" s="77">
        <v>3</v>
      </c>
      <c r="AL556" s="76"/>
      <c r="AM556" s="76"/>
      <c r="AN556" s="77"/>
      <c r="AO556" s="77"/>
      <c r="AP556" s="76"/>
      <c r="AQ556" s="76"/>
      <c r="AR556" s="77"/>
      <c r="AS556" s="77"/>
      <c r="AT556" s="78">
        <v>0.875</v>
      </c>
    </row>
    <row r="557" spans="1:46" ht="12.5" x14ac:dyDescent="0.25">
      <c r="A557" s="79">
        <v>44819.329926006947</v>
      </c>
      <c r="B557" s="80" t="s">
        <v>21</v>
      </c>
      <c r="C557" s="80" t="str">
        <f>INDEX(TBL_Name,MATCH(Table2[[#This Row],[Athlete Name]],listNames,0),2)</f>
        <v>Athlete 13</v>
      </c>
      <c r="D557" s="80" t="s">
        <v>130</v>
      </c>
      <c r="E557" s="80">
        <v>7</v>
      </c>
      <c r="F557" s="80">
        <v>7</v>
      </c>
      <c r="G557" s="80">
        <v>8</v>
      </c>
      <c r="H557" s="80" t="s">
        <v>869</v>
      </c>
      <c r="I557" s="80">
        <v>5</v>
      </c>
      <c r="J557" s="80"/>
      <c r="K557" s="80"/>
      <c r="L557" s="80"/>
      <c r="M557" s="1" t="s">
        <v>870</v>
      </c>
      <c r="N557" s="1">
        <v>38</v>
      </c>
      <c r="O557" s="1">
        <v>6</v>
      </c>
      <c r="P557" s="13">
        <v>44819</v>
      </c>
      <c r="Q557" s="1" t="s">
        <v>133</v>
      </c>
      <c r="R557" s="1" t="s">
        <v>64</v>
      </c>
      <c r="S557" s="1">
        <v>1</v>
      </c>
      <c r="T557" s="1"/>
      <c r="U557" s="1" t="s">
        <v>18</v>
      </c>
      <c r="V557" s="76">
        <v>7.5714285714285712</v>
      </c>
      <c r="W557" s="76">
        <v>0.4948716593053934</v>
      </c>
      <c r="X557" s="77">
        <v>-1.1547005383792512</v>
      </c>
      <c r="Y557" s="77">
        <v>1</v>
      </c>
      <c r="Z557" s="76">
        <v>8.2857142857142865</v>
      </c>
      <c r="AA557" s="76">
        <v>0.88063057185271099</v>
      </c>
      <c r="AB557" s="77">
        <v>-1.4599927901768637</v>
      </c>
      <c r="AC557" s="77">
        <v>1</v>
      </c>
      <c r="AD557" s="76">
        <v>8.7142857142857135</v>
      </c>
      <c r="AE557" s="76">
        <v>0.88063057185271088</v>
      </c>
      <c r="AF557" s="77">
        <v>-0.81110710565381183</v>
      </c>
      <c r="AG557" s="77">
        <v>2</v>
      </c>
      <c r="AH557" s="76">
        <v>6</v>
      </c>
      <c r="AI557" s="76">
        <v>1.0690449676496976</v>
      </c>
      <c r="AJ557" s="77">
        <v>-0.93541434669348533</v>
      </c>
      <c r="AK557" s="77">
        <v>2</v>
      </c>
      <c r="AL557" s="76"/>
      <c r="AM557" s="76"/>
      <c r="AN557" s="77"/>
      <c r="AO557" s="77"/>
      <c r="AP557" s="76"/>
      <c r="AQ557" s="76"/>
      <c r="AR557" s="77"/>
      <c r="AS557" s="77"/>
      <c r="AT557" s="78">
        <v>0.375</v>
      </c>
    </row>
    <row r="558" spans="1:46" ht="12.5" x14ac:dyDescent="0.25">
      <c r="A558" s="79">
        <v>44819.359004178245</v>
      </c>
      <c r="B558" s="80" t="s">
        <v>17</v>
      </c>
      <c r="C558" s="80" t="str">
        <f>INDEX(TBL_Name,MATCH(Table2[[#This Row],[Athlete Name]],listNames,0),2)</f>
        <v>Athlete 10</v>
      </c>
      <c r="D558" s="80" t="s">
        <v>130</v>
      </c>
      <c r="E558" s="80">
        <v>9</v>
      </c>
      <c r="F558" s="80">
        <v>9</v>
      </c>
      <c r="G558" s="80">
        <v>8</v>
      </c>
      <c r="H558" s="80" t="s">
        <v>131</v>
      </c>
      <c r="I558" s="80">
        <v>8</v>
      </c>
      <c r="J558" s="80"/>
      <c r="K558" s="80"/>
      <c r="L558" s="80"/>
      <c r="M558" s="1" t="s">
        <v>871</v>
      </c>
      <c r="N558" s="1">
        <v>38</v>
      </c>
      <c r="O558" s="1">
        <v>6</v>
      </c>
      <c r="P558" s="13">
        <v>44819</v>
      </c>
      <c r="Q558" s="1" t="s">
        <v>133</v>
      </c>
      <c r="R558" s="1" t="s">
        <v>64</v>
      </c>
      <c r="S558" s="1">
        <v>1</v>
      </c>
      <c r="T558" s="1"/>
      <c r="U558" s="1" t="s">
        <v>18</v>
      </c>
      <c r="V558" s="76">
        <v>7.8571428571428568</v>
      </c>
      <c r="W558" s="76">
        <v>0.98974331861078702</v>
      </c>
      <c r="X558" s="77">
        <v>1.1547005383792519</v>
      </c>
      <c r="Y558" s="77">
        <v>4</v>
      </c>
      <c r="Z558" s="76">
        <v>6.8571428571428568</v>
      </c>
      <c r="AA558" s="76">
        <v>1.5518257844571737</v>
      </c>
      <c r="AB558" s="77">
        <v>1.3808619268474853</v>
      </c>
      <c r="AC558" s="77">
        <v>4</v>
      </c>
      <c r="AD558" s="76">
        <v>7</v>
      </c>
      <c r="AE558" s="76">
        <v>1.6903085094570334</v>
      </c>
      <c r="AF558" s="77">
        <v>0.59160797830996148</v>
      </c>
      <c r="AG558" s="77">
        <v>3</v>
      </c>
      <c r="AH558" s="76">
        <v>7.2857142857142856</v>
      </c>
      <c r="AI558" s="76">
        <v>0.69985421222376509</v>
      </c>
      <c r="AJ558" s="77">
        <v>1.0206207261596578</v>
      </c>
      <c r="AK558" s="77">
        <v>4</v>
      </c>
      <c r="AL558" s="76"/>
      <c r="AM558" s="76"/>
      <c r="AN558" s="77"/>
      <c r="AO558" s="77"/>
      <c r="AP558" s="76"/>
      <c r="AQ558" s="76"/>
      <c r="AR558" s="77"/>
      <c r="AS558" s="77"/>
      <c r="AT558" s="78">
        <v>0.875</v>
      </c>
    </row>
    <row r="559" spans="1:46" ht="12.5" x14ac:dyDescent="0.25">
      <c r="A559" s="79">
        <v>44819.377912303244</v>
      </c>
      <c r="B559" s="80" t="s">
        <v>6</v>
      </c>
      <c r="C559" s="80" t="str">
        <f>INDEX(TBL_Name,MATCH(Table2[[#This Row],[Athlete Name]],listNames,0),2)</f>
        <v>Athlete 2</v>
      </c>
      <c r="D559" s="80" t="s">
        <v>143</v>
      </c>
      <c r="E559" s="80">
        <v>9</v>
      </c>
      <c r="F559" s="80">
        <v>8</v>
      </c>
      <c r="G559" s="80">
        <v>8</v>
      </c>
      <c r="H559" s="80" t="s">
        <v>231</v>
      </c>
      <c r="I559" s="80">
        <v>8</v>
      </c>
      <c r="J559" s="80"/>
      <c r="K559" s="80"/>
      <c r="L559" s="80"/>
      <c r="M559" s="1" t="s">
        <v>872</v>
      </c>
      <c r="N559" s="1">
        <v>38</v>
      </c>
      <c r="O559" s="1">
        <v>6</v>
      </c>
      <c r="P559" s="13">
        <v>44819</v>
      </c>
      <c r="Q559" s="1" t="s">
        <v>133</v>
      </c>
      <c r="R559" s="1" t="s">
        <v>64</v>
      </c>
      <c r="S559" s="1">
        <v>2</v>
      </c>
      <c r="T559" s="1"/>
      <c r="U559" s="1" t="s">
        <v>5</v>
      </c>
      <c r="V559" s="76">
        <v>9</v>
      </c>
      <c r="W559" s="76">
        <v>0.7559289460184544</v>
      </c>
      <c r="X559" s="77">
        <v>0</v>
      </c>
      <c r="Y559" s="77">
        <v>3</v>
      </c>
      <c r="Z559" s="76">
        <v>7.7142857142857144</v>
      </c>
      <c r="AA559" s="76">
        <v>1.2777531299998799</v>
      </c>
      <c r="AB559" s="77">
        <v>0.22360679774997885</v>
      </c>
      <c r="AC559" s="77">
        <v>3</v>
      </c>
      <c r="AD559" s="76">
        <v>8.1428571428571423</v>
      </c>
      <c r="AE559" s="76">
        <v>0.63887656499993983</v>
      </c>
      <c r="AF559" s="77">
        <v>-0.22360679774997821</v>
      </c>
      <c r="AG559" s="77">
        <v>2</v>
      </c>
      <c r="AH559" s="76">
        <v>6.8571428571428568</v>
      </c>
      <c r="AI559" s="76">
        <v>0.83299312783504298</v>
      </c>
      <c r="AJ559" s="77">
        <v>1.371988681140071</v>
      </c>
      <c r="AK559" s="77">
        <v>4</v>
      </c>
      <c r="AL559" s="76"/>
      <c r="AM559" s="76"/>
      <c r="AN559" s="77"/>
      <c r="AO559" s="77"/>
      <c r="AP559" s="76"/>
      <c r="AQ559" s="76"/>
      <c r="AR559" s="77"/>
      <c r="AS559" s="77"/>
      <c r="AT559" s="78">
        <v>0.375</v>
      </c>
    </row>
    <row r="560" spans="1:46" ht="12.5" x14ac:dyDescent="0.25">
      <c r="A560" s="79">
        <v>44819.406086944444</v>
      </c>
      <c r="B560" s="80" t="s">
        <v>22</v>
      </c>
      <c r="C560" s="80" t="str">
        <f>INDEX(TBL_Name,MATCH(Table2[[#This Row],[Athlete Name]],listNames,0),2)</f>
        <v>Athlete 14</v>
      </c>
      <c r="D560" s="80" t="s">
        <v>130</v>
      </c>
      <c r="E560" s="80">
        <v>6</v>
      </c>
      <c r="F560" s="80">
        <v>6</v>
      </c>
      <c r="G560" s="80">
        <v>9</v>
      </c>
      <c r="H560" s="80" t="s">
        <v>584</v>
      </c>
      <c r="I560" s="80">
        <v>4</v>
      </c>
      <c r="J560" s="80"/>
      <c r="K560" s="80"/>
      <c r="L560" s="80"/>
      <c r="M560" s="1" t="s">
        <v>873</v>
      </c>
      <c r="N560" s="1">
        <v>38</v>
      </c>
      <c r="O560" s="1">
        <v>6</v>
      </c>
      <c r="P560" s="13">
        <v>44819</v>
      </c>
      <c r="Q560" s="1" t="s">
        <v>133</v>
      </c>
      <c r="R560" s="1" t="s">
        <v>64</v>
      </c>
      <c r="S560" s="1">
        <v>1</v>
      </c>
      <c r="T560" s="1"/>
      <c r="U560" s="1" t="s">
        <v>18</v>
      </c>
      <c r="V560" s="76">
        <v>5.5</v>
      </c>
      <c r="W560" s="76">
        <v>0.5</v>
      </c>
      <c r="X560" s="77">
        <v>1</v>
      </c>
      <c r="Y560" s="77">
        <v>4</v>
      </c>
      <c r="Z560" s="76">
        <v>4</v>
      </c>
      <c r="AA560" s="76">
        <v>2</v>
      </c>
      <c r="AB560" s="77">
        <v>1</v>
      </c>
      <c r="AC560" s="77">
        <v>4</v>
      </c>
      <c r="AD560" s="76">
        <v>7.5</v>
      </c>
      <c r="AE560" s="76">
        <v>1.5</v>
      </c>
      <c r="AF560" s="77">
        <v>1</v>
      </c>
      <c r="AG560" s="77">
        <v>4</v>
      </c>
      <c r="AH560" s="76">
        <v>4</v>
      </c>
      <c r="AI560" s="76">
        <v>0</v>
      </c>
      <c r="AJ560" s="77">
        <v>0</v>
      </c>
      <c r="AK560" s="77">
        <v>3</v>
      </c>
      <c r="AL560" s="76"/>
      <c r="AM560" s="76"/>
      <c r="AN560" s="77"/>
      <c r="AO560" s="77"/>
      <c r="AP560" s="76"/>
      <c r="AQ560" s="76"/>
      <c r="AR560" s="77"/>
      <c r="AS560" s="77"/>
      <c r="AT560" s="78">
        <v>0.8125</v>
      </c>
    </row>
    <row r="561" spans="1:46" ht="12.5" x14ac:dyDescent="0.25">
      <c r="A561" s="79">
        <v>44819.409636435186</v>
      </c>
      <c r="B561" s="80" t="s">
        <v>177</v>
      </c>
      <c r="C561" s="80" t="str">
        <f>INDEX(TBL_Name,MATCH(Table2[[#This Row],[Athlete Name]],listNames,0),2)</f>
        <v>Athlete 28</v>
      </c>
      <c r="D561" s="80" t="s">
        <v>130</v>
      </c>
      <c r="E561" s="80">
        <v>2</v>
      </c>
      <c r="F561" s="80">
        <v>8</v>
      </c>
      <c r="G561" s="80">
        <v>6</v>
      </c>
      <c r="H561" s="80" t="s">
        <v>178</v>
      </c>
      <c r="I561" s="80">
        <v>8</v>
      </c>
      <c r="J561" s="80"/>
      <c r="K561" s="80"/>
      <c r="L561" s="80"/>
      <c r="M561" s="1" t="s">
        <v>874</v>
      </c>
      <c r="N561" s="1">
        <v>38</v>
      </c>
      <c r="O561" s="1">
        <v>6</v>
      </c>
      <c r="P561" s="13">
        <v>44819</v>
      </c>
      <c r="Q561" s="1" t="s">
        <v>133</v>
      </c>
      <c r="R561" s="1" t="s">
        <v>64</v>
      </c>
      <c r="S561" s="1">
        <v>1</v>
      </c>
      <c r="T561" s="1"/>
      <c r="U561" s="1" t="s">
        <v>28</v>
      </c>
      <c r="V561" s="76">
        <v>2.6666666666666665</v>
      </c>
      <c r="W561" s="76">
        <v>0.94280904158206336</v>
      </c>
      <c r="X561" s="77">
        <v>-0.70710678118654735</v>
      </c>
      <c r="Y561" s="77">
        <v>2</v>
      </c>
      <c r="Z561" s="76">
        <v>6.333333333333333</v>
      </c>
      <c r="AA561" s="76">
        <v>1.699673171197595</v>
      </c>
      <c r="AB561" s="77">
        <v>0.98058067569092033</v>
      </c>
      <c r="AC561" s="77">
        <v>3</v>
      </c>
      <c r="AD561" s="76">
        <v>6</v>
      </c>
      <c r="AE561" s="76">
        <v>0.81649658092772603</v>
      </c>
      <c r="AF561" s="77">
        <v>0</v>
      </c>
      <c r="AG561" s="77">
        <v>3</v>
      </c>
      <c r="AH561" s="76">
        <v>6</v>
      </c>
      <c r="AI561" s="76">
        <v>1.6329931618554521</v>
      </c>
      <c r="AJ561" s="77">
        <v>1.2247448713915889</v>
      </c>
      <c r="AK561" s="77">
        <v>4</v>
      </c>
      <c r="AL561" s="76"/>
      <c r="AM561" s="76"/>
      <c r="AN561" s="77"/>
      <c r="AO561" s="77"/>
      <c r="AP561" s="76"/>
      <c r="AQ561" s="76"/>
      <c r="AR561" s="77"/>
      <c r="AS561" s="77"/>
      <c r="AT561" s="78">
        <v>0.875</v>
      </c>
    </row>
    <row r="562" spans="1:46" ht="12.5" x14ac:dyDescent="0.25">
      <c r="A562" s="79">
        <v>44819.417177511576</v>
      </c>
      <c r="B562" s="80" t="s">
        <v>171</v>
      </c>
      <c r="C562" s="80" t="str">
        <f>INDEX(TBL_Name,MATCH(Table2[[#This Row],[Athlete Name]],listNames,0),2)</f>
        <v>Athlete 27</v>
      </c>
      <c r="D562" s="80" t="s">
        <v>130</v>
      </c>
      <c r="E562" s="80">
        <v>10</v>
      </c>
      <c r="F562" s="80">
        <v>9</v>
      </c>
      <c r="G562" s="80">
        <v>9</v>
      </c>
      <c r="H562" s="80"/>
      <c r="I562" s="80">
        <v>10</v>
      </c>
      <c r="J562" s="80"/>
      <c r="K562" s="80"/>
      <c r="L562" s="80"/>
      <c r="M562" s="1" t="s">
        <v>875</v>
      </c>
      <c r="N562" s="1">
        <v>38</v>
      </c>
      <c r="O562" s="1">
        <v>6</v>
      </c>
      <c r="P562" s="13">
        <v>44819</v>
      </c>
      <c r="Q562" s="1" t="s">
        <v>133</v>
      </c>
      <c r="R562" s="1" t="s">
        <v>64</v>
      </c>
      <c r="S562" s="1">
        <v>1</v>
      </c>
      <c r="T562" s="1"/>
      <c r="U562" s="1" t="s">
        <v>8</v>
      </c>
      <c r="V562" s="76">
        <v>10</v>
      </c>
      <c r="W562" s="76">
        <v>0</v>
      </c>
      <c r="X562" s="77">
        <v>0</v>
      </c>
      <c r="Y562" s="77">
        <v>3</v>
      </c>
      <c r="Z562" s="76">
        <v>8.5</v>
      </c>
      <c r="AA562" s="76">
        <v>1.1180339887498949</v>
      </c>
      <c r="AB562" s="77">
        <v>0.44721359549995793</v>
      </c>
      <c r="AC562" s="77">
        <v>3</v>
      </c>
      <c r="AD562" s="76">
        <v>8</v>
      </c>
      <c r="AE562" s="76">
        <v>1.2247448713915889</v>
      </c>
      <c r="AF562" s="77">
        <v>0.81649658092772615</v>
      </c>
      <c r="AG562" s="77">
        <v>3</v>
      </c>
      <c r="AH562" s="76">
        <v>9.25</v>
      </c>
      <c r="AI562" s="76">
        <v>1.299038105676658</v>
      </c>
      <c r="AJ562" s="77">
        <v>0.57735026918962573</v>
      </c>
      <c r="AK562" s="77">
        <v>3</v>
      </c>
      <c r="AL562" s="76"/>
      <c r="AM562" s="76"/>
      <c r="AN562" s="77"/>
      <c r="AO562" s="77"/>
      <c r="AP562" s="76"/>
      <c r="AQ562" s="76"/>
      <c r="AR562" s="77"/>
      <c r="AS562" s="77"/>
      <c r="AT562" s="78">
        <v>0.75</v>
      </c>
    </row>
    <row r="563" spans="1:46" ht="12.5" x14ac:dyDescent="0.25">
      <c r="A563" s="79">
        <v>44819.462095578703</v>
      </c>
      <c r="B563" s="80" t="s">
        <v>196</v>
      </c>
      <c r="C563" s="80" t="str">
        <f>INDEX(TBL_Name,MATCH(Table2[[#This Row],[Athlete Name]],listNames,0),2)</f>
        <v>Athlete 31</v>
      </c>
      <c r="D563" s="80" t="s">
        <v>130</v>
      </c>
      <c r="E563" s="80">
        <v>6</v>
      </c>
      <c r="F563" s="80">
        <v>9</v>
      </c>
      <c r="G563" s="80">
        <v>9</v>
      </c>
      <c r="H563" s="80" t="s">
        <v>69</v>
      </c>
      <c r="I563" s="80">
        <v>9</v>
      </c>
      <c r="J563" s="80"/>
      <c r="K563" s="80"/>
      <c r="L563" s="80"/>
      <c r="M563" s="1" t="s">
        <v>876</v>
      </c>
      <c r="N563" s="1">
        <v>38</v>
      </c>
      <c r="O563" s="1">
        <v>6</v>
      </c>
      <c r="P563" s="13">
        <v>44819</v>
      </c>
      <c r="Q563" s="1" t="s">
        <v>133</v>
      </c>
      <c r="R563" s="1" t="s">
        <v>64</v>
      </c>
      <c r="S563" s="1">
        <v>1</v>
      </c>
      <c r="T563" s="1"/>
      <c r="U563" s="1" t="s">
        <v>28</v>
      </c>
      <c r="V563" s="76">
        <v>6</v>
      </c>
      <c r="W563" s="76">
        <v>0</v>
      </c>
      <c r="X563" s="77">
        <v>0</v>
      </c>
      <c r="Y563" s="77">
        <v>3</v>
      </c>
      <c r="Z563" s="76">
        <v>8.4</v>
      </c>
      <c r="AA563" s="76">
        <v>0.80000000000000016</v>
      </c>
      <c r="AB563" s="77">
        <v>0.74999999999999944</v>
      </c>
      <c r="AC563" s="77">
        <v>3</v>
      </c>
      <c r="AD563" s="76">
        <v>8.1999999999999993</v>
      </c>
      <c r="AE563" s="76">
        <v>0.74833147735478833</v>
      </c>
      <c r="AF563" s="77">
        <v>1.0690449676496985</v>
      </c>
      <c r="AG563" s="77">
        <v>4</v>
      </c>
      <c r="AH563" s="76">
        <v>9</v>
      </c>
      <c r="AI563" s="76">
        <v>0</v>
      </c>
      <c r="AJ563" s="77">
        <v>0</v>
      </c>
      <c r="AK563" s="77">
        <v>3</v>
      </c>
      <c r="AL563" s="76"/>
      <c r="AM563" s="76"/>
      <c r="AN563" s="77"/>
      <c r="AO563" s="77"/>
      <c r="AP563" s="76"/>
      <c r="AQ563" s="76"/>
      <c r="AR563" s="77"/>
      <c r="AS563" s="77"/>
      <c r="AT563" s="78">
        <v>0.75</v>
      </c>
    </row>
    <row r="564" spans="1:46" ht="12.5" x14ac:dyDescent="0.25">
      <c r="A564" s="79">
        <v>44819.617302314815</v>
      </c>
      <c r="B564" s="80" t="s">
        <v>10</v>
      </c>
      <c r="C564" s="80" t="str">
        <f>INDEX(TBL_Name,MATCH(Table2[[#This Row],[Athlete Name]],listNames,0),2)</f>
        <v>Athlete 5</v>
      </c>
      <c r="D564" s="80" t="s">
        <v>130</v>
      </c>
      <c r="E564" s="80">
        <v>7</v>
      </c>
      <c r="F564" s="80">
        <v>9</v>
      </c>
      <c r="G564" s="80">
        <v>9</v>
      </c>
      <c r="H564" s="80" t="s">
        <v>432</v>
      </c>
      <c r="I564" s="80">
        <v>7</v>
      </c>
      <c r="J564" s="80"/>
      <c r="K564" s="80"/>
      <c r="L564" s="80"/>
      <c r="M564" s="1" t="s">
        <v>877</v>
      </c>
      <c r="N564" s="1">
        <v>38</v>
      </c>
      <c r="O564" s="1">
        <v>6</v>
      </c>
      <c r="P564" s="13">
        <v>44819</v>
      </c>
      <c r="Q564" s="1" t="s">
        <v>133</v>
      </c>
      <c r="R564" s="1" t="s">
        <v>64</v>
      </c>
      <c r="S564" s="1">
        <v>1</v>
      </c>
      <c r="T564" s="1"/>
      <c r="U564" s="1" t="s">
        <v>11</v>
      </c>
      <c r="V564" s="76">
        <v>7.8571428571428568</v>
      </c>
      <c r="W564" s="76">
        <v>0.63887656499993994</v>
      </c>
      <c r="X564" s="77">
        <v>-1.3416407864998732</v>
      </c>
      <c r="Y564" s="77">
        <v>1</v>
      </c>
      <c r="Z564" s="76">
        <v>8</v>
      </c>
      <c r="AA564" s="76">
        <v>0.75592894601845451</v>
      </c>
      <c r="AB564" s="77">
        <v>1.3228756555322951</v>
      </c>
      <c r="AC564" s="77">
        <v>4</v>
      </c>
      <c r="AD564" s="76">
        <v>7.9285714285714288</v>
      </c>
      <c r="AE564" s="76">
        <v>0.86307471239961231</v>
      </c>
      <c r="AF564" s="77">
        <v>1.2414088329035515</v>
      </c>
      <c r="AG564" s="77">
        <v>4</v>
      </c>
      <c r="AH564" s="76">
        <v>7</v>
      </c>
      <c r="AI564" s="76">
        <v>0.7559289460184544</v>
      </c>
      <c r="AJ564" s="77">
        <v>0</v>
      </c>
      <c r="AK564" s="77">
        <v>3</v>
      </c>
      <c r="AL564" s="76"/>
      <c r="AM564" s="76"/>
      <c r="AN564" s="77"/>
      <c r="AO564" s="77"/>
      <c r="AP564" s="76"/>
      <c r="AQ564" s="76"/>
      <c r="AR564" s="77"/>
      <c r="AS564" s="77"/>
      <c r="AT564" s="78">
        <v>0.625</v>
      </c>
    </row>
    <row r="565" spans="1:46" ht="12.5" x14ac:dyDescent="0.25">
      <c r="A565" s="79">
        <v>44820.343794224536</v>
      </c>
      <c r="B565" s="80" t="s">
        <v>21</v>
      </c>
      <c r="C565" s="80" t="str">
        <f>INDEX(TBL_Name,MATCH(Table2[[#This Row],[Athlete Name]],listNames,0),2)</f>
        <v>Athlete 13</v>
      </c>
      <c r="D565" s="80" t="s">
        <v>130</v>
      </c>
      <c r="E565" s="80">
        <v>9</v>
      </c>
      <c r="F565" s="80">
        <v>9</v>
      </c>
      <c r="G565" s="80">
        <v>9</v>
      </c>
      <c r="H565" s="80" t="s">
        <v>878</v>
      </c>
      <c r="I565" s="80">
        <v>5</v>
      </c>
      <c r="J565" s="80"/>
      <c r="K565" s="80"/>
      <c r="L565" s="80"/>
      <c r="M565" s="1" t="s">
        <v>879</v>
      </c>
      <c r="N565" s="1">
        <v>38</v>
      </c>
      <c r="O565" s="1">
        <v>6</v>
      </c>
      <c r="P565" s="13">
        <v>44820</v>
      </c>
      <c r="Q565" s="1" t="s">
        <v>133</v>
      </c>
      <c r="R565" s="1" t="s">
        <v>64</v>
      </c>
      <c r="S565" s="1">
        <v>1</v>
      </c>
      <c r="T565" s="1"/>
      <c r="U565" s="1" t="s">
        <v>18</v>
      </c>
      <c r="V565" s="76">
        <v>7.7142857142857144</v>
      </c>
      <c r="W565" s="76">
        <v>0.69985421222376509</v>
      </c>
      <c r="X565" s="77">
        <v>1.8371173070873836</v>
      </c>
      <c r="Y565" s="77">
        <v>4</v>
      </c>
      <c r="Z565" s="76">
        <v>8.4285714285714288</v>
      </c>
      <c r="AA565" s="76">
        <v>0.90350790290525129</v>
      </c>
      <c r="AB565" s="77">
        <v>0.63245553203367555</v>
      </c>
      <c r="AC565" s="77">
        <v>3</v>
      </c>
      <c r="AD565" s="76">
        <v>9</v>
      </c>
      <c r="AE565" s="76">
        <v>0.53452248382484857</v>
      </c>
      <c r="AF565" s="77">
        <v>0</v>
      </c>
      <c r="AG565" s="77">
        <v>3</v>
      </c>
      <c r="AH565" s="76">
        <v>6</v>
      </c>
      <c r="AI565" s="76">
        <v>1.0690449676496976</v>
      </c>
      <c r="AJ565" s="77">
        <v>-0.93541434669348533</v>
      </c>
      <c r="AK565" s="77">
        <v>2</v>
      </c>
      <c r="AL565" s="76"/>
      <c r="AM565" s="76"/>
      <c r="AN565" s="77"/>
      <c r="AO565" s="77"/>
      <c r="AP565" s="76"/>
      <c r="AQ565" s="76"/>
      <c r="AR565" s="77"/>
      <c r="AS565" s="77"/>
      <c r="AT565" s="78">
        <v>0.8125</v>
      </c>
    </row>
    <row r="566" spans="1:46" ht="12.5" x14ac:dyDescent="0.25">
      <c r="A566" s="79">
        <v>44820.358656585653</v>
      </c>
      <c r="B566" s="80" t="s">
        <v>10</v>
      </c>
      <c r="C566" s="80" t="str">
        <f>INDEX(TBL_Name,MATCH(Table2[[#This Row],[Athlete Name]],listNames,0),2)</f>
        <v>Athlete 5</v>
      </c>
      <c r="D566" s="80" t="s">
        <v>130</v>
      </c>
      <c r="E566" s="80">
        <v>9</v>
      </c>
      <c r="F566" s="80">
        <v>7</v>
      </c>
      <c r="G566" s="80">
        <v>7</v>
      </c>
      <c r="H566" s="80" t="s">
        <v>188</v>
      </c>
      <c r="I566" s="80">
        <v>6</v>
      </c>
      <c r="J566" s="80"/>
      <c r="K566" s="80"/>
      <c r="L566" s="80"/>
      <c r="M566" s="1" t="s">
        <v>880</v>
      </c>
      <c r="N566" s="1">
        <v>38</v>
      </c>
      <c r="O566" s="1">
        <v>6</v>
      </c>
      <c r="P566" s="13">
        <v>44820</v>
      </c>
      <c r="Q566" s="1" t="s">
        <v>133</v>
      </c>
      <c r="R566" s="1" t="s">
        <v>64</v>
      </c>
      <c r="S566" s="1">
        <v>1</v>
      </c>
      <c r="T566" s="1"/>
      <c r="U566" s="1" t="s">
        <v>11</v>
      </c>
      <c r="V566" s="76">
        <v>7.8571428571428568</v>
      </c>
      <c r="W566" s="76">
        <v>0.63887656499993994</v>
      </c>
      <c r="X566" s="77">
        <v>1.7888543819998324</v>
      </c>
      <c r="Y566" s="77">
        <v>4</v>
      </c>
      <c r="Z566" s="76">
        <v>8</v>
      </c>
      <c r="AA566" s="76">
        <v>0.7559289460184544</v>
      </c>
      <c r="AB566" s="77">
        <v>-1.3228756555322954</v>
      </c>
      <c r="AC566" s="77">
        <v>1</v>
      </c>
      <c r="AD566" s="76">
        <v>7.9285714285714288</v>
      </c>
      <c r="AE566" s="76">
        <v>0.86307471239961231</v>
      </c>
      <c r="AF566" s="77">
        <v>-1.0758876551830785</v>
      </c>
      <c r="AG566" s="77">
        <v>1</v>
      </c>
      <c r="AH566" s="76">
        <v>7</v>
      </c>
      <c r="AI566" s="76">
        <v>0.7559289460184544</v>
      </c>
      <c r="AJ566" s="77">
        <v>-1.3228756555322954</v>
      </c>
      <c r="AK566" s="77">
        <v>1</v>
      </c>
      <c r="AL566" s="76"/>
      <c r="AM566" s="76"/>
      <c r="AN566" s="77"/>
      <c r="AO566" s="77"/>
      <c r="AP566" s="76"/>
      <c r="AQ566" s="76"/>
      <c r="AR566" s="77"/>
      <c r="AS566" s="77"/>
      <c r="AT566" s="78">
        <v>0.4375</v>
      </c>
    </row>
    <row r="567" spans="1:46" ht="12.5" x14ac:dyDescent="0.25">
      <c r="A567" s="79">
        <v>44820.358799456022</v>
      </c>
      <c r="B567" s="80" t="s">
        <v>148</v>
      </c>
      <c r="C567" s="80" t="str">
        <f>INDEX(TBL_Name,MATCH(Table2[[#This Row],[Athlete Name]],listNames,0),2)</f>
        <v>Athlete 22</v>
      </c>
      <c r="D567" s="80" t="s">
        <v>150</v>
      </c>
      <c r="E567" s="80">
        <v>10</v>
      </c>
      <c r="F567" s="80">
        <v>6</v>
      </c>
      <c r="G567" s="80">
        <v>7</v>
      </c>
      <c r="H567" s="80" t="s">
        <v>380</v>
      </c>
      <c r="I567" s="80">
        <v>4</v>
      </c>
      <c r="J567" s="80"/>
      <c r="K567" s="80"/>
      <c r="L567" s="80"/>
      <c r="M567" s="1" t="s">
        <v>881</v>
      </c>
      <c r="N567" s="1">
        <v>38</v>
      </c>
      <c r="O567" s="1">
        <v>6</v>
      </c>
      <c r="P567" s="13">
        <v>44820</v>
      </c>
      <c r="Q567" s="1" t="s">
        <v>133</v>
      </c>
      <c r="R567" s="1" t="s">
        <v>64</v>
      </c>
      <c r="S567" s="1">
        <v>3</v>
      </c>
      <c r="T567" s="1"/>
      <c r="U567" s="1" t="s">
        <v>11</v>
      </c>
      <c r="V567" s="76">
        <v>10</v>
      </c>
      <c r="W567" s="76">
        <v>0</v>
      </c>
      <c r="X567" s="77">
        <v>0</v>
      </c>
      <c r="Y567" s="77">
        <v>3</v>
      </c>
      <c r="Z567" s="76">
        <v>7</v>
      </c>
      <c r="AA567" s="76">
        <v>0.81649658092772603</v>
      </c>
      <c r="AB567" s="77">
        <v>-1.2247448713915889</v>
      </c>
      <c r="AC567" s="77">
        <v>1</v>
      </c>
      <c r="AD567" s="76">
        <v>7.333333333333333</v>
      </c>
      <c r="AE567" s="76">
        <v>0.47140452079103162</v>
      </c>
      <c r="AF567" s="77">
        <v>-0.70710678118654702</v>
      </c>
      <c r="AG567" s="77">
        <v>2</v>
      </c>
      <c r="AH567" s="76">
        <v>6.666666666666667</v>
      </c>
      <c r="AI567" s="76">
        <v>2.0548046676563256</v>
      </c>
      <c r="AJ567" s="77">
        <v>-1.2977713690461004</v>
      </c>
      <c r="AK567" s="77">
        <v>1</v>
      </c>
      <c r="AL567" s="76"/>
      <c r="AM567" s="76"/>
      <c r="AN567" s="77"/>
      <c r="AO567" s="77"/>
      <c r="AP567" s="76"/>
      <c r="AQ567" s="76"/>
      <c r="AR567" s="77"/>
      <c r="AS567" s="77"/>
      <c r="AT567" s="78">
        <v>0.75</v>
      </c>
    </row>
    <row r="568" spans="1:46" ht="12.5" x14ac:dyDescent="0.25">
      <c r="A568" s="79">
        <v>44820.360158287032</v>
      </c>
      <c r="B568" s="80" t="s">
        <v>196</v>
      </c>
      <c r="C568" s="80" t="str">
        <f>INDEX(TBL_Name,MATCH(Table2[[#This Row],[Athlete Name]],listNames,0),2)</f>
        <v>Athlete 31</v>
      </c>
      <c r="D568" s="80" t="s">
        <v>130</v>
      </c>
      <c r="E568" s="80">
        <v>7</v>
      </c>
      <c r="F568" s="80">
        <v>7</v>
      </c>
      <c r="G568" s="80">
        <v>7</v>
      </c>
      <c r="H568" s="80" t="s">
        <v>598</v>
      </c>
      <c r="I568" s="80">
        <v>9</v>
      </c>
      <c r="J568" s="80"/>
      <c r="K568" s="80"/>
      <c r="L568" s="80"/>
      <c r="M568" s="1" t="s">
        <v>882</v>
      </c>
      <c r="N568" s="1">
        <v>38</v>
      </c>
      <c r="O568" s="1">
        <v>6</v>
      </c>
      <c r="P568" s="13">
        <v>44820</v>
      </c>
      <c r="Q568" s="1" t="s">
        <v>133</v>
      </c>
      <c r="R568" s="1" t="s">
        <v>64</v>
      </c>
      <c r="S568" s="1">
        <v>1</v>
      </c>
      <c r="T568" s="1"/>
      <c r="U568" s="1" t="s">
        <v>28</v>
      </c>
      <c r="V568" s="76">
        <v>6.2</v>
      </c>
      <c r="W568" s="76">
        <v>0.39999999999999997</v>
      </c>
      <c r="X568" s="77">
        <v>1.9999999999999998</v>
      </c>
      <c r="Y568" s="77">
        <v>4</v>
      </c>
      <c r="Z568" s="76">
        <v>8</v>
      </c>
      <c r="AA568" s="76">
        <v>0.89442719099991586</v>
      </c>
      <c r="AB568" s="77">
        <v>-1.1180339887498949</v>
      </c>
      <c r="AC568" s="77">
        <v>1</v>
      </c>
      <c r="AD568" s="76">
        <v>8.1999999999999993</v>
      </c>
      <c r="AE568" s="76">
        <v>0.748331477354788</v>
      </c>
      <c r="AF568" s="77">
        <v>-1.6035674514745459</v>
      </c>
      <c r="AG568" s="77">
        <v>1</v>
      </c>
      <c r="AH568" s="76">
        <v>9</v>
      </c>
      <c r="AI568" s="76">
        <v>0</v>
      </c>
      <c r="AJ568" s="77">
        <v>0</v>
      </c>
      <c r="AK568" s="77">
        <v>3</v>
      </c>
      <c r="AL568" s="76"/>
      <c r="AM568" s="76"/>
      <c r="AN568" s="77"/>
      <c r="AO568" s="77"/>
      <c r="AP568" s="76"/>
      <c r="AQ568" s="76"/>
      <c r="AR568" s="77"/>
      <c r="AS568" s="77"/>
      <c r="AT568" s="78">
        <v>1</v>
      </c>
    </row>
    <row r="569" spans="1:46" ht="12.5" x14ac:dyDescent="0.25">
      <c r="A569" s="79">
        <v>44820.363449270837</v>
      </c>
      <c r="B569" s="80" t="s">
        <v>19</v>
      </c>
      <c r="C569" s="80" t="str">
        <f>INDEX(TBL_Name,MATCH(Table2[[#This Row],[Athlete Name]],listNames,0),2)</f>
        <v>Athlete 11</v>
      </c>
      <c r="D569" s="80" t="s">
        <v>130</v>
      </c>
      <c r="E569" s="80">
        <v>8</v>
      </c>
      <c r="F569" s="80">
        <v>7</v>
      </c>
      <c r="G569" s="80">
        <v>7</v>
      </c>
      <c r="H569" s="80" t="s">
        <v>883</v>
      </c>
      <c r="I569" s="80">
        <v>3</v>
      </c>
      <c r="J569" s="80"/>
      <c r="K569" s="80"/>
      <c r="L569" s="80"/>
      <c r="M569" s="1" t="s">
        <v>884</v>
      </c>
      <c r="N569" s="1">
        <v>38</v>
      </c>
      <c r="O569" s="1">
        <v>6</v>
      </c>
      <c r="P569" s="13">
        <v>44820</v>
      </c>
      <c r="Q569" s="1" t="s">
        <v>133</v>
      </c>
      <c r="R569" s="1" t="s">
        <v>64</v>
      </c>
      <c r="S569" s="1">
        <v>1</v>
      </c>
      <c r="T569" s="1"/>
      <c r="U569" s="1" t="s">
        <v>18</v>
      </c>
      <c r="V569" s="76">
        <v>6.5</v>
      </c>
      <c r="W569" s="76">
        <v>1.5</v>
      </c>
      <c r="X569" s="77">
        <v>1</v>
      </c>
      <c r="Y569" s="77">
        <v>4</v>
      </c>
      <c r="Z569" s="76">
        <v>7</v>
      </c>
      <c r="AA569" s="76">
        <v>0</v>
      </c>
      <c r="AB569" s="77">
        <v>0</v>
      </c>
      <c r="AC569" s="77">
        <v>3</v>
      </c>
      <c r="AD569" s="76">
        <v>7</v>
      </c>
      <c r="AE569" s="76">
        <v>0</v>
      </c>
      <c r="AF569" s="77">
        <v>0</v>
      </c>
      <c r="AG569" s="77">
        <v>3</v>
      </c>
      <c r="AH569" s="76">
        <v>3.5</v>
      </c>
      <c r="AI569" s="76">
        <v>0.5</v>
      </c>
      <c r="AJ569" s="77">
        <v>-1</v>
      </c>
      <c r="AK569" s="77">
        <v>1</v>
      </c>
      <c r="AL569" s="76"/>
      <c r="AM569" s="76"/>
      <c r="AN569" s="77"/>
      <c r="AO569" s="77"/>
      <c r="AP569" s="76"/>
      <c r="AQ569" s="76"/>
      <c r="AR569" s="77"/>
      <c r="AS569" s="77"/>
      <c r="AT569" s="78">
        <v>0.6875</v>
      </c>
    </row>
    <row r="570" spans="1:46" ht="12.5" x14ac:dyDescent="0.25">
      <c r="A570" s="79">
        <v>44820.391957245374</v>
      </c>
      <c r="B570" s="80" t="s">
        <v>17</v>
      </c>
      <c r="C570" s="80" t="str">
        <f>INDEX(TBL_Name,MATCH(Table2[[#This Row],[Athlete Name]],listNames,0),2)</f>
        <v>Athlete 10</v>
      </c>
      <c r="D570" s="80" t="s">
        <v>130</v>
      </c>
      <c r="E570" s="80">
        <v>8</v>
      </c>
      <c r="F570" s="80">
        <v>6</v>
      </c>
      <c r="G570" s="80">
        <v>6</v>
      </c>
      <c r="H570" s="80" t="s">
        <v>131</v>
      </c>
      <c r="I570" s="80">
        <v>7</v>
      </c>
      <c r="J570" s="80"/>
      <c r="K570" s="80"/>
      <c r="L570" s="80"/>
      <c r="M570" s="1" t="s">
        <v>885</v>
      </c>
      <c r="N570" s="1">
        <v>38</v>
      </c>
      <c r="O570" s="1">
        <v>6</v>
      </c>
      <c r="P570" s="13">
        <v>44820</v>
      </c>
      <c r="Q570" s="1" t="s">
        <v>133</v>
      </c>
      <c r="R570" s="1" t="s">
        <v>64</v>
      </c>
      <c r="S570" s="1">
        <v>1</v>
      </c>
      <c r="T570" s="1"/>
      <c r="U570" s="1" t="s">
        <v>18</v>
      </c>
      <c r="V570" s="76">
        <v>8</v>
      </c>
      <c r="W570" s="76">
        <v>0.92582009977255164</v>
      </c>
      <c r="X570" s="77">
        <v>0</v>
      </c>
      <c r="Y570" s="77">
        <v>3</v>
      </c>
      <c r="Z570" s="76">
        <v>7.1428571428571432</v>
      </c>
      <c r="AA570" s="76">
        <v>1.1248582677159729</v>
      </c>
      <c r="AB570" s="77">
        <v>-1.0160010160015245</v>
      </c>
      <c r="AC570" s="77">
        <v>1</v>
      </c>
      <c r="AD570" s="76">
        <v>7.2857142857142856</v>
      </c>
      <c r="AE570" s="76">
        <v>1.2777531299998799</v>
      </c>
      <c r="AF570" s="77">
        <v>-1.0062305898749053</v>
      </c>
      <c r="AG570" s="77">
        <v>1</v>
      </c>
      <c r="AH570" s="76">
        <v>7.2857142857142856</v>
      </c>
      <c r="AI570" s="76">
        <v>0.6998542122237652</v>
      </c>
      <c r="AJ570" s="77">
        <v>-0.4082482904638628</v>
      </c>
      <c r="AK570" s="77">
        <v>2</v>
      </c>
      <c r="AL570" s="76"/>
      <c r="AM570" s="76"/>
      <c r="AN570" s="77"/>
      <c r="AO570" s="77"/>
      <c r="AP570" s="76"/>
      <c r="AQ570" s="76"/>
      <c r="AR570" s="77"/>
      <c r="AS570" s="77"/>
      <c r="AT570" s="78">
        <v>0.375</v>
      </c>
    </row>
    <row r="571" spans="1:46" ht="12.5" x14ac:dyDescent="0.25">
      <c r="A571" s="79">
        <v>44820.468646238427</v>
      </c>
      <c r="B571" s="80" t="s">
        <v>6</v>
      </c>
      <c r="C571" s="80" t="str">
        <f>INDEX(TBL_Name,MATCH(Table2[[#This Row],[Athlete Name]],listNames,0),2)</f>
        <v>Athlete 2</v>
      </c>
      <c r="D571" s="80" t="s">
        <v>143</v>
      </c>
      <c r="E571" s="80">
        <v>8</v>
      </c>
      <c r="F571" s="80">
        <v>8</v>
      </c>
      <c r="G571" s="80">
        <v>10</v>
      </c>
      <c r="H571" s="80" t="s">
        <v>231</v>
      </c>
      <c r="I571" s="80">
        <v>8</v>
      </c>
      <c r="J571" s="80"/>
      <c r="K571" s="80"/>
      <c r="L571" s="80"/>
      <c r="M571" s="1" t="s">
        <v>886</v>
      </c>
      <c r="N571" s="1">
        <v>38</v>
      </c>
      <c r="O571" s="1">
        <v>6</v>
      </c>
      <c r="P571" s="13">
        <v>44820</v>
      </c>
      <c r="Q571" s="1" t="s">
        <v>133</v>
      </c>
      <c r="R571" s="1" t="s">
        <v>64</v>
      </c>
      <c r="S571" s="1">
        <v>2</v>
      </c>
      <c r="T571" s="1"/>
      <c r="U571" s="1" t="s">
        <v>5</v>
      </c>
      <c r="V571" s="76">
        <v>8.7142857142857135</v>
      </c>
      <c r="W571" s="76">
        <v>0.69985421222376532</v>
      </c>
      <c r="X571" s="77">
        <v>-1.0206207261596563</v>
      </c>
      <c r="Y571" s="77">
        <v>1</v>
      </c>
      <c r="Z571" s="76">
        <v>7.7142857142857144</v>
      </c>
      <c r="AA571" s="76">
        <v>1.2777531299998799</v>
      </c>
      <c r="AB571" s="77">
        <v>0.22360679774997885</v>
      </c>
      <c r="AC571" s="77">
        <v>3</v>
      </c>
      <c r="AD571" s="76">
        <v>8.2857142857142865</v>
      </c>
      <c r="AE571" s="76">
        <v>0.88063057185271076</v>
      </c>
      <c r="AF571" s="77">
        <v>1.9466570535691499</v>
      </c>
      <c r="AG571" s="77">
        <v>4</v>
      </c>
      <c r="AH571" s="76">
        <v>7</v>
      </c>
      <c r="AI571" s="76">
        <v>0.92582009977255153</v>
      </c>
      <c r="AJ571" s="77">
        <v>1.0801234497346432</v>
      </c>
      <c r="AK571" s="77">
        <v>4</v>
      </c>
      <c r="AL571" s="76"/>
      <c r="AM571" s="76"/>
      <c r="AN571" s="77"/>
      <c r="AO571" s="77"/>
      <c r="AP571" s="76"/>
      <c r="AQ571" s="76"/>
      <c r="AR571" s="77"/>
      <c r="AS571" s="77"/>
      <c r="AT571" s="78">
        <v>0.4375</v>
      </c>
    </row>
    <row r="572" spans="1:46" ht="12.5" x14ac:dyDescent="0.25">
      <c r="A572" s="79">
        <v>44820.762420844912</v>
      </c>
      <c r="B572" s="80" t="s">
        <v>136</v>
      </c>
      <c r="C572" s="80" t="str">
        <f>INDEX(TBL_Name,MATCH(Table2[[#This Row],[Athlete Name]],listNames,0),2)</f>
        <v>Athlete 20</v>
      </c>
      <c r="D572" s="80" t="s">
        <v>130</v>
      </c>
      <c r="E572" s="80">
        <v>7</v>
      </c>
      <c r="F572" s="80">
        <v>8</v>
      </c>
      <c r="G572" s="80">
        <v>7</v>
      </c>
      <c r="H572" s="80"/>
      <c r="I572" s="80">
        <v>10</v>
      </c>
      <c r="J572" s="80"/>
      <c r="K572" s="80"/>
      <c r="L572" s="80"/>
      <c r="M572" s="1" t="s">
        <v>887</v>
      </c>
      <c r="N572" s="1">
        <v>38</v>
      </c>
      <c r="O572" s="1">
        <v>6</v>
      </c>
      <c r="P572" s="13">
        <v>44820</v>
      </c>
      <c r="Q572" s="1" t="s">
        <v>133</v>
      </c>
      <c r="R572" s="1" t="s">
        <v>64</v>
      </c>
      <c r="S572" s="1">
        <v>1</v>
      </c>
      <c r="T572" s="1"/>
      <c r="U572" s="1" t="s">
        <v>18</v>
      </c>
      <c r="V572" s="76">
        <v>7.2857142857142856</v>
      </c>
      <c r="W572" s="76">
        <v>0.88063057185271076</v>
      </c>
      <c r="X572" s="77">
        <v>-0.32444284226152498</v>
      </c>
      <c r="Y572" s="77">
        <v>2</v>
      </c>
      <c r="Z572" s="76">
        <v>8</v>
      </c>
      <c r="AA572" s="76">
        <v>1.3093073414159542</v>
      </c>
      <c r="AB572" s="77">
        <v>0</v>
      </c>
      <c r="AC572" s="77">
        <v>3</v>
      </c>
      <c r="AD572" s="76">
        <v>7.5714285714285712</v>
      </c>
      <c r="AE572" s="76">
        <v>0.90350790290525118</v>
      </c>
      <c r="AF572" s="77">
        <v>-0.63245553203367566</v>
      </c>
      <c r="AG572" s="77">
        <v>2</v>
      </c>
      <c r="AH572" s="76">
        <v>8.4285714285714288</v>
      </c>
      <c r="AI572" s="76">
        <v>1.3997084244475304</v>
      </c>
      <c r="AJ572" s="77">
        <v>1.1226827987756232</v>
      </c>
      <c r="AK572" s="77">
        <v>4</v>
      </c>
      <c r="AL572" s="76"/>
      <c r="AM572" s="76"/>
      <c r="AN572" s="77"/>
      <c r="AO572" s="77"/>
      <c r="AP572" s="76"/>
      <c r="AQ572" s="76"/>
      <c r="AR572" s="77"/>
      <c r="AS572" s="77"/>
      <c r="AT572" s="78">
        <v>0.6875</v>
      </c>
    </row>
    <row r="573" spans="1:46" ht="12.5" x14ac:dyDescent="0.25">
      <c r="A573" s="79">
        <v>44820.924893888892</v>
      </c>
      <c r="B573" s="80" t="s">
        <v>15</v>
      </c>
      <c r="C573" s="80" t="str">
        <f>INDEX(TBL_Name,MATCH(Table2[[#This Row],[Athlete Name]],listNames,0),2)</f>
        <v>Athlete 8</v>
      </c>
      <c r="D573" s="80" t="s">
        <v>130</v>
      </c>
      <c r="E573" s="80">
        <v>10</v>
      </c>
      <c r="F573" s="80">
        <v>10</v>
      </c>
      <c r="G573" s="80">
        <v>9</v>
      </c>
      <c r="H573" s="80" t="s">
        <v>74</v>
      </c>
      <c r="I573" s="80">
        <v>10</v>
      </c>
      <c r="J573" s="80"/>
      <c r="K573" s="80"/>
      <c r="L573" s="80"/>
      <c r="M573" s="1" t="s">
        <v>888</v>
      </c>
      <c r="N573" s="1">
        <v>38</v>
      </c>
      <c r="O573" s="1">
        <v>6</v>
      </c>
      <c r="P573" s="13">
        <v>44820</v>
      </c>
      <c r="Q573" s="1" t="s">
        <v>133</v>
      </c>
      <c r="R573" s="1" t="s">
        <v>64</v>
      </c>
      <c r="S573" s="1">
        <v>1</v>
      </c>
      <c r="T573" s="1"/>
      <c r="U573" s="1" t="s">
        <v>14</v>
      </c>
      <c r="V573" s="76">
        <v>9.5</v>
      </c>
      <c r="W573" s="76">
        <v>0.86602540378443882</v>
      </c>
      <c r="X573" s="77">
        <v>0.57735026918962562</v>
      </c>
      <c r="Y573" s="77">
        <v>3</v>
      </c>
      <c r="Z573" s="76">
        <v>9.25</v>
      </c>
      <c r="AA573" s="76">
        <v>1.299038105676658</v>
      </c>
      <c r="AB573" s="77">
        <v>0.57735026918962573</v>
      </c>
      <c r="AC573" s="77">
        <v>3</v>
      </c>
      <c r="AD573" s="76">
        <v>8.25</v>
      </c>
      <c r="AE573" s="76">
        <v>0.82915619758884995</v>
      </c>
      <c r="AF573" s="77">
        <v>0.90453403373329089</v>
      </c>
      <c r="AG573" s="77">
        <v>3</v>
      </c>
      <c r="AH573" s="76">
        <v>8.75</v>
      </c>
      <c r="AI573" s="76">
        <v>1.299038105676658</v>
      </c>
      <c r="AJ573" s="77">
        <v>0.96225044864937626</v>
      </c>
      <c r="AK573" s="77">
        <v>3</v>
      </c>
      <c r="AL573" s="76"/>
      <c r="AM573" s="76"/>
      <c r="AN573" s="77"/>
      <c r="AO573" s="77"/>
      <c r="AP573" s="76"/>
      <c r="AQ573" s="76"/>
      <c r="AR573" s="77"/>
      <c r="AS573" s="77"/>
      <c r="AT573" s="78">
        <v>0.6875</v>
      </c>
    </row>
    <row r="574" spans="1:46" ht="12.5" x14ac:dyDescent="0.25">
      <c r="A574" s="79">
        <v>44821.27177284722</v>
      </c>
      <c r="B574" s="80" t="s">
        <v>21</v>
      </c>
      <c r="C574" s="80" t="str">
        <f>INDEX(TBL_Name,MATCH(Table2[[#This Row],[Athlete Name]],listNames,0),2)</f>
        <v>Athlete 13</v>
      </c>
      <c r="D574" s="80" t="s">
        <v>130</v>
      </c>
      <c r="E574" s="80">
        <v>9</v>
      </c>
      <c r="F574" s="80">
        <v>7</v>
      </c>
      <c r="G574" s="80">
        <v>9</v>
      </c>
      <c r="H574" s="80" t="s">
        <v>715</v>
      </c>
      <c r="I574" s="80">
        <v>8</v>
      </c>
      <c r="J574" s="80"/>
      <c r="K574" s="80"/>
      <c r="L574" s="80"/>
      <c r="M574" s="1" t="s">
        <v>889</v>
      </c>
      <c r="N574" s="1">
        <v>38</v>
      </c>
      <c r="O574" s="1">
        <v>6</v>
      </c>
      <c r="P574" s="13">
        <v>44821</v>
      </c>
      <c r="Q574" s="1" t="s">
        <v>133</v>
      </c>
      <c r="R574" s="1" t="s">
        <v>64</v>
      </c>
      <c r="S574" s="1">
        <v>1</v>
      </c>
      <c r="T574" s="1"/>
      <c r="U574" s="1" t="s">
        <v>18</v>
      </c>
      <c r="V574" s="76">
        <v>7.8571428571428568</v>
      </c>
      <c r="W574" s="76">
        <v>0.83299312783504276</v>
      </c>
      <c r="X574" s="77">
        <v>1.3719886811400714</v>
      </c>
      <c r="Y574" s="77">
        <v>4</v>
      </c>
      <c r="Z574" s="76">
        <v>8.2857142857142865</v>
      </c>
      <c r="AA574" s="76">
        <v>1.0301575072754257</v>
      </c>
      <c r="AB574" s="77">
        <v>-1.2480754415067661</v>
      </c>
      <c r="AC574" s="77">
        <v>1</v>
      </c>
      <c r="AD574" s="76">
        <v>9</v>
      </c>
      <c r="AE574" s="76">
        <v>0.53452248382484879</v>
      </c>
      <c r="AF574" s="77">
        <v>0</v>
      </c>
      <c r="AG574" s="77">
        <v>3</v>
      </c>
      <c r="AH574" s="76">
        <v>6.4285714285714288</v>
      </c>
      <c r="AI574" s="76">
        <v>1.1780301787479031</v>
      </c>
      <c r="AJ574" s="77">
        <v>1.3339459376998311</v>
      </c>
      <c r="AK574" s="77">
        <v>4</v>
      </c>
      <c r="AL574" s="76"/>
      <c r="AM574" s="76"/>
      <c r="AN574" s="77"/>
      <c r="AO574" s="77"/>
      <c r="AP574" s="76"/>
      <c r="AQ574" s="76"/>
      <c r="AR574" s="77"/>
      <c r="AS574" s="77"/>
      <c r="AT574" s="78">
        <v>0.75</v>
      </c>
    </row>
    <row r="575" spans="1:46" ht="12.5" x14ac:dyDescent="0.25">
      <c r="A575" s="79">
        <v>44821.271809351849</v>
      </c>
      <c r="B575" s="80" t="s">
        <v>196</v>
      </c>
      <c r="C575" s="80" t="str">
        <f>INDEX(TBL_Name,MATCH(Table2[[#This Row],[Athlete Name]],listNames,0),2)</f>
        <v>Athlete 31</v>
      </c>
      <c r="D575" s="80" t="s">
        <v>130</v>
      </c>
      <c r="E575" s="80">
        <v>7</v>
      </c>
      <c r="F575" s="80">
        <v>9</v>
      </c>
      <c r="G575" s="80">
        <v>7</v>
      </c>
      <c r="H575" s="80" t="s">
        <v>598</v>
      </c>
      <c r="I575" s="80">
        <v>9</v>
      </c>
      <c r="J575" s="80"/>
      <c r="K575" s="80"/>
      <c r="L575" s="80"/>
      <c r="M575" s="1" t="s">
        <v>890</v>
      </c>
      <c r="N575" s="1">
        <v>38</v>
      </c>
      <c r="O575" s="1">
        <v>6</v>
      </c>
      <c r="P575" s="13">
        <v>44821</v>
      </c>
      <c r="Q575" s="1" t="s">
        <v>133</v>
      </c>
      <c r="R575" s="1" t="s">
        <v>64</v>
      </c>
      <c r="S575" s="1">
        <v>1</v>
      </c>
      <c r="T575" s="1"/>
      <c r="U575" s="1" t="s">
        <v>28</v>
      </c>
      <c r="V575" s="76">
        <v>6.333333333333333</v>
      </c>
      <c r="W575" s="76">
        <v>0.47140452079103157</v>
      </c>
      <c r="X575" s="77">
        <v>1.414213562373096</v>
      </c>
      <c r="Y575" s="77">
        <v>4</v>
      </c>
      <c r="Z575" s="76">
        <v>8.1666666666666661</v>
      </c>
      <c r="AA575" s="76">
        <v>0.89752746785575077</v>
      </c>
      <c r="AB575" s="77">
        <v>0.92847669088525986</v>
      </c>
      <c r="AC575" s="77">
        <v>3</v>
      </c>
      <c r="AD575" s="76">
        <v>8</v>
      </c>
      <c r="AE575" s="76">
        <v>0.8164965809277257</v>
      </c>
      <c r="AF575" s="77">
        <v>-1.2247448713915896</v>
      </c>
      <c r="AG575" s="77">
        <v>1</v>
      </c>
      <c r="AH575" s="76">
        <v>9</v>
      </c>
      <c r="AI575" s="76">
        <v>0</v>
      </c>
      <c r="AJ575" s="77">
        <v>0</v>
      </c>
      <c r="AK575" s="77">
        <v>3</v>
      </c>
      <c r="AL575" s="76"/>
      <c r="AM575" s="76"/>
      <c r="AN575" s="77"/>
      <c r="AO575" s="77"/>
      <c r="AP575" s="76"/>
      <c r="AQ575" s="76"/>
      <c r="AR575" s="77"/>
      <c r="AS575" s="77"/>
      <c r="AT575" s="78">
        <v>1</v>
      </c>
    </row>
    <row r="576" spans="1:46" ht="12.5" x14ac:dyDescent="0.25">
      <c r="A576" s="79">
        <v>44821.28227787037</v>
      </c>
      <c r="B576" s="80" t="s">
        <v>148</v>
      </c>
      <c r="C576" s="80" t="str">
        <f>INDEX(TBL_Name,MATCH(Table2[[#This Row],[Athlete Name]],listNames,0),2)</f>
        <v>Athlete 22</v>
      </c>
      <c r="D576" s="80" t="s">
        <v>130</v>
      </c>
      <c r="E576" s="80">
        <v>7</v>
      </c>
      <c r="F576" s="80">
        <v>7</v>
      </c>
      <c r="G576" s="80">
        <v>8</v>
      </c>
      <c r="H576" s="80" t="s">
        <v>205</v>
      </c>
      <c r="I576" s="80">
        <v>4</v>
      </c>
      <c r="J576" s="80"/>
      <c r="K576" s="80"/>
      <c r="L576" s="80"/>
      <c r="M576" s="1" t="s">
        <v>891</v>
      </c>
      <c r="N576" s="1">
        <v>38</v>
      </c>
      <c r="O576" s="1">
        <v>6</v>
      </c>
      <c r="P576" s="13">
        <v>44821</v>
      </c>
      <c r="Q576" s="1" t="s">
        <v>133</v>
      </c>
      <c r="R576" s="1" t="s">
        <v>64</v>
      </c>
      <c r="S576" s="1">
        <v>1</v>
      </c>
      <c r="T576" s="1"/>
      <c r="U576" s="1" t="s">
        <v>11</v>
      </c>
      <c r="V576" s="76">
        <v>9</v>
      </c>
      <c r="W576" s="76">
        <v>1.4142135623730951</v>
      </c>
      <c r="X576" s="77">
        <v>-1.4142135623730949</v>
      </c>
      <c r="Y576" s="77">
        <v>1</v>
      </c>
      <c r="Z576" s="76">
        <v>7</v>
      </c>
      <c r="AA576" s="76">
        <v>0.81649658092772603</v>
      </c>
      <c r="AB576" s="77">
        <v>0</v>
      </c>
      <c r="AC576" s="77">
        <v>3</v>
      </c>
      <c r="AD576" s="76">
        <v>7.333333333333333</v>
      </c>
      <c r="AE576" s="76">
        <v>0.47140452079103179</v>
      </c>
      <c r="AF576" s="77">
        <v>1.4142135623730954</v>
      </c>
      <c r="AG576" s="77">
        <v>4</v>
      </c>
      <c r="AH576" s="76">
        <v>5</v>
      </c>
      <c r="AI576" s="76">
        <v>1.4142135623730951</v>
      </c>
      <c r="AJ576" s="77">
        <v>-0.70710678118654746</v>
      </c>
      <c r="AK576" s="77">
        <v>2</v>
      </c>
      <c r="AL576" s="76"/>
      <c r="AM576" s="76"/>
      <c r="AN576" s="77"/>
      <c r="AO576" s="77"/>
      <c r="AP576" s="76"/>
      <c r="AQ576" s="76"/>
      <c r="AR576" s="77"/>
      <c r="AS576" s="77"/>
      <c r="AT576" s="78">
        <v>0.3125</v>
      </c>
    </row>
    <row r="577" spans="1:46" ht="12.5" x14ac:dyDescent="0.25">
      <c r="A577" s="79">
        <v>44821.294906967596</v>
      </c>
      <c r="B577" s="80" t="s">
        <v>6</v>
      </c>
      <c r="C577" s="80" t="str">
        <f>INDEX(TBL_Name,MATCH(Table2[[#This Row],[Athlete Name]],listNames,0),2)</f>
        <v>Athlete 2</v>
      </c>
      <c r="D577" s="80" t="s">
        <v>143</v>
      </c>
      <c r="E577" s="80">
        <v>8</v>
      </c>
      <c r="F577" s="80">
        <v>8</v>
      </c>
      <c r="G577" s="80">
        <v>7</v>
      </c>
      <c r="H577" s="80" t="s">
        <v>231</v>
      </c>
      <c r="I577" s="80">
        <v>8</v>
      </c>
      <c r="J577" s="80"/>
      <c r="K577" s="80"/>
      <c r="L577" s="80"/>
      <c r="M577" s="1" t="s">
        <v>892</v>
      </c>
      <c r="N577" s="1">
        <v>38</v>
      </c>
      <c r="O577" s="1">
        <v>6</v>
      </c>
      <c r="P577" s="13">
        <v>44821</v>
      </c>
      <c r="Q577" s="1" t="s">
        <v>133</v>
      </c>
      <c r="R577" s="1" t="s">
        <v>64</v>
      </c>
      <c r="S577" s="1">
        <v>2</v>
      </c>
      <c r="T577" s="1"/>
      <c r="U577" s="1" t="s">
        <v>5</v>
      </c>
      <c r="V577" s="76">
        <v>8.4285714285714288</v>
      </c>
      <c r="W577" s="76">
        <v>0.49487165930539351</v>
      </c>
      <c r="X577" s="77">
        <v>-0.86602540378443915</v>
      </c>
      <c r="Y577" s="77">
        <v>2</v>
      </c>
      <c r="Z577" s="76">
        <v>7.7142857142857144</v>
      </c>
      <c r="AA577" s="76">
        <v>1.2777531299998797</v>
      </c>
      <c r="AB577" s="77">
        <v>0.22360679774997891</v>
      </c>
      <c r="AC577" s="77">
        <v>3</v>
      </c>
      <c r="AD577" s="76">
        <v>8.1428571428571423</v>
      </c>
      <c r="AE577" s="76">
        <v>0.98974331861078713</v>
      </c>
      <c r="AF577" s="77">
        <v>-1.1547005383792508</v>
      </c>
      <c r="AG577" s="77">
        <v>1</v>
      </c>
      <c r="AH577" s="76">
        <v>7.1428571428571432</v>
      </c>
      <c r="AI577" s="76">
        <v>0.98974331861078702</v>
      </c>
      <c r="AJ577" s="77">
        <v>0.86602540378443826</v>
      </c>
      <c r="AK577" s="77">
        <v>3</v>
      </c>
      <c r="AL577" s="76"/>
      <c r="AM577" s="76"/>
      <c r="AN577" s="77"/>
      <c r="AO577" s="77"/>
      <c r="AP577" s="76"/>
      <c r="AQ577" s="76"/>
      <c r="AR577" s="77"/>
      <c r="AS577" s="77"/>
      <c r="AT577" s="78">
        <v>0.4375</v>
      </c>
    </row>
    <row r="578" spans="1:46" ht="12.5" x14ac:dyDescent="0.25">
      <c r="A578" s="79">
        <v>44821.310175613427</v>
      </c>
      <c r="B578" s="80" t="s">
        <v>25</v>
      </c>
      <c r="C578" s="80" t="str">
        <f>INDEX(TBL_Name,MATCH(Table2[[#This Row],[Athlete Name]],listNames,0),2)</f>
        <v>Athlete 23</v>
      </c>
      <c r="D578" s="80" t="s">
        <v>150</v>
      </c>
      <c r="E578" s="80">
        <v>9</v>
      </c>
      <c r="F578" s="80">
        <v>8</v>
      </c>
      <c r="G578" s="80">
        <v>8</v>
      </c>
      <c r="H578" s="80" t="s">
        <v>66</v>
      </c>
      <c r="I578" s="80">
        <v>8</v>
      </c>
      <c r="J578" s="80"/>
      <c r="K578" s="80"/>
      <c r="L578" s="80"/>
      <c r="M578" s="1" t="s">
        <v>893</v>
      </c>
      <c r="N578" s="1">
        <v>38</v>
      </c>
      <c r="O578" s="1">
        <v>6</v>
      </c>
      <c r="P578" s="13">
        <v>44821</v>
      </c>
      <c r="Q578" s="1" t="s">
        <v>133</v>
      </c>
      <c r="R578" s="1" t="s">
        <v>64</v>
      </c>
      <c r="S578" s="1">
        <v>3</v>
      </c>
      <c r="T578" s="1"/>
      <c r="U578" s="1" t="s">
        <v>26</v>
      </c>
      <c r="V578" s="76">
        <v>7.333333333333333</v>
      </c>
      <c r="W578" s="76">
        <v>1.699673171197595</v>
      </c>
      <c r="X578" s="77">
        <v>0.98058067569092033</v>
      </c>
      <c r="Y578" s="77">
        <v>3</v>
      </c>
      <c r="Z578" s="76">
        <v>7.333333333333333</v>
      </c>
      <c r="AA578" s="76">
        <v>0.47140452079103179</v>
      </c>
      <c r="AB578" s="77">
        <v>1.4142135623730954</v>
      </c>
      <c r="AC578" s="77">
        <v>4</v>
      </c>
      <c r="AD578" s="76">
        <v>8.6666666666666661</v>
      </c>
      <c r="AE578" s="76">
        <v>0.47140452079103146</v>
      </c>
      <c r="AF578" s="77">
        <v>-1.4142135623730945</v>
      </c>
      <c r="AG578" s="77">
        <v>1</v>
      </c>
      <c r="AH578" s="76">
        <v>6.666666666666667</v>
      </c>
      <c r="AI578" s="76">
        <v>1.247219128924647</v>
      </c>
      <c r="AJ578" s="77">
        <v>1.0690449676496974</v>
      </c>
      <c r="AK578" s="77">
        <v>4</v>
      </c>
      <c r="AL578" s="76"/>
      <c r="AM578" s="76"/>
      <c r="AN578" s="77"/>
      <c r="AO578" s="77"/>
      <c r="AP578" s="76"/>
      <c r="AQ578" s="76"/>
      <c r="AR578" s="77"/>
      <c r="AS578" s="77"/>
      <c r="AT578" s="78">
        <v>0.75</v>
      </c>
    </row>
    <row r="579" spans="1:46" ht="12.5" x14ac:dyDescent="0.25">
      <c r="A579" s="79">
        <v>44821.312575763892</v>
      </c>
      <c r="B579" s="80" t="s">
        <v>185</v>
      </c>
      <c r="C579" s="80" t="str">
        <f>INDEX(TBL_Name,MATCH(Table2[[#This Row],[Athlete Name]],listNames,0),2)</f>
        <v>Athlete 30</v>
      </c>
      <c r="D579" s="80" t="s">
        <v>130</v>
      </c>
      <c r="E579" s="80">
        <v>6</v>
      </c>
      <c r="F579" s="80">
        <v>5</v>
      </c>
      <c r="G579" s="80">
        <v>6</v>
      </c>
      <c r="H579" s="80" t="s">
        <v>326</v>
      </c>
      <c r="I579" s="80">
        <v>8</v>
      </c>
      <c r="J579" s="80"/>
      <c r="K579" s="80"/>
      <c r="L579" s="80"/>
      <c r="M579" s="1" t="s">
        <v>894</v>
      </c>
      <c r="N579" s="1">
        <v>38</v>
      </c>
      <c r="O579" s="1">
        <v>6</v>
      </c>
      <c r="P579" s="13">
        <v>44821</v>
      </c>
      <c r="Q579" s="1" t="s">
        <v>133</v>
      </c>
      <c r="R579" s="1" t="s">
        <v>64</v>
      </c>
      <c r="S579" s="1">
        <v>1</v>
      </c>
      <c r="T579" s="1"/>
      <c r="U579" s="1" t="s">
        <v>26</v>
      </c>
      <c r="V579" s="76">
        <v>7</v>
      </c>
      <c r="W579" s="76">
        <v>1</v>
      </c>
      <c r="X579" s="77">
        <v>-1</v>
      </c>
      <c r="Y579" s="77">
        <v>1</v>
      </c>
      <c r="Z579" s="76">
        <v>5</v>
      </c>
      <c r="AA579" s="76">
        <v>0</v>
      </c>
      <c r="AB579" s="77">
        <v>0</v>
      </c>
      <c r="AC579" s="77">
        <v>3</v>
      </c>
      <c r="AD579" s="76">
        <v>7</v>
      </c>
      <c r="AE579" s="76">
        <v>1</v>
      </c>
      <c r="AF579" s="77">
        <v>-1</v>
      </c>
      <c r="AG579" s="77">
        <v>1</v>
      </c>
      <c r="AH579" s="76">
        <v>8</v>
      </c>
      <c r="AI579" s="76">
        <v>0</v>
      </c>
      <c r="AJ579" s="77">
        <v>0</v>
      </c>
      <c r="AK579" s="77">
        <v>3</v>
      </c>
      <c r="AL579" s="76"/>
      <c r="AM579" s="76"/>
      <c r="AN579" s="77"/>
      <c r="AO579" s="77"/>
      <c r="AP579" s="76"/>
      <c r="AQ579" s="76"/>
      <c r="AR579" s="77"/>
      <c r="AS579" s="77"/>
      <c r="AT579" s="78">
        <v>0.4375</v>
      </c>
    </row>
    <row r="580" spans="1:46" ht="12.5" x14ac:dyDescent="0.25">
      <c r="A580" s="79">
        <v>44821.316289826384</v>
      </c>
      <c r="B580" s="80" t="s">
        <v>10</v>
      </c>
      <c r="C580" s="80" t="str">
        <f>INDEX(TBL_Name,MATCH(Table2[[#This Row],[Athlete Name]],listNames,0),2)</f>
        <v>Athlete 5</v>
      </c>
      <c r="D580" s="80" t="s">
        <v>130</v>
      </c>
      <c r="E580" s="80">
        <v>9</v>
      </c>
      <c r="F580" s="80">
        <v>8</v>
      </c>
      <c r="G580" s="80">
        <v>7.5</v>
      </c>
      <c r="H580" s="80" t="s">
        <v>450</v>
      </c>
      <c r="I580" s="80">
        <v>7</v>
      </c>
      <c r="J580" s="80"/>
      <c r="K580" s="80"/>
      <c r="L580" s="80"/>
      <c r="M580" s="1" t="s">
        <v>895</v>
      </c>
      <c r="N580" s="1">
        <v>38</v>
      </c>
      <c r="O580" s="1">
        <v>6</v>
      </c>
      <c r="P580" s="13">
        <v>44821</v>
      </c>
      <c r="Q580" s="1" t="s">
        <v>133</v>
      </c>
      <c r="R580" s="1" t="s">
        <v>64</v>
      </c>
      <c r="S580" s="1">
        <v>1</v>
      </c>
      <c r="T580" s="1"/>
      <c r="U580" s="1" t="s">
        <v>11</v>
      </c>
      <c r="V580" s="76">
        <v>8</v>
      </c>
      <c r="W580" s="76">
        <v>0.75592894601845451</v>
      </c>
      <c r="X580" s="77">
        <v>1.3228756555322951</v>
      </c>
      <c r="Y580" s="77">
        <v>4</v>
      </c>
      <c r="Z580" s="76">
        <v>8.1428571428571423</v>
      </c>
      <c r="AA580" s="76">
        <v>0.63887656499994028</v>
      </c>
      <c r="AB580" s="77">
        <v>-0.22360679774997805</v>
      </c>
      <c r="AC580" s="77">
        <v>2</v>
      </c>
      <c r="AD580" s="76">
        <v>8.0714285714285712</v>
      </c>
      <c r="AE580" s="76">
        <v>0.6776309271789388</v>
      </c>
      <c r="AF580" s="77">
        <v>-0.84327404271156703</v>
      </c>
      <c r="AG580" s="77">
        <v>2</v>
      </c>
      <c r="AH580" s="76">
        <v>7</v>
      </c>
      <c r="AI580" s="76">
        <v>0.75592894601845451</v>
      </c>
      <c r="AJ580" s="77">
        <v>0</v>
      </c>
      <c r="AK580" s="77">
        <v>3</v>
      </c>
      <c r="AL580" s="76"/>
      <c r="AM580" s="76"/>
      <c r="AN580" s="77"/>
      <c r="AO580" s="77"/>
      <c r="AP580" s="76"/>
      <c r="AQ580" s="76"/>
      <c r="AR580" s="77"/>
      <c r="AS580" s="77"/>
      <c r="AT580" s="78">
        <v>0.625</v>
      </c>
    </row>
    <row r="581" spans="1:46" ht="12.5" x14ac:dyDescent="0.25">
      <c r="A581" s="79">
        <v>44821.317745034721</v>
      </c>
      <c r="B581" s="80" t="s">
        <v>171</v>
      </c>
      <c r="C581" s="80" t="str">
        <f>INDEX(TBL_Name,MATCH(Table2[[#This Row],[Athlete Name]],listNames,0),2)</f>
        <v>Athlete 27</v>
      </c>
      <c r="D581" s="80" t="s">
        <v>130</v>
      </c>
      <c r="E581" s="80">
        <v>10</v>
      </c>
      <c r="F581" s="80">
        <v>7</v>
      </c>
      <c r="G581" s="80">
        <v>7</v>
      </c>
      <c r="H581" s="80"/>
      <c r="I581" s="80">
        <v>10</v>
      </c>
      <c r="J581" s="80"/>
      <c r="K581" s="80"/>
      <c r="L581" s="80"/>
      <c r="M581" s="1" t="s">
        <v>896</v>
      </c>
      <c r="N581" s="1">
        <v>38</v>
      </c>
      <c r="O581" s="1">
        <v>6</v>
      </c>
      <c r="P581" s="13">
        <v>44821</v>
      </c>
      <c r="Q581" s="1" t="s">
        <v>133</v>
      </c>
      <c r="R581" s="1" t="s">
        <v>64</v>
      </c>
      <c r="S581" s="1">
        <v>1</v>
      </c>
      <c r="T581" s="1"/>
      <c r="U581" s="1" t="s">
        <v>8</v>
      </c>
      <c r="V581" s="76">
        <v>10</v>
      </c>
      <c r="W581" s="76">
        <v>0</v>
      </c>
      <c r="X581" s="77">
        <v>0</v>
      </c>
      <c r="Y581" s="77">
        <v>3</v>
      </c>
      <c r="Z581" s="76">
        <v>8.5</v>
      </c>
      <c r="AA581" s="76">
        <v>1.1180339887498949</v>
      </c>
      <c r="AB581" s="77">
        <v>-1.3416407864998738</v>
      </c>
      <c r="AC581" s="77">
        <v>1</v>
      </c>
      <c r="AD581" s="76">
        <v>8.25</v>
      </c>
      <c r="AE581" s="76">
        <v>0.82915619758884984</v>
      </c>
      <c r="AF581" s="77">
        <v>-1.5075567228888183</v>
      </c>
      <c r="AG581" s="77">
        <v>1</v>
      </c>
      <c r="AH581" s="76">
        <v>10</v>
      </c>
      <c r="AI581" s="76">
        <v>0</v>
      </c>
      <c r="AJ581" s="77">
        <v>0</v>
      </c>
      <c r="AK581" s="77">
        <v>3</v>
      </c>
      <c r="AL581" s="76"/>
      <c r="AM581" s="76"/>
      <c r="AN581" s="77"/>
      <c r="AO581" s="77"/>
      <c r="AP581" s="76"/>
      <c r="AQ581" s="76"/>
      <c r="AR581" s="77"/>
      <c r="AS581" s="77"/>
      <c r="AT581" s="78">
        <v>0.75</v>
      </c>
    </row>
    <row r="582" spans="1:46" ht="12.5" x14ac:dyDescent="0.25">
      <c r="A582" s="79">
        <v>44821.317778784723</v>
      </c>
      <c r="B582" s="80" t="s">
        <v>17</v>
      </c>
      <c r="C582" s="80" t="str">
        <f>INDEX(TBL_Name,MATCH(Table2[[#This Row],[Athlete Name]],listNames,0),2)</f>
        <v>Athlete 10</v>
      </c>
      <c r="D582" s="80" t="s">
        <v>130</v>
      </c>
      <c r="E582" s="80">
        <v>6</v>
      </c>
      <c r="F582" s="80">
        <v>7</v>
      </c>
      <c r="G582" s="80">
        <v>8</v>
      </c>
      <c r="H582" s="80" t="s">
        <v>131</v>
      </c>
      <c r="I582" s="80">
        <v>7</v>
      </c>
      <c r="J582" s="80"/>
      <c r="K582" s="80"/>
      <c r="L582" s="80"/>
      <c r="M582" s="1" t="s">
        <v>897</v>
      </c>
      <c r="N582" s="1">
        <v>38</v>
      </c>
      <c r="O582" s="1">
        <v>6</v>
      </c>
      <c r="P582" s="13">
        <v>44821</v>
      </c>
      <c r="Q582" s="1" t="s">
        <v>133</v>
      </c>
      <c r="R582" s="1" t="s">
        <v>64</v>
      </c>
      <c r="S582" s="1">
        <v>1</v>
      </c>
      <c r="T582" s="1"/>
      <c r="U582" s="1" t="s">
        <v>18</v>
      </c>
      <c r="V582" s="76">
        <v>7.5714285714285712</v>
      </c>
      <c r="W582" s="76">
        <v>1.0497813183356477</v>
      </c>
      <c r="X582" s="77">
        <v>-1.4969103983674976</v>
      </c>
      <c r="Y582" s="77">
        <v>1</v>
      </c>
      <c r="Z582" s="76">
        <v>7.2857142857142856</v>
      </c>
      <c r="AA582" s="76">
        <v>1.0301575072754257</v>
      </c>
      <c r="AB582" s="77">
        <v>-0.27735009811261441</v>
      </c>
      <c r="AC582" s="77">
        <v>2</v>
      </c>
      <c r="AD582" s="76">
        <v>7.5714285714285712</v>
      </c>
      <c r="AE582" s="76">
        <v>1.1780301787479031</v>
      </c>
      <c r="AF582" s="77">
        <v>0.36380343755449968</v>
      </c>
      <c r="AG582" s="77">
        <v>3</v>
      </c>
      <c r="AH582" s="76">
        <v>7.4285714285714288</v>
      </c>
      <c r="AI582" s="76">
        <v>0.49487165930539351</v>
      </c>
      <c r="AJ582" s="77">
        <v>-0.86602540378443915</v>
      </c>
      <c r="AK582" s="77">
        <v>2</v>
      </c>
      <c r="AL582" s="76"/>
      <c r="AM582" s="76"/>
      <c r="AN582" s="77"/>
      <c r="AO582" s="77"/>
      <c r="AP582" s="76"/>
      <c r="AQ582" s="76"/>
      <c r="AR582" s="77"/>
      <c r="AS582" s="77"/>
      <c r="AT582" s="78">
        <v>0.5</v>
      </c>
    </row>
    <row r="583" spans="1:46" ht="12.5" x14ac:dyDescent="0.25">
      <c r="A583" s="79">
        <v>44821.322605138892</v>
      </c>
      <c r="B583" s="80" t="s">
        <v>15</v>
      </c>
      <c r="C583" s="80" t="str">
        <f>INDEX(TBL_Name,MATCH(Table2[[#This Row],[Athlete Name]],listNames,0),2)</f>
        <v>Athlete 8</v>
      </c>
      <c r="D583" s="80" t="s">
        <v>130</v>
      </c>
      <c r="E583" s="80">
        <v>8</v>
      </c>
      <c r="F583" s="80">
        <v>5</v>
      </c>
      <c r="G583" s="80">
        <v>7</v>
      </c>
      <c r="H583" s="80" t="s">
        <v>74</v>
      </c>
      <c r="I583" s="80">
        <v>9</v>
      </c>
      <c r="J583" s="80"/>
      <c r="K583" s="80"/>
      <c r="L583" s="80"/>
      <c r="M583" s="1" t="s">
        <v>898</v>
      </c>
      <c r="N583" s="1">
        <v>38</v>
      </c>
      <c r="O583" s="1">
        <v>6</v>
      </c>
      <c r="P583" s="13">
        <v>44821</v>
      </c>
      <c r="Q583" s="1" t="s">
        <v>133</v>
      </c>
      <c r="R583" s="1" t="s">
        <v>64</v>
      </c>
      <c r="S583" s="1">
        <v>1</v>
      </c>
      <c r="T583" s="1"/>
      <c r="U583" s="1" t="s">
        <v>14</v>
      </c>
      <c r="V583" s="76">
        <v>9</v>
      </c>
      <c r="W583" s="76">
        <v>1</v>
      </c>
      <c r="X583" s="77">
        <v>-1</v>
      </c>
      <c r="Y583" s="77">
        <v>1</v>
      </c>
      <c r="Z583" s="76">
        <v>8</v>
      </c>
      <c r="AA583" s="76">
        <v>2.1213203435596424</v>
      </c>
      <c r="AB583" s="77">
        <v>-1.4142135623730951</v>
      </c>
      <c r="AC583" s="77">
        <v>1</v>
      </c>
      <c r="AD583" s="76">
        <v>8</v>
      </c>
      <c r="AE583" s="76">
        <v>1</v>
      </c>
      <c r="AF583" s="77">
        <v>-1</v>
      </c>
      <c r="AG583" s="77">
        <v>1</v>
      </c>
      <c r="AH583" s="76">
        <v>8.5</v>
      </c>
      <c r="AI583" s="76">
        <v>1.1180339887498947</v>
      </c>
      <c r="AJ583" s="77">
        <v>0.44721359549995798</v>
      </c>
      <c r="AK583" s="77">
        <v>3</v>
      </c>
      <c r="AL583" s="76"/>
      <c r="AM583" s="76"/>
      <c r="AN583" s="77"/>
      <c r="AO583" s="77"/>
      <c r="AP583" s="76"/>
      <c r="AQ583" s="76"/>
      <c r="AR583" s="77"/>
      <c r="AS583" s="77"/>
      <c r="AT583" s="78">
        <v>0.375</v>
      </c>
    </row>
    <row r="584" spans="1:46" ht="12.5" x14ac:dyDescent="0.25">
      <c r="A584" s="79">
        <v>44821.327525370369</v>
      </c>
      <c r="B584" s="80" t="s">
        <v>168</v>
      </c>
      <c r="C584" s="80" t="str">
        <f>INDEX(TBL_Name,MATCH(Table2[[#This Row],[Athlete Name]],listNames,0),2)</f>
        <v>Athlete 26</v>
      </c>
      <c r="D584" s="80" t="s">
        <v>130</v>
      </c>
      <c r="E584" s="80">
        <v>6</v>
      </c>
      <c r="F584" s="80">
        <v>8</v>
      </c>
      <c r="G584" s="80">
        <v>8</v>
      </c>
      <c r="H584" s="80"/>
      <c r="I584" s="80">
        <v>6</v>
      </c>
      <c r="J584" s="80"/>
      <c r="K584" s="80"/>
      <c r="L584" s="80"/>
      <c r="M584" s="1" t="s">
        <v>899</v>
      </c>
      <c r="N584" s="1">
        <v>38</v>
      </c>
      <c r="O584" s="1">
        <v>6</v>
      </c>
      <c r="P584" s="13">
        <v>44821</v>
      </c>
      <c r="Q584" s="1" t="s">
        <v>133</v>
      </c>
      <c r="R584" s="1" t="s">
        <v>64</v>
      </c>
      <c r="S584" s="1">
        <v>1</v>
      </c>
      <c r="T584" s="1"/>
      <c r="U584" s="1" t="s">
        <v>5</v>
      </c>
      <c r="V584" s="76">
        <v>5.666666666666667</v>
      </c>
      <c r="W584" s="76">
        <v>0.94280904158206358</v>
      </c>
      <c r="X584" s="77">
        <v>0.35355339059327334</v>
      </c>
      <c r="Y584" s="77">
        <v>3</v>
      </c>
      <c r="Z584" s="76">
        <v>7.333333333333333</v>
      </c>
      <c r="AA584" s="76">
        <v>1.4907119849998598</v>
      </c>
      <c r="AB584" s="77">
        <v>0.44721359549995815</v>
      </c>
      <c r="AC584" s="77">
        <v>3</v>
      </c>
      <c r="AD584" s="76">
        <v>7.833333333333333</v>
      </c>
      <c r="AE584" s="76">
        <v>0.89752746785575066</v>
      </c>
      <c r="AF584" s="77">
        <v>0.18569533817705219</v>
      </c>
      <c r="AG584" s="77">
        <v>3</v>
      </c>
      <c r="AH584" s="76">
        <v>6.333333333333333</v>
      </c>
      <c r="AI584" s="76">
        <v>0.7453559924999299</v>
      </c>
      <c r="AJ584" s="77">
        <v>-0.44721359549995754</v>
      </c>
      <c r="AK584" s="77">
        <v>2</v>
      </c>
      <c r="AL584" s="76"/>
      <c r="AM584" s="76"/>
      <c r="AN584" s="77"/>
      <c r="AO584" s="77"/>
      <c r="AP584" s="76"/>
      <c r="AQ584" s="76"/>
      <c r="AR584" s="77"/>
      <c r="AS584" s="77"/>
      <c r="AT584" s="78">
        <v>0.875</v>
      </c>
    </row>
    <row r="585" spans="1:46" ht="12.5" x14ac:dyDescent="0.25">
      <c r="A585" s="79">
        <v>44822.270468726856</v>
      </c>
      <c r="B585" s="80" t="s">
        <v>21</v>
      </c>
      <c r="C585" s="80" t="str">
        <f>INDEX(TBL_Name,MATCH(Table2[[#This Row],[Athlete Name]],listNames,0),2)</f>
        <v>Athlete 13</v>
      </c>
      <c r="D585" s="80" t="s">
        <v>130</v>
      </c>
      <c r="E585" s="80">
        <v>8</v>
      </c>
      <c r="F585" s="80">
        <v>8</v>
      </c>
      <c r="G585" s="80">
        <v>9</v>
      </c>
      <c r="H585" s="80" t="s">
        <v>715</v>
      </c>
      <c r="I585" s="80">
        <v>7</v>
      </c>
      <c r="J585" s="80"/>
      <c r="K585" s="80"/>
      <c r="L585" s="80"/>
      <c r="M585" s="1" t="s">
        <v>900</v>
      </c>
      <c r="N585" s="1">
        <v>39</v>
      </c>
      <c r="O585" s="1">
        <v>7</v>
      </c>
      <c r="P585" s="13">
        <v>44822</v>
      </c>
      <c r="Q585" s="1" t="s">
        <v>133</v>
      </c>
      <c r="R585" s="1" t="s">
        <v>64</v>
      </c>
      <c r="S585" s="1">
        <v>1</v>
      </c>
      <c r="T585" s="1"/>
      <c r="U585" s="1" t="s">
        <v>18</v>
      </c>
      <c r="V585" s="76">
        <v>8</v>
      </c>
      <c r="W585" s="76">
        <v>0.75592894601845451</v>
      </c>
      <c r="X585" s="77">
        <v>0</v>
      </c>
      <c r="Y585" s="77">
        <v>3</v>
      </c>
      <c r="Z585" s="76">
        <v>8.2857142857142865</v>
      </c>
      <c r="AA585" s="76">
        <v>1.0301575072754254</v>
      </c>
      <c r="AB585" s="77">
        <v>-0.2773500981126153</v>
      </c>
      <c r="AC585" s="77">
        <v>2</v>
      </c>
      <c r="AD585" s="76">
        <v>9</v>
      </c>
      <c r="AE585" s="76">
        <v>0.5345224838248489</v>
      </c>
      <c r="AF585" s="77">
        <v>0</v>
      </c>
      <c r="AG585" s="77">
        <v>3</v>
      </c>
      <c r="AH585" s="76">
        <v>6.2857142857142856</v>
      </c>
      <c r="AI585" s="76">
        <v>1.0301575072754257</v>
      </c>
      <c r="AJ585" s="77">
        <v>0.69337524528153638</v>
      </c>
      <c r="AK585" s="77">
        <v>3</v>
      </c>
      <c r="AL585" s="76"/>
      <c r="AM585" s="76"/>
      <c r="AN585" s="77"/>
      <c r="AO585" s="77"/>
      <c r="AP585" s="76"/>
      <c r="AQ585" s="76"/>
      <c r="AR585" s="77"/>
      <c r="AS585" s="77"/>
      <c r="AT585" s="78">
        <v>0.6875</v>
      </c>
    </row>
    <row r="586" spans="1:46" ht="12.5" x14ac:dyDescent="0.25">
      <c r="A586" s="79">
        <v>44822.29051924769</v>
      </c>
      <c r="B586" s="80" t="s">
        <v>148</v>
      </c>
      <c r="C586" s="80" t="str">
        <f>INDEX(TBL_Name,MATCH(Table2[[#This Row],[Athlete Name]],listNames,0),2)</f>
        <v>Athlete 22</v>
      </c>
      <c r="D586" s="80" t="s">
        <v>130</v>
      </c>
      <c r="E586" s="80">
        <v>10</v>
      </c>
      <c r="F586" s="80">
        <v>9</v>
      </c>
      <c r="G586" s="80">
        <v>8</v>
      </c>
      <c r="H586" s="80" t="s">
        <v>275</v>
      </c>
      <c r="I586" s="80">
        <v>6</v>
      </c>
      <c r="J586" s="80"/>
      <c r="K586" s="80"/>
      <c r="L586" s="80"/>
      <c r="M586" s="1" t="s">
        <v>901</v>
      </c>
      <c r="N586" s="1">
        <v>39</v>
      </c>
      <c r="O586" s="1">
        <v>7</v>
      </c>
      <c r="P586" s="13">
        <v>44822</v>
      </c>
      <c r="Q586" s="1" t="s">
        <v>133</v>
      </c>
      <c r="R586" s="1" t="s">
        <v>64</v>
      </c>
      <c r="S586" s="1">
        <v>1</v>
      </c>
      <c r="T586" s="1"/>
      <c r="U586" s="1" t="s">
        <v>11</v>
      </c>
      <c r="V586" s="76">
        <v>9.25</v>
      </c>
      <c r="W586" s="76">
        <v>1.299038105676658</v>
      </c>
      <c r="X586" s="77">
        <v>0.57735026918962573</v>
      </c>
      <c r="Y586" s="77">
        <v>3</v>
      </c>
      <c r="Z586" s="76">
        <v>7.5</v>
      </c>
      <c r="AA586" s="76">
        <v>1.1180339887498949</v>
      </c>
      <c r="AB586" s="77">
        <v>1.3416407864998738</v>
      </c>
      <c r="AC586" s="77">
        <v>4</v>
      </c>
      <c r="AD586" s="76">
        <v>7.5</v>
      </c>
      <c r="AE586" s="76">
        <v>0.50000000000000011</v>
      </c>
      <c r="AF586" s="77">
        <v>0.99999999999999978</v>
      </c>
      <c r="AG586" s="77">
        <v>4</v>
      </c>
      <c r="AH586" s="76">
        <v>5.25</v>
      </c>
      <c r="AI586" s="76">
        <v>1.299038105676658</v>
      </c>
      <c r="AJ586" s="77">
        <v>0.57735026918962573</v>
      </c>
      <c r="AK586" s="77">
        <v>3</v>
      </c>
      <c r="AL586" s="76"/>
      <c r="AM586" s="76"/>
      <c r="AN586" s="77"/>
      <c r="AO586" s="77"/>
      <c r="AP586" s="76"/>
      <c r="AQ586" s="76"/>
      <c r="AR586" s="77"/>
      <c r="AS586" s="77"/>
      <c r="AT586" s="78">
        <v>0.5</v>
      </c>
    </row>
    <row r="587" spans="1:46" ht="12.5" x14ac:dyDescent="0.25">
      <c r="A587" s="79">
        <v>44822.294335092593</v>
      </c>
      <c r="B587" s="80" t="s">
        <v>6</v>
      </c>
      <c r="C587" s="80" t="str">
        <f>INDEX(TBL_Name,MATCH(Table2[[#This Row],[Athlete Name]],listNames,0),2)</f>
        <v>Athlete 2</v>
      </c>
      <c r="D587" s="80" t="s">
        <v>143</v>
      </c>
      <c r="E587" s="80">
        <v>8</v>
      </c>
      <c r="F587" s="80">
        <v>8</v>
      </c>
      <c r="G587" s="80">
        <v>7</v>
      </c>
      <c r="H587" s="80" t="s">
        <v>231</v>
      </c>
      <c r="I587" s="80">
        <v>8</v>
      </c>
      <c r="J587" s="80"/>
      <c r="K587" s="80"/>
      <c r="L587" s="80"/>
      <c r="M587" s="1" t="s">
        <v>902</v>
      </c>
      <c r="N587" s="1">
        <v>39</v>
      </c>
      <c r="O587" s="1">
        <v>7</v>
      </c>
      <c r="P587" s="13">
        <v>44822</v>
      </c>
      <c r="Q587" s="1" t="s">
        <v>133</v>
      </c>
      <c r="R587" s="1" t="s">
        <v>64</v>
      </c>
      <c r="S587" s="1">
        <v>2</v>
      </c>
      <c r="T587" s="1"/>
      <c r="U587" s="1" t="s">
        <v>5</v>
      </c>
      <c r="V587" s="76">
        <v>8.4285714285714288</v>
      </c>
      <c r="W587" s="76">
        <v>0.4948716593053934</v>
      </c>
      <c r="X587" s="77">
        <v>-0.86602540378443937</v>
      </c>
      <c r="Y587" s="77">
        <v>2</v>
      </c>
      <c r="Z587" s="76">
        <v>8.1428571428571423</v>
      </c>
      <c r="AA587" s="76">
        <v>0.63887656499994006</v>
      </c>
      <c r="AB587" s="77">
        <v>-0.22360679774997813</v>
      </c>
      <c r="AC587" s="77">
        <v>2</v>
      </c>
      <c r="AD587" s="76">
        <v>8.1428571428571423</v>
      </c>
      <c r="AE587" s="76">
        <v>0.98974331861078679</v>
      </c>
      <c r="AF587" s="77">
        <v>-1.1547005383792512</v>
      </c>
      <c r="AG587" s="77">
        <v>1</v>
      </c>
      <c r="AH587" s="76">
        <v>7.2857142857142856</v>
      </c>
      <c r="AI587" s="76">
        <v>1.0301575072754257</v>
      </c>
      <c r="AJ587" s="77">
        <v>0.69337524528153638</v>
      </c>
      <c r="AK587" s="77">
        <v>3</v>
      </c>
      <c r="AL587" s="76"/>
      <c r="AM587" s="76"/>
      <c r="AN587" s="77"/>
      <c r="AO587" s="77"/>
      <c r="AP587" s="76"/>
      <c r="AQ587" s="76"/>
      <c r="AR587" s="77"/>
      <c r="AS587" s="77"/>
      <c r="AT587" s="78">
        <v>0.4375</v>
      </c>
    </row>
    <row r="588" spans="1:46" ht="12.5" x14ac:dyDescent="0.25">
      <c r="A588" s="79">
        <v>44822.296939664353</v>
      </c>
      <c r="B588" s="80" t="s">
        <v>185</v>
      </c>
      <c r="C588" s="80" t="str">
        <f>INDEX(TBL_Name,MATCH(Table2[[#This Row],[Athlete Name]],listNames,0),2)</f>
        <v>Athlete 30</v>
      </c>
      <c r="D588" s="80" t="s">
        <v>130</v>
      </c>
      <c r="E588" s="80">
        <v>6</v>
      </c>
      <c r="F588" s="80">
        <v>3</v>
      </c>
      <c r="G588" s="80">
        <v>5</v>
      </c>
      <c r="H588" s="80" t="s">
        <v>326</v>
      </c>
      <c r="I588" s="80">
        <v>8</v>
      </c>
      <c r="J588" s="80"/>
      <c r="K588" s="80"/>
      <c r="L588" s="80"/>
      <c r="M588" s="1" t="s">
        <v>903</v>
      </c>
      <c r="N588" s="1">
        <v>39</v>
      </c>
      <c r="O588" s="1">
        <v>7</v>
      </c>
      <c r="P588" s="13">
        <v>44822</v>
      </c>
      <c r="Q588" s="1" t="s">
        <v>133</v>
      </c>
      <c r="R588" s="1" t="s">
        <v>64</v>
      </c>
      <c r="S588" s="1">
        <v>1</v>
      </c>
      <c r="T588" s="1"/>
      <c r="U588" s="1" t="s">
        <v>26</v>
      </c>
      <c r="V588" s="76">
        <v>6.666666666666667</v>
      </c>
      <c r="W588" s="76">
        <v>0.94280904158206336</v>
      </c>
      <c r="X588" s="77">
        <v>-0.70710678118654779</v>
      </c>
      <c r="Y588" s="77">
        <v>2</v>
      </c>
      <c r="Z588" s="76">
        <v>4.333333333333333</v>
      </c>
      <c r="AA588" s="76">
        <v>0.94280904158206325</v>
      </c>
      <c r="AB588" s="77">
        <v>-1.4142135623730949</v>
      </c>
      <c r="AC588" s="77">
        <v>1</v>
      </c>
      <c r="AD588" s="76">
        <v>6.333333333333333</v>
      </c>
      <c r="AE588" s="76">
        <v>1.247219128924647</v>
      </c>
      <c r="AF588" s="77">
        <v>-1.0690449676496974</v>
      </c>
      <c r="AG588" s="77">
        <v>1</v>
      </c>
      <c r="AH588" s="76">
        <v>8</v>
      </c>
      <c r="AI588" s="76">
        <v>0</v>
      </c>
      <c r="AJ588" s="77">
        <v>0</v>
      </c>
      <c r="AK588" s="77">
        <v>3</v>
      </c>
      <c r="AL588" s="76"/>
      <c r="AM588" s="76"/>
      <c r="AN588" s="77"/>
      <c r="AO588" s="77"/>
      <c r="AP588" s="76"/>
      <c r="AQ588" s="76"/>
      <c r="AR588" s="77"/>
      <c r="AS588" s="77"/>
      <c r="AT588" s="78">
        <v>0.5</v>
      </c>
    </row>
    <row r="589" spans="1:46" ht="12.5" x14ac:dyDescent="0.25">
      <c r="A589" s="79">
        <v>44822.299870752315</v>
      </c>
      <c r="B589" s="80" t="s">
        <v>168</v>
      </c>
      <c r="C589" s="80" t="str">
        <f>INDEX(TBL_Name,MATCH(Table2[[#This Row],[Athlete Name]],listNames,0),2)</f>
        <v>Athlete 26</v>
      </c>
      <c r="D589" s="80" t="s">
        <v>130</v>
      </c>
      <c r="E589" s="80">
        <v>4</v>
      </c>
      <c r="F589" s="80">
        <v>9</v>
      </c>
      <c r="G589" s="80">
        <v>9</v>
      </c>
      <c r="H589" s="80" t="s">
        <v>287</v>
      </c>
      <c r="I589" s="80">
        <v>5</v>
      </c>
      <c r="J589" s="80"/>
      <c r="K589" s="80"/>
      <c r="L589" s="80"/>
      <c r="M589" s="1" t="s">
        <v>904</v>
      </c>
      <c r="N589" s="1">
        <v>39</v>
      </c>
      <c r="O589" s="1">
        <v>7</v>
      </c>
      <c r="P589" s="13">
        <v>44822</v>
      </c>
      <c r="Q589" s="1" t="s">
        <v>133</v>
      </c>
      <c r="R589" s="1" t="s">
        <v>64</v>
      </c>
      <c r="S589" s="1">
        <v>1</v>
      </c>
      <c r="T589" s="1"/>
      <c r="U589" s="1" t="s">
        <v>5</v>
      </c>
      <c r="V589" s="76">
        <v>5.166666666666667</v>
      </c>
      <c r="W589" s="76">
        <v>0.89752746785575077</v>
      </c>
      <c r="X589" s="77">
        <v>-1.2998673672393632</v>
      </c>
      <c r="Y589" s="77">
        <v>1</v>
      </c>
      <c r="Z589" s="76">
        <v>7.833333333333333</v>
      </c>
      <c r="AA589" s="76">
        <v>1.4624940645653537</v>
      </c>
      <c r="AB589" s="77">
        <v>0.79772403521746582</v>
      </c>
      <c r="AC589" s="77">
        <v>3</v>
      </c>
      <c r="AD589" s="76">
        <v>8.1666666666666661</v>
      </c>
      <c r="AE589" s="76">
        <v>0.89752746785575077</v>
      </c>
      <c r="AF589" s="77">
        <v>0.92847669088525986</v>
      </c>
      <c r="AG589" s="77">
        <v>3</v>
      </c>
      <c r="AH589" s="76">
        <v>6.166666666666667</v>
      </c>
      <c r="AI589" s="76">
        <v>0.89752746785575077</v>
      </c>
      <c r="AJ589" s="77">
        <v>-1.2998673672393632</v>
      </c>
      <c r="AK589" s="77">
        <v>1</v>
      </c>
      <c r="AL589" s="76"/>
      <c r="AM589" s="76"/>
      <c r="AN589" s="77"/>
      <c r="AO589" s="77"/>
      <c r="AP589" s="76"/>
      <c r="AQ589" s="76"/>
      <c r="AR589" s="77"/>
      <c r="AS589" s="77"/>
      <c r="AT589" s="78">
        <v>0.6875</v>
      </c>
    </row>
    <row r="590" spans="1:46" ht="12.5" x14ac:dyDescent="0.25">
      <c r="A590" s="79">
        <v>44822.302504756939</v>
      </c>
      <c r="B590" s="80" t="s">
        <v>17</v>
      </c>
      <c r="C590" s="80" t="str">
        <f>INDEX(TBL_Name,MATCH(Table2[[#This Row],[Athlete Name]],listNames,0),2)</f>
        <v>Athlete 10</v>
      </c>
      <c r="D590" s="80" t="s">
        <v>130</v>
      </c>
      <c r="E590" s="80">
        <v>6</v>
      </c>
      <c r="F590" s="80">
        <v>9</v>
      </c>
      <c r="G590" s="80">
        <v>8</v>
      </c>
      <c r="H590" s="80" t="s">
        <v>131</v>
      </c>
      <c r="I590" s="80">
        <v>8</v>
      </c>
      <c r="J590" s="80"/>
      <c r="K590" s="80"/>
      <c r="L590" s="80"/>
      <c r="M590" s="1" t="s">
        <v>905</v>
      </c>
      <c r="N590" s="1">
        <v>39</v>
      </c>
      <c r="O590" s="1">
        <v>7</v>
      </c>
      <c r="P590" s="13">
        <v>44822</v>
      </c>
      <c r="Q590" s="1" t="s">
        <v>133</v>
      </c>
      <c r="R590" s="1" t="s">
        <v>64</v>
      </c>
      <c r="S590" s="1">
        <v>1</v>
      </c>
      <c r="T590" s="1"/>
      <c r="U590" s="1" t="s">
        <v>18</v>
      </c>
      <c r="V590" s="76">
        <v>7.1428571428571432</v>
      </c>
      <c r="W590" s="76">
        <v>0.98974331861078679</v>
      </c>
      <c r="X590" s="77">
        <v>-1.1547005383792521</v>
      </c>
      <c r="Y590" s="77">
        <v>1</v>
      </c>
      <c r="Z590" s="76">
        <v>7.7142857142857144</v>
      </c>
      <c r="AA590" s="76">
        <v>1.0301575072754254</v>
      </c>
      <c r="AB590" s="77">
        <v>1.2480754415067654</v>
      </c>
      <c r="AC590" s="77">
        <v>4</v>
      </c>
      <c r="AD590" s="76">
        <v>7.8571428571428568</v>
      </c>
      <c r="AE590" s="76">
        <v>0.98974331861078702</v>
      </c>
      <c r="AF590" s="77">
        <v>0.14433756729740682</v>
      </c>
      <c r="AG590" s="77">
        <v>3</v>
      </c>
      <c r="AH590" s="76">
        <v>7.5714285714285712</v>
      </c>
      <c r="AI590" s="76">
        <v>0.4948716593053934</v>
      </c>
      <c r="AJ590" s="77">
        <v>0.86602540378443937</v>
      </c>
      <c r="AK590" s="77">
        <v>3</v>
      </c>
      <c r="AL590" s="76"/>
      <c r="AM590" s="76"/>
      <c r="AN590" s="77"/>
      <c r="AO590" s="77"/>
      <c r="AP590" s="76"/>
      <c r="AQ590" s="76"/>
      <c r="AR590" s="77"/>
      <c r="AS590" s="77"/>
      <c r="AT590" s="78">
        <v>0.6875</v>
      </c>
    </row>
    <row r="591" spans="1:46" ht="12.5" x14ac:dyDescent="0.25">
      <c r="A591" s="79">
        <v>44822.440234837966</v>
      </c>
      <c r="B591" s="80" t="s">
        <v>10</v>
      </c>
      <c r="C591" s="80" t="str">
        <f>INDEX(TBL_Name,MATCH(Table2[[#This Row],[Athlete Name]],listNames,0),2)</f>
        <v>Athlete 5</v>
      </c>
      <c r="D591" s="80" t="s">
        <v>130</v>
      </c>
      <c r="E591" s="80">
        <v>9</v>
      </c>
      <c r="F591" s="80">
        <v>8</v>
      </c>
      <c r="G591" s="80">
        <v>8</v>
      </c>
      <c r="H591" s="80" t="s">
        <v>215</v>
      </c>
      <c r="I591" s="80">
        <v>7</v>
      </c>
      <c r="J591" s="80"/>
      <c r="K591" s="80"/>
      <c r="L591" s="80"/>
      <c r="M591" s="1" t="s">
        <v>906</v>
      </c>
      <c r="N591" s="1">
        <v>39</v>
      </c>
      <c r="O591" s="1">
        <v>7</v>
      </c>
      <c r="P591" s="13">
        <v>44822</v>
      </c>
      <c r="Q591" s="1" t="s">
        <v>133</v>
      </c>
      <c r="R591" s="1" t="s">
        <v>64</v>
      </c>
      <c r="S591" s="1">
        <v>1</v>
      </c>
      <c r="T591" s="1"/>
      <c r="U591" s="1" t="s">
        <v>11</v>
      </c>
      <c r="V591" s="76">
        <v>8.1428571428571423</v>
      </c>
      <c r="W591" s="76">
        <v>0.83299312783504298</v>
      </c>
      <c r="X591" s="77">
        <v>1.0289915108550536</v>
      </c>
      <c r="Y591" s="77">
        <v>4</v>
      </c>
      <c r="Z591" s="76">
        <v>8.1428571428571423</v>
      </c>
      <c r="AA591" s="76">
        <v>0.63887656499993983</v>
      </c>
      <c r="AB591" s="77">
        <v>-0.22360679774997821</v>
      </c>
      <c r="AC591" s="77">
        <v>2</v>
      </c>
      <c r="AD591" s="76">
        <v>8.0714285714285712</v>
      </c>
      <c r="AE591" s="76">
        <v>0.67763092717893814</v>
      </c>
      <c r="AF591" s="77">
        <v>-0.10540925533894564</v>
      </c>
      <c r="AG591" s="77">
        <v>2</v>
      </c>
      <c r="AH591" s="76">
        <v>6.8571428571428568</v>
      </c>
      <c r="AI591" s="76">
        <v>0.63887656499993983</v>
      </c>
      <c r="AJ591" s="77">
        <v>0.2236067977499796</v>
      </c>
      <c r="AK591" s="77">
        <v>3</v>
      </c>
      <c r="AL591" s="76"/>
      <c r="AM591" s="76"/>
      <c r="AN591" s="77"/>
      <c r="AO591" s="77"/>
      <c r="AP591" s="76"/>
      <c r="AQ591" s="76"/>
      <c r="AR591" s="77"/>
      <c r="AS591" s="77"/>
      <c r="AT591" s="78">
        <v>0.5625</v>
      </c>
    </row>
    <row r="592" spans="1:46" ht="12.5" x14ac:dyDescent="0.25">
      <c r="A592" s="79">
        <v>44822.676584189816</v>
      </c>
      <c r="B592" s="80" t="s">
        <v>9</v>
      </c>
      <c r="C592" s="80" t="str">
        <f>INDEX(TBL_Name,MATCH(Table2[[#This Row],[Athlete Name]],listNames,0),2)</f>
        <v>Athlete 4</v>
      </c>
      <c r="D592" s="80" t="s">
        <v>130</v>
      </c>
      <c r="E592" s="80">
        <v>5</v>
      </c>
      <c r="F592" s="80">
        <v>7</v>
      </c>
      <c r="G592" s="80">
        <v>8</v>
      </c>
      <c r="H592" s="80" t="s">
        <v>508</v>
      </c>
      <c r="I592" s="80">
        <v>6</v>
      </c>
      <c r="J592" s="80"/>
      <c r="K592" s="80"/>
      <c r="L592" s="80"/>
      <c r="M592" s="1" t="s">
        <v>907</v>
      </c>
      <c r="N592" s="1">
        <v>39</v>
      </c>
      <c r="O592" s="1">
        <v>7</v>
      </c>
      <c r="P592" s="13">
        <v>44822</v>
      </c>
      <c r="Q592" s="1" t="s">
        <v>133</v>
      </c>
      <c r="R592" s="1" t="s">
        <v>64</v>
      </c>
      <c r="S592" s="1">
        <v>1</v>
      </c>
      <c r="T592" s="1"/>
      <c r="U592" s="1" t="s">
        <v>8</v>
      </c>
      <c r="V592" s="76">
        <v>5</v>
      </c>
      <c r="W592" s="76">
        <v>0</v>
      </c>
      <c r="X592" s="77">
        <v>0</v>
      </c>
      <c r="Y592" s="77">
        <v>3</v>
      </c>
      <c r="Z592" s="76">
        <v>7</v>
      </c>
      <c r="AA592" s="76">
        <v>0</v>
      </c>
      <c r="AB592" s="77">
        <v>0</v>
      </c>
      <c r="AC592" s="77">
        <v>3</v>
      </c>
      <c r="AD592" s="76">
        <v>8</v>
      </c>
      <c r="AE592" s="76">
        <v>0</v>
      </c>
      <c r="AF592" s="77">
        <v>0</v>
      </c>
      <c r="AG592" s="77">
        <v>3</v>
      </c>
      <c r="AH592" s="76">
        <v>6</v>
      </c>
      <c r="AI592" s="76">
        <v>0</v>
      </c>
      <c r="AJ592" s="77">
        <v>0</v>
      </c>
      <c r="AK592" s="77">
        <v>3</v>
      </c>
      <c r="AL592" s="76"/>
      <c r="AM592" s="76"/>
      <c r="AN592" s="77"/>
      <c r="AO592" s="77"/>
      <c r="AP592" s="76"/>
      <c r="AQ592" s="76"/>
      <c r="AR592" s="77"/>
      <c r="AS592" s="77"/>
      <c r="AT592" s="78">
        <v>0.75</v>
      </c>
    </row>
    <row r="593" spans="1:46" ht="12.5" x14ac:dyDescent="0.25">
      <c r="A593" s="79">
        <v>44823.278371990746</v>
      </c>
      <c r="B593" s="80" t="s">
        <v>185</v>
      </c>
      <c r="C593" s="80" t="str">
        <f>INDEX(TBL_Name,MATCH(Table2[[#This Row],[Athlete Name]],listNames,0),2)</f>
        <v>Athlete 30</v>
      </c>
      <c r="D593" s="80" t="s">
        <v>130</v>
      </c>
      <c r="E593" s="80">
        <v>8</v>
      </c>
      <c r="F593" s="80">
        <v>7</v>
      </c>
      <c r="G593" s="80">
        <v>8</v>
      </c>
      <c r="H593" s="80" t="s">
        <v>862</v>
      </c>
      <c r="I593" s="80">
        <v>6</v>
      </c>
      <c r="J593" s="80"/>
      <c r="K593" s="80"/>
      <c r="L593" s="80"/>
      <c r="M593" s="1" t="s">
        <v>908</v>
      </c>
      <c r="N593" s="1">
        <v>39</v>
      </c>
      <c r="O593" s="1">
        <v>7</v>
      </c>
      <c r="P593" s="13">
        <v>44823</v>
      </c>
      <c r="Q593" s="1" t="s">
        <v>133</v>
      </c>
      <c r="R593" s="1" t="s">
        <v>64</v>
      </c>
      <c r="S593" s="1">
        <v>1</v>
      </c>
      <c r="T593" s="1"/>
      <c r="U593" s="1" t="s">
        <v>26</v>
      </c>
      <c r="V593" s="76">
        <v>7</v>
      </c>
      <c r="W593" s="76">
        <v>1</v>
      </c>
      <c r="X593" s="77">
        <v>1</v>
      </c>
      <c r="Y593" s="77">
        <v>4</v>
      </c>
      <c r="Z593" s="76">
        <v>5</v>
      </c>
      <c r="AA593" s="76">
        <v>1.4142135623730951</v>
      </c>
      <c r="AB593" s="77">
        <v>1.4142135623730949</v>
      </c>
      <c r="AC593" s="77">
        <v>4</v>
      </c>
      <c r="AD593" s="76">
        <v>6.75</v>
      </c>
      <c r="AE593" s="76">
        <v>1.299038105676658</v>
      </c>
      <c r="AF593" s="77">
        <v>0.96225044864937626</v>
      </c>
      <c r="AG593" s="77">
        <v>3</v>
      </c>
      <c r="AH593" s="76">
        <v>7.5</v>
      </c>
      <c r="AI593" s="76">
        <v>0.8660254037844386</v>
      </c>
      <c r="AJ593" s="77">
        <v>-1.7320508075688774</v>
      </c>
      <c r="AK593" s="77">
        <v>1</v>
      </c>
      <c r="AL593" s="76"/>
      <c r="AM593" s="76"/>
      <c r="AN593" s="77"/>
      <c r="AO593" s="77"/>
      <c r="AP593" s="76"/>
      <c r="AQ593" s="76"/>
      <c r="AR593" s="77"/>
      <c r="AS593" s="77"/>
      <c r="AT593" s="78">
        <v>0.75</v>
      </c>
    </row>
    <row r="594" spans="1:46" ht="12.5" x14ac:dyDescent="0.25">
      <c r="A594" s="79">
        <v>44823.285661377318</v>
      </c>
      <c r="B594" s="80" t="s">
        <v>17</v>
      </c>
      <c r="C594" s="80" t="str">
        <f>INDEX(TBL_Name,MATCH(Table2[[#This Row],[Athlete Name]],listNames,0),2)</f>
        <v>Athlete 10</v>
      </c>
      <c r="D594" s="80" t="s">
        <v>130</v>
      </c>
      <c r="E594" s="80">
        <v>9</v>
      </c>
      <c r="F594" s="80">
        <v>8</v>
      </c>
      <c r="G594" s="80">
        <v>9</v>
      </c>
      <c r="H594" s="80" t="s">
        <v>131</v>
      </c>
      <c r="I594" s="80">
        <v>8</v>
      </c>
      <c r="J594" s="80"/>
      <c r="K594" s="80"/>
      <c r="L594" s="80"/>
      <c r="M594" s="1" t="s">
        <v>909</v>
      </c>
      <c r="N594" s="1">
        <v>39</v>
      </c>
      <c r="O594" s="1">
        <v>7</v>
      </c>
      <c r="P594" s="13">
        <v>44823</v>
      </c>
      <c r="Q594" s="1" t="s">
        <v>133</v>
      </c>
      <c r="R594" s="1" t="s">
        <v>64</v>
      </c>
      <c r="S594" s="1">
        <v>1</v>
      </c>
      <c r="T594" s="1"/>
      <c r="U594" s="1" t="s">
        <v>18</v>
      </c>
      <c r="V594" s="76">
        <v>7.4285714285714288</v>
      </c>
      <c r="W594" s="76">
        <v>1.1780301787479031</v>
      </c>
      <c r="X594" s="77">
        <v>1.3339459376998311</v>
      </c>
      <c r="Y594" s="77">
        <v>4</v>
      </c>
      <c r="Z594" s="76">
        <v>7.7142857142857144</v>
      </c>
      <c r="AA594" s="76">
        <v>1.0301575072754254</v>
      </c>
      <c r="AB594" s="77">
        <v>0.27735009811261446</v>
      </c>
      <c r="AC594" s="77">
        <v>3</v>
      </c>
      <c r="AD594" s="76">
        <v>7.8571428571428568</v>
      </c>
      <c r="AE594" s="76">
        <v>0.98974331861078724</v>
      </c>
      <c r="AF594" s="77">
        <v>1.1547005383792517</v>
      </c>
      <c r="AG594" s="77">
        <v>4</v>
      </c>
      <c r="AH594" s="76">
        <v>7.5714285714285712</v>
      </c>
      <c r="AI594" s="76">
        <v>0.49487165930539351</v>
      </c>
      <c r="AJ594" s="77">
        <v>0.86602540378443915</v>
      </c>
      <c r="AK594" s="77">
        <v>3</v>
      </c>
      <c r="AL594" s="76"/>
      <c r="AM594" s="76"/>
      <c r="AN594" s="77"/>
      <c r="AO594" s="77"/>
      <c r="AP594" s="76"/>
      <c r="AQ594" s="76"/>
      <c r="AR594" s="77"/>
      <c r="AS594" s="77"/>
      <c r="AT594" s="78">
        <v>0.875</v>
      </c>
    </row>
    <row r="595" spans="1:46" ht="12.5" x14ac:dyDescent="0.25">
      <c r="A595" s="79">
        <v>44823.346852349539</v>
      </c>
      <c r="B595" s="80" t="s">
        <v>196</v>
      </c>
      <c r="C595" s="80" t="str">
        <f>INDEX(TBL_Name,MATCH(Table2[[#This Row],[Athlete Name]],listNames,0),2)</f>
        <v>Athlete 31</v>
      </c>
      <c r="D595" s="80" t="s">
        <v>130</v>
      </c>
      <c r="E595" s="80">
        <v>7</v>
      </c>
      <c r="F595" s="80">
        <v>10</v>
      </c>
      <c r="G595" s="80">
        <v>10</v>
      </c>
      <c r="H595" s="80" t="s">
        <v>598</v>
      </c>
      <c r="I595" s="80">
        <v>9</v>
      </c>
      <c r="J595" s="80"/>
      <c r="K595" s="80"/>
      <c r="L595" s="80"/>
      <c r="M595" s="1" t="s">
        <v>910</v>
      </c>
      <c r="N595" s="1">
        <v>39</v>
      </c>
      <c r="O595" s="1">
        <v>7</v>
      </c>
      <c r="P595" s="13">
        <v>44823</v>
      </c>
      <c r="Q595" s="1" t="s">
        <v>133</v>
      </c>
      <c r="R595" s="1" t="s">
        <v>64</v>
      </c>
      <c r="S595" s="1">
        <v>1</v>
      </c>
      <c r="T595" s="1"/>
      <c r="U595" s="1" t="s">
        <v>28</v>
      </c>
      <c r="V595" s="76">
        <v>6.6</v>
      </c>
      <c r="W595" s="76">
        <v>0.48989794855663577</v>
      </c>
      <c r="X595" s="77">
        <v>0.81649658092772648</v>
      </c>
      <c r="Y595" s="77">
        <v>3</v>
      </c>
      <c r="Z595" s="76">
        <v>8.6</v>
      </c>
      <c r="AA595" s="76">
        <v>1.019803902718557</v>
      </c>
      <c r="AB595" s="77">
        <v>1.3728129459672884</v>
      </c>
      <c r="AC595" s="77">
        <v>4</v>
      </c>
      <c r="AD595" s="76">
        <v>8.4</v>
      </c>
      <c r="AE595" s="76">
        <v>1.2000000000000002</v>
      </c>
      <c r="AF595" s="77">
        <v>1.3333333333333328</v>
      </c>
      <c r="AG595" s="77">
        <v>4</v>
      </c>
      <c r="AH595" s="76">
        <v>9</v>
      </c>
      <c r="AI595" s="76">
        <v>0</v>
      </c>
      <c r="AJ595" s="77">
        <v>0</v>
      </c>
      <c r="AK595" s="77">
        <v>3</v>
      </c>
      <c r="AL595" s="76"/>
      <c r="AM595" s="76"/>
      <c r="AN595" s="77"/>
      <c r="AO595" s="77"/>
      <c r="AP595" s="76"/>
      <c r="AQ595" s="76"/>
      <c r="AR595" s="77"/>
      <c r="AS595" s="77"/>
      <c r="AT595" s="78">
        <v>0.9375</v>
      </c>
    </row>
    <row r="596" spans="1:46" ht="12.5" x14ac:dyDescent="0.25">
      <c r="A596" s="79">
        <v>44823.354023206019</v>
      </c>
      <c r="B596" s="80" t="s">
        <v>21</v>
      </c>
      <c r="C596" s="80" t="str">
        <f>INDEX(TBL_Name,MATCH(Table2[[#This Row],[Athlete Name]],listNames,0),2)</f>
        <v>Athlete 13</v>
      </c>
      <c r="D596" s="80" t="s">
        <v>130</v>
      </c>
      <c r="E596" s="80">
        <v>8</v>
      </c>
      <c r="F596" s="80">
        <v>9</v>
      </c>
      <c r="G596" s="80">
        <v>9</v>
      </c>
      <c r="H596" s="80" t="s">
        <v>307</v>
      </c>
      <c r="I596" s="80">
        <v>7</v>
      </c>
      <c r="J596" s="80"/>
      <c r="K596" s="80"/>
      <c r="L596" s="80"/>
      <c r="M596" s="1" t="s">
        <v>911</v>
      </c>
      <c r="N596" s="1">
        <v>39</v>
      </c>
      <c r="O596" s="1">
        <v>7</v>
      </c>
      <c r="P596" s="13">
        <v>44823</v>
      </c>
      <c r="Q596" s="1" t="s">
        <v>133</v>
      </c>
      <c r="R596" s="1" t="s">
        <v>64</v>
      </c>
      <c r="S596" s="1">
        <v>1</v>
      </c>
      <c r="T596" s="1"/>
      <c r="U596" s="1" t="s">
        <v>18</v>
      </c>
      <c r="V596" s="76">
        <v>8</v>
      </c>
      <c r="W596" s="76">
        <v>0.7559289460184544</v>
      </c>
      <c r="X596" s="77">
        <v>0</v>
      </c>
      <c r="Y596" s="77">
        <v>3</v>
      </c>
      <c r="Z596" s="76">
        <v>8.1428571428571423</v>
      </c>
      <c r="AA596" s="76">
        <v>0.83299312783504298</v>
      </c>
      <c r="AB596" s="77">
        <v>1.0289915108550536</v>
      </c>
      <c r="AC596" s="77">
        <v>4</v>
      </c>
      <c r="AD596" s="76">
        <v>8.8571428571428577</v>
      </c>
      <c r="AE596" s="76">
        <v>0.34992710611188238</v>
      </c>
      <c r="AF596" s="77">
        <v>0.4082482904638618</v>
      </c>
      <c r="AG596" s="77">
        <v>3</v>
      </c>
      <c r="AH596" s="76">
        <v>6.2857142857142856</v>
      </c>
      <c r="AI596" s="76">
        <v>1.0301575072754254</v>
      </c>
      <c r="AJ596" s="77">
        <v>0.6933752452815366</v>
      </c>
      <c r="AK596" s="77">
        <v>3</v>
      </c>
      <c r="AL596" s="76"/>
      <c r="AM596" s="76"/>
      <c r="AN596" s="77"/>
      <c r="AO596" s="77"/>
      <c r="AP596" s="76"/>
      <c r="AQ596" s="76"/>
      <c r="AR596" s="77"/>
      <c r="AS596" s="77"/>
      <c r="AT596" s="78">
        <v>0.75</v>
      </c>
    </row>
    <row r="597" spans="1:46" ht="12.5" x14ac:dyDescent="0.25">
      <c r="A597" s="79">
        <v>44823.396235810185</v>
      </c>
      <c r="B597" s="80" t="s">
        <v>6</v>
      </c>
      <c r="C597" s="80" t="str">
        <f>INDEX(TBL_Name,MATCH(Table2[[#This Row],[Athlete Name]],listNames,0),2)</f>
        <v>Athlete 2</v>
      </c>
      <c r="D597" s="80" t="s">
        <v>143</v>
      </c>
      <c r="E597" s="80">
        <v>8</v>
      </c>
      <c r="F597" s="80">
        <v>9</v>
      </c>
      <c r="G597" s="80">
        <v>8</v>
      </c>
      <c r="H597" s="80" t="s">
        <v>73</v>
      </c>
      <c r="I597" s="80">
        <v>8</v>
      </c>
      <c r="J597" s="80"/>
      <c r="K597" s="80"/>
      <c r="L597" s="80"/>
      <c r="M597" s="1" t="s">
        <v>912</v>
      </c>
      <c r="N597" s="1">
        <v>39</v>
      </c>
      <c r="O597" s="1">
        <v>7</v>
      </c>
      <c r="P597" s="13">
        <v>44823</v>
      </c>
      <c r="Q597" s="1" t="s">
        <v>133</v>
      </c>
      <c r="R597" s="1" t="s">
        <v>64</v>
      </c>
      <c r="S597" s="1">
        <v>2</v>
      </c>
      <c r="T597" s="1"/>
      <c r="U597" s="1" t="s">
        <v>5</v>
      </c>
      <c r="V597" s="76">
        <v>8.2857142857142865</v>
      </c>
      <c r="W597" s="76">
        <v>0.45175395145262576</v>
      </c>
      <c r="X597" s="77">
        <v>-0.63245553203367733</v>
      </c>
      <c r="Y597" s="77">
        <v>2</v>
      </c>
      <c r="Z597" s="76">
        <v>8.1428571428571423</v>
      </c>
      <c r="AA597" s="76">
        <v>0.63887656499993994</v>
      </c>
      <c r="AB597" s="77">
        <v>1.3416407864998745</v>
      </c>
      <c r="AC597" s="77">
        <v>4</v>
      </c>
      <c r="AD597" s="76">
        <v>8</v>
      </c>
      <c r="AE597" s="76">
        <v>0.92582009977255131</v>
      </c>
      <c r="AF597" s="77">
        <v>0</v>
      </c>
      <c r="AG597" s="77">
        <v>3</v>
      </c>
      <c r="AH597" s="76">
        <v>7.4285714285714288</v>
      </c>
      <c r="AI597" s="76">
        <v>1.0497813183356477</v>
      </c>
      <c r="AJ597" s="77">
        <v>0.54433105395181713</v>
      </c>
      <c r="AK597" s="77">
        <v>3</v>
      </c>
      <c r="AL597" s="76"/>
      <c r="AM597" s="76"/>
      <c r="AN597" s="77"/>
      <c r="AO597" s="77"/>
      <c r="AP597" s="76"/>
      <c r="AQ597" s="76"/>
      <c r="AR597" s="77"/>
      <c r="AS597" s="77"/>
      <c r="AT597" s="78">
        <v>0.625</v>
      </c>
    </row>
    <row r="598" spans="1:46" ht="12.5" x14ac:dyDescent="0.25">
      <c r="A598" s="79">
        <v>44823.540029502314</v>
      </c>
      <c r="B598" s="80" t="s">
        <v>168</v>
      </c>
      <c r="C598" s="80" t="str">
        <f>INDEX(TBL_Name,MATCH(Table2[[#This Row],[Athlete Name]],listNames,0),2)</f>
        <v>Athlete 26</v>
      </c>
      <c r="D598" s="80" t="s">
        <v>130</v>
      </c>
      <c r="E598" s="80">
        <v>8</v>
      </c>
      <c r="F598" s="80">
        <v>6</v>
      </c>
      <c r="G598" s="80">
        <v>7</v>
      </c>
      <c r="H598" s="80"/>
      <c r="I598" s="80">
        <v>6</v>
      </c>
      <c r="J598" s="80"/>
      <c r="K598" s="80"/>
      <c r="L598" s="80"/>
      <c r="M598" s="1" t="s">
        <v>913</v>
      </c>
      <c r="N598" s="1">
        <v>39</v>
      </c>
      <c r="O598" s="1">
        <v>7</v>
      </c>
      <c r="P598" s="13">
        <v>44823</v>
      </c>
      <c r="Q598" s="1" t="s">
        <v>133</v>
      </c>
      <c r="R598" s="1" t="s">
        <v>64</v>
      </c>
      <c r="S598" s="1">
        <v>1</v>
      </c>
      <c r="T598" s="1"/>
      <c r="U598" s="1" t="s">
        <v>5</v>
      </c>
      <c r="V598" s="76">
        <v>5.5</v>
      </c>
      <c r="W598" s="76">
        <v>1.3844373104863459</v>
      </c>
      <c r="X598" s="77">
        <v>1.8057877962865378</v>
      </c>
      <c r="Y598" s="77">
        <v>4</v>
      </c>
      <c r="Z598" s="76">
        <v>8</v>
      </c>
      <c r="AA598" s="76">
        <v>1.1547005383792515</v>
      </c>
      <c r="AB598" s="77">
        <v>-1.7320508075688774</v>
      </c>
      <c r="AC598" s="77">
        <v>1</v>
      </c>
      <c r="AD598" s="76">
        <v>8.1666666666666661</v>
      </c>
      <c r="AE598" s="76">
        <v>0.89752746785575077</v>
      </c>
      <c r="AF598" s="77">
        <v>-1.2998673672393621</v>
      </c>
      <c r="AG598" s="77">
        <v>1</v>
      </c>
      <c r="AH598" s="76">
        <v>6.333333333333333</v>
      </c>
      <c r="AI598" s="76">
        <v>0.74535599249993001</v>
      </c>
      <c r="AJ598" s="77">
        <v>-0.44721359549995748</v>
      </c>
      <c r="AK598" s="77">
        <v>2</v>
      </c>
      <c r="AL598" s="76"/>
      <c r="AM598" s="76"/>
      <c r="AN598" s="77"/>
      <c r="AO598" s="77"/>
      <c r="AP598" s="76"/>
      <c r="AQ598" s="76"/>
      <c r="AR598" s="77"/>
      <c r="AS598" s="77"/>
      <c r="AT598" s="78">
        <v>0.875</v>
      </c>
    </row>
    <row r="599" spans="1:46" ht="12.5" x14ac:dyDescent="0.25">
      <c r="A599" s="79">
        <v>44823.930881840279</v>
      </c>
      <c r="B599" s="80" t="s">
        <v>10</v>
      </c>
      <c r="C599" s="80" t="str">
        <f>INDEX(TBL_Name,MATCH(Table2[[#This Row],[Athlete Name]],listNames,0),2)</f>
        <v>Athlete 5</v>
      </c>
      <c r="D599" s="80" t="s">
        <v>130</v>
      </c>
      <c r="E599" s="80">
        <v>9</v>
      </c>
      <c r="F599" s="80">
        <v>9</v>
      </c>
      <c r="G599" s="80">
        <v>9</v>
      </c>
      <c r="H599" s="80" t="s">
        <v>432</v>
      </c>
      <c r="I599" s="80">
        <v>9</v>
      </c>
      <c r="J599" s="80"/>
      <c r="K599" s="80"/>
      <c r="L599" s="80"/>
      <c r="M599" s="1" t="s">
        <v>914</v>
      </c>
      <c r="N599" s="1">
        <v>39</v>
      </c>
      <c r="O599" s="1">
        <v>7</v>
      </c>
      <c r="P599" s="13">
        <v>44823</v>
      </c>
      <c r="Q599" s="1" t="s">
        <v>133</v>
      </c>
      <c r="R599" s="1" t="s">
        <v>64</v>
      </c>
      <c r="S599" s="1">
        <v>1</v>
      </c>
      <c r="T599" s="1"/>
      <c r="U599" s="1" t="s">
        <v>11</v>
      </c>
      <c r="V599" s="76">
        <v>8.2857142857142865</v>
      </c>
      <c r="W599" s="76">
        <v>0.8806305718527111</v>
      </c>
      <c r="X599" s="77">
        <v>0.81110710565381161</v>
      </c>
      <c r="Y599" s="77">
        <v>3</v>
      </c>
      <c r="Z599" s="76">
        <v>8.1428571428571423</v>
      </c>
      <c r="AA599" s="76">
        <v>0.63887656499993994</v>
      </c>
      <c r="AB599" s="77">
        <v>1.3416407864998745</v>
      </c>
      <c r="AC599" s="77">
        <v>4</v>
      </c>
      <c r="AD599" s="76">
        <v>8.0714285714285712</v>
      </c>
      <c r="AE599" s="76">
        <v>0.67763092717893847</v>
      </c>
      <c r="AF599" s="77">
        <v>1.3703203194062981</v>
      </c>
      <c r="AG599" s="77">
        <v>4</v>
      </c>
      <c r="AH599" s="76">
        <v>7</v>
      </c>
      <c r="AI599" s="76">
        <v>0.92582009977255175</v>
      </c>
      <c r="AJ599" s="77">
        <v>2.1602468994692861</v>
      </c>
      <c r="AK599" s="77">
        <v>4</v>
      </c>
      <c r="AL599" s="76"/>
      <c r="AM599" s="76"/>
      <c r="AN599" s="77"/>
      <c r="AO599" s="77"/>
      <c r="AP599" s="76"/>
      <c r="AQ599" s="76"/>
      <c r="AR599" s="77"/>
      <c r="AS599" s="77"/>
      <c r="AT599" s="78">
        <v>0.75</v>
      </c>
    </row>
    <row r="600" spans="1:46" ht="12.5" x14ac:dyDescent="0.25">
      <c r="A600" s="79">
        <v>44824.272175833335</v>
      </c>
      <c r="B600" s="80" t="s">
        <v>21</v>
      </c>
      <c r="C600" s="80" t="str">
        <f>INDEX(TBL_Name,MATCH(Table2[[#This Row],[Athlete Name]],listNames,0),2)</f>
        <v>Athlete 13</v>
      </c>
      <c r="D600" s="80" t="s">
        <v>130</v>
      </c>
      <c r="E600" s="80">
        <v>8</v>
      </c>
      <c r="F600" s="80">
        <v>8</v>
      </c>
      <c r="G600" s="80">
        <v>8</v>
      </c>
      <c r="H600" s="80" t="s">
        <v>307</v>
      </c>
      <c r="I600" s="80">
        <v>8</v>
      </c>
      <c r="J600" s="80"/>
      <c r="K600" s="80"/>
      <c r="L600" s="80"/>
      <c r="M600" s="1" t="s">
        <v>915</v>
      </c>
      <c r="N600" s="1">
        <v>39</v>
      </c>
      <c r="O600" s="1">
        <v>7</v>
      </c>
      <c r="P600" s="13">
        <v>44824</v>
      </c>
      <c r="Q600" s="1" t="s">
        <v>133</v>
      </c>
      <c r="R600" s="1" t="s">
        <v>64</v>
      </c>
      <c r="S600" s="1">
        <v>1</v>
      </c>
      <c r="T600" s="1"/>
      <c r="U600" s="1" t="s">
        <v>18</v>
      </c>
      <c r="V600" s="76">
        <v>8</v>
      </c>
      <c r="W600" s="76">
        <v>0.7559289460184544</v>
      </c>
      <c r="X600" s="77">
        <v>0</v>
      </c>
      <c r="Y600" s="77">
        <v>3</v>
      </c>
      <c r="Z600" s="76">
        <v>8</v>
      </c>
      <c r="AA600" s="76">
        <v>0.7559289460184544</v>
      </c>
      <c r="AB600" s="77">
        <v>0</v>
      </c>
      <c r="AC600" s="77">
        <v>3</v>
      </c>
      <c r="AD600" s="76">
        <v>8.7142857142857135</v>
      </c>
      <c r="AE600" s="76">
        <v>0.45175395145262581</v>
      </c>
      <c r="AF600" s="77">
        <v>-1.5811388300841873</v>
      </c>
      <c r="AG600" s="77">
        <v>1</v>
      </c>
      <c r="AH600" s="76">
        <v>6.5714285714285712</v>
      </c>
      <c r="AI600" s="76">
        <v>1.1780301787479028</v>
      </c>
      <c r="AJ600" s="77">
        <v>1.2126781251816652</v>
      </c>
      <c r="AK600" s="77">
        <v>4</v>
      </c>
      <c r="AL600" s="76"/>
      <c r="AM600" s="76"/>
      <c r="AN600" s="77"/>
      <c r="AO600" s="77"/>
      <c r="AP600" s="76"/>
      <c r="AQ600" s="76"/>
      <c r="AR600" s="77"/>
      <c r="AS600" s="77"/>
      <c r="AT600" s="78">
        <v>0.75</v>
      </c>
    </row>
    <row r="601" spans="1:46" ht="12.5" x14ac:dyDescent="0.25">
      <c r="A601" s="79">
        <v>44824.300433321754</v>
      </c>
      <c r="B601" s="80" t="s">
        <v>185</v>
      </c>
      <c r="C601" s="80" t="str">
        <f>INDEX(TBL_Name,MATCH(Table2[[#This Row],[Athlete Name]],listNames,0),2)</f>
        <v>Athlete 30</v>
      </c>
      <c r="D601" s="80" t="s">
        <v>130</v>
      </c>
      <c r="E601" s="80">
        <v>7</v>
      </c>
      <c r="F601" s="80">
        <v>2</v>
      </c>
      <c r="G601" s="80">
        <v>3</v>
      </c>
      <c r="H601" s="80" t="s">
        <v>916</v>
      </c>
      <c r="I601" s="80">
        <v>8</v>
      </c>
      <c r="J601" s="80"/>
      <c r="K601" s="80"/>
      <c r="L601" s="80"/>
      <c r="M601" s="1" t="s">
        <v>917</v>
      </c>
      <c r="N601" s="1">
        <v>39</v>
      </c>
      <c r="O601" s="1">
        <v>7</v>
      </c>
      <c r="P601" s="13">
        <v>44824</v>
      </c>
      <c r="Q601" s="1" t="s">
        <v>133</v>
      </c>
      <c r="R601" s="1" t="s">
        <v>64</v>
      </c>
      <c r="S601" s="1">
        <v>1</v>
      </c>
      <c r="T601" s="1"/>
      <c r="U601" s="1" t="s">
        <v>26</v>
      </c>
      <c r="V601" s="76">
        <v>7</v>
      </c>
      <c r="W601" s="76">
        <v>0.89442719099991586</v>
      </c>
      <c r="X601" s="77">
        <v>0</v>
      </c>
      <c r="Y601" s="77">
        <v>3</v>
      </c>
      <c r="Z601" s="76">
        <v>4.4000000000000004</v>
      </c>
      <c r="AA601" s="76">
        <v>1.7435595774162693</v>
      </c>
      <c r="AB601" s="77">
        <v>-1.3764944032233708</v>
      </c>
      <c r="AC601" s="77">
        <v>1</v>
      </c>
      <c r="AD601" s="76">
        <v>6</v>
      </c>
      <c r="AE601" s="76">
        <v>1.8973665961010275</v>
      </c>
      <c r="AF601" s="77">
        <v>-1.5811388300841898</v>
      </c>
      <c r="AG601" s="77">
        <v>1</v>
      </c>
      <c r="AH601" s="76">
        <v>7.6</v>
      </c>
      <c r="AI601" s="76">
        <v>0.8</v>
      </c>
      <c r="AJ601" s="77">
        <v>0.50000000000000044</v>
      </c>
      <c r="AK601" s="77">
        <v>3</v>
      </c>
      <c r="AL601" s="76"/>
      <c r="AM601" s="76"/>
      <c r="AN601" s="77"/>
      <c r="AO601" s="77"/>
      <c r="AP601" s="76"/>
      <c r="AQ601" s="76"/>
      <c r="AR601" s="77"/>
      <c r="AS601" s="77"/>
      <c r="AT601" s="78">
        <v>0.5625</v>
      </c>
    </row>
    <row r="602" spans="1:46" ht="12.5" x14ac:dyDescent="0.25">
      <c r="A602" s="79">
        <v>44824.303647696761</v>
      </c>
      <c r="B602" s="80" t="s">
        <v>25</v>
      </c>
      <c r="C602" s="80" t="str">
        <f>INDEX(TBL_Name,MATCH(Table2[[#This Row],[Athlete Name]],listNames,0),2)</f>
        <v>Athlete 23</v>
      </c>
      <c r="D602" s="80" t="s">
        <v>143</v>
      </c>
      <c r="E602" s="80">
        <v>9</v>
      </c>
      <c r="F602" s="80">
        <v>7</v>
      </c>
      <c r="G602" s="80">
        <v>8</v>
      </c>
      <c r="H602" s="80" t="s">
        <v>598</v>
      </c>
      <c r="I602" s="80">
        <v>8</v>
      </c>
      <c r="J602" s="80"/>
      <c r="K602" s="80"/>
      <c r="L602" s="80"/>
      <c r="M602" s="1" t="s">
        <v>918</v>
      </c>
      <c r="N602" s="1">
        <v>39</v>
      </c>
      <c r="O602" s="1">
        <v>7</v>
      </c>
      <c r="P602" s="13">
        <v>44824</v>
      </c>
      <c r="Q602" s="1" t="s">
        <v>133</v>
      </c>
      <c r="R602" s="1" t="s">
        <v>64</v>
      </c>
      <c r="S602" s="1">
        <v>2</v>
      </c>
      <c r="T602" s="1"/>
      <c r="U602" s="1" t="s">
        <v>26</v>
      </c>
      <c r="V602" s="76">
        <v>9</v>
      </c>
      <c r="W602" s="76">
        <v>0</v>
      </c>
      <c r="X602" s="77">
        <v>0</v>
      </c>
      <c r="Y602" s="77">
        <v>3</v>
      </c>
      <c r="Z602" s="76">
        <v>7.5</v>
      </c>
      <c r="AA602" s="76">
        <v>0.5</v>
      </c>
      <c r="AB602" s="77">
        <v>-1</v>
      </c>
      <c r="AC602" s="77">
        <v>1</v>
      </c>
      <c r="AD602" s="76">
        <v>8</v>
      </c>
      <c r="AE602" s="76">
        <v>0</v>
      </c>
      <c r="AF602" s="77">
        <v>0</v>
      </c>
      <c r="AG602" s="77">
        <v>3</v>
      </c>
      <c r="AH602" s="76">
        <v>8</v>
      </c>
      <c r="AI602" s="76">
        <v>0</v>
      </c>
      <c r="AJ602" s="77">
        <v>0</v>
      </c>
      <c r="AK602" s="77">
        <v>3</v>
      </c>
      <c r="AL602" s="76"/>
      <c r="AM602" s="76"/>
      <c r="AN602" s="77"/>
      <c r="AO602" s="77"/>
      <c r="AP602" s="76"/>
      <c r="AQ602" s="76"/>
      <c r="AR602" s="77"/>
      <c r="AS602" s="77"/>
      <c r="AT602" s="78">
        <v>0.75</v>
      </c>
    </row>
    <row r="603" spans="1:46" ht="12.5" x14ac:dyDescent="0.25">
      <c r="A603" s="79">
        <v>44824.307286828705</v>
      </c>
      <c r="B603" s="80" t="s">
        <v>168</v>
      </c>
      <c r="C603" s="80" t="str">
        <f>INDEX(TBL_Name,MATCH(Table2[[#This Row],[Athlete Name]],listNames,0),2)</f>
        <v>Athlete 26</v>
      </c>
      <c r="D603" s="80" t="s">
        <v>130</v>
      </c>
      <c r="E603" s="80">
        <v>7</v>
      </c>
      <c r="F603" s="80">
        <v>7</v>
      </c>
      <c r="G603" s="80">
        <v>8</v>
      </c>
      <c r="H603" s="80"/>
      <c r="I603" s="80">
        <v>7</v>
      </c>
      <c r="J603" s="80"/>
      <c r="K603" s="80"/>
      <c r="L603" s="80"/>
      <c r="M603" s="1" t="s">
        <v>919</v>
      </c>
      <c r="N603" s="1">
        <v>39</v>
      </c>
      <c r="O603" s="1">
        <v>7</v>
      </c>
      <c r="P603" s="13">
        <v>44824</v>
      </c>
      <c r="Q603" s="1" t="s">
        <v>133</v>
      </c>
      <c r="R603" s="1" t="s">
        <v>64</v>
      </c>
      <c r="S603" s="1">
        <v>1</v>
      </c>
      <c r="T603" s="1"/>
      <c r="U603" s="1" t="s">
        <v>5</v>
      </c>
      <c r="V603" s="76">
        <v>6</v>
      </c>
      <c r="W603" s="76">
        <v>1.2909944487358056</v>
      </c>
      <c r="X603" s="77">
        <v>0.7745966692414834</v>
      </c>
      <c r="Y603" s="77">
        <v>3</v>
      </c>
      <c r="Z603" s="76">
        <v>7.666666666666667</v>
      </c>
      <c r="AA603" s="76">
        <v>1.1055415967851332</v>
      </c>
      <c r="AB603" s="77">
        <v>-0.60302268915552759</v>
      </c>
      <c r="AC603" s="77">
        <v>2</v>
      </c>
      <c r="AD603" s="76">
        <v>8</v>
      </c>
      <c r="AE603" s="76">
        <v>0.81649658092772603</v>
      </c>
      <c r="AF603" s="77">
        <v>0</v>
      </c>
      <c r="AG603" s="77">
        <v>3</v>
      </c>
      <c r="AH603" s="76">
        <v>6.333333333333333</v>
      </c>
      <c r="AI603" s="76">
        <v>0.7453559924999299</v>
      </c>
      <c r="AJ603" s="77">
        <v>0.8944271909999163</v>
      </c>
      <c r="AK603" s="77">
        <v>3</v>
      </c>
      <c r="AL603" s="76"/>
      <c r="AM603" s="76"/>
      <c r="AN603" s="77"/>
      <c r="AO603" s="77"/>
      <c r="AP603" s="76"/>
      <c r="AQ603" s="76"/>
      <c r="AR603" s="77"/>
      <c r="AS603" s="77"/>
      <c r="AT603" s="78">
        <v>0.8125</v>
      </c>
    </row>
    <row r="604" spans="1:46" ht="12.5" x14ac:dyDescent="0.25">
      <c r="A604" s="79">
        <v>44824.344662824078</v>
      </c>
      <c r="B604" s="80" t="s">
        <v>136</v>
      </c>
      <c r="C604" s="80" t="str">
        <f>INDEX(TBL_Name,MATCH(Table2[[#This Row],[Athlete Name]],listNames,0),2)</f>
        <v>Athlete 20</v>
      </c>
      <c r="D604" s="80" t="s">
        <v>130</v>
      </c>
      <c r="E604" s="80">
        <v>9</v>
      </c>
      <c r="F604" s="80">
        <v>10</v>
      </c>
      <c r="G604" s="80">
        <v>10</v>
      </c>
      <c r="H604" s="80"/>
      <c r="I604" s="80">
        <v>10</v>
      </c>
      <c r="J604" s="80"/>
      <c r="K604" s="80"/>
      <c r="L604" s="80"/>
      <c r="M604" s="1" t="s">
        <v>920</v>
      </c>
      <c r="N604" s="1">
        <v>39</v>
      </c>
      <c r="O604" s="1">
        <v>7</v>
      </c>
      <c r="P604" s="13">
        <v>44824</v>
      </c>
      <c r="Q604" s="1" t="s">
        <v>133</v>
      </c>
      <c r="R604" s="1" t="s">
        <v>64</v>
      </c>
      <c r="S604" s="1">
        <v>1</v>
      </c>
      <c r="T604" s="1"/>
      <c r="U604" s="1" t="s">
        <v>18</v>
      </c>
      <c r="V604" s="76">
        <v>7.25</v>
      </c>
      <c r="W604" s="76">
        <v>1.0897247358851685</v>
      </c>
      <c r="X604" s="77">
        <v>1.6059101370939322</v>
      </c>
      <c r="Y604" s="77">
        <v>4</v>
      </c>
      <c r="Z604" s="76">
        <v>9</v>
      </c>
      <c r="AA604" s="76">
        <v>0.70710678118654757</v>
      </c>
      <c r="AB604" s="77">
        <v>1.4142135623730949</v>
      </c>
      <c r="AC604" s="77">
        <v>4</v>
      </c>
      <c r="AD604" s="76">
        <v>8.5</v>
      </c>
      <c r="AE604" s="76">
        <v>1.1180339887498949</v>
      </c>
      <c r="AF604" s="77">
        <v>1.3416407864998738</v>
      </c>
      <c r="AG604" s="77">
        <v>4</v>
      </c>
      <c r="AH604" s="76">
        <v>8.75</v>
      </c>
      <c r="AI604" s="76">
        <v>1.2990381056766578</v>
      </c>
      <c r="AJ604" s="77">
        <v>0.96225044864937637</v>
      </c>
      <c r="AK604" s="77">
        <v>3</v>
      </c>
      <c r="AL604" s="76"/>
      <c r="AM604" s="76"/>
      <c r="AN604" s="77"/>
      <c r="AO604" s="77"/>
      <c r="AP604" s="76"/>
      <c r="AQ604" s="76"/>
      <c r="AR604" s="77"/>
      <c r="AS604" s="77"/>
      <c r="AT604" s="78">
        <v>1</v>
      </c>
    </row>
    <row r="605" spans="1:46" ht="12.5" x14ac:dyDescent="0.25">
      <c r="A605" s="79">
        <v>44824.373569374999</v>
      </c>
      <c r="B605" s="80" t="s">
        <v>180</v>
      </c>
      <c r="C605" s="80" t="str">
        <f>INDEX(TBL_Name,MATCH(Table2[[#This Row],[Athlete Name]],listNames,0),2)</f>
        <v>Athlete 29</v>
      </c>
      <c r="D605" s="80" t="s">
        <v>143</v>
      </c>
      <c r="E605" s="80">
        <v>5</v>
      </c>
      <c r="F605" s="80">
        <v>10</v>
      </c>
      <c r="G605" s="80">
        <v>8</v>
      </c>
      <c r="H605" s="80" t="s">
        <v>921</v>
      </c>
      <c r="I605" s="80">
        <v>5</v>
      </c>
      <c r="J605" s="80"/>
      <c r="K605" s="80"/>
      <c r="L605" s="80"/>
      <c r="M605" s="1" t="s">
        <v>922</v>
      </c>
      <c r="N605" s="1">
        <v>39</v>
      </c>
      <c r="O605" s="1">
        <v>7</v>
      </c>
      <c r="P605" s="13">
        <v>44824</v>
      </c>
      <c r="Q605" s="1" t="s">
        <v>133</v>
      </c>
      <c r="R605" s="1" t="s">
        <v>64</v>
      </c>
      <c r="S605" s="1">
        <v>2</v>
      </c>
      <c r="T605" s="1"/>
      <c r="U605" s="1" t="s">
        <v>5</v>
      </c>
      <c r="V605" s="76">
        <v>5</v>
      </c>
      <c r="W605" s="76">
        <v>0</v>
      </c>
      <c r="X605" s="77">
        <v>0</v>
      </c>
      <c r="Y605" s="77">
        <v>3</v>
      </c>
      <c r="Z605" s="76">
        <v>10</v>
      </c>
      <c r="AA605" s="76">
        <v>0</v>
      </c>
      <c r="AB605" s="77">
        <v>0</v>
      </c>
      <c r="AC605" s="77">
        <v>3</v>
      </c>
      <c r="AD605" s="76">
        <v>8</v>
      </c>
      <c r="AE605" s="76">
        <v>0</v>
      </c>
      <c r="AF605" s="77">
        <v>0</v>
      </c>
      <c r="AG605" s="77">
        <v>3</v>
      </c>
      <c r="AH605" s="76">
        <v>5</v>
      </c>
      <c r="AI605" s="76">
        <v>0</v>
      </c>
      <c r="AJ605" s="77">
        <v>0</v>
      </c>
      <c r="AK605" s="77">
        <v>3</v>
      </c>
      <c r="AL605" s="76"/>
      <c r="AM605" s="76"/>
      <c r="AN605" s="77"/>
      <c r="AO605" s="77"/>
      <c r="AP605" s="76"/>
      <c r="AQ605" s="76"/>
      <c r="AR605" s="77"/>
      <c r="AS605" s="77"/>
      <c r="AT605" s="78">
        <v>0.75</v>
      </c>
    </row>
    <row r="606" spans="1:46" ht="12.5" x14ac:dyDescent="0.25">
      <c r="A606" s="79">
        <v>44824.381407905094</v>
      </c>
      <c r="B606" s="80" t="s">
        <v>10</v>
      </c>
      <c r="C606" s="80" t="str">
        <f>INDEX(TBL_Name,MATCH(Table2[[#This Row],[Athlete Name]],listNames,0),2)</f>
        <v>Athlete 5</v>
      </c>
      <c r="D606" s="80" t="s">
        <v>130</v>
      </c>
      <c r="E606" s="80">
        <v>8</v>
      </c>
      <c r="F606" s="80">
        <v>8</v>
      </c>
      <c r="G606" s="80">
        <v>8</v>
      </c>
      <c r="H606" s="80" t="s">
        <v>215</v>
      </c>
      <c r="I606" s="80">
        <v>8</v>
      </c>
      <c r="J606" s="80"/>
      <c r="K606" s="80"/>
      <c r="L606" s="80"/>
      <c r="M606" s="1" t="s">
        <v>923</v>
      </c>
      <c r="N606" s="1">
        <v>39</v>
      </c>
      <c r="O606" s="1">
        <v>7</v>
      </c>
      <c r="P606" s="13">
        <v>44824</v>
      </c>
      <c r="Q606" s="1" t="s">
        <v>133</v>
      </c>
      <c r="R606" s="1" t="s">
        <v>64</v>
      </c>
      <c r="S606" s="1">
        <v>1</v>
      </c>
      <c r="T606" s="1"/>
      <c r="U606" s="1" t="s">
        <v>11</v>
      </c>
      <c r="V606" s="76">
        <v>8.4285714285714288</v>
      </c>
      <c r="W606" s="76">
        <v>0.72843135908468348</v>
      </c>
      <c r="X606" s="77">
        <v>-0.58834840541455247</v>
      </c>
      <c r="Y606" s="77">
        <v>2</v>
      </c>
      <c r="Z606" s="76">
        <v>8.1428571428571423</v>
      </c>
      <c r="AA606" s="76">
        <v>0.63887656499993994</v>
      </c>
      <c r="AB606" s="77">
        <v>-0.22360679774997816</v>
      </c>
      <c r="AC606" s="77">
        <v>2</v>
      </c>
      <c r="AD606" s="76">
        <v>8.0714285714285712</v>
      </c>
      <c r="AE606" s="76">
        <v>0.67763092717893836</v>
      </c>
      <c r="AF606" s="77">
        <v>-0.10540925533894561</v>
      </c>
      <c r="AG606" s="77">
        <v>2</v>
      </c>
      <c r="AH606" s="76">
        <v>7.1428571428571432</v>
      </c>
      <c r="AI606" s="76">
        <v>0.98974331861078702</v>
      </c>
      <c r="AJ606" s="77">
        <v>0.86602540378443826</v>
      </c>
      <c r="AK606" s="77">
        <v>3</v>
      </c>
      <c r="AL606" s="76"/>
      <c r="AM606" s="76"/>
      <c r="AN606" s="77"/>
      <c r="AO606" s="77"/>
      <c r="AP606" s="76"/>
      <c r="AQ606" s="76"/>
      <c r="AR606" s="77"/>
      <c r="AS606" s="77"/>
      <c r="AT606" s="78">
        <v>0.5</v>
      </c>
    </row>
    <row r="607" spans="1:46" ht="12.5" x14ac:dyDescent="0.25">
      <c r="A607" s="79">
        <v>44824.381938692131</v>
      </c>
      <c r="B607" s="80" t="s">
        <v>17</v>
      </c>
      <c r="C607" s="80" t="str">
        <f>INDEX(TBL_Name,MATCH(Table2[[#This Row],[Athlete Name]],listNames,0),2)</f>
        <v>Athlete 10</v>
      </c>
      <c r="D607" s="80" t="s">
        <v>130</v>
      </c>
      <c r="E607" s="80">
        <v>9</v>
      </c>
      <c r="F607" s="80">
        <v>9</v>
      </c>
      <c r="G607" s="80">
        <v>10</v>
      </c>
      <c r="H607" s="80" t="s">
        <v>131</v>
      </c>
      <c r="I607" s="80">
        <v>9</v>
      </c>
      <c r="J607" s="80"/>
      <c r="K607" s="80"/>
      <c r="L607" s="80"/>
      <c r="M607" s="1" t="s">
        <v>924</v>
      </c>
      <c r="N607" s="1">
        <v>39</v>
      </c>
      <c r="O607" s="1">
        <v>7</v>
      </c>
      <c r="P607" s="13">
        <v>44824</v>
      </c>
      <c r="Q607" s="1" t="s">
        <v>133</v>
      </c>
      <c r="R607" s="1" t="s">
        <v>64</v>
      </c>
      <c r="S607" s="1">
        <v>1</v>
      </c>
      <c r="T607" s="1"/>
      <c r="U607" s="1" t="s">
        <v>18</v>
      </c>
      <c r="V607" s="76">
        <v>7.7142857142857144</v>
      </c>
      <c r="W607" s="76">
        <v>1.2777531299998799</v>
      </c>
      <c r="X607" s="77">
        <v>1.0062305898749053</v>
      </c>
      <c r="Y607" s="77">
        <v>4</v>
      </c>
      <c r="Z607" s="76">
        <v>7.8571428571428568</v>
      </c>
      <c r="AA607" s="76">
        <v>1.1248582677159731</v>
      </c>
      <c r="AB607" s="77">
        <v>1.0160010160015243</v>
      </c>
      <c r="AC607" s="77">
        <v>4</v>
      </c>
      <c r="AD607" s="76">
        <v>8</v>
      </c>
      <c r="AE607" s="76">
        <v>1.1952286093343936</v>
      </c>
      <c r="AF607" s="77">
        <v>1.6733200530681511</v>
      </c>
      <c r="AG607" s="77">
        <v>4</v>
      </c>
      <c r="AH607" s="76">
        <v>7.8571428571428568</v>
      </c>
      <c r="AI607" s="76">
        <v>0.63887656499994017</v>
      </c>
      <c r="AJ607" s="77">
        <v>1.7888543819998317</v>
      </c>
      <c r="AK607" s="77">
        <v>4</v>
      </c>
      <c r="AL607" s="76"/>
      <c r="AM607" s="76"/>
      <c r="AN607" s="77"/>
      <c r="AO607" s="77"/>
      <c r="AP607" s="76"/>
      <c r="AQ607" s="76"/>
      <c r="AR607" s="77"/>
      <c r="AS607" s="77"/>
      <c r="AT607" s="78">
        <v>1</v>
      </c>
    </row>
    <row r="608" spans="1:46" ht="12.5" x14ac:dyDescent="0.25">
      <c r="A608" s="79">
        <v>44824.401893298607</v>
      </c>
      <c r="B608" s="80" t="s">
        <v>196</v>
      </c>
      <c r="C608" s="80" t="str">
        <f>INDEX(TBL_Name,MATCH(Table2[[#This Row],[Athlete Name]],listNames,0),2)</f>
        <v>Athlete 31</v>
      </c>
      <c r="D608" s="80" t="s">
        <v>130</v>
      </c>
      <c r="E608" s="80">
        <v>6</v>
      </c>
      <c r="F608" s="80">
        <v>9</v>
      </c>
      <c r="G608" s="80">
        <v>8</v>
      </c>
      <c r="H608" s="80" t="s">
        <v>598</v>
      </c>
      <c r="I608" s="80">
        <v>9</v>
      </c>
      <c r="J608" s="80"/>
      <c r="K608" s="80"/>
      <c r="L608" s="80"/>
      <c r="M608" s="1" t="s">
        <v>925</v>
      </c>
      <c r="N608" s="1">
        <v>39</v>
      </c>
      <c r="O608" s="1">
        <v>7</v>
      </c>
      <c r="P608" s="13">
        <v>44824</v>
      </c>
      <c r="Q608" s="1" t="s">
        <v>133</v>
      </c>
      <c r="R608" s="1" t="s">
        <v>64</v>
      </c>
      <c r="S608" s="1">
        <v>1</v>
      </c>
      <c r="T608" s="1"/>
      <c r="U608" s="1" t="s">
        <v>28</v>
      </c>
      <c r="V608" s="76">
        <v>6.6</v>
      </c>
      <c r="W608" s="76">
        <v>0.48989794855663554</v>
      </c>
      <c r="X608" s="77">
        <v>-1.2247448713915885</v>
      </c>
      <c r="Y608" s="77">
        <v>1</v>
      </c>
      <c r="Z608" s="76">
        <v>8.8000000000000007</v>
      </c>
      <c r="AA608" s="76">
        <v>0.97979589711327109</v>
      </c>
      <c r="AB608" s="77">
        <v>0.20412414523193081</v>
      </c>
      <c r="AC608" s="77">
        <v>3</v>
      </c>
      <c r="AD608" s="76">
        <v>8.1999999999999993</v>
      </c>
      <c r="AE608" s="76">
        <v>1.16619037896906</v>
      </c>
      <c r="AF608" s="77">
        <v>-0.17149858514250824</v>
      </c>
      <c r="AG608" s="77">
        <v>2</v>
      </c>
      <c r="AH608" s="76">
        <v>9</v>
      </c>
      <c r="AI608" s="76">
        <v>0</v>
      </c>
      <c r="AJ608" s="77">
        <v>0</v>
      </c>
      <c r="AK608" s="77">
        <v>3</v>
      </c>
      <c r="AL608" s="76"/>
      <c r="AM608" s="76"/>
      <c r="AN608" s="77"/>
      <c r="AO608" s="77"/>
      <c r="AP608" s="76"/>
      <c r="AQ608" s="76"/>
      <c r="AR608" s="77"/>
      <c r="AS608" s="77"/>
      <c r="AT608" s="78">
        <v>0.8125</v>
      </c>
    </row>
    <row r="609" spans="1:46" ht="12.5" x14ac:dyDescent="0.25">
      <c r="A609" s="79">
        <v>44824.402460682875</v>
      </c>
      <c r="B609" s="80" t="s">
        <v>9</v>
      </c>
      <c r="C609" s="80" t="str">
        <f>INDEX(TBL_Name,MATCH(Table2[[#This Row],[Athlete Name]],listNames,0),2)</f>
        <v>Athlete 4</v>
      </c>
      <c r="D609" s="80" t="s">
        <v>130</v>
      </c>
      <c r="E609" s="80">
        <v>6</v>
      </c>
      <c r="F609" s="80">
        <v>8</v>
      </c>
      <c r="G609" s="80">
        <v>8</v>
      </c>
      <c r="H609" s="80" t="s">
        <v>508</v>
      </c>
      <c r="I609" s="80">
        <v>6</v>
      </c>
      <c r="J609" s="80"/>
      <c r="K609" s="80"/>
      <c r="L609" s="80"/>
      <c r="M609" s="1" t="s">
        <v>926</v>
      </c>
      <c r="N609" s="1">
        <v>39</v>
      </c>
      <c r="O609" s="1">
        <v>7</v>
      </c>
      <c r="P609" s="13">
        <v>44824</v>
      </c>
      <c r="Q609" s="1" t="s">
        <v>133</v>
      </c>
      <c r="R609" s="1" t="s">
        <v>64</v>
      </c>
      <c r="S609" s="1">
        <v>1</v>
      </c>
      <c r="T609" s="1"/>
      <c r="U609" s="1" t="s">
        <v>8</v>
      </c>
      <c r="V609" s="76">
        <v>5.5</v>
      </c>
      <c r="W609" s="76">
        <v>0.5</v>
      </c>
      <c r="X609" s="77">
        <v>1</v>
      </c>
      <c r="Y609" s="77">
        <v>4</v>
      </c>
      <c r="Z609" s="76">
        <v>7.5</v>
      </c>
      <c r="AA609" s="76">
        <v>0.5</v>
      </c>
      <c r="AB609" s="77">
        <v>1</v>
      </c>
      <c r="AC609" s="77">
        <v>4</v>
      </c>
      <c r="AD609" s="76">
        <v>8</v>
      </c>
      <c r="AE609" s="76">
        <v>0</v>
      </c>
      <c r="AF609" s="77">
        <v>0</v>
      </c>
      <c r="AG609" s="77">
        <v>3</v>
      </c>
      <c r="AH609" s="76">
        <v>6</v>
      </c>
      <c r="AI609" s="76">
        <v>0</v>
      </c>
      <c r="AJ609" s="77">
        <v>0</v>
      </c>
      <c r="AK609" s="77">
        <v>3</v>
      </c>
      <c r="AL609" s="76"/>
      <c r="AM609" s="76"/>
      <c r="AN609" s="77"/>
      <c r="AO609" s="77"/>
      <c r="AP609" s="76"/>
      <c r="AQ609" s="76"/>
      <c r="AR609" s="77"/>
      <c r="AS609" s="77"/>
      <c r="AT609" s="78">
        <v>1</v>
      </c>
    </row>
    <row r="610" spans="1:46" ht="12.5" x14ac:dyDescent="0.25">
      <c r="A610" s="79">
        <v>44824.67273362269</v>
      </c>
      <c r="B610" s="80" t="s">
        <v>22</v>
      </c>
      <c r="C610" s="80" t="str">
        <f>INDEX(TBL_Name,MATCH(Table2[[#This Row],[Athlete Name]],listNames,0),2)</f>
        <v>Athlete 14</v>
      </c>
      <c r="D610" s="80" t="s">
        <v>150</v>
      </c>
      <c r="E610" s="80">
        <v>7</v>
      </c>
      <c r="F610" s="80">
        <v>7</v>
      </c>
      <c r="G610" s="80">
        <v>9</v>
      </c>
      <c r="H610" s="80" t="s">
        <v>287</v>
      </c>
      <c r="I610" s="80">
        <v>6</v>
      </c>
      <c r="J610" s="80"/>
      <c r="K610" s="80"/>
      <c r="L610" s="80"/>
      <c r="M610" s="1" t="s">
        <v>927</v>
      </c>
      <c r="N610" s="1">
        <v>39</v>
      </c>
      <c r="O610" s="1">
        <v>7</v>
      </c>
      <c r="P610" s="13">
        <v>44824</v>
      </c>
      <c r="Q610" s="1" t="s">
        <v>133</v>
      </c>
      <c r="R610" s="1" t="s">
        <v>64</v>
      </c>
      <c r="S610" s="1">
        <v>3</v>
      </c>
      <c r="T610" s="1"/>
      <c r="U610" s="1" t="s">
        <v>18</v>
      </c>
      <c r="V610" s="76">
        <v>6.5</v>
      </c>
      <c r="W610" s="76">
        <v>0.5</v>
      </c>
      <c r="X610" s="77">
        <v>1</v>
      </c>
      <c r="Y610" s="77">
        <v>4</v>
      </c>
      <c r="Z610" s="76">
        <v>6.5</v>
      </c>
      <c r="AA610" s="76">
        <v>0.5</v>
      </c>
      <c r="AB610" s="77">
        <v>1</v>
      </c>
      <c r="AC610" s="77">
        <v>4</v>
      </c>
      <c r="AD610" s="76">
        <v>9</v>
      </c>
      <c r="AE610" s="76">
        <v>0</v>
      </c>
      <c r="AF610" s="77">
        <v>0</v>
      </c>
      <c r="AG610" s="77">
        <v>3</v>
      </c>
      <c r="AH610" s="76">
        <v>5</v>
      </c>
      <c r="AI610" s="76">
        <v>1</v>
      </c>
      <c r="AJ610" s="77">
        <v>1</v>
      </c>
      <c r="AK610" s="77">
        <v>4</v>
      </c>
      <c r="AL610" s="76"/>
      <c r="AM610" s="76"/>
      <c r="AN610" s="77"/>
      <c r="AO610" s="77"/>
      <c r="AP610" s="76"/>
      <c r="AQ610" s="76"/>
      <c r="AR610" s="77"/>
      <c r="AS610" s="77"/>
      <c r="AT610" s="78">
        <v>0.8125</v>
      </c>
    </row>
    <row r="611" spans="1:46" ht="12.5" x14ac:dyDescent="0.25">
      <c r="A611" s="79">
        <v>44824.680307789356</v>
      </c>
      <c r="B611" s="80" t="s">
        <v>225</v>
      </c>
      <c r="C611" s="80" t="str">
        <f>INDEX(TBL_Name,MATCH(Table2[[#This Row],[Athlete Name]],listNames,0),2)</f>
        <v>Athlete 32</v>
      </c>
      <c r="D611" s="80" t="s">
        <v>130</v>
      </c>
      <c r="E611" s="80">
        <v>5</v>
      </c>
      <c r="F611" s="80">
        <v>9</v>
      </c>
      <c r="G611" s="80">
        <v>7</v>
      </c>
      <c r="H611" s="80"/>
      <c r="I611" s="80">
        <v>10</v>
      </c>
      <c r="J611" s="80"/>
      <c r="K611" s="80"/>
      <c r="L611" s="80"/>
      <c r="M611" s="1" t="s">
        <v>928</v>
      </c>
      <c r="N611" s="1">
        <v>39</v>
      </c>
      <c r="O611" s="1">
        <v>7</v>
      </c>
      <c r="P611" s="13">
        <v>44824</v>
      </c>
      <c r="Q611" s="1" t="s">
        <v>133</v>
      </c>
      <c r="R611" s="1" t="s">
        <v>64</v>
      </c>
      <c r="S611" s="1">
        <v>1</v>
      </c>
      <c r="T611" s="1"/>
      <c r="U611" s="1" t="s">
        <v>5</v>
      </c>
      <c r="V611" s="76">
        <v>5</v>
      </c>
      <c r="W611" s="76">
        <v>0</v>
      </c>
      <c r="X611" s="77">
        <v>0</v>
      </c>
      <c r="Y611" s="77">
        <v>3</v>
      </c>
      <c r="Z611" s="76">
        <v>9</v>
      </c>
      <c r="AA611" s="76">
        <v>0</v>
      </c>
      <c r="AB611" s="77">
        <v>0</v>
      </c>
      <c r="AC611" s="77">
        <v>3</v>
      </c>
      <c r="AD611" s="76">
        <v>7</v>
      </c>
      <c r="AE611" s="76">
        <v>0</v>
      </c>
      <c r="AF611" s="77">
        <v>0</v>
      </c>
      <c r="AG611" s="77">
        <v>3</v>
      </c>
      <c r="AH611" s="76">
        <v>10</v>
      </c>
      <c r="AI611" s="76">
        <v>0</v>
      </c>
      <c r="AJ611" s="77">
        <v>0</v>
      </c>
      <c r="AK611" s="77">
        <v>3</v>
      </c>
      <c r="AL611" s="76"/>
      <c r="AM611" s="76"/>
      <c r="AN611" s="77"/>
      <c r="AO611" s="77"/>
      <c r="AP611" s="76"/>
      <c r="AQ611" s="76"/>
      <c r="AR611" s="77"/>
      <c r="AS611" s="77"/>
      <c r="AT611" s="78">
        <v>0.75</v>
      </c>
    </row>
    <row r="612" spans="1:46" ht="12.5" x14ac:dyDescent="0.25">
      <c r="A612" s="79">
        <v>44825.334990081014</v>
      </c>
      <c r="B612" s="80" t="s">
        <v>21</v>
      </c>
      <c r="C612" s="80" t="str">
        <f>INDEX(TBL_Name,MATCH(Table2[[#This Row],[Athlete Name]],listNames,0),2)</f>
        <v>Athlete 13</v>
      </c>
      <c r="D612" s="80" t="s">
        <v>130</v>
      </c>
      <c r="E612" s="80">
        <v>5</v>
      </c>
      <c r="F612" s="80">
        <v>8</v>
      </c>
      <c r="G612" s="80">
        <v>8</v>
      </c>
      <c r="H612" s="80" t="s">
        <v>929</v>
      </c>
      <c r="I612" s="80">
        <v>8</v>
      </c>
      <c r="J612" s="80"/>
      <c r="K612" s="80"/>
      <c r="L612" s="80"/>
      <c r="M612" s="1" t="s">
        <v>930</v>
      </c>
      <c r="N612" s="1">
        <v>39</v>
      </c>
      <c r="O612" s="1">
        <v>7</v>
      </c>
      <c r="P612" s="13">
        <v>44825</v>
      </c>
      <c r="Q612" s="1" t="s">
        <v>133</v>
      </c>
      <c r="R612" s="1" t="s">
        <v>64</v>
      </c>
      <c r="S612" s="1">
        <v>1</v>
      </c>
      <c r="T612" s="1"/>
      <c r="U612" s="1" t="s">
        <v>18</v>
      </c>
      <c r="V612" s="76">
        <v>7.7142857142857144</v>
      </c>
      <c r="W612" s="76">
        <v>1.2777531299998797</v>
      </c>
      <c r="X612" s="77">
        <v>-2.1242645786248007</v>
      </c>
      <c r="Y612" s="77">
        <v>1</v>
      </c>
      <c r="Z612" s="76">
        <v>8</v>
      </c>
      <c r="AA612" s="76">
        <v>0.7559289460184544</v>
      </c>
      <c r="AB612" s="77">
        <v>0</v>
      </c>
      <c r="AC612" s="77">
        <v>3</v>
      </c>
      <c r="AD612" s="76">
        <v>8.5714285714285712</v>
      </c>
      <c r="AE612" s="76">
        <v>0.49487165930539401</v>
      </c>
      <c r="AF612" s="77">
        <v>-1.1547005383792499</v>
      </c>
      <c r="AG612" s="77">
        <v>1</v>
      </c>
      <c r="AH612" s="76">
        <v>6.8571428571428568</v>
      </c>
      <c r="AI612" s="76">
        <v>1.2453996981544779</v>
      </c>
      <c r="AJ612" s="77">
        <v>0.91766293548224753</v>
      </c>
      <c r="AK612" s="77">
        <v>3</v>
      </c>
      <c r="AL612" s="76"/>
      <c r="AM612" s="76"/>
      <c r="AN612" s="77"/>
      <c r="AO612" s="77"/>
      <c r="AP612" s="76"/>
      <c r="AQ612" s="76"/>
      <c r="AR612" s="77"/>
      <c r="AS612" s="77"/>
      <c r="AT612" s="78">
        <v>0.625</v>
      </c>
    </row>
    <row r="613" spans="1:46" ht="12.5" x14ac:dyDescent="0.25">
      <c r="A613" s="79">
        <v>44825.394312928242</v>
      </c>
      <c r="B613" s="80" t="s">
        <v>6</v>
      </c>
      <c r="C613" s="80" t="str">
        <f>INDEX(TBL_Name,MATCH(Table2[[#This Row],[Athlete Name]],listNames,0),2)</f>
        <v>Athlete 2</v>
      </c>
      <c r="D613" s="80" t="s">
        <v>143</v>
      </c>
      <c r="E613" s="80">
        <v>9</v>
      </c>
      <c r="F613" s="80">
        <v>9</v>
      </c>
      <c r="G613" s="80">
        <v>8</v>
      </c>
      <c r="H613" s="80" t="s">
        <v>73</v>
      </c>
      <c r="I613" s="80">
        <v>8</v>
      </c>
      <c r="J613" s="80"/>
      <c r="K613" s="80"/>
      <c r="L613" s="80"/>
      <c r="M613" s="1" t="s">
        <v>931</v>
      </c>
      <c r="N613" s="1">
        <v>39</v>
      </c>
      <c r="O613" s="1">
        <v>7</v>
      </c>
      <c r="P613" s="13">
        <v>44825</v>
      </c>
      <c r="Q613" s="1" t="s">
        <v>133</v>
      </c>
      <c r="R613" s="1" t="s">
        <v>64</v>
      </c>
      <c r="S613" s="1">
        <v>2</v>
      </c>
      <c r="T613" s="1"/>
      <c r="U613" s="1" t="s">
        <v>5</v>
      </c>
      <c r="V613" s="76">
        <v>8.3333333333333339</v>
      </c>
      <c r="W613" s="76">
        <v>0.47140452079103201</v>
      </c>
      <c r="X613" s="77">
        <v>1.4142135623730927</v>
      </c>
      <c r="Y613" s="77">
        <v>4</v>
      </c>
      <c r="Z613" s="76">
        <v>8.3333333333333339</v>
      </c>
      <c r="AA613" s="76">
        <v>0.47140452079103207</v>
      </c>
      <c r="AB613" s="77">
        <v>1.4142135623730927</v>
      </c>
      <c r="AC613" s="77">
        <v>4</v>
      </c>
      <c r="AD613" s="76">
        <v>8</v>
      </c>
      <c r="AE613" s="76">
        <v>1</v>
      </c>
      <c r="AF613" s="77">
        <v>0</v>
      </c>
      <c r="AG613" s="77">
        <v>3</v>
      </c>
      <c r="AH613" s="76">
        <v>8</v>
      </c>
      <c r="AI613" s="76">
        <v>0</v>
      </c>
      <c r="AJ613" s="77">
        <v>0</v>
      </c>
      <c r="AK613" s="77">
        <v>3</v>
      </c>
      <c r="AL613" s="76"/>
      <c r="AM613" s="76"/>
      <c r="AN613" s="77"/>
      <c r="AO613" s="77"/>
      <c r="AP613" s="76"/>
      <c r="AQ613" s="76"/>
      <c r="AR613" s="77"/>
      <c r="AS613" s="77"/>
      <c r="AT613" s="78">
        <v>0.75</v>
      </c>
    </row>
    <row r="614" spans="1:46" ht="12.5" x14ac:dyDescent="0.25">
      <c r="A614" s="79">
        <v>44825.405061064812</v>
      </c>
      <c r="B614" s="80" t="s">
        <v>25</v>
      </c>
      <c r="C614" s="80" t="str">
        <f>INDEX(TBL_Name,MATCH(Table2[[#This Row],[Athlete Name]],listNames,0),2)</f>
        <v>Athlete 23</v>
      </c>
      <c r="D614" s="80" t="s">
        <v>143</v>
      </c>
      <c r="E614" s="80">
        <v>9</v>
      </c>
      <c r="F614" s="80">
        <v>9</v>
      </c>
      <c r="G614" s="80">
        <v>10</v>
      </c>
      <c r="H614" s="80" t="s">
        <v>65</v>
      </c>
      <c r="I614" s="80">
        <v>8</v>
      </c>
      <c r="J614" s="80"/>
      <c r="K614" s="80"/>
      <c r="L614" s="80"/>
      <c r="M614" s="1" t="s">
        <v>932</v>
      </c>
      <c r="N614" s="1">
        <v>39</v>
      </c>
      <c r="O614" s="1">
        <v>7</v>
      </c>
      <c r="P614" s="13">
        <v>44825</v>
      </c>
      <c r="Q614" s="1" t="s">
        <v>133</v>
      </c>
      <c r="R614" s="1" t="s">
        <v>64</v>
      </c>
      <c r="S614" s="1">
        <v>2</v>
      </c>
      <c r="T614" s="1"/>
      <c r="U614" s="1" t="s">
        <v>26</v>
      </c>
      <c r="V614" s="76">
        <v>9</v>
      </c>
      <c r="W614" s="76">
        <v>0</v>
      </c>
      <c r="X614" s="77">
        <v>0</v>
      </c>
      <c r="Y614" s="77">
        <v>3</v>
      </c>
      <c r="Z614" s="76">
        <v>8</v>
      </c>
      <c r="AA614" s="76">
        <v>0.81649658092772603</v>
      </c>
      <c r="AB614" s="77">
        <v>1.2247448713915889</v>
      </c>
      <c r="AC614" s="77">
        <v>4</v>
      </c>
      <c r="AD614" s="76">
        <v>8.6666666666666661</v>
      </c>
      <c r="AE614" s="76">
        <v>0.94280904158206358</v>
      </c>
      <c r="AF614" s="77">
        <v>1.4142135623730954</v>
      </c>
      <c r="AG614" s="77">
        <v>4</v>
      </c>
      <c r="AH614" s="76">
        <v>8</v>
      </c>
      <c r="AI614" s="76">
        <v>0</v>
      </c>
      <c r="AJ614" s="77">
        <v>0</v>
      </c>
      <c r="AK614" s="77">
        <v>3</v>
      </c>
      <c r="AL614" s="76"/>
      <c r="AM614" s="76"/>
      <c r="AN614" s="77"/>
      <c r="AO614" s="77"/>
      <c r="AP614" s="76"/>
      <c r="AQ614" s="76"/>
      <c r="AR614" s="77"/>
      <c r="AS614" s="77"/>
      <c r="AT614" s="78">
        <v>0.75</v>
      </c>
    </row>
    <row r="615" spans="1:46" ht="12.5" x14ac:dyDescent="0.25">
      <c r="A615" s="79">
        <v>44825.417767638894</v>
      </c>
      <c r="B615" s="80" t="s">
        <v>177</v>
      </c>
      <c r="C615" s="80" t="str">
        <f>INDEX(TBL_Name,MATCH(Table2[[#This Row],[Athlete Name]],listNames,0),2)</f>
        <v>Athlete 28</v>
      </c>
      <c r="D615" s="80" t="s">
        <v>143</v>
      </c>
      <c r="E615" s="80">
        <v>2</v>
      </c>
      <c r="F615" s="80">
        <v>7</v>
      </c>
      <c r="G615" s="80">
        <v>8</v>
      </c>
      <c r="H615" s="80" t="s">
        <v>66</v>
      </c>
      <c r="I615" s="80">
        <v>2</v>
      </c>
      <c r="J615" s="80"/>
      <c r="K615" s="80"/>
      <c r="L615" s="80"/>
      <c r="M615" s="1" t="s">
        <v>933</v>
      </c>
      <c r="N615" s="1">
        <v>39</v>
      </c>
      <c r="O615" s="1">
        <v>7</v>
      </c>
      <c r="P615" s="13">
        <v>44825</v>
      </c>
      <c r="Q615" s="1" t="s">
        <v>133</v>
      </c>
      <c r="R615" s="1" t="s">
        <v>64</v>
      </c>
      <c r="S615" s="1">
        <v>2</v>
      </c>
      <c r="T615" s="1"/>
      <c r="U615" s="1" t="s">
        <v>28</v>
      </c>
      <c r="V615" s="76">
        <v>2</v>
      </c>
      <c r="W615" s="76">
        <v>0</v>
      </c>
      <c r="X615" s="77">
        <v>0</v>
      </c>
      <c r="Y615" s="77">
        <v>3</v>
      </c>
      <c r="Z615" s="76">
        <v>7.5</v>
      </c>
      <c r="AA615" s="76">
        <v>0.5</v>
      </c>
      <c r="AB615" s="77">
        <v>-1</v>
      </c>
      <c r="AC615" s="77">
        <v>1</v>
      </c>
      <c r="AD615" s="76">
        <v>7</v>
      </c>
      <c r="AE615" s="76">
        <v>1</v>
      </c>
      <c r="AF615" s="77">
        <v>1</v>
      </c>
      <c r="AG615" s="77">
        <v>4</v>
      </c>
      <c r="AH615" s="76">
        <v>5</v>
      </c>
      <c r="AI615" s="76">
        <v>3</v>
      </c>
      <c r="AJ615" s="77">
        <v>-1</v>
      </c>
      <c r="AK615" s="77">
        <v>1</v>
      </c>
      <c r="AL615" s="76"/>
      <c r="AM615" s="76"/>
      <c r="AN615" s="77"/>
      <c r="AO615" s="77"/>
      <c r="AP615" s="76"/>
      <c r="AQ615" s="76"/>
      <c r="AR615" s="77"/>
      <c r="AS615" s="77"/>
      <c r="AT615" s="78">
        <v>0.75</v>
      </c>
    </row>
    <row r="616" spans="1:46" ht="12.5" x14ac:dyDescent="0.25">
      <c r="A616" s="79">
        <v>44825.454533101853</v>
      </c>
      <c r="B616" s="80" t="s">
        <v>19</v>
      </c>
      <c r="C616" s="80" t="str">
        <f>INDEX(TBL_Name,MATCH(Table2[[#This Row],[Athlete Name]],listNames,0),2)</f>
        <v>Athlete 11</v>
      </c>
      <c r="D616" s="80" t="s">
        <v>130</v>
      </c>
      <c r="E616" s="80">
        <v>4</v>
      </c>
      <c r="F616" s="80">
        <v>7</v>
      </c>
      <c r="G616" s="80">
        <v>7</v>
      </c>
      <c r="H616" s="80" t="s">
        <v>511</v>
      </c>
      <c r="I616" s="80">
        <v>4</v>
      </c>
      <c r="J616" s="80"/>
      <c r="K616" s="80"/>
      <c r="L616" s="80"/>
      <c r="M616" s="1" t="s">
        <v>934</v>
      </c>
      <c r="N616" s="1">
        <v>39</v>
      </c>
      <c r="O616" s="1">
        <v>7</v>
      </c>
      <c r="P616" s="13">
        <v>44825</v>
      </c>
      <c r="Q616" s="1" t="s">
        <v>133</v>
      </c>
      <c r="R616" s="1" t="s">
        <v>64</v>
      </c>
      <c r="S616" s="1">
        <v>1</v>
      </c>
      <c r="T616" s="1"/>
      <c r="U616" s="1" t="s">
        <v>18</v>
      </c>
      <c r="V616" s="76">
        <v>6</v>
      </c>
      <c r="W616" s="76">
        <v>2</v>
      </c>
      <c r="X616" s="77">
        <v>-1</v>
      </c>
      <c r="Y616" s="77">
        <v>1</v>
      </c>
      <c r="Z616" s="76">
        <v>7</v>
      </c>
      <c r="AA616" s="76">
        <v>0</v>
      </c>
      <c r="AB616" s="77">
        <v>0</v>
      </c>
      <c r="AC616" s="77">
        <v>3</v>
      </c>
      <c r="AD616" s="76">
        <v>7</v>
      </c>
      <c r="AE616" s="76">
        <v>0</v>
      </c>
      <c r="AF616" s="77">
        <v>0</v>
      </c>
      <c r="AG616" s="77">
        <v>3</v>
      </c>
      <c r="AH616" s="76">
        <v>3.5</v>
      </c>
      <c r="AI616" s="76">
        <v>0.5</v>
      </c>
      <c r="AJ616" s="77">
        <v>1</v>
      </c>
      <c r="AK616" s="77">
        <v>4</v>
      </c>
      <c r="AL616" s="76"/>
      <c r="AM616" s="76"/>
      <c r="AN616" s="77"/>
      <c r="AO616" s="77"/>
      <c r="AP616" s="76"/>
      <c r="AQ616" s="76"/>
      <c r="AR616" s="77"/>
      <c r="AS616" s="77"/>
      <c r="AT616" s="78">
        <v>0.5</v>
      </c>
    </row>
    <row r="617" spans="1:46" ht="12.5" x14ac:dyDescent="0.25">
      <c r="A617" s="79">
        <v>44825.481700937496</v>
      </c>
      <c r="B617" s="80" t="s">
        <v>168</v>
      </c>
      <c r="C617" s="80" t="str">
        <f>INDEX(TBL_Name,MATCH(Table2[[#This Row],[Athlete Name]],listNames,0),2)</f>
        <v>Athlete 26</v>
      </c>
      <c r="D617" s="80" t="s">
        <v>130</v>
      </c>
      <c r="E617" s="80">
        <v>5</v>
      </c>
      <c r="F617" s="80">
        <v>2</v>
      </c>
      <c r="G617" s="80">
        <v>2</v>
      </c>
      <c r="H617" s="80" t="s">
        <v>68</v>
      </c>
      <c r="I617" s="80">
        <v>6</v>
      </c>
      <c r="J617" s="80"/>
      <c r="K617" s="80"/>
      <c r="L617" s="80"/>
      <c r="M617" s="1" t="s">
        <v>935</v>
      </c>
      <c r="N617" s="1">
        <v>39</v>
      </c>
      <c r="O617" s="1">
        <v>7</v>
      </c>
      <c r="P617" s="13">
        <v>44825</v>
      </c>
      <c r="Q617" s="1" t="s">
        <v>133</v>
      </c>
      <c r="R617" s="1" t="s">
        <v>64</v>
      </c>
      <c r="S617" s="1">
        <v>1</v>
      </c>
      <c r="T617" s="1"/>
      <c r="U617" s="1" t="s">
        <v>5</v>
      </c>
      <c r="V617" s="76">
        <v>6</v>
      </c>
      <c r="W617" s="76">
        <v>1.2909944487358056</v>
      </c>
      <c r="X617" s="77">
        <v>-0.7745966692414834</v>
      </c>
      <c r="Y617" s="77">
        <v>2</v>
      </c>
      <c r="Z617" s="76">
        <v>6.833333333333333</v>
      </c>
      <c r="AA617" s="76">
        <v>2.4094720491334933</v>
      </c>
      <c r="AB617" s="77">
        <v>-2.0059719452116163</v>
      </c>
      <c r="AC617" s="77">
        <v>1</v>
      </c>
      <c r="AD617" s="76">
        <v>7.166666666666667</v>
      </c>
      <c r="AE617" s="76">
        <v>2.4094720491334929</v>
      </c>
      <c r="AF617" s="77">
        <v>-2.1443148379848318</v>
      </c>
      <c r="AG617" s="77">
        <v>1</v>
      </c>
      <c r="AH617" s="76">
        <v>6.166666666666667</v>
      </c>
      <c r="AI617" s="76">
        <v>0.68718427093627676</v>
      </c>
      <c r="AJ617" s="77">
        <v>-0.24253562503633341</v>
      </c>
      <c r="AK617" s="77">
        <v>2</v>
      </c>
      <c r="AL617" s="76"/>
      <c r="AM617" s="76"/>
      <c r="AN617" s="77"/>
      <c r="AO617" s="77"/>
      <c r="AP617" s="76"/>
      <c r="AQ617" s="76"/>
      <c r="AR617" s="77"/>
      <c r="AS617" s="77"/>
      <c r="AT617" s="78">
        <v>0.4375</v>
      </c>
    </row>
    <row r="618" spans="1:46" ht="12.5" x14ac:dyDescent="0.25">
      <c r="A618" s="79">
        <v>44825.486612199078</v>
      </c>
      <c r="B618" s="80" t="s">
        <v>10</v>
      </c>
      <c r="C618" s="80" t="str">
        <f>INDEX(TBL_Name,MATCH(Table2[[#This Row],[Athlete Name]],listNames,0),2)</f>
        <v>Athlete 5</v>
      </c>
      <c r="D618" s="80" t="s">
        <v>130</v>
      </c>
      <c r="E618" s="80">
        <v>8</v>
      </c>
      <c r="F618" s="80">
        <v>8</v>
      </c>
      <c r="G618" s="80">
        <v>8</v>
      </c>
      <c r="H618" s="80" t="s">
        <v>936</v>
      </c>
      <c r="I618" s="80">
        <v>6</v>
      </c>
      <c r="J618" s="80"/>
      <c r="K618" s="80"/>
      <c r="L618" s="80"/>
      <c r="M618" s="1" t="s">
        <v>937</v>
      </c>
      <c r="N618" s="1">
        <v>39</v>
      </c>
      <c r="O618" s="1">
        <v>7</v>
      </c>
      <c r="P618" s="13">
        <v>44825</v>
      </c>
      <c r="Q618" s="1" t="s">
        <v>133</v>
      </c>
      <c r="R618" s="1" t="s">
        <v>64</v>
      </c>
      <c r="S618" s="1">
        <v>1</v>
      </c>
      <c r="T618" s="1"/>
      <c r="U618" s="1" t="s">
        <v>11</v>
      </c>
      <c r="V618" s="76">
        <v>8.4285714285714288</v>
      </c>
      <c r="W618" s="76">
        <v>0.72843135908468348</v>
      </c>
      <c r="X618" s="77">
        <v>-0.58834840541455247</v>
      </c>
      <c r="Y618" s="77">
        <v>2</v>
      </c>
      <c r="Z618" s="76">
        <v>8.1428571428571423</v>
      </c>
      <c r="AA618" s="76">
        <v>0.63887656499993994</v>
      </c>
      <c r="AB618" s="77">
        <v>-0.22360679774997816</v>
      </c>
      <c r="AC618" s="77">
        <v>2</v>
      </c>
      <c r="AD618" s="76">
        <v>8.0714285714285712</v>
      </c>
      <c r="AE618" s="76">
        <v>0.67763092717893847</v>
      </c>
      <c r="AF618" s="77">
        <v>-0.1054092553389456</v>
      </c>
      <c r="AG618" s="77">
        <v>2</v>
      </c>
      <c r="AH618" s="76">
        <v>7.1428571428571432</v>
      </c>
      <c r="AI618" s="76">
        <v>0.98974331861078702</v>
      </c>
      <c r="AJ618" s="77">
        <v>-1.1547005383792519</v>
      </c>
      <c r="AK618" s="77">
        <v>1</v>
      </c>
      <c r="AL618" s="76"/>
      <c r="AM618" s="76"/>
      <c r="AN618" s="77"/>
      <c r="AO618" s="77"/>
      <c r="AP618" s="76"/>
      <c r="AQ618" s="76"/>
      <c r="AR618" s="77"/>
      <c r="AS618" s="77"/>
      <c r="AT618" s="78">
        <v>0.4375</v>
      </c>
    </row>
    <row r="619" spans="1:46" ht="12.5" x14ac:dyDescent="0.25">
      <c r="A619" s="79">
        <v>44825.583670752312</v>
      </c>
      <c r="B619" s="80" t="s">
        <v>17</v>
      </c>
      <c r="C619" s="80" t="str">
        <f>INDEX(TBL_Name,MATCH(Table2[[#This Row],[Athlete Name]],listNames,0),2)</f>
        <v>Athlete 10</v>
      </c>
      <c r="D619" s="80" t="s">
        <v>130</v>
      </c>
      <c r="E619" s="80">
        <v>9</v>
      </c>
      <c r="F619" s="80">
        <v>8</v>
      </c>
      <c r="G619" s="80">
        <v>9</v>
      </c>
      <c r="H619" s="80" t="s">
        <v>228</v>
      </c>
      <c r="I619" s="80">
        <v>8</v>
      </c>
      <c r="J619" s="80"/>
      <c r="K619" s="80"/>
      <c r="L619" s="80"/>
      <c r="M619" s="1" t="s">
        <v>938</v>
      </c>
      <c r="N619" s="1">
        <v>39</v>
      </c>
      <c r="O619" s="1">
        <v>7</v>
      </c>
      <c r="P619" s="13">
        <v>44825</v>
      </c>
      <c r="Q619" s="1" t="s">
        <v>133</v>
      </c>
      <c r="R619" s="1" t="s">
        <v>64</v>
      </c>
      <c r="S619" s="1">
        <v>1</v>
      </c>
      <c r="T619" s="1"/>
      <c r="U619" s="1" t="s">
        <v>18</v>
      </c>
      <c r="V619" s="76">
        <v>8</v>
      </c>
      <c r="W619" s="76">
        <v>1.3093073414159544</v>
      </c>
      <c r="X619" s="77">
        <v>0.76376261582597327</v>
      </c>
      <c r="Y619" s="77">
        <v>3</v>
      </c>
      <c r="Z619" s="76">
        <v>8</v>
      </c>
      <c r="AA619" s="76">
        <v>1.0690449676496976</v>
      </c>
      <c r="AB619" s="77">
        <v>0</v>
      </c>
      <c r="AC619" s="77">
        <v>3</v>
      </c>
      <c r="AD619" s="76">
        <v>8.2857142857142865</v>
      </c>
      <c r="AE619" s="76">
        <v>1.1605769149479945</v>
      </c>
      <c r="AF619" s="77">
        <v>0.61545745489666293</v>
      </c>
      <c r="AG619" s="77">
        <v>3</v>
      </c>
      <c r="AH619" s="76">
        <v>7.8571428571428568</v>
      </c>
      <c r="AI619" s="76">
        <v>0.63887656499994006</v>
      </c>
      <c r="AJ619" s="77">
        <v>0.22360679774997952</v>
      </c>
      <c r="AK619" s="77">
        <v>3</v>
      </c>
      <c r="AL619" s="76"/>
      <c r="AM619" s="76"/>
      <c r="AN619" s="77"/>
      <c r="AO619" s="77"/>
      <c r="AP619" s="76"/>
      <c r="AQ619" s="76"/>
      <c r="AR619" s="77"/>
      <c r="AS619" s="77"/>
      <c r="AT619" s="78">
        <v>0.75</v>
      </c>
    </row>
    <row r="620" spans="1:46" ht="12.5" x14ac:dyDescent="0.25">
      <c r="A620" s="79">
        <v>44825.628366180557</v>
      </c>
      <c r="B620" s="80" t="s">
        <v>22</v>
      </c>
      <c r="C620" s="80" t="str">
        <f>INDEX(TBL_Name,MATCH(Table2[[#This Row],[Athlete Name]],listNames,0),2)</f>
        <v>Athlete 14</v>
      </c>
      <c r="D620" s="80" t="s">
        <v>130</v>
      </c>
      <c r="E620" s="80">
        <v>5</v>
      </c>
      <c r="F620" s="80">
        <v>4</v>
      </c>
      <c r="G620" s="80">
        <v>8</v>
      </c>
      <c r="H620" s="80" t="s">
        <v>364</v>
      </c>
      <c r="I620" s="80">
        <v>6</v>
      </c>
      <c r="J620" s="80"/>
      <c r="K620" s="80"/>
      <c r="L620" s="80"/>
      <c r="M620" s="1" t="s">
        <v>939</v>
      </c>
      <c r="N620" s="1">
        <v>39</v>
      </c>
      <c r="O620" s="1">
        <v>7</v>
      </c>
      <c r="P620" s="13">
        <v>44825</v>
      </c>
      <c r="Q620" s="1" t="s">
        <v>133</v>
      </c>
      <c r="R620" s="1" t="s">
        <v>64</v>
      </c>
      <c r="S620" s="1">
        <v>1</v>
      </c>
      <c r="T620" s="1" t="s">
        <v>18</v>
      </c>
      <c r="U620" s="1" t="s">
        <v>18</v>
      </c>
      <c r="V620" s="76">
        <v>6</v>
      </c>
      <c r="W620" s="76">
        <v>0.81649658092772603</v>
      </c>
      <c r="X620" s="77">
        <v>-1.2247448713915889</v>
      </c>
      <c r="Y620" s="77">
        <v>1</v>
      </c>
      <c r="Z620" s="76">
        <v>5.666666666666667</v>
      </c>
      <c r="AA620" s="76">
        <v>1.2472191289246473</v>
      </c>
      <c r="AB620" s="77">
        <v>-1.3363062095621221</v>
      </c>
      <c r="AC620" s="77">
        <v>1</v>
      </c>
      <c r="AD620" s="76">
        <v>8.6666666666666661</v>
      </c>
      <c r="AE620" s="76">
        <v>0.47140452079103146</v>
      </c>
      <c r="AF620" s="77">
        <v>-1.4142135623730945</v>
      </c>
      <c r="AG620" s="77">
        <v>1</v>
      </c>
      <c r="AH620" s="76">
        <v>5.333333333333333</v>
      </c>
      <c r="AI620" s="76">
        <v>0.94280904158206336</v>
      </c>
      <c r="AJ620" s="77">
        <v>0.70710678118654779</v>
      </c>
      <c r="AK620" s="77">
        <v>3</v>
      </c>
      <c r="AL620" s="76"/>
      <c r="AM620" s="76"/>
      <c r="AN620" s="77"/>
      <c r="AO620" s="77"/>
      <c r="AP620" s="76"/>
      <c r="AQ620" s="76"/>
      <c r="AR620" s="77"/>
      <c r="AS620" s="77"/>
      <c r="AT620" s="78">
        <v>0.375</v>
      </c>
    </row>
    <row r="621" spans="1:46" ht="12.5" x14ac:dyDescent="0.25">
      <c r="A621" s="79">
        <v>44825.688668252318</v>
      </c>
      <c r="B621" s="80" t="s">
        <v>180</v>
      </c>
      <c r="C621" s="80" t="str">
        <f>INDEX(TBL_Name,MATCH(Table2[[#This Row],[Athlete Name]],listNames,0),2)</f>
        <v>Athlete 29</v>
      </c>
      <c r="D621" s="80" t="s">
        <v>143</v>
      </c>
      <c r="E621" s="80">
        <v>5</v>
      </c>
      <c r="F621" s="80">
        <v>8</v>
      </c>
      <c r="G621" s="80">
        <v>8</v>
      </c>
      <c r="H621" s="80" t="s">
        <v>940</v>
      </c>
      <c r="I621" s="80">
        <v>3</v>
      </c>
      <c r="J621" s="80"/>
      <c r="K621" s="80"/>
      <c r="L621" s="80"/>
      <c r="M621" s="1" t="s">
        <v>941</v>
      </c>
      <c r="N621" s="1">
        <v>39</v>
      </c>
      <c r="O621" s="1">
        <v>7</v>
      </c>
      <c r="P621" s="13">
        <v>44825</v>
      </c>
      <c r="Q621" s="1" t="s">
        <v>133</v>
      </c>
      <c r="R621" s="1" t="s">
        <v>64</v>
      </c>
      <c r="S621" s="1">
        <v>2</v>
      </c>
      <c r="T621" s="1" t="s">
        <v>942</v>
      </c>
      <c r="U621" s="1" t="s">
        <v>942</v>
      </c>
      <c r="V621" s="76">
        <v>5</v>
      </c>
      <c r="W621" s="76">
        <v>0</v>
      </c>
      <c r="X621" s="77">
        <v>0</v>
      </c>
      <c r="Y621" s="77">
        <v>3</v>
      </c>
      <c r="Z621" s="76">
        <v>9</v>
      </c>
      <c r="AA621" s="76">
        <v>1</v>
      </c>
      <c r="AB621" s="77">
        <v>-1</v>
      </c>
      <c r="AC621" s="77">
        <v>1</v>
      </c>
      <c r="AD621" s="76">
        <v>8</v>
      </c>
      <c r="AE621" s="76">
        <v>0</v>
      </c>
      <c r="AF621" s="77">
        <v>0</v>
      </c>
      <c r="AG621" s="77">
        <v>3</v>
      </c>
      <c r="AH621" s="76">
        <v>4</v>
      </c>
      <c r="AI621" s="76">
        <v>1</v>
      </c>
      <c r="AJ621" s="77">
        <v>-1</v>
      </c>
      <c r="AK621" s="77">
        <v>1</v>
      </c>
      <c r="AL621" s="76"/>
      <c r="AM621" s="76"/>
      <c r="AN621" s="77"/>
      <c r="AO621" s="77"/>
      <c r="AP621" s="76"/>
      <c r="AQ621" s="76"/>
      <c r="AR621" s="77"/>
      <c r="AS621" s="77"/>
      <c r="AT621" s="78">
        <v>0.5</v>
      </c>
    </row>
    <row r="622" spans="1:46" ht="12.5" x14ac:dyDescent="0.25">
      <c r="A622" s="79">
        <v>44826.272666990742</v>
      </c>
      <c r="B622" s="80" t="s">
        <v>185</v>
      </c>
      <c r="C622" s="80" t="str">
        <f>INDEX(TBL_Name,MATCH(Table2[[#This Row],[Athlete Name]],listNames,0),2)</f>
        <v>Athlete 30</v>
      </c>
      <c r="D622" s="80" t="s">
        <v>130</v>
      </c>
      <c r="E622" s="80">
        <v>7</v>
      </c>
      <c r="F622" s="80">
        <v>4</v>
      </c>
      <c r="G622" s="80">
        <v>6</v>
      </c>
      <c r="H622" s="80" t="s">
        <v>631</v>
      </c>
      <c r="I622" s="80">
        <v>8</v>
      </c>
      <c r="J622" s="80"/>
      <c r="K622" s="80"/>
      <c r="L622" s="80"/>
      <c r="M622" s="1" t="s">
        <v>943</v>
      </c>
      <c r="N622" s="1">
        <v>39</v>
      </c>
      <c r="O622" s="1">
        <v>7</v>
      </c>
      <c r="P622" s="13">
        <v>44826</v>
      </c>
      <c r="Q622" s="1" t="s">
        <v>133</v>
      </c>
      <c r="R622" s="1" t="s">
        <v>64</v>
      </c>
      <c r="S622" s="1">
        <v>1</v>
      </c>
      <c r="T622" s="1" t="s">
        <v>942</v>
      </c>
      <c r="U622" s="1" t="s">
        <v>942</v>
      </c>
      <c r="V622" s="76">
        <v>6.8</v>
      </c>
      <c r="W622" s="76">
        <v>0.74833147735478811</v>
      </c>
      <c r="X622" s="77">
        <v>0.26726124191242467</v>
      </c>
      <c r="Y622" s="77">
        <v>3</v>
      </c>
      <c r="Z622" s="76">
        <v>4.2</v>
      </c>
      <c r="AA622" s="76">
        <v>1.7204650534085253</v>
      </c>
      <c r="AB622" s="77">
        <v>-0.11624763874381938</v>
      </c>
      <c r="AC622" s="77">
        <v>2</v>
      </c>
      <c r="AD622" s="76">
        <v>5.6</v>
      </c>
      <c r="AE622" s="76">
        <v>1.6248076809271921</v>
      </c>
      <c r="AF622" s="77">
        <v>0.24618298195866567</v>
      </c>
      <c r="AG622" s="77">
        <v>3</v>
      </c>
      <c r="AH622" s="76">
        <v>7.6</v>
      </c>
      <c r="AI622" s="76">
        <v>0.79999999999999993</v>
      </c>
      <c r="AJ622" s="77">
        <v>0.50000000000000044</v>
      </c>
      <c r="AK622" s="77">
        <v>3</v>
      </c>
      <c r="AL622" s="76"/>
      <c r="AM622" s="76"/>
      <c r="AN622" s="77"/>
      <c r="AO622" s="77"/>
      <c r="AP622" s="76"/>
      <c r="AQ622" s="76"/>
      <c r="AR622" s="77"/>
      <c r="AS622" s="77"/>
      <c r="AT622" s="78">
        <v>0.6875</v>
      </c>
    </row>
    <row r="623" spans="1:46" ht="12.5" x14ac:dyDescent="0.25">
      <c r="A623" s="79">
        <v>44826.332206747684</v>
      </c>
      <c r="B623" s="80" t="s">
        <v>196</v>
      </c>
      <c r="C623" s="80" t="str">
        <f>INDEX(TBL_Name,MATCH(Table2[[#This Row],[Athlete Name]],listNames,0),2)</f>
        <v>Athlete 31</v>
      </c>
      <c r="D623" s="80" t="s">
        <v>130</v>
      </c>
      <c r="E623" s="80">
        <v>7</v>
      </c>
      <c r="F623" s="80">
        <v>7</v>
      </c>
      <c r="G623" s="80">
        <v>8</v>
      </c>
      <c r="H623" s="80" t="s">
        <v>944</v>
      </c>
      <c r="I623" s="80">
        <v>8</v>
      </c>
      <c r="J623" s="80"/>
      <c r="K623" s="80"/>
      <c r="L623" s="80"/>
      <c r="M623" s="1" t="s">
        <v>945</v>
      </c>
      <c r="N623" s="1">
        <v>39</v>
      </c>
      <c r="O623" s="1">
        <v>7</v>
      </c>
      <c r="P623" s="13">
        <v>44826</v>
      </c>
      <c r="Q623" s="1" t="s">
        <v>133</v>
      </c>
      <c r="R623" s="1" t="s">
        <v>64</v>
      </c>
      <c r="S623" s="1">
        <v>1</v>
      </c>
      <c r="T623" s="1" t="s">
        <v>942</v>
      </c>
      <c r="U623" s="1" t="s">
        <v>942</v>
      </c>
      <c r="V623" s="76">
        <v>6.8</v>
      </c>
      <c r="W623" s="76">
        <v>0.4</v>
      </c>
      <c r="X623" s="77">
        <v>0.50000000000000044</v>
      </c>
      <c r="Y623" s="77">
        <v>3</v>
      </c>
      <c r="Z623" s="76">
        <v>8.4</v>
      </c>
      <c r="AA623" s="76">
        <v>1.2000000000000002</v>
      </c>
      <c r="AB623" s="77">
        <v>-1.1666666666666667</v>
      </c>
      <c r="AC623" s="77">
        <v>1</v>
      </c>
      <c r="AD623" s="76">
        <v>8</v>
      </c>
      <c r="AE623" s="76">
        <v>1.0954451150103321</v>
      </c>
      <c r="AF623" s="77">
        <v>0</v>
      </c>
      <c r="AG623" s="77">
        <v>3</v>
      </c>
      <c r="AH623" s="76">
        <v>8.8000000000000007</v>
      </c>
      <c r="AI623" s="76">
        <v>0.40000000000000019</v>
      </c>
      <c r="AJ623" s="77">
        <v>-2.0000000000000009</v>
      </c>
      <c r="AK623" s="77">
        <v>1</v>
      </c>
      <c r="AL623" s="76"/>
      <c r="AM623" s="76"/>
      <c r="AN623" s="77"/>
      <c r="AO623" s="77"/>
      <c r="AP623" s="76"/>
      <c r="AQ623" s="76"/>
      <c r="AR623" s="77"/>
      <c r="AS623" s="77"/>
      <c r="AT623" s="78">
        <v>0.5</v>
      </c>
    </row>
    <row r="624" spans="1:46" ht="12.5" x14ac:dyDescent="0.25">
      <c r="A624" s="79">
        <v>44826.336431273143</v>
      </c>
      <c r="B624" s="80" t="s">
        <v>168</v>
      </c>
      <c r="C624" s="80" t="str">
        <f>INDEX(TBL_Name,MATCH(Table2[[#This Row],[Athlete Name]],listNames,0),2)</f>
        <v>Athlete 26</v>
      </c>
      <c r="D624" s="80" t="s">
        <v>130</v>
      </c>
      <c r="E624" s="80">
        <v>7</v>
      </c>
      <c r="F624" s="80">
        <v>10</v>
      </c>
      <c r="G624" s="80">
        <v>9</v>
      </c>
      <c r="H624" s="80" t="s">
        <v>68</v>
      </c>
      <c r="I624" s="80">
        <v>8</v>
      </c>
      <c r="J624" s="80"/>
      <c r="K624" s="80"/>
      <c r="L624" s="80"/>
      <c r="M624" s="1" t="s">
        <v>946</v>
      </c>
      <c r="N624" s="1">
        <v>39</v>
      </c>
      <c r="O624" s="1">
        <v>7</v>
      </c>
      <c r="P624" s="13">
        <v>44826</v>
      </c>
      <c r="Q624" s="1" t="s">
        <v>133</v>
      </c>
      <c r="R624" s="1" t="s">
        <v>64</v>
      </c>
      <c r="S624" s="1">
        <v>1</v>
      </c>
      <c r="T624" s="1" t="s">
        <v>942</v>
      </c>
      <c r="U624" s="1" t="s">
        <v>942</v>
      </c>
      <c r="V624" s="76">
        <v>6.166666666666667</v>
      </c>
      <c r="W624" s="76">
        <v>1.3437096247164249</v>
      </c>
      <c r="X624" s="77">
        <v>0.62017367294604209</v>
      </c>
      <c r="Y624" s="77">
        <v>3</v>
      </c>
      <c r="Z624" s="76">
        <v>7</v>
      </c>
      <c r="AA624" s="76">
        <v>2.5819888974716112</v>
      </c>
      <c r="AB624" s="77">
        <v>1.1618950038622251</v>
      </c>
      <c r="AC624" s="77">
        <v>4</v>
      </c>
      <c r="AD624" s="76">
        <v>7.166666666666667</v>
      </c>
      <c r="AE624" s="76">
        <v>2.4094720491334933</v>
      </c>
      <c r="AF624" s="77">
        <v>0.76088591025268204</v>
      </c>
      <c r="AG624" s="77">
        <v>3</v>
      </c>
      <c r="AH624" s="76">
        <v>6.333333333333333</v>
      </c>
      <c r="AI624" s="76">
        <v>0.94280904158206336</v>
      </c>
      <c r="AJ624" s="77">
        <v>1.7677669529663691</v>
      </c>
      <c r="AK624" s="77">
        <v>4</v>
      </c>
      <c r="AL624" s="76"/>
      <c r="AM624" s="76"/>
      <c r="AN624" s="77"/>
      <c r="AO624" s="77"/>
      <c r="AP624" s="76"/>
      <c r="AQ624" s="76"/>
      <c r="AR624" s="77"/>
      <c r="AS624" s="77"/>
      <c r="AT624" s="78">
        <v>0.875</v>
      </c>
    </row>
    <row r="625" spans="1:46" ht="12.5" x14ac:dyDescent="0.25">
      <c r="A625" s="79">
        <v>44826.366137199075</v>
      </c>
      <c r="B625" s="80" t="s">
        <v>17</v>
      </c>
      <c r="C625" s="80" t="str">
        <f>INDEX(TBL_Name,MATCH(Table2[[#This Row],[Athlete Name]],listNames,0),2)</f>
        <v>Athlete 10</v>
      </c>
      <c r="D625" s="80" t="s">
        <v>130</v>
      </c>
      <c r="E625" s="80">
        <v>7</v>
      </c>
      <c r="F625" s="80">
        <v>8</v>
      </c>
      <c r="G625" s="80">
        <v>8</v>
      </c>
      <c r="H625" s="80" t="s">
        <v>947</v>
      </c>
      <c r="I625" s="80">
        <v>7</v>
      </c>
      <c r="J625" s="80"/>
      <c r="K625" s="80"/>
      <c r="L625" s="80"/>
      <c r="M625" s="1" t="s">
        <v>948</v>
      </c>
      <c r="N625" s="1">
        <v>39</v>
      </c>
      <c r="O625" s="1">
        <v>7</v>
      </c>
      <c r="P625" s="13">
        <v>44826</v>
      </c>
      <c r="Q625" s="1" t="s">
        <v>133</v>
      </c>
      <c r="R625" s="1" t="s">
        <v>64</v>
      </c>
      <c r="S625" s="1">
        <v>1</v>
      </c>
      <c r="T625" s="1" t="s">
        <v>18</v>
      </c>
      <c r="U625" s="1" t="s">
        <v>18</v>
      </c>
      <c r="V625" s="76">
        <v>7.7142857142857144</v>
      </c>
      <c r="W625" s="76">
        <v>1.2777531299998799</v>
      </c>
      <c r="X625" s="77">
        <v>-0.55901699437494745</v>
      </c>
      <c r="Y625" s="77">
        <v>2</v>
      </c>
      <c r="Z625" s="76">
        <v>7.8571428571428568</v>
      </c>
      <c r="AA625" s="76">
        <v>0.98974331861078724</v>
      </c>
      <c r="AB625" s="77">
        <v>0.14433756729740679</v>
      </c>
      <c r="AC625" s="77">
        <v>3</v>
      </c>
      <c r="AD625" s="76">
        <v>8.2857142857142865</v>
      </c>
      <c r="AE625" s="76">
        <v>1.1605769149479945</v>
      </c>
      <c r="AF625" s="77">
        <v>-0.24618298195866609</v>
      </c>
      <c r="AG625" s="77">
        <v>2</v>
      </c>
      <c r="AH625" s="76">
        <v>7.7142857142857144</v>
      </c>
      <c r="AI625" s="76">
        <v>0.6998542122237652</v>
      </c>
      <c r="AJ625" s="77">
        <v>-1.0206207261596576</v>
      </c>
      <c r="AK625" s="77">
        <v>1</v>
      </c>
      <c r="AL625" s="76"/>
      <c r="AM625" s="76"/>
      <c r="AN625" s="77"/>
      <c r="AO625" s="77"/>
      <c r="AP625" s="76"/>
      <c r="AQ625" s="76"/>
      <c r="AR625" s="77"/>
      <c r="AS625" s="77"/>
      <c r="AT625" s="78">
        <v>0.5</v>
      </c>
    </row>
    <row r="626" spans="1:46" ht="12.5" x14ac:dyDescent="0.25">
      <c r="A626" s="79">
        <v>44826.374173229167</v>
      </c>
      <c r="B626" s="80" t="s">
        <v>6</v>
      </c>
      <c r="C626" s="80" t="str">
        <f>INDEX(TBL_Name,MATCH(Table2[[#This Row],[Athlete Name]],listNames,0),2)</f>
        <v>Athlete 2</v>
      </c>
      <c r="D626" s="80" t="s">
        <v>143</v>
      </c>
      <c r="E626" s="80">
        <v>8</v>
      </c>
      <c r="F626" s="80">
        <v>8</v>
      </c>
      <c r="G626" s="80">
        <v>8</v>
      </c>
      <c r="H626" s="80" t="s">
        <v>231</v>
      </c>
      <c r="I626" s="80">
        <v>8</v>
      </c>
      <c r="J626" s="80"/>
      <c r="K626" s="80"/>
      <c r="L626" s="80"/>
      <c r="M626" s="1" t="s">
        <v>949</v>
      </c>
      <c r="N626" s="1">
        <v>39</v>
      </c>
      <c r="O626" s="1">
        <v>7</v>
      </c>
      <c r="P626" s="13">
        <v>44826</v>
      </c>
      <c r="Q626" s="1" t="s">
        <v>133</v>
      </c>
      <c r="R626" s="1" t="s">
        <v>64</v>
      </c>
      <c r="S626" s="1">
        <v>2</v>
      </c>
      <c r="T626" s="1" t="s">
        <v>5</v>
      </c>
      <c r="U626" s="1" t="s">
        <v>5</v>
      </c>
      <c r="V626" s="76">
        <v>8.1666666666666661</v>
      </c>
      <c r="W626" s="76">
        <v>0.37267799624996506</v>
      </c>
      <c r="X626" s="77">
        <v>-0.44721359549995621</v>
      </c>
      <c r="Y626" s="77">
        <v>2</v>
      </c>
      <c r="Z626" s="76">
        <v>8.3333333333333339</v>
      </c>
      <c r="AA626" s="76">
        <v>0.47140452079103168</v>
      </c>
      <c r="AB626" s="77">
        <v>-0.70710678118654879</v>
      </c>
      <c r="AC626" s="77">
        <v>2</v>
      </c>
      <c r="AD626" s="76">
        <v>8</v>
      </c>
      <c r="AE626" s="76">
        <v>1</v>
      </c>
      <c r="AF626" s="77">
        <v>0</v>
      </c>
      <c r="AG626" s="77">
        <v>3</v>
      </c>
      <c r="AH626" s="76">
        <v>8</v>
      </c>
      <c r="AI626" s="76">
        <v>0</v>
      </c>
      <c r="AJ626" s="77">
        <v>0</v>
      </c>
      <c r="AK626" s="77">
        <v>3</v>
      </c>
      <c r="AL626" s="76"/>
      <c r="AM626" s="76"/>
      <c r="AN626" s="77"/>
      <c r="AO626" s="77"/>
      <c r="AP626" s="76"/>
      <c r="AQ626" s="76"/>
      <c r="AR626" s="77"/>
      <c r="AS626" s="77"/>
      <c r="AT626" s="78">
        <v>0.625</v>
      </c>
    </row>
    <row r="627" spans="1:46" ht="12.5" x14ac:dyDescent="0.25">
      <c r="A627" s="79">
        <v>44826.385294733795</v>
      </c>
      <c r="B627" s="80" t="s">
        <v>177</v>
      </c>
      <c r="C627" s="80" t="str">
        <f>INDEX(TBL_Name,MATCH(Table2[[#This Row],[Athlete Name]],listNames,0),2)</f>
        <v>Athlete 28</v>
      </c>
      <c r="D627" s="80" t="s">
        <v>143</v>
      </c>
      <c r="E627" s="80">
        <v>2</v>
      </c>
      <c r="F627" s="80">
        <v>2</v>
      </c>
      <c r="G627" s="80">
        <v>2</v>
      </c>
      <c r="H627" s="80" t="s">
        <v>66</v>
      </c>
      <c r="I627" s="80">
        <v>1</v>
      </c>
      <c r="J627" s="80"/>
      <c r="K627" s="80"/>
      <c r="L627" s="80"/>
      <c r="M627" s="1" t="s">
        <v>950</v>
      </c>
      <c r="N627" s="1">
        <v>39</v>
      </c>
      <c r="O627" s="1">
        <v>7</v>
      </c>
      <c r="P627" s="13">
        <v>44826</v>
      </c>
      <c r="Q627" s="1" t="s">
        <v>133</v>
      </c>
      <c r="R627" s="1" t="s">
        <v>64</v>
      </c>
      <c r="S627" s="1">
        <v>2</v>
      </c>
      <c r="T627" s="1" t="s">
        <v>942</v>
      </c>
      <c r="U627" s="1" t="s">
        <v>942</v>
      </c>
      <c r="V627" s="76">
        <v>2</v>
      </c>
      <c r="W627" s="76">
        <v>0</v>
      </c>
      <c r="X627" s="77">
        <v>0</v>
      </c>
      <c r="Y627" s="77">
        <v>3</v>
      </c>
      <c r="Z627" s="76">
        <v>4.5</v>
      </c>
      <c r="AA627" s="76">
        <v>2.5</v>
      </c>
      <c r="AB627" s="77">
        <v>-1</v>
      </c>
      <c r="AC627" s="77">
        <v>1</v>
      </c>
      <c r="AD627" s="76">
        <v>5</v>
      </c>
      <c r="AE627" s="76">
        <v>3</v>
      </c>
      <c r="AF627" s="77">
        <v>-1</v>
      </c>
      <c r="AG627" s="77">
        <v>1</v>
      </c>
      <c r="AH627" s="76">
        <v>1.5</v>
      </c>
      <c r="AI627" s="76">
        <v>0.5</v>
      </c>
      <c r="AJ627" s="77">
        <v>-1</v>
      </c>
      <c r="AK627" s="77">
        <v>1</v>
      </c>
      <c r="AL627" s="76"/>
      <c r="AM627" s="76"/>
      <c r="AN627" s="77"/>
      <c r="AO627" s="77"/>
      <c r="AP627" s="76"/>
      <c r="AQ627" s="76"/>
      <c r="AR627" s="77"/>
      <c r="AS627" s="77"/>
      <c r="AT627" s="78">
        <v>0.375</v>
      </c>
    </row>
    <row r="628" spans="1:46" ht="12.5" x14ac:dyDescent="0.25">
      <c r="A628" s="79">
        <v>44826.399853518524</v>
      </c>
      <c r="B628" s="80" t="s">
        <v>10</v>
      </c>
      <c r="C628" s="80" t="str">
        <f>INDEX(TBL_Name,MATCH(Table2[[#This Row],[Athlete Name]],listNames,0),2)</f>
        <v>Athlete 5</v>
      </c>
      <c r="D628" s="80" t="s">
        <v>130</v>
      </c>
      <c r="E628" s="80">
        <v>9</v>
      </c>
      <c r="F628" s="80">
        <v>9</v>
      </c>
      <c r="G628" s="80">
        <v>9</v>
      </c>
      <c r="H628" s="80" t="s">
        <v>324</v>
      </c>
      <c r="I628" s="80">
        <v>6</v>
      </c>
      <c r="J628" s="80"/>
      <c r="K628" s="80"/>
      <c r="L628" s="80"/>
      <c r="M628" s="1" t="s">
        <v>951</v>
      </c>
      <c r="N628" s="1">
        <v>39</v>
      </c>
      <c r="O628" s="1">
        <v>7</v>
      </c>
      <c r="P628" s="13">
        <v>44826</v>
      </c>
      <c r="Q628" s="1" t="s">
        <v>133</v>
      </c>
      <c r="R628" s="1" t="s">
        <v>64</v>
      </c>
      <c r="S628" s="1">
        <v>1</v>
      </c>
      <c r="T628" s="1" t="s">
        <v>11</v>
      </c>
      <c r="U628" s="1" t="s">
        <v>11</v>
      </c>
      <c r="V628" s="76">
        <v>8.7142857142857135</v>
      </c>
      <c r="W628" s="76">
        <v>0.45175395145262587</v>
      </c>
      <c r="X628" s="77">
        <v>0.63245553203367721</v>
      </c>
      <c r="Y628" s="77">
        <v>3</v>
      </c>
      <c r="Z628" s="76">
        <v>8.1428571428571423</v>
      </c>
      <c r="AA628" s="76">
        <v>0.63887656499993994</v>
      </c>
      <c r="AB628" s="77">
        <v>1.3416407864998745</v>
      </c>
      <c r="AC628" s="77">
        <v>4</v>
      </c>
      <c r="AD628" s="76">
        <v>8.0714285714285712</v>
      </c>
      <c r="AE628" s="76">
        <v>0.67763092717893847</v>
      </c>
      <c r="AF628" s="77">
        <v>1.3703203194062981</v>
      </c>
      <c r="AG628" s="77">
        <v>4</v>
      </c>
      <c r="AH628" s="76">
        <v>7</v>
      </c>
      <c r="AI628" s="76">
        <v>1.0690449676496976</v>
      </c>
      <c r="AJ628" s="77">
        <v>-0.93541434669348533</v>
      </c>
      <c r="AK628" s="77">
        <v>2</v>
      </c>
      <c r="AL628" s="76"/>
      <c r="AM628" s="76"/>
      <c r="AN628" s="77"/>
      <c r="AO628" s="77"/>
      <c r="AP628" s="76"/>
      <c r="AQ628" s="76"/>
      <c r="AR628" s="77"/>
      <c r="AS628" s="77"/>
      <c r="AT628" s="78">
        <v>0.8125</v>
      </c>
    </row>
    <row r="629" spans="1:46" ht="12.5" x14ac:dyDescent="0.25">
      <c r="A629" s="79">
        <v>44826.400309525459</v>
      </c>
      <c r="B629" s="80" t="s">
        <v>21</v>
      </c>
      <c r="C629" s="80" t="str">
        <f>INDEX(TBL_Name,MATCH(Table2[[#This Row],[Athlete Name]],listNames,0),2)</f>
        <v>Athlete 13</v>
      </c>
      <c r="D629" s="80" t="s">
        <v>130</v>
      </c>
      <c r="E629" s="80">
        <v>7</v>
      </c>
      <c r="F629" s="80">
        <v>6</v>
      </c>
      <c r="G629" s="80">
        <v>9</v>
      </c>
      <c r="H629" s="80" t="s">
        <v>952</v>
      </c>
      <c r="I629" s="80">
        <v>7</v>
      </c>
      <c r="J629" s="80"/>
      <c r="K629" s="80"/>
      <c r="L629" s="80"/>
      <c r="M629" s="1" t="s">
        <v>953</v>
      </c>
      <c r="N629" s="1">
        <v>39</v>
      </c>
      <c r="O629" s="1">
        <v>7</v>
      </c>
      <c r="P629" s="13">
        <v>44826</v>
      </c>
      <c r="Q629" s="1" t="s">
        <v>133</v>
      </c>
      <c r="R629" s="1" t="s">
        <v>64</v>
      </c>
      <c r="S629" s="1">
        <v>1</v>
      </c>
      <c r="T629" s="1" t="s">
        <v>18</v>
      </c>
      <c r="U629" s="1" t="s">
        <v>18</v>
      </c>
      <c r="V629" s="76">
        <v>7.7142857142857144</v>
      </c>
      <c r="W629" s="76">
        <v>1.2777531299998799</v>
      </c>
      <c r="X629" s="77">
        <v>-0.55901699437494745</v>
      </c>
      <c r="Y629" s="77">
        <v>2</v>
      </c>
      <c r="Z629" s="76">
        <v>7.8571428571428568</v>
      </c>
      <c r="AA629" s="76">
        <v>0.98974331861078679</v>
      </c>
      <c r="AB629" s="77">
        <v>-1.8763883748662837</v>
      </c>
      <c r="AC629" s="77">
        <v>1</v>
      </c>
      <c r="AD629" s="76">
        <v>8.7142857142857135</v>
      </c>
      <c r="AE629" s="76">
        <v>0.45175395145262587</v>
      </c>
      <c r="AF629" s="77">
        <v>0.63245553203367721</v>
      </c>
      <c r="AG629" s="77">
        <v>3</v>
      </c>
      <c r="AH629" s="76">
        <v>7.1428571428571432</v>
      </c>
      <c r="AI629" s="76">
        <v>0.9897433186107869</v>
      </c>
      <c r="AJ629" s="77">
        <v>-0.14433756729740685</v>
      </c>
      <c r="AK629" s="77">
        <v>2</v>
      </c>
      <c r="AL629" s="76"/>
      <c r="AM629" s="76"/>
      <c r="AN629" s="77"/>
      <c r="AO629" s="77"/>
      <c r="AP629" s="76"/>
      <c r="AQ629" s="76"/>
      <c r="AR629" s="77"/>
      <c r="AS629" s="77"/>
      <c r="AT629" s="78">
        <v>0.5</v>
      </c>
    </row>
    <row r="630" spans="1:46" ht="12.5" x14ac:dyDescent="0.25">
      <c r="A630" s="79">
        <v>44826.401162141206</v>
      </c>
      <c r="B630" s="80" t="s">
        <v>180</v>
      </c>
      <c r="C630" s="80" t="str">
        <f>INDEX(TBL_Name,MATCH(Table2[[#This Row],[Athlete Name]],listNames,0),2)</f>
        <v>Athlete 29</v>
      </c>
      <c r="D630" s="80" t="s">
        <v>143</v>
      </c>
      <c r="E630" s="80">
        <v>9</v>
      </c>
      <c r="F630" s="80">
        <v>9</v>
      </c>
      <c r="G630" s="80">
        <v>9</v>
      </c>
      <c r="H630" s="80" t="s">
        <v>954</v>
      </c>
      <c r="I630" s="80">
        <v>3</v>
      </c>
      <c r="J630" s="80"/>
      <c r="K630" s="80"/>
      <c r="L630" s="80"/>
      <c r="M630" s="1" t="s">
        <v>955</v>
      </c>
      <c r="N630" s="1">
        <v>39</v>
      </c>
      <c r="O630" s="1">
        <v>7</v>
      </c>
      <c r="P630" s="13">
        <v>44826</v>
      </c>
      <c r="Q630" s="1" t="s">
        <v>133</v>
      </c>
      <c r="R630" s="1" t="s">
        <v>64</v>
      </c>
      <c r="S630" s="1">
        <v>2</v>
      </c>
      <c r="T630" s="1" t="s">
        <v>942</v>
      </c>
      <c r="U630" s="1" t="s">
        <v>942</v>
      </c>
      <c r="V630" s="76">
        <v>6.333333333333333</v>
      </c>
      <c r="W630" s="76">
        <v>1.8856180831641267</v>
      </c>
      <c r="X630" s="77">
        <v>1.4142135623730951</v>
      </c>
      <c r="Y630" s="77">
        <v>4</v>
      </c>
      <c r="Z630" s="76">
        <v>9</v>
      </c>
      <c r="AA630" s="76">
        <v>0.81649658092772603</v>
      </c>
      <c r="AB630" s="77">
        <v>0</v>
      </c>
      <c r="AC630" s="77">
        <v>3</v>
      </c>
      <c r="AD630" s="76">
        <v>8.3333333333333339</v>
      </c>
      <c r="AE630" s="76">
        <v>0.47140452079103146</v>
      </c>
      <c r="AF630" s="77">
        <v>1.4142135623730945</v>
      </c>
      <c r="AG630" s="77">
        <v>4</v>
      </c>
      <c r="AH630" s="76">
        <v>3.6666666666666665</v>
      </c>
      <c r="AI630" s="76">
        <v>0.94280904158206336</v>
      </c>
      <c r="AJ630" s="77">
        <v>-0.70710678118654735</v>
      </c>
      <c r="AK630" s="77">
        <v>2</v>
      </c>
      <c r="AL630" s="76"/>
      <c r="AM630" s="76"/>
      <c r="AN630" s="77"/>
      <c r="AO630" s="77"/>
      <c r="AP630" s="76"/>
      <c r="AQ630" s="76"/>
      <c r="AR630" s="77"/>
      <c r="AS630" s="77"/>
      <c r="AT630" s="78">
        <v>0.8125</v>
      </c>
    </row>
    <row r="631" spans="1:46" ht="12.5" x14ac:dyDescent="0.25">
      <c r="A631" s="79">
        <v>44826.413681307866</v>
      </c>
      <c r="B631" s="80" t="s">
        <v>25</v>
      </c>
      <c r="C631" s="80" t="str">
        <f>INDEX(TBL_Name,MATCH(Table2[[#This Row],[Athlete Name]],listNames,0),2)</f>
        <v>Athlete 23</v>
      </c>
      <c r="D631" s="80" t="s">
        <v>143</v>
      </c>
      <c r="E631" s="80">
        <v>7</v>
      </c>
      <c r="F631" s="80">
        <v>5</v>
      </c>
      <c r="G631" s="80">
        <v>6</v>
      </c>
      <c r="H631" s="80" t="s">
        <v>598</v>
      </c>
      <c r="I631" s="80">
        <v>9</v>
      </c>
      <c r="J631" s="80"/>
      <c r="K631" s="80"/>
      <c r="L631" s="80"/>
      <c r="M631" s="1" t="s">
        <v>956</v>
      </c>
      <c r="N631" s="1">
        <v>39</v>
      </c>
      <c r="O631" s="1">
        <v>7</v>
      </c>
      <c r="P631" s="13">
        <v>44826</v>
      </c>
      <c r="Q631" s="1" t="s">
        <v>133</v>
      </c>
      <c r="R631" s="1" t="s">
        <v>64</v>
      </c>
      <c r="S631" s="1">
        <v>2</v>
      </c>
      <c r="T631" s="1" t="s">
        <v>26</v>
      </c>
      <c r="U631" s="1" t="s">
        <v>26</v>
      </c>
      <c r="V631" s="76">
        <v>8.5</v>
      </c>
      <c r="W631" s="76">
        <v>0.8660254037844386</v>
      </c>
      <c r="X631" s="77">
        <v>-1.7320508075688774</v>
      </c>
      <c r="Y631" s="77">
        <v>1</v>
      </c>
      <c r="Z631" s="76">
        <v>7.25</v>
      </c>
      <c r="AA631" s="76">
        <v>1.479019945774904</v>
      </c>
      <c r="AB631" s="77">
        <v>-1.5212776585113299</v>
      </c>
      <c r="AC631" s="77">
        <v>1</v>
      </c>
      <c r="AD631" s="76">
        <v>8</v>
      </c>
      <c r="AE631" s="76">
        <v>1.4142135623730951</v>
      </c>
      <c r="AF631" s="77">
        <v>-1.4142135623730949</v>
      </c>
      <c r="AG631" s="77">
        <v>1</v>
      </c>
      <c r="AH631" s="76">
        <v>8.25</v>
      </c>
      <c r="AI631" s="76">
        <v>0.4330127018922193</v>
      </c>
      <c r="AJ631" s="77">
        <v>1.7320508075688774</v>
      </c>
      <c r="AK631" s="77">
        <v>4</v>
      </c>
      <c r="AL631" s="76"/>
      <c r="AM631" s="76"/>
      <c r="AN631" s="77"/>
      <c r="AO631" s="77"/>
      <c r="AP631" s="76"/>
      <c r="AQ631" s="76"/>
      <c r="AR631" s="77"/>
      <c r="AS631" s="77"/>
      <c r="AT631" s="78">
        <v>0.4375</v>
      </c>
    </row>
    <row r="632" spans="1:46" ht="12.5" x14ac:dyDescent="0.25">
      <c r="A632" s="79">
        <v>44826.416545810185</v>
      </c>
      <c r="B632" s="80" t="s">
        <v>15</v>
      </c>
      <c r="C632" s="80" t="str">
        <f>INDEX(TBL_Name,MATCH(Table2[[#This Row],[Athlete Name]],listNames,0),2)</f>
        <v>Athlete 8</v>
      </c>
      <c r="D632" s="80" t="s">
        <v>130</v>
      </c>
      <c r="E632" s="80">
        <v>6</v>
      </c>
      <c r="F632" s="80">
        <v>10</v>
      </c>
      <c r="G632" s="80">
        <v>9</v>
      </c>
      <c r="H632" s="80" t="s">
        <v>957</v>
      </c>
      <c r="I632" s="80">
        <v>5</v>
      </c>
      <c r="J632" s="80"/>
      <c r="K632" s="80"/>
      <c r="L632" s="80"/>
      <c r="M632" s="1" t="s">
        <v>958</v>
      </c>
      <c r="N632" s="1">
        <v>39</v>
      </c>
      <c r="O632" s="1">
        <v>7</v>
      </c>
      <c r="P632" s="13">
        <v>44826</v>
      </c>
      <c r="Q632" s="1" t="s">
        <v>133</v>
      </c>
      <c r="R632" s="1" t="s">
        <v>64</v>
      </c>
      <c r="S632" s="1">
        <v>1</v>
      </c>
      <c r="T632" s="1" t="s">
        <v>14</v>
      </c>
      <c r="U632" s="1" t="s">
        <v>14</v>
      </c>
      <c r="V632" s="76">
        <v>8</v>
      </c>
      <c r="W632" s="76">
        <v>1.6329931618554521</v>
      </c>
      <c r="X632" s="77">
        <v>-1.2247448713915889</v>
      </c>
      <c r="Y632" s="77">
        <v>1</v>
      </c>
      <c r="Z632" s="76">
        <v>8.3333333333333339</v>
      </c>
      <c r="AA632" s="76">
        <v>2.3570226039551581</v>
      </c>
      <c r="AB632" s="77">
        <v>0.70710678118654735</v>
      </c>
      <c r="AC632" s="77">
        <v>3</v>
      </c>
      <c r="AD632" s="76">
        <v>8.3333333333333339</v>
      </c>
      <c r="AE632" s="76">
        <v>0.94280904158206325</v>
      </c>
      <c r="AF632" s="77">
        <v>0.70710678118654702</v>
      </c>
      <c r="AG632" s="77">
        <v>3</v>
      </c>
      <c r="AH632" s="76">
        <v>8</v>
      </c>
      <c r="AI632" s="76">
        <v>2.1602468994692869</v>
      </c>
      <c r="AJ632" s="77">
        <v>-1.3887301496588271</v>
      </c>
      <c r="AK632" s="77">
        <v>1</v>
      </c>
      <c r="AL632" s="76"/>
      <c r="AM632" s="76"/>
      <c r="AN632" s="77"/>
      <c r="AO632" s="77"/>
      <c r="AP632" s="76"/>
      <c r="AQ632" s="76"/>
      <c r="AR632" s="77"/>
      <c r="AS632" s="77"/>
      <c r="AT632" s="78">
        <v>0.5</v>
      </c>
    </row>
    <row r="633" spans="1:46" ht="12.5" x14ac:dyDescent="0.25">
      <c r="A633" s="79">
        <v>44827.290883564812</v>
      </c>
      <c r="B633" s="80" t="s">
        <v>148</v>
      </c>
      <c r="C633" s="80" t="str">
        <f>INDEX(TBL_Name,MATCH(Table2[[#This Row],[Athlete Name]],listNames,0),2)</f>
        <v>Athlete 22</v>
      </c>
      <c r="D633" s="80" t="s">
        <v>130</v>
      </c>
      <c r="E633" s="80">
        <v>10</v>
      </c>
      <c r="F633" s="80">
        <v>10</v>
      </c>
      <c r="G633" s="80">
        <v>8</v>
      </c>
      <c r="H633" s="80" t="s">
        <v>71</v>
      </c>
      <c r="I633" s="80">
        <v>8</v>
      </c>
      <c r="J633" s="80"/>
      <c r="K633" s="80"/>
      <c r="L633" s="80"/>
      <c r="M633" s="1" t="s">
        <v>959</v>
      </c>
      <c r="N633" s="1">
        <v>39</v>
      </c>
      <c r="O633" s="1">
        <v>7</v>
      </c>
      <c r="P633" s="13">
        <v>44827</v>
      </c>
      <c r="Q633" s="1" t="s">
        <v>133</v>
      </c>
      <c r="R633" s="1" t="s">
        <v>64</v>
      </c>
      <c r="S633" s="1">
        <v>1</v>
      </c>
      <c r="T633" s="1" t="s">
        <v>942</v>
      </c>
      <c r="U633" s="1" t="s">
        <v>942</v>
      </c>
      <c r="V633" s="76">
        <v>9</v>
      </c>
      <c r="W633" s="76">
        <v>1.4142135623730951</v>
      </c>
      <c r="X633" s="77">
        <v>0.70710678118654746</v>
      </c>
      <c r="Y633" s="77">
        <v>3</v>
      </c>
      <c r="Z633" s="76">
        <v>8.6666666666666661</v>
      </c>
      <c r="AA633" s="76">
        <v>1.2472191289246473</v>
      </c>
      <c r="AB633" s="77">
        <v>1.0690449676496978</v>
      </c>
      <c r="AC633" s="77">
        <v>4</v>
      </c>
      <c r="AD633" s="76">
        <v>8</v>
      </c>
      <c r="AE633" s="76">
        <v>0</v>
      </c>
      <c r="AF633" s="77">
        <v>0</v>
      </c>
      <c r="AG633" s="77">
        <v>3</v>
      </c>
      <c r="AH633" s="76">
        <v>6</v>
      </c>
      <c r="AI633" s="76">
        <v>1.6329931618554521</v>
      </c>
      <c r="AJ633" s="77">
        <v>1.2247448713915889</v>
      </c>
      <c r="AK633" s="77">
        <v>4</v>
      </c>
      <c r="AL633" s="76"/>
      <c r="AM633" s="76"/>
      <c r="AN633" s="77"/>
      <c r="AO633" s="77"/>
      <c r="AP633" s="76"/>
      <c r="AQ633" s="76"/>
      <c r="AR633" s="77"/>
      <c r="AS633" s="77"/>
      <c r="AT633" s="78">
        <v>0.875</v>
      </c>
    </row>
    <row r="634" spans="1:46" ht="12.5" x14ac:dyDescent="0.25">
      <c r="A634" s="79">
        <v>44827.315648784723</v>
      </c>
      <c r="B634" s="80" t="s">
        <v>185</v>
      </c>
      <c r="C634" s="80" t="str">
        <f>INDEX(TBL_Name,MATCH(Table2[[#This Row],[Athlete Name]],listNames,0),2)</f>
        <v>Athlete 30</v>
      </c>
      <c r="D634" s="80" t="s">
        <v>130</v>
      </c>
      <c r="E634" s="80">
        <v>7</v>
      </c>
      <c r="F634" s="80">
        <v>4</v>
      </c>
      <c r="G634" s="80">
        <v>7</v>
      </c>
      <c r="H634" s="80" t="s">
        <v>862</v>
      </c>
      <c r="I634" s="80">
        <v>8</v>
      </c>
      <c r="J634" s="80"/>
      <c r="K634" s="80"/>
      <c r="L634" s="80"/>
      <c r="M634" s="1" t="s">
        <v>960</v>
      </c>
      <c r="N634" s="1">
        <v>39</v>
      </c>
      <c r="O634" s="1">
        <v>7</v>
      </c>
      <c r="P634" s="13">
        <v>44827</v>
      </c>
      <c r="Q634" s="1" t="s">
        <v>133</v>
      </c>
      <c r="R634" s="1" t="s">
        <v>64</v>
      </c>
      <c r="S634" s="1">
        <v>1</v>
      </c>
      <c r="T634" s="1" t="s">
        <v>942</v>
      </c>
      <c r="U634" s="1" t="s">
        <v>942</v>
      </c>
      <c r="V634" s="76">
        <v>6.833333333333333</v>
      </c>
      <c r="W634" s="76">
        <v>0.68718427093627665</v>
      </c>
      <c r="X634" s="77">
        <v>0.24253562503633344</v>
      </c>
      <c r="Y634" s="77">
        <v>3</v>
      </c>
      <c r="Z634" s="76">
        <v>4.166666666666667</v>
      </c>
      <c r="AA634" s="76">
        <v>1.5723301886761007</v>
      </c>
      <c r="AB634" s="77">
        <v>-0.10599978800063618</v>
      </c>
      <c r="AC634" s="77">
        <v>2</v>
      </c>
      <c r="AD634" s="76">
        <v>5.833333333333333</v>
      </c>
      <c r="AE634" s="76">
        <v>1.5723301886761007</v>
      </c>
      <c r="AF634" s="77">
        <v>0.7419985160044521</v>
      </c>
      <c r="AG634" s="77">
        <v>3</v>
      </c>
      <c r="AH634" s="76">
        <v>7.666666666666667</v>
      </c>
      <c r="AI634" s="76">
        <v>0.7453559924999299</v>
      </c>
      <c r="AJ634" s="77">
        <v>0.44721359549995754</v>
      </c>
      <c r="AK634" s="77">
        <v>3</v>
      </c>
      <c r="AL634" s="76"/>
      <c r="AM634" s="76"/>
      <c r="AN634" s="77"/>
      <c r="AO634" s="77"/>
      <c r="AP634" s="76"/>
      <c r="AQ634" s="76"/>
      <c r="AR634" s="77"/>
      <c r="AS634" s="77"/>
      <c r="AT634" s="78">
        <v>0.6875</v>
      </c>
    </row>
    <row r="635" spans="1:46" ht="12.5" x14ac:dyDescent="0.25">
      <c r="A635" s="79">
        <v>44827.321418449079</v>
      </c>
      <c r="B635" s="80" t="s">
        <v>21</v>
      </c>
      <c r="C635" s="80" t="str">
        <f>INDEX(TBL_Name,MATCH(Table2[[#This Row],[Athlete Name]],listNames,0),2)</f>
        <v>Athlete 13</v>
      </c>
      <c r="D635" s="80" t="s">
        <v>130</v>
      </c>
      <c r="E635" s="80">
        <v>7</v>
      </c>
      <c r="F635" s="80">
        <v>7</v>
      </c>
      <c r="G635" s="80">
        <v>8</v>
      </c>
      <c r="H635" s="80" t="s">
        <v>715</v>
      </c>
      <c r="I635" s="80">
        <v>7</v>
      </c>
      <c r="J635" s="80"/>
      <c r="K635" s="80"/>
      <c r="L635" s="80"/>
      <c r="M635" s="1" t="s">
        <v>961</v>
      </c>
      <c r="N635" s="1">
        <v>39</v>
      </c>
      <c r="O635" s="1">
        <v>7</v>
      </c>
      <c r="P635" s="13">
        <v>44827</v>
      </c>
      <c r="Q635" s="1" t="s">
        <v>133</v>
      </c>
      <c r="R635" s="1" t="s">
        <v>64</v>
      </c>
      <c r="S635" s="1">
        <v>1</v>
      </c>
      <c r="T635" s="1" t="s">
        <v>18</v>
      </c>
      <c r="U635" s="1" t="s">
        <v>18</v>
      </c>
      <c r="V635" s="76">
        <v>7.4285714285714288</v>
      </c>
      <c r="W635" s="76">
        <v>1.1780301787479031</v>
      </c>
      <c r="X635" s="77">
        <v>-0.36380343755449968</v>
      </c>
      <c r="Y635" s="77">
        <v>2</v>
      </c>
      <c r="Z635" s="76">
        <v>7.5714285714285712</v>
      </c>
      <c r="AA635" s="76">
        <v>0.90350790290525129</v>
      </c>
      <c r="AB635" s="77">
        <v>-0.63245553203367555</v>
      </c>
      <c r="AC635" s="77">
        <v>2</v>
      </c>
      <c r="AD635" s="76">
        <v>8.5714285714285712</v>
      </c>
      <c r="AE635" s="76">
        <v>0.49487165930539345</v>
      </c>
      <c r="AF635" s="77">
        <v>-1.1547005383792512</v>
      </c>
      <c r="AG635" s="77">
        <v>1</v>
      </c>
      <c r="AH635" s="76">
        <v>7.4285714285714288</v>
      </c>
      <c r="AI635" s="76">
        <v>0.49487165930539351</v>
      </c>
      <c r="AJ635" s="77">
        <v>-0.86602540378443915</v>
      </c>
      <c r="AK635" s="77">
        <v>2</v>
      </c>
      <c r="AL635" s="76"/>
      <c r="AM635" s="76"/>
      <c r="AN635" s="77"/>
      <c r="AO635" s="77"/>
      <c r="AP635" s="76"/>
      <c r="AQ635" s="76"/>
      <c r="AR635" s="77"/>
      <c r="AS635" s="77"/>
      <c r="AT635" s="78">
        <v>0.4375</v>
      </c>
    </row>
    <row r="636" spans="1:46" ht="12.5" x14ac:dyDescent="0.25">
      <c r="A636" s="79">
        <v>44827.350464328701</v>
      </c>
      <c r="B636" s="80" t="s">
        <v>196</v>
      </c>
      <c r="C636" s="80" t="str">
        <f>INDEX(TBL_Name,MATCH(Table2[[#This Row],[Athlete Name]],listNames,0),2)</f>
        <v>Athlete 31</v>
      </c>
      <c r="D636" s="80" t="s">
        <v>130</v>
      </c>
      <c r="E636" s="80">
        <v>7</v>
      </c>
      <c r="F636" s="80">
        <v>8</v>
      </c>
      <c r="G636" s="80">
        <v>8</v>
      </c>
      <c r="H636" s="80" t="s">
        <v>962</v>
      </c>
      <c r="I636" s="80">
        <v>8</v>
      </c>
      <c r="J636" s="80"/>
      <c r="K636" s="80"/>
      <c r="L636" s="80"/>
      <c r="M636" s="1" t="s">
        <v>963</v>
      </c>
      <c r="N636" s="1">
        <v>39</v>
      </c>
      <c r="O636" s="1">
        <v>7</v>
      </c>
      <c r="P636" s="13">
        <v>44827</v>
      </c>
      <c r="Q636" s="1" t="s">
        <v>133</v>
      </c>
      <c r="R636" s="1" t="s">
        <v>64</v>
      </c>
      <c r="S636" s="1">
        <v>1</v>
      </c>
      <c r="T636" s="1" t="s">
        <v>942</v>
      </c>
      <c r="U636" s="1" t="s">
        <v>942</v>
      </c>
      <c r="V636" s="76">
        <v>6.8</v>
      </c>
      <c r="W636" s="76">
        <v>0.40000000000000008</v>
      </c>
      <c r="X636" s="77">
        <v>0.50000000000000033</v>
      </c>
      <c r="Y636" s="77">
        <v>3</v>
      </c>
      <c r="Z636" s="76">
        <v>8.6</v>
      </c>
      <c r="AA636" s="76">
        <v>1.019803902718557</v>
      </c>
      <c r="AB636" s="77">
        <v>-0.58834840541455169</v>
      </c>
      <c r="AC636" s="77">
        <v>2</v>
      </c>
      <c r="AD636" s="76">
        <v>8.1999999999999993</v>
      </c>
      <c r="AE636" s="76">
        <v>0.9797958971132712</v>
      </c>
      <c r="AF636" s="77">
        <v>-0.20412414523193079</v>
      </c>
      <c r="AG636" s="77">
        <v>2</v>
      </c>
      <c r="AH636" s="76">
        <v>8.6</v>
      </c>
      <c r="AI636" s="76">
        <v>0.48989794855663554</v>
      </c>
      <c r="AJ636" s="77">
        <v>-1.2247448713915885</v>
      </c>
      <c r="AK636" s="77">
        <v>1</v>
      </c>
      <c r="AL636" s="76"/>
      <c r="AM636" s="76"/>
      <c r="AN636" s="77"/>
      <c r="AO636" s="77"/>
      <c r="AP636" s="76"/>
      <c r="AQ636" s="76"/>
      <c r="AR636" s="77"/>
      <c r="AS636" s="77"/>
      <c r="AT636" s="78">
        <v>0.5</v>
      </c>
    </row>
    <row r="637" spans="1:46" ht="12.5" x14ac:dyDescent="0.25">
      <c r="A637" s="79">
        <v>44827.662067349534</v>
      </c>
      <c r="B637" s="80" t="s">
        <v>15</v>
      </c>
      <c r="C637" s="80" t="str">
        <f>INDEX(TBL_Name,MATCH(Table2[[#This Row],[Athlete Name]],listNames,0),2)</f>
        <v>Athlete 8</v>
      </c>
      <c r="D637" s="80" t="s">
        <v>130</v>
      </c>
      <c r="E637" s="80">
        <v>8</v>
      </c>
      <c r="F637" s="80">
        <v>10</v>
      </c>
      <c r="G637" s="80">
        <v>10</v>
      </c>
      <c r="H637" s="80" t="s">
        <v>287</v>
      </c>
      <c r="I637" s="80">
        <v>6</v>
      </c>
      <c r="J637" s="80"/>
      <c r="K637" s="80"/>
      <c r="L637" s="80"/>
      <c r="M637" s="1" t="s">
        <v>964</v>
      </c>
      <c r="N637" s="1">
        <v>39</v>
      </c>
      <c r="O637" s="1">
        <v>7</v>
      </c>
      <c r="P637" s="13">
        <v>44827</v>
      </c>
      <c r="Q637" s="1" t="s">
        <v>133</v>
      </c>
      <c r="R637" s="1" t="s">
        <v>64</v>
      </c>
      <c r="S637" s="1">
        <v>1</v>
      </c>
      <c r="T637" s="1" t="s">
        <v>14</v>
      </c>
      <c r="U637" s="1" t="s">
        <v>14</v>
      </c>
      <c r="V637" s="76">
        <v>7.333333333333333</v>
      </c>
      <c r="W637" s="76">
        <v>0.94280904158206336</v>
      </c>
      <c r="X637" s="77">
        <v>0.70710678118654779</v>
      </c>
      <c r="Y637" s="77">
        <v>3</v>
      </c>
      <c r="Z637" s="76">
        <v>8.3333333333333339</v>
      </c>
      <c r="AA637" s="76">
        <v>2.3570226039551581</v>
      </c>
      <c r="AB637" s="77">
        <v>0.70710678118654735</v>
      </c>
      <c r="AC637" s="77">
        <v>3</v>
      </c>
      <c r="AD637" s="76">
        <v>8.6666666666666661</v>
      </c>
      <c r="AE637" s="76">
        <v>1.2472191289246473</v>
      </c>
      <c r="AF637" s="77">
        <v>1.0690449676496978</v>
      </c>
      <c r="AG637" s="77">
        <v>4</v>
      </c>
      <c r="AH637" s="76">
        <v>6.666666666666667</v>
      </c>
      <c r="AI637" s="76">
        <v>1.699673171197595</v>
      </c>
      <c r="AJ637" s="77">
        <v>-0.39223227027636826</v>
      </c>
      <c r="AK637" s="77">
        <v>2</v>
      </c>
      <c r="AL637" s="76"/>
      <c r="AM637" s="76"/>
      <c r="AN637" s="77"/>
      <c r="AO637" s="77"/>
      <c r="AP637" s="76"/>
      <c r="AQ637" s="76"/>
      <c r="AR637" s="77"/>
      <c r="AS637" s="77"/>
      <c r="AT637" s="78">
        <v>0.75</v>
      </c>
    </row>
    <row r="638" spans="1:46" ht="12.5" x14ac:dyDescent="0.25">
      <c r="A638" s="79">
        <v>44827.698036898146</v>
      </c>
      <c r="B638" s="80" t="s">
        <v>6</v>
      </c>
      <c r="C638" s="80" t="str">
        <f>INDEX(TBL_Name,MATCH(Table2[[#This Row],[Athlete Name]],listNames,0),2)</f>
        <v>Athlete 2</v>
      </c>
      <c r="D638" s="80" t="s">
        <v>143</v>
      </c>
      <c r="E638" s="80">
        <v>8</v>
      </c>
      <c r="F638" s="80">
        <v>9</v>
      </c>
      <c r="G638" s="80">
        <v>10</v>
      </c>
      <c r="H638" s="80" t="s">
        <v>73</v>
      </c>
      <c r="I638" s="80">
        <v>8</v>
      </c>
      <c r="J638" s="80"/>
      <c r="K638" s="80"/>
      <c r="L638" s="80"/>
      <c r="M638" s="1" t="s">
        <v>965</v>
      </c>
      <c r="N638" s="1">
        <v>39</v>
      </c>
      <c r="O638" s="1">
        <v>7</v>
      </c>
      <c r="P638" s="13">
        <v>44827</v>
      </c>
      <c r="Q638" s="1" t="s">
        <v>133</v>
      </c>
      <c r="R638" s="1" t="s">
        <v>64</v>
      </c>
      <c r="S638" s="1">
        <v>2</v>
      </c>
      <c r="T638" s="1" t="s">
        <v>5</v>
      </c>
      <c r="U638" s="1" t="s">
        <v>5</v>
      </c>
      <c r="V638" s="76">
        <v>8.1666666666666661</v>
      </c>
      <c r="W638" s="76">
        <v>0.37267799624996484</v>
      </c>
      <c r="X638" s="77">
        <v>-0.44721359549995648</v>
      </c>
      <c r="Y638" s="77">
        <v>2</v>
      </c>
      <c r="Z638" s="76">
        <v>8.5</v>
      </c>
      <c r="AA638" s="76">
        <v>0.49999999999999983</v>
      </c>
      <c r="AB638" s="77">
        <v>1.0000000000000004</v>
      </c>
      <c r="AC638" s="77">
        <v>4</v>
      </c>
      <c r="AD638" s="76">
        <v>8</v>
      </c>
      <c r="AE638" s="76">
        <v>1</v>
      </c>
      <c r="AF638" s="77">
        <v>2</v>
      </c>
      <c r="AG638" s="77">
        <v>4</v>
      </c>
      <c r="AH638" s="76">
        <v>8</v>
      </c>
      <c r="AI638" s="76">
        <v>0</v>
      </c>
      <c r="AJ638" s="77">
        <v>0</v>
      </c>
      <c r="AK638" s="77">
        <v>3</v>
      </c>
      <c r="AL638" s="76"/>
      <c r="AM638" s="76"/>
      <c r="AN638" s="77"/>
      <c r="AO638" s="77"/>
      <c r="AP638" s="76"/>
      <c r="AQ638" s="76"/>
      <c r="AR638" s="77"/>
      <c r="AS638" s="77"/>
      <c r="AT638" s="78">
        <v>0.8125</v>
      </c>
    </row>
    <row r="639" spans="1:46" ht="12.5" x14ac:dyDescent="0.25">
      <c r="A639" s="79">
        <v>44828.280606087967</v>
      </c>
      <c r="B639" s="80" t="s">
        <v>225</v>
      </c>
      <c r="C639" s="80" t="str">
        <f>INDEX(TBL_Name,MATCH(Table2[[#This Row],[Athlete Name]],listNames,0),2)</f>
        <v>Athlete 32</v>
      </c>
      <c r="D639" s="80" t="s">
        <v>130</v>
      </c>
      <c r="E639" s="80">
        <v>10</v>
      </c>
      <c r="F639" s="80">
        <v>10</v>
      </c>
      <c r="G639" s="80">
        <v>7</v>
      </c>
      <c r="H639" s="80"/>
      <c r="I639" s="80">
        <v>6</v>
      </c>
      <c r="J639" s="80"/>
      <c r="K639" s="80"/>
      <c r="L639" s="80"/>
      <c r="M639" s="1" t="s">
        <v>966</v>
      </c>
      <c r="N639" s="1">
        <v>39</v>
      </c>
      <c r="O639" s="1">
        <v>7</v>
      </c>
      <c r="P639" s="13">
        <v>44828</v>
      </c>
      <c r="Q639" s="1" t="s">
        <v>133</v>
      </c>
      <c r="R639" s="1" t="s">
        <v>64</v>
      </c>
      <c r="S639" s="1">
        <v>1</v>
      </c>
      <c r="T639" s="1" t="s">
        <v>942</v>
      </c>
      <c r="U639" s="1" t="s">
        <v>942</v>
      </c>
      <c r="V639" s="76">
        <v>7.5</v>
      </c>
      <c r="W639" s="76">
        <v>2.5</v>
      </c>
      <c r="X639" s="77">
        <v>1</v>
      </c>
      <c r="Y639" s="77">
        <v>4</v>
      </c>
      <c r="Z639" s="76">
        <v>9.5</v>
      </c>
      <c r="AA639" s="76">
        <v>0.5</v>
      </c>
      <c r="AB639" s="77">
        <v>1</v>
      </c>
      <c r="AC639" s="77">
        <v>4</v>
      </c>
      <c r="AD639" s="76">
        <v>7</v>
      </c>
      <c r="AE639" s="76">
        <v>0</v>
      </c>
      <c r="AF639" s="77">
        <v>0</v>
      </c>
      <c r="AG639" s="77">
        <v>3</v>
      </c>
      <c r="AH639" s="76">
        <v>8</v>
      </c>
      <c r="AI639" s="76">
        <v>2</v>
      </c>
      <c r="AJ639" s="77">
        <v>-1</v>
      </c>
      <c r="AK639" s="77">
        <v>1</v>
      </c>
      <c r="AL639" s="76"/>
      <c r="AM639" s="76"/>
      <c r="AN639" s="77"/>
      <c r="AO639" s="77"/>
      <c r="AP639" s="76"/>
      <c r="AQ639" s="76"/>
      <c r="AR639" s="77"/>
      <c r="AS639" s="77"/>
      <c r="AT639" s="78">
        <v>0.75</v>
      </c>
    </row>
    <row r="640" spans="1:46" ht="12.5" x14ac:dyDescent="0.25">
      <c r="A640" s="79">
        <v>44828.283729664356</v>
      </c>
      <c r="B640" s="80" t="s">
        <v>10</v>
      </c>
      <c r="C640" s="80" t="str">
        <f>INDEX(TBL_Name,MATCH(Table2[[#This Row],[Athlete Name]],listNames,0),2)</f>
        <v>Athlete 5</v>
      </c>
      <c r="D640" s="80" t="s">
        <v>130</v>
      </c>
      <c r="E640" s="80">
        <v>9</v>
      </c>
      <c r="F640" s="80">
        <v>7</v>
      </c>
      <c r="G640" s="80">
        <v>7</v>
      </c>
      <c r="H640" s="80" t="s">
        <v>967</v>
      </c>
      <c r="I640" s="80">
        <v>4</v>
      </c>
      <c r="J640" s="80"/>
      <c r="K640" s="80"/>
      <c r="L640" s="80"/>
      <c r="M640" s="1" t="s">
        <v>968</v>
      </c>
      <c r="N640" s="1">
        <v>39</v>
      </c>
      <c r="O640" s="1">
        <v>7</v>
      </c>
      <c r="P640" s="13">
        <v>44828</v>
      </c>
      <c r="Q640" s="1" t="s">
        <v>133</v>
      </c>
      <c r="R640" s="1" t="s">
        <v>64</v>
      </c>
      <c r="S640" s="1">
        <v>1</v>
      </c>
      <c r="T640" s="1" t="s">
        <v>11</v>
      </c>
      <c r="U640" s="1" t="s">
        <v>11</v>
      </c>
      <c r="V640" s="76">
        <v>8.6666666666666661</v>
      </c>
      <c r="W640" s="76">
        <v>0.47140452079103162</v>
      </c>
      <c r="X640" s="77">
        <v>0.70710678118654891</v>
      </c>
      <c r="Y640" s="77">
        <v>3</v>
      </c>
      <c r="Z640" s="76">
        <v>8.1666666666666661</v>
      </c>
      <c r="AA640" s="76">
        <v>0.68718427093627699</v>
      </c>
      <c r="AB640" s="77">
        <v>-1.6977493752543293</v>
      </c>
      <c r="AC640" s="77">
        <v>1</v>
      </c>
      <c r="AD640" s="76">
        <v>8.1666666666666661</v>
      </c>
      <c r="AE640" s="76">
        <v>0.68718427093627699</v>
      </c>
      <c r="AF640" s="77">
        <v>-1.6977493752543293</v>
      </c>
      <c r="AG640" s="77">
        <v>1</v>
      </c>
      <c r="AH640" s="76">
        <v>6.666666666666667</v>
      </c>
      <c r="AI640" s="76">
        <v>1.5986105077709065</v>
      </c>
      <c r="AJ640" s="77">
        <v>-1.6681153124565984</v>
      </c>
      <c r="AK640" s="77">
        <v>1</v>
      </c>
      <c r="AL640" s="76"/>
      <c r="AM640" s="76"/>
      <c r="AN640" s="77"/>
      <c r="AO640" s="77"/>
      <c r="AP640" s="76"/>
      <c r="AQ640" s="76"/>
      <c r="AR640" s="77"/>
      <c r="AS640" s="77"/>
      <c r="AT640" s="78">
        <v>0.375</v>
      </c>
    </row>
    <row r="641" spans="1:46" ht="12.5" x14ac:dyDescent="0.25">
      <c r="A641" s="79">
        <v>44828.292355462967</v>
      </c>
      <c r="B641" s="80" t="s">
        <v>6</v>
      </c>
      <c r="C641" s="80" t="str">
        <f>INDEX(TBL_Name,MATCH(Table2[[#This Row],[Athlete Name]],listNames,0),2)</f>
        <v>Athlete 2</v>
      </c>
      <c r="D641" s="80" t="s">
        <v>143</v>
      </c>
      <c r="E641" s="80">
        <v>8</v>
      </c>
      <c r="F641" s="80">
        <v>6</v>
      </c>
      <c r="G641" s="80">
        <v>7</v>
      </c>
      <c r="H641" s="80" t="s">
        <v>231</v>
      </c>
      <c r="I641" s="80">
        <v>8</v>
      </c>
      <c r="J641" s="80"/>
      <c r="K641" s="80"/>
      <c r="L641" s="80"/>
      <c r="M641" s="1" t="s">
        <v>969</v>
      </c>
      <c r="N641" s="1">
        <v>39</v>
      </c>
      <c r="O641" s="1">
        <v>7</v>
      </c>
      <c r="P641" s="13">
        <v>44828</v>
      </c>
      <c r="Q641" s="1" t="s">
        <v>133</v>
      </c>
      <c r="R641" s="1" t="s">
        <v>64</v>
      </c>
      <c r="S641" s="1">
        <v>2</v>
      </c>
      <c r="T641" s="1" t="s">
        <v>5</v>
      </c>
      <c r="U641" s="1" t="s">
        <v>5</v>
      </c>
      <c r="V641" s="76">
        <v>8.1666666666666661</v>
      </c>
      <c r="W641" s="76">
        <v>0.37267799624996478</v>
      </c>
      <c r="X641" s="77">
        <v>-0.44721359549995654</v>
      </c>
      <c r="Y641" s="77">
        <v>2</v>
      </c>
      <c r="Z641" s="76">
        <v>8.1666666666666661</v>
      </c>
      <c r="AA641" s="76">
        <v>1.0671873729054746</v>
      </c>
      <c r="AB641" s="77">
        <v>-2.0302589045518786</v>
      </c>
      <c r="AC641" s="77">
        <v>1</v>
      </c>
      <c r="AD641" s="76">
        <v>8</v>
      </c>
      <c r="AE641" s="76">
        <v>1</v>
      </c>
      <c r="AF641" s="77">
        <v>-1</v>
      </c>
      <c r="AG641" s="77">
        <v>1</v>
      </c>
      <c r="AH641" s="76">
        <v>8</v>
      </c>
      <c r="AI641" s="76">
        <v>0</v>
      </c>
      <c r="AJ641" s="77">
        <v>0</v>
      </c>
      <c r="AK641" s="77">
        <v>3</v>
      </c>
      <c r="AL641" s="76"/>
      <c r="AM641" s="76"/>
      <c r="AN641" s="77"/>
      <c r="AO641" s="77"/>
      <c r="AP641" s="76"/>
      <c r="AQ641" s="76"/>
      <c r="AR641" s="77"/>
      <c r="AS641" s="77"/>
      <c r="AT641" s="78">
        <v>0.4375</v>
      </c>
    </row>
    <row r="642" spans="1:46" ht="12.5" x14ac:dyDescent="0.25">
      <c r="A642" s="79">
        <v>44828.298115439815</v>
      </c>
      <c r="B642" s="80" t="s">
        <v>17</v>
      </c>
      <c r="C642" s="80" t="str">
        <f>INDEX(TBL_Name,MATCH(Table2[[#This Row],[Athlete Name]],listNames,0),2)</f>
        <v>Athlete 10</v>
      </c>
      <c r="D642" s="80" t="s">
        <v>130</v>
      </c>
      <c r="E642" s="80">
        <v>8</v>
      </c>
      <c r="F642" s="80">
        <v>3</v>
      </c>
      <c r="G642" s="80">
        <v>4</v>
      </c>
      <c r="H642" s="80" t="s">
        <v>508</v>
      </c>
      <c r="I642" s="80">
        <v>7</v>
      </c>
      <c r="J642" s="80"/>
      <c r="K642" s="80"/>
      <c r="L642" s="80"/>
      <c r="M642" s="1" t="s">
        <v>970</v>
      </c>
      <c r="N642" s="1">
        <v>39</v>
      </c>
      <c r="O642" s="1">
        <v>7</v>
      </c>
      <c r="P642" s="13">
        <v>44828</v>
      </c>
      <c r="Q642" s="1" t="s">
        <v>133</v>
      </c>
      <c r="R642" s="1" t="s">
        <v>64</v>
      </c>
      <c r="S642" s="1">
        <v>1</v>
      </c>
      <c r="T642" s="1" t="s">
        <v>18</v>
      </c>
      <c r="U642" s="1" t="s">
        <v>18</v>
      </c>
      <c r="V642" s="76">
        <v>8</v>
      </c>
      <c r="W642" s="76">
        <v>1.1547005383792515</v>
      </c>
      <c r="X642" s="77">
        <v>0</v>
      </c>
      <c r="Y642" s="77">
        <v>3</v>
      </c>
      <c r="Z642" s="76">
        <v>7.5</v>
      </c>
      <c r="AA642" s="76">
        <v>2.0615528128088303</v>
      </c>
      <c r="AB642" s="77">
        <v>-2.1828206253269968</v>
      </c>
      <c r="AC642" s="77">
        <v>1</v>
      </c>
      <c r="AD642" s="76">
        <v>8</v>
      </c>
      <c r="AE642" s="76">
        <v>1.9148542155126764</v>
      </c>
      <c r="AF642" s="77">
        <v>-2.088931871468374</v>
      </c>
      <c r="AG642" s="77">
        <v>1</v>
      </c>
      <c r="AH642" s="76">
        <v>7.833333333333333</v>
      </c>
      <c r="AI642" s="76">
        <v>0.68718427093627665</v>
      </c>
      <c r="AJ642" s="77">
        <v>-1.2126781251816645</v>
      </c>
      <c r="AK642" s="77">
        <v>1</v>
      </c>
      <c r="AL642" s="76"/>
      <c r="AM642" s="76"/>
      <c r="AN642" s="77"/>
      <c r="AO642" s="77"/>
      <c r="AP642" s="76"/>
      <c r="AQ642" s="76"/>
      <c r="AR642" s="77"/>
      <c r="AS642" s="77"/>
      <c r="AT642" s="78">
        <v>0.375</v>
      </c>
    </row>
    <row r="643" spans="1:46" ht="12.5" x14ac:dyDescent="0.25">
      <c r="A643" s="79">
        <v>44828.300390034725</v>
      </c>
      <c r="B643" s="80" t="s">
        <v>21</v>
      </c>
      <c r="C643" s="80" t="str">
        <f>INDEX(TBL_Name,MATCH(Table2[[#This Row],[Athlete Name]],listNames,0),2)</f>
        <v>Athlete 13</v>
      </c>
      <c r="D643" s="80" t="s">
        <v>130</v>
      </c>
      <c r="E643" s="80">
        <v>9</v>
      </c>
      <c r="F643" s="80">
        <v>9</v>
      </c>
      <c r="G643" s="80">
        <v>8</v>
      </c>
      <c r="H643" s="80" t="s">
        <v>971</v>
      </c>
      <c r="I643" s="80">
        <v>5</v>
      </c>
      <c r="J643" s="80"/>
      <c r="K643" s="80"/>
      <c r="L643" s="80"/>
      <c r="M643" s="1" t="s">
        <v>972</v>
      </c>
      <c r="N643" s="1">
        <v>39</v>
      </c>
      <c r="O643" s="1">
        <v>7</v>
      </c>
      <c r="P643" s="13">
        <v>44828</v>
      </c>
      <c r="Q643" s="1" t="s">
        <v>133</v>
      </c>
      <c r="R643" s="1" t="s">
        <v>64</v>
      </c>
      <c r="S643" s="1">
        <v>1</v>
      </c>
      <c r="T643" s="1" t="s">
        <v>18</v>
      </c>
      <c r="U643" s="1" t="s">
        <v>18</v>
      </c>
      <c r="V643" s="76">
        <v>7.4285714285714288</v>
      </c>
      <c r="W643" s="76">
        <v>1.1780301787479031</v>
      </c>
      <c r="X643" s="77">
        <v>1.3339459376998311</v>
      </c>
      <c r="Y643" s="77">
        <v>4</v>
      </c>
      <c r="Z643" s="76">
        <v>7.8571428571428568</v>
      </c>
      <c r="AA643" s="76">
        <v>0.98974331861078724</v>
      </c>
      <c r="AB643" s="77">
        <v>1.1547005383792517</v>
      </c>
      <c r="AC643" s="77">
        <v>4</v>
      </c>
      <c r="AD643" s="76">
        <v>8.4285714285714288</v>
      </c>
      <c r="AE643" s="76">
        <v>0.4948716593053934</v>
      </c>
      <c r="AF643" s="77">
        <v>-0.86602540378443937</v>
      </c>
      <c r="AG643" s="77">
        <v>2</v>
      </c>
      <c r="AH643" s="76">
        <v>7</v>
      </c>
      <c r="AI643" s="76">
        <v>0.92582009977255175</v>
      </c>
      <c r="AJ643" s="77">
        <v>-2.1602468994692861</v>
      </c>
      <c r="AK643" s="77">
        <v>1</v>
      </c>
      <c r="AL643" s="76"/>
      <c r="AM643" s="76"/>
      <c r="AN643" s="77"/>
      <c r="AO643" s="77"/>
      <c r="AP643" s="76"/>
      <c r="AQ643" s="76"/>
      <c r="AR643" s="77"/>
      <c r="AS643" s="77"/>
      <c r="AT643" s="78">
        <v>0.6875</v>
      </c>
    </row>
    <row r="644" spans="1:46" ht="12.5" x14ac:dyDescent="0.25">
      <c r="A644" s="79">
        <v>44828.337842337962</v>
      </c>
      <c r="B644" s="80" t="s">
        <v>177</v>
      </c>
      <c r="C644" s="80" t="str">
        <f>INDEX(TBL_Name,MATCH(Table2[[#This Row],[Athlete Name]],listNames,0),2)</f>
        <v>Athlete 28</v>
      </c>
      <c r="D644" s="80" t="s">
        <v>150</v>
      </c>
      <c r="E644" s="80">
        <v>3</v>
      </c>
      <c r="F644" s="80">
        <v>5</v>
      </c>
      <c r="G644" s="80">
        <v>6</v>
      </c>
      <c r="H644" s="80"/>
      <c r="I644" s="80">
        <v>10</v>
      </c>
      <c r="J644" s="80"/>
      <c r="K644" s="80"/>
      <c r="L644" s="80"/>
      <c r="M644" s="1" t="s">
        <v>973</v>
      </c>
      <c r="N644" s="1">
        <v>39</v>
      </c>
      <c r="O644" s="1">
        <v>7</v>
      </c>
      <c r="P644" s="13">
        <v>44828</v>
      </c>
      <c r="Q644" s="1" t="s">
        <v>133</v>
      </c>
      <c r="R644" s="1" t="s">
        <v>64</v>
      </c>
      <c r="S644" s="1">
        <v>3</v>
      </c>
      <c r="T644" s="1" t="s">
        <v>942</v>
      </c>
      <c r="U644" s="1" t="s">
        <v>942</v>
      </c>
      <c r="V644" s="76">
        <v>2.3333333333333335</v>
      </c>
      <c r="W644" s="76">
        <v>0.47140452079103162</v>
      </c>
      <c r="X644" s="77">
        <v>1.4142135623730949</v>
      </c>
      <c r="Y644" s="77">
        <v>4</v>
      </c>
      <c r="Z644" s="76">
        <v>4.666666666666667</v>
      </c>
      <c r="AA644" s="76">
        <v>2.0548046676563256</v>
      </c>
      <c r="AB644" s="77">
        <v>0.16222142113076238</v>
      </c>
      <c r="AC644" s="77">
        <v>3</v>
      </c>
      <c r="AD644" s="76">
        <v>5.333333333333333</v>
      </c>
      <c r="AE644" s="76">
        <v>2.4944382578492941</v>
      </c>
      <c r="AF644" s="77">
        <v>0.26726124191242451</v>
      </c>
      <c r="AG644" s="77">
        <v>3</v>
      </c>
      <c r="AH644" s="76">
        <v>4.333333333333333</v>
      </c>
      <c r="AI644" s="76">
        <v>4.0276819911981905</v>
      </c>
      <c r="AJ644" s="77">
        <v>1.4069300106240257</v>
      </c>
      <c r="AK644" s="77">
        <v>4</v>
      </c>
      <c r="AL644" s="76"/>
      <c r="AM644" s="76"/>
      <c r="AN644" s="77"/>
      <c r="AO644" s="77"/>
      <c r="AP644" s="76"/>
      <c r="AQ644" s="76"/>
      <c r="AR644" s="77"/>
      <c r="AS644" s="77"/>
      <c r="AT644" s="78">
        <v>0.875</v>
      </c>
    </row>
    <row r="645" spans="1:46" ht="12.5" x14ac:dyDescent="0.25">
      <c r="A645" s="79">
        <v>44828.521090393522</v>
      </c>
      <c r="B645" s="80" t="s">
        <v>185</v>
      </c>
      <c r="C645" s="80" t="str">
        <f>INDEX(TBL_Name,MATCH(Table2[[#This Row],[Athlete Name]],listNames,0),2)</f>
        <v>Athlete 30</v>
      </c>
      <c r="D645" s="80" t="s">
        <v>130</v>
      </c>
      <c r="E645" s="80">
        <v>8</v>
      </c>
      <c r="F645" s="80">
        <v>5</v>
      </c>
      <c r="G645" s="80">
        <v>7</v>
      </c>
      <c r="H645" s="80" t="s">
        <v>862</v>
      </c>
      <c r="I645" s="80">
        <v>8</v>
      </c>
      <c r="J645" s="80"/>
      <c r="K645" s="80"/>
      <c r="L645" s="80"/>
      <c r="M645" s="1" t="s">
        <v>974</v>
      </c>
      <c r="N645" s="1">
        <v>39</v>
      </c>
      <c r="O645" s="1">
        <v>7</v>
      </c>
      <c r="P645" s="13">
        <v>44828</v>
      </c>
      <c r="Q645" s="1" t="s">
        <v>133</v>
      </c>
      <c r="R645" s="1" t="s">
        <v>64</v>
      </c>
      <c r="S645" s="1">
        <v>1</v>
      </c>
      <c r="T645" s="1" t="s">
        <v>942</v>
      </c>
      <c r="U645" s="1" t="s">
        <v>942</v>
      </c>
      <c r="V645" s="76">
        <v>7.166666666666667</v>
      </c>
      <c r="W645" s="76">
        <v>0.68718427093627676</v>
      </c>
      <c r="X645" s="77">
        <v>1.2126781251816645</v>
      </c>
      <c r="Y645" s="77">
        <v>4</v>
      </c>
      <c r="Z645" s="76">
        <v>4.166666666666667</v>
      </c>
      <c r="AA645" s="76">
        <v>1.5723301886761005</v>
      </c>
      <c r="AB645" s="77">
        <v>0.52999894000317982</v>
      </c>
      <c r="AC645" s="77">
        <v>3</v>
      </c>
      <c r="AD645" s="76">
        <v>6</v>
      </c>
      <c r="AE645" s="76">
        <v>1.6329931618554521</v>
      </c>
      <c r="AF645" s="77">
        <v>0.61237243569579447</v>
      </c>
      <c r="AG645" s="77">
        <v>3</v>
      </c>
      <c r="AH645" s="76">
        <v>7.666666666666667</v>
      </c>
      <c r="AI645" s="76">
        <v>0.74535599249993001</v>
      </c>
      <c r="AJ645" s="77">
        <v>0.44721359549995748</v>
      </c>
      <c r="AK645" s="77">
        <v>3</v>
      </c>
      <c r="AL645" s="76"/>
      <c r="AM645" s="76"/>
      <c r="AN645" s="77"/>
      <c r="AO645" s="77"/>
      <c r="AP645" s="76"/>
      <c r="AQ645" s="76"/>
      <c r="AR645" s="77"/>
      <c r="AS645" s="77"/>
      <c r="AT645" s="78">
        <v>0.8125</v>
      </c>
    </row>
    <row r="646" spans="1:46" ht="12.5" x14ac:dyDescent="0.25">
      <c r="A646" s="79">
        <v>44828.843813831016</v>
      </c>
      <c r="B646" s="80" t="s">
        <v>15</v>
      </c>
      <c r="C646" s="80" t="str">
        <f>INDEX(TBL_Name,MATCH(Table2[[#This Row],[Athlete Name]],listNames,0),2)</f>
        <v>Athlete 8</v>
      </c>
      <c r="D646" s="80" t="s">
        <v>130</v>
      </c>
      <c r="E646" s="80">
        <v>10</v>
      </c>
      <c r="F646" s="80">
        <v>8</v>
      </c>
      <c r="G646" s="80">
        <v>6</v>
      </c>
      <c r="H646" s="80" t="s">
        <v>432</v>
      </c>
      <c r="I646" s="80">
        <v>10</v>
      </c>
      <c r="J646" s="80"/>
      <c r="K646" s="80"/>
      <c r="L646" s="80"/>
      <c r="M646" s="1" t="s">
        <v>975</v>
      </c>
      <c r="N646" s="1">
        <v>39</v>
      </c>
      <c r="O646" s="1">
        <v>7</v>
      </c>
      <c r="P646" s="13">
        <v>44828</v>
      </c>
      <c r="Q646" s="1" t="s">
        <v>133</v>
      </c>
      <c r="R646" s="1" t="s">
        <v>64</v>
      </c>
      <c r="S646" s="1">
        <v>1</v>
      </c>
      <c r="T646" s="1" t="s">
        <v>14</v>
      </c>
      <c r="U646" s="1" t="s">
        <v>14</v>
      </c>
      <c r="V646" s="76">
        <v>8</v>
      </c>
      <c r="W646" s="76">
        <v>1.6329931618554521</v>
      </c>
      <c r="X646" s="77">
        <v>1.2247448713915889</v>
      </c>
      <c r="Y646" s="77">
        <v>4</v>
      </c>
      <c r="Z646" s="76">
        <v>9.3333333333333339</v>
      </c>
      <c r="AA646" s="76">
        <v>0.94280904158206358</v>
      </c>
      <c r="AB646" s="77">
        <v>-1.4142135623730954</v>
      </c>
      <c r="AC646" s="77">
        <v>1</v>
      </c>
      <c r="AD646" s="76">
        <v>8.3333333333333339</v>
      </c>
      <c r="AE646" s="76">
        <v>1.699673171197595</v>
      </c>
      <c r="AF646" s="77">
        <v>-1.3728129459672886</v>
      </c>
      <c r="AG646" s="77">
        <v>1</v>
      </c>
      <c r="AH646" s="76">
        <v>7</v>
      </c>
      <c r="AI646" s="76">
        <v>2.1602468994692869</v>
      </c>
      <c r="AJ646" s="77">
        <v>1.3887301496588271</v>
      </c>
      <c r="AK646" s="77">
        <v>4</v>
      </c>
      <c r="AL646" s="76"/>
      <c r="AM646" s="76"/>
      <c r="AN646" s="77"/>
      <c r="AO646" s="77"/>
      <c r="AP646" s="76"/>
      <c r="AQ646" s="76"/>
      <c r="AR646" s="77"/>
      <c r="AS646" s="77"/>
      <c r="AT646" s="78">
        <v>0.625</v>
      </c>
    </row>
    <row r="647" spans="1:46" ht="12.5" x14ac:dyDescent="0.25">
      <c r="A647" s="79">
        <v>44829.348287881949</v>
      </c>
      <c r="B647" s="80" t="s">
        <v>196</v>
      </c>
      <c r="C647" s="80" t="str">
        <f>INDEX(TBL_Name,MATCH(Table2[[#This Row],[Athlete Name]],listNames,0),2)</f>
        <v>Athlete 31</v>
      </c>
      <c r="D647" s="80" t="s">
        <v>130</v>
      </c>
      <c r="E647" s="80">
        <v>7</v>
      </c>
      <c r="F647" s="80">
        <v>8</v>
      </c>
      <c r="G647" s="80">
        <v>8</v>
      </c>
      <c r="H647" s="80" t="s">
        <v>540</v>
      </c>
      <c r="I647" s="80">
        <v>5</v>
      </c>
      <c r="J647" s="80"/>
      <c r="K647" s="80"/>
      <c r="L647" s="80"/>
      <c r="M647" s="1" t="s">
        <v>976</v>
      </c>
      <c r="N647" s="1">
        <v>40</v>
      </c>
      <c r="O647" s="1">
        <v>8</v>
      </c>
      <c r="P647" s="13">
        <v>44829</v>
      </c>
      <c r="Q647" s="1" t="s">
        <v>133</v>
      </c>
      <c r="R647" s="1" t="s">
        <v>64</v>
      </c>
      <c r="S647" s="1">
        <v>1</v>
      </c>
      <c r="T647" s="1" t="s">
        <v>942</v>
      </c>
      <c r="U647" s="1" t="s">
        <v>942</v>
      </c>
      <c r="V647" s="76">
        <v>6.8</v>
      </c>
      <c r="W647" s="76">
        <v>0.39999999999999997</v>
      </c>
      <c r="X647" s="77">
        <v>0.50000000000000044</v>
      </c>
      <c r="Y647" s="77">
        <v>3</v>
      </c>
      <c r="Z647" s="76">
        <v>8.4</v>
      </c>
      <c r="AA647" s="76">
        <v>1.0198039027185568</v>
      </c>
      <c r="AB647" s="77">
        <v>-0.39223227027636848</v>
      </c>
      <c r="AC647" s="77">
        <v>2</v>
      </c>
      <c r="AD647" s="76">
        <v>8.4</v>
      </c>
      <c r="AE647" s="76">
        <v>0.79999999999999993</v>
      </c>
      <c r="AF647" s="77">
        <v>-0.50000000000000044</v>
      </c>
      <c r="AG647" s="77">
        <v>2</v>
      </c>
      <c r="AH647" s="76">
        <v>7.8</v>
      </c>
      <c r="AI647" s="76">
        <v>1.4696938456699067</v>
      </c>
      <c r="AJ647" s="77">
        <v>-1.9051586888313607</v>
      </c>
      <c r="AK647" s="77">
        <v>1</v>
      </c>
      <c r="AL647" s="76"/>
      <c r="AM647" s="76"/>
      <c r="AN647" s="77"/>
      <c r="AO647" s="77"/>
      <c r="AP647" s="76"/>
      <c r="AQ647" s="76"/>
      <c r="AR647" s="77"/>
      <c r="AS647" s="77"/>
      <c r="AT647" s="78">
        <v>0.5</v>
      </c>
    </row>
    <row r="648" spans="1:46" ht="12.5" x14ac:dyDescent="0.25">
      <c r="A648" s="79">
        <v>44829.374652696759</v>
      </c>
      <c r="B648" s="80" t="s">
        <v>21</v>
      </c>
      <c r="C648" s="80" t="str">
        <f>INDEX(TBL_Name,MATCH(Table2[[#This Row],[Athlete Name]],listNames,0),2)</f>
        <v>Athlete 13</v>
      </c>
      <c r="D648" s="80" t="s">
        <v>130</v>
      </c>
      <c r="E648" s="80">
        <v>9</v>
      </c>
      <c r="F648" s="80">
        <v>9</v>
      </c>
      <c r="G648" s="80">
        <v>9</v>
      </c>
      <c r="H648" s="80" t="s">
        <v>977</v>
      </c>
      <c r="I648" s="80">
        <v>7</v>
      </c>
      <c r="J648" s="80"/>
      <c r="K648" s="80"/>
      <c r="L648" s="80"/>
      <c r="M648" s="1" t="s">
        <v>978</v>
      </c>
      <c r="N648" s="1">
        <v>40</v>
      </c>
      <c r="O648" s="1">
        <v>8</v>
      </c>
      <c r="P648" s="13">
        <v>44829</v>
      </c>
      <c r="Q648" s="1" t="s">
        <v>133</v>
      </c>
      <c r="R648" s="1" t="s">
        <v>64</v>
      </c>
      <c r="S648" s="1">
        <v>1</v>
      </c>
      <c r="T648" s="1" t="s">
        <v>18</v>
      </c>
      <c r="U648" s="1" t="s">
        <v>18</v>
      </c>
      <c r="V648" s="76">
        <v>7.5714285714285712</v>
      </c>
      <c r="W648" s="76">
        <v>1.2936264483053452</v>
      </c>
      <c r="X648" s="77">
        <v>1.1043152607484656</v>
      </c>
      <c r="Y648" s="77">
        <v>4</v>
      </c>
      <c r="Z648" s="76">
        <v>8</v>
      </c>
      <c r="AA648" s="76">
        <v>1.0690449676496978</v>
      </c>
      <c r="AB648" s="77">
        <v>0.93541434669348511</v>
      </c>
      <c r="AC648" s="77">
        <v>3</v>
      </c>
      <c r="AD648" s="76">
        <v>8.4285714285714288</v>
      </c>
      <c r="AE648" s="76">
        <v>0.49487165930539351</v>
      </c>
      <c r="AF648" s="77">
        <v>1.154700538379251</v>
      </c>
      <c r="AG648" s="77">
        <v>4</v>
      </c>
      <c r="AH648" s="76">
        <v>7</v>
      </c>
      <c r="AI648" s="76">
        <v>0.92582009977255153</v>
      </c>
      <c r="AJ648" s="77">
        <v>0</v>
      </c>
      <c r="AK648" s="77">
        <v>3</v>
      </c>
      <c r="AL648" s="76"/>
      <c r="AM648" s="76"/>
      <c r="AN648" s="77"/>
      <c r="AO648" s="77"/>
      <c r="AP648" s="76"/>
      <c r="AQ648" s="76"/>
      <c r="AR648" s="77"/>
      <c r="AS648" s="77"/>
      <c r="AT648" s="78">
        <v>0.875</v>
      </c>
    </row>
    <row r="649" spans="1:46" ht="12.5" x14ac:dyDescent="0.25">
      <c r="A649" s="79">
        <v>44829.385019618057</v>
      </c>
      <c r="B649" s="80" t="s">
        <v>17</v>
      </c>
      <c r="C649" s="80" t="str">
        <f>INDEX(TBL_Name,MATCH(Table2[[#This Row],[Athlete Name]],listNames,0),2)</f>
        <v>Athlete 10</v>
      </c>
      <c r="D649" s="80" t="s">
        <v>130</v>
      </c>
      <c r="E649" s="80">
        <v>8</v>
      </c>
      <c r="F649" s="80">
        <v>10</v>
      </c>
      <c r="G649" s="80">
        <v>12</v>
      </c>
      <c r="H649" s="80" t="s">
        <v>508</v>
      </c>
      <c r="I649" s="80">
        <v>6</v>
      </c>
      <c r="J649" s="80"/>
      <c r="K649" s="80"/>
      <c r="L649" s="80"/>
      <c r="M649" s="1" t="s">
        <v>979</v>
      </c>
      <c r="N649" s="1">
        <v>40</v>
      </c>
      <c r="O649" s="1">
        <v>8</v>
      </c>
      <c r="P649" s="13">
        <v>44829</v>
      </c>
      <c r="Q649" s="1" t="s">
        <v>133</v>
      </c>
      <c r="R649" s="1" t="s">
        <v>64</v>
      </c>
      <c r="S649" s="1">
        <v>1</v>
      </c>
      <c r="T649" s="1" t="s">
        <v>18</v>
      </c>
      <c r="U649" s="1" t="s">
        <v>18</v>
      </c>
      <c r="V649" s="76">
        <v>8.3333333333333339</v>
      </c>
      <c r="W649" s="76">
        <v>0.74535599249993001</v>
      </c>
      <c r="X649" s="77">
        <v>-0.44721359549995865</v>
      </c>
      <c r="Y649" s="77">
        <v>2</v>
      </c>
      <c r="Z649" s="76">
        <v>7.666666666666667</v>
      </c>
      <c r="AA649" s="76">
        <v>2.2110831935702664</v>
      </c>
      <c r="AB649" s="77">
        <v>1.0552897060221726</v>
      </c>
      <c r="AC649" s="77">
        <v>4</v>
      </c>
      <c r="AD649" s="76">
        <v>8.6666666666666661</v>
      </c>
      <c r="AE649" s="76">
        <v>2.4267032964268394</v>
      </c>
      <c r="AF649" s="77">
        <v>1.3736056394868905</v>
      </c>
      <c r="AG649" s="77">
        <v>4</v>
      </c>
      <c r="AH649" s="76">
        <v>7.5</v>
      </c>
      <c r="AI649" s="76">
        <v>0.9574271077563381</v>
      </c>
      <c r="AJ649" s="77">
        <v>-1.5666989036012806</v>
      </c>
      <c r="AK649" s="77">
        <v>1</v>
      </c>
      <c r="AL649" s="76"/>
      <c r="AM649" s="76"/>
      <c r="AN649" s="77"/>
      <c r="AO649" s="77"/>
      <c r="AP649" s="76"/>
      <c r="AQ649" s="76"/>
      <c r="AR649" s="77"/>
      <c r="AS649" s="77"/>
      <c r="AT649" s="78">
        <v>0.6875</v>
      </c>
    </row>
    <row r="650" spans="1:46" ht="12.5" x14ac:dyDescent="0.25">
      <c r="A650" s="79">
        <v>44829.389890023143</v>
      </c>
      <c r="B650" s="80" t="s">
        <v>225</v>
      </c>
      <c r="C650" s="80" t="str">
        <f>INDEX(TBL_Name,MATCH(Table2[[#This Row],[Athlete Name]],listNames,0),2)</f>
        <v>Athlete 32</v>
      </c>
      <c r="D650" s="80" t="s">
        <v>130</v>
      </c>
      <c r="E650" s="80">
        <v>10</v>
      </c>
      <c r="F650" s="80">
        <v>10</v>
      </c>
      <c r="G650" s="80">
        <v>9</v>
      </c>
      <c r="H650" s="80"/>
      <c r="I650" s="80">
        <v>9</v>
      </c>
      <c r="J650" s="80"/>
      <c r="K650" s="80"/>
      <c r="L650" s="80"/>
      <c r="M650" s="1" t="s">
        <v>980</v>
      </c>
      <c r="N650" s="1">
        <v>40</v>
      </c>
      <c r="O650" s="1">
        <v>8</v>
      </c>
      <c r="P650" s="13">
        <v>44829</v>
      </c>
      <c r="Q650" s="1" t="s">
        <v>133</v>
      </c>
      <c r="R650" s="1" t="s">
        <v>64</v>
      </c>
      <c r="S650" s="1">
        <v>1</v>
      </c>
      <c r="T650" s="1" t="s">
        <v>942</v>
      </c>
      <c r="U650" s="1" t="s">
        <v>942</v>
      </c>
      <c r="V650" s="76">
        <v>8.3333333333333339</v>
      </c>
      <c r="W650" s="76">
        <v>2.3570226039551581</v>
      </c>
      <c r="X650" s="77">
        <v>0.70710678118654735</v>
      </c>
      <c r="Y650" s="77">
        <v>3</v>
      </c>
      <c r="Z650" s="76">
        <v>9.6666666666666661</v>
      </c>
      <c r="AA650" s="76">
        <v>0.47140452079103179</v>
      </c>
      <c r="AB650" s="77">
        <v>0.70710678118654857</v>
      </c>
      <c r="AC650" s="77">
        <v>3</v>
      </c>
      <c r="AD650" s="76">
        <v>7.666666666666667</v>
      </c>
      <c r="AE650" s="76">
        <v>0.94280904158206325</v>
      </c>
      <c r="AF650" s="77">
        <v>1.4142135623730949</v>
      </c>
      <c r="AG650" s="77">
        <v>4</v>
      </c>
      <c r="AH650" s="76">
        <v>8.3333333333333339</v>
      </c>
      <c r="AI650" s="76">
        <v>1.699673171197595</v>
      </c>
      <c r="AJ650" s="77">
        <v>0.3922322702763677</v>
      </c>
      <c r="AK650" s="77">
        <v>3</v>
      </c>
      <c r="AL650" s="76"/>
      <c r="AM650" s="76"/>
      <c r="AN650" s="77"/>
      <c r="AO650" s="77"/>
      <c r="AP650" s="76"/>
      <c r="AQ650" s="76"/>
      <c r="AR650" s="77"/>
      <c r="AS650" s="77"/>
      <c r="AT650" s="78">
        <v>0.8125</v>
      </c>
    </row>
    <row r="651" spans="1:46" ht="12.5" x14ac:dyDescent="0.25">
      <c r="A651" s="79">
        <v>44829.569188969908</v>
      </c>
      <c r="B651" s="80" t="s">
        <v>6</v>
      </c>
      <c r="C651" s="80" t="str">
        <f>INDEX(TBL_Name,MATCH(Table2[[#This Row],[Athlete Name]],listNames,0),2)</f>
        <v>Athlete 2</v>
      </c>
      <c r="D651" s="80" t="s">
        <v>143</v>
      </c>
      <c r="E651" s="80">
        <v>9</v>
      </c>
      <c r="F651" s="80">
        <v>4</v>
      </c>
      <c r="G651" s="80">
        <v>6</v>
      </c>
      <c r="H651" s="80" t="s">
        <v>981</v>
      </c>
      <c r="I651" s="80">
        <v>8</v>
      </c>
      <c r="J651" s="80"/>
      <c r="K651" s="80"/>
      <c r="L651" s="80"/>
      <c r="M651" s="1" t="s">
        <v>982</v>
      </c>
      <c r="N651" s="1">
        <v>40</v>
      </c>
      <c r="O651" s="1">
        <v>8</v>
      </c>
      <c r="P651" s="13">
        <v>44829</v>
      </c>
      <c r="Q651" s="1" t="s">
        <v>133</v>
      </c>
      <c r="R651" s="1" t="s">
        <v>64</v>
      </c>
      <c r="S651" s="1">
        <v>2</v>
      </c>
      <c r="T651" s="1" t="s">
        <v>5</v>
      </c>
      <c r="U651" s="1" t="s">
        <v>5</v>
      </c>
      <c r="V651" s="76">
        <v>8.3333333333333339</v>
      </c>
      <c r="W651" s="76">
        <v>0.47140452079103201</v>
      </c>
      <c r="X651" s="77">
        <v>1.4142135623730927</v>
      </c>
      <c r="Y651" s="77">
        <v>4</v>
      </c>
      <c r="Z651" s="76">
        <v>7.5</v>
      </c>
      <c r="AA651" s="76">
        <v>1.892969448600091</v>
      </c>
      <c r="AB651" s="77">
        <v>-1.8489469032838102</v>
      </c>
      <c r="AC651" s="77">
        <v>1</v>
      </c>
      <c r="AD651" s="76">
        <v>7.833333333333333</v>
      </c>
      <c r="AE651" s="76">
        <v>1.2133516482134195</v>
      </c>
      <c r="AF651" s="77">
        <v>-1.5109662034355793</v>
      </c>
      <c r="AG651" s="77">
        <v>1</v>
      </c>
      <c r="AH651" s="76">
        <v>8</v>
      </c>
      <c r="AI651" s="76">
        <v>0</v>
      </c>
      <c r="AJ651" s="77">
        <v>0</v>
      </c>
      <c r="AK651" s="77">
        <v>3</v>
      </c>
      <c r="AL651" s="76"/>
      <c r="AM651" s="76"/>
      <c r="AN651" s="77"/>
      <c r="AO651" s="77"/>
      <c r="AP651" s="76"/>
      <c r="AQ651" s="76"/>
      <c r="AR651" s="77"/>
      <c r="AS651" s="77"/>
      <c r="AT651" s="78">
        <v>0.5625</v>
      </c>
    </row>
    <row r="652" spans="1:46" ht="12.5" x14ac:dyDescent="0.25">
      <c r="A652" s="79">
        <v>44829.82161068287</v>
      </c>
      <c r="B652" s="80" t="s">
        <v>10</v>
      </c>
      <c r="C652" s="80" t="str">
        <f>INDEX(TBL_Name,MATCH(Table2[[#This Row],[Athlete Name]],listNames,0),2)</f>
        <v>Athlete 5</v>
      </c>
      <c r="D652" s="80" t="s">
        <v>130</v>
      </c>
      <c r="E652" s="80">
        <v>10</v>
      </c>
      <c r="F652" s="80">
        <v>10</v>
      </c>
      <c r="G652" s="80">
        <v>10</v>
      </c>
      <c r="H652" s="80" t="s">
        <v>983</v>
      </c>
      <c r="I652" s="80">
        <v>7</v>
      </c>
      <c r="J652" s="80"/>
      <c r="K652" s="80"/>
      <c r="L652" s="80"/>
      <c r="M652" s="1" t="s">
        <v>984</v>
      </c>
      <c r="N652" s="1">
        <v>40</v>
      </c>
      <c r="O652" s="1">
        <v>8</v>
      </c>
      <c r="P652" s="13">
        <v>44829</v>
      </c>
      <c r="Q652" s="1" t="s">
        <v>133</v>
      </c>
      <c r="R652" s="1" t="s">
        <v>64</v>
      </c>
      <c r="S652" s="1">
        <v>1</v>
      </c>
      <c r="T652" s="1" t="s">
        <v>11</v>
      </c>
      <c r="U652" s="1" t="s">
        <v>11</v>
      </c>
      <c r="V652" s="76">
        <v>8.8333333333333339</v>
      </c>
      <c r="W652" s="76">
        <v>0.68718427093627699</v>
      </c>
      <c r="X652" s="77">
        <v>1.6977493752543293</v>
      </c>
      <c r="Y652" s="77">
        <v>4</v>
      </c>
      <c r="Z652" s="76">
        <v>8.5</v>
      </c>
      <c r="AA652" s="76">
        <v>0.9574271077563381</v>
      </c>
      <c r="AB652" s="77">
        <v>1.5666989036012806</v>
      </c>
      <c r="AC652" s="77">
        <v>4</v>
      </c>
      <c r="AD652" s="76">
        <v>8.5</v>
      </c>
      <c r="AE652" s="76">
        <v>0.9574271077563381</v>
      </c>
      <c r="AF652" s="77">
        <v>1.5666989036012806</v>
      </c>
      <c r="AG652" s="77">
        <v>4</v>
      </c>
      <c r="AH652" s="76">
        <v>6.666666666666667</v>
      </c>
      <c r="AI652" s="76">
        <v>1.5986105077709065</v>
      </c>
      <c r="AJ652" s="77">
        <v>0.20851441405707458</v>
      </c>
      <c r="AK652" s="77">
        <v>3</v>
      </c>
      <c r="AL652" s="76"/>
      <c r="AM652" s="76"/>
      <c r="AN652" s="77"/>
      <c r="AO652" s="77"/>
      <c r="AP652" s="76"/>
      <c r="AQ652" s="76"/>
      <c r="AR652" s="77"/>
      <c r="AS652" s="77"/>
      <c r="AT652" s="78">
        <v>0.9375</v>
      </c>
    </row>
    <row r="653" spans="1:46" ht="12.5" x14ac:dyDescent="0.25">
      <c r="A653" s="79">
        <v>44830.33779662037</v>
      </c>
      <c r="B653" s="80" t="s">
        <v>185</v>
      </c>
      <c r="C653" s="80" t="str">
        <f>INDEX(TBL_Name,MATCH(Table2[[#This Row],[Athlete Name]],listNames,0),2)</f>
        <v>Athlete 30</v>
      </c>
      <c r="D653" s="80" t="s">
        <v>130</v>
      </c>
      <c r="E653" s="80">
        <v>8</v>
      </c>
      <c r="F653" s="80">
        <v>5</v>
      </c>
      <c r="G653" s="80">
        <v>7</v>
      </c>
      <c r="H653" s="80" t="s">
        <v>985</v>
      </c>
      <c r="I653" s="80">
        <v>6</v>
      </c>
      <c r="J653" s="80"/>
      <c r="K653" s="80"/>
      <c r="L653" s="80"/>
      <c r="M653" s="1" t="s">
        <v>986</v>
      </c>
      <c r="N653" s="1">
        <v>40</v>
      </c>
      <c r="O653" s="1">
        <v>8</v>
      </c>
      <c r="P653" s="13">
        <v>44830</v>
      </c>
      <c r="Q653" s="1" t="s">
        <v>133</v>
      </c>
      <c r="R653" s="1" t="s">
        <v>64</v>
      </c>
      <c r="S653" s="1">
        <v>1</v>
      </c>
      <c r="T653" s="1" t="s">
        <v>942</v>
      </c>
      <c r="U653" s="1" t="s">
        <v>942</v>
      </c>
      <c r="V653" s="76">
        <v>7.4</v>
      </c>
      <c r="W653" s="76">
        <v>0.48989794855663554</v>
      </c>
      <c r="X653" s="77">
        <v>1.2247448713915885</v>
      </c>
      <c r="Y653" s="77">
        <v>4</v>
      </c>
      <c r="Z653" s="76">
        <v>4</v>
      </c>
      <c r="AA653" s="76">
        <v>1.0954451150103321</v>
      </c>
      <c r="AB653" s="77">
        <v>0.9128709291752769</v>
      </c>
      <c r="AC653" s="77">
        <v>3</v>
      </c>
      <c r="AD653" s="76">
        <v>6</v>
      </c>
      <c r="AE653" s="76">
        <v>1.5491933384829668</v>
      </c>
      <c r="AF653" s="77">
        <v>0.6454972243679028</v>
      </c>
      <c r="AG653" s="77">
        <v>3</v>
      </c>
      <c r="AH653" s="76">
        <v>7.6</v>
      </c>
      <c r="AI653" s="76">
        <v>0.79999999999999993</v>
      </c>
      <c r="AJ653" s="77">
        <v>-1.9999999999999998</v>
      </c>
      <c r="AK653" s="77">
        <v>1</v>
      </c>
      <c r="AL653" s="76"/>
      <c r="AM653" s="76"/>
      <c r="AN653" s="77"/>
      <c r="AO653" s="77"/>
      <c r="AP653" s="76"/>
      <c r="AQ653" s="76"/>
      <c r="AR653" s="77"/>
      <c r="AS653" s="77"/>
      <c r="AT653" s="78">
        <v>0.6875</v>
      </c>
    </row>
    <row r="654" spans="1:46" ht="12.5" x14ac:dyDescent="0.25">
      <c r="A654" s="79">
        <v>44830.382073310189</v>
      </c>
      <c r="B654" s="80" t="s">
        <v>6</v>
      </c>
      <c r="C654" s="80" t="str">
        <f>INDEX(TBL_Name,MATCH(Table2[[#This Row],[Athlete Name]],listNames,0),2)</f>
        <v>Athlete 2</v>
      </c>
      <c r="D654" s="80" t="s">
        <v>143</v>
      </c>
      <c r="E654" s="80">
        <v>9</v>
      </c>
      <c r="F654" s="80">
        <v>8</v>
      </c>
      <c r="G654" s="80">
        <v>9</v>
      </c>
      <c r="H654" s="80" t="s">
        <v>73</v>
      </c>
      <c r="I654" s="80">
        <v>8</v>
      </c>
      <c r="J654" s="80"/>
      <c r="K654" s="80"/>
      <c r="L654" s="80"/>
      <c r="M654" s="1" t="s">
        <v>987</v>
      </c>
      <c r="N654" s="1">
        <v>40</v>
      </c>
      <c r="O654" s="1">
        <v>8</v>
      </c>
      <c r="P654" s="13">
        <v>44830</v>
      </c>
      <c r="Q654" s="1" t="s">
        <v>133</v>
      </c>
      <c r="R654" s="1" t="s">
        <v>64</v>
      </c>
      <c r="S654" s="1">
        <v>2</v>
      </c>
      <c r="T654" s="1" t="s">
        <v>5</v>
      </c>
      <c r="U654" s="1" t="s">
        <v>5</v>
      </c>
      <c r="V654" s="76">
        <v>8.5</v>
      </c>
      <c r="W654" s="76">
        <v>0.5</v>
      </c>
      <c r="X654" s="77">
        <v>1</v>
      </c>
      <c r="Y654" s="77">
        <v>4</v>
      </c>
      <c r="Z654" s="76">
        <v>7.333333333333333</v>
      </c>
      <c r="AA654" s="76">
        <v>1.7950549357115013</v>
      </c>
      <c r="AB654" s="77">
        <v>0.37139067635410389</v>
      </c>
      <c r="AC654" s="77">
        <v>3</v>
      </c>
      <c r="AD654" s="76">
        <v>8</v>
      </c>
      <c r="AE654" s="76">
        <v>1.2909944487358056</v>
      </c>
      <c r="AF654" s="77">
        <v>0.7745966692414834</v>
      </c>
      <c r="AG654" s="77">
        <v>3</v>
      </c>
      <c r="AH654" s="76">
        <v>8</v>
      </c>
      <c r="AI654" s="76">
        <v>0</v>
      </c>
      <c r="AJ654" s="77">
        <v>0</v>
      </c>
      <c r="AK654" s="77">
        <v>3</v>
      </c>
      <c r="AL654" s="76"/>
      <c r="AM654" s="76"/>
      <c r="AN654" s="77"/>
      <c r="AO654" s="77"/>
      <c r="AP654" s="76"/>
      <c r="AQ654" s="76"/>
      <c r="AR654" s="77"/>
      <c r="AS654" s="77"/>
      <c r="AT654" s="78">
        <v>0.8125</v>
      </c>
    </row>
    <row r="655" spans="1:46" ht="12.5" x14ac:dyDescent="0.25">
      <c r="A655" s="79">
        <v>44830.407541307868</v>
      </c>
      <c r="B655" s="80" t="s">
        <v>10</v>
      </c>
      <c r="C655" s="80" t="str">
        <f>INDEX(TBL_Name,MATCH(Table2[[#This Row],[Athlete Name]],listNames,0),2)</f>
        <v>Athlete 5</v>
      </c>
      <c r="D655" s="80" t="s">
        <v>130</v>
      </c>
      <c r="E655" s="80">
        <v>9</v>
      </c>
      <c r="F655" s="80">
        <v>8</v>
      </c>
      <c r="G655" s="80">
        <v>8</v>
      </c>
      <c r="H655" s="80" t="s">
        <v>676</v>
      </c>
      <c r="I655" s="80">
        <v>7</v>
      </c>
      <c r="J655" s="80"/>
      <c r="K655" s="80"/>
      <c r="L655" s="80"/>
      <c r="M655" s="1" t="s">
        <v>988</v>
      </c>
      <c r="N655" s="1">
        <v>40</v>
      </c>
      <c r="O655" s="1">
        <v>8</v>
      </c>
      <c r="P655" s="13">
        <v>44830</v>
      </c>
      <c r="Q655" s="1" t="s">
        <v>133</v>
      </c>
      <c r="R655" s="1" t="s">
        <v>64</v>
      </c>
      <c r="S655" s="1">
        <v>1</v>
      </c>
      <c r="T655" s="1" t="s">
        <v>11</v>
      </c>
      <c r="U655" s="1" t="s">
        <v>11</v>
      </c>
      <c r="V655" s="76">
        <v>8.8333333333333339</v>
      </c>
      <c r="W655" s="76">
        <v>0.68718427093627654</v>
      </c>
      <c r="X655" s="77">
        <v>0.24253562503633219</v>
      </c>
      <c r="Y655" s="77">
        <v>3</v>
      </c>
      <c r="Z655" s="76">
        <v>8.3333333333333339</v>
      </c>
      <c r="AA655" s="76">
        <v>0.94280904158206336</v>
      </c>
      <c r="AB655" s="77">
        <v>-0.3535533905932744</v>
      </c>
      <c r="AC655" s="77">
        <v>2</v>
      </c>
      <c r="AD655" s="76">
        <v>8.3333333333333339</v>
      </c>
      <c r="AE655" s="76">
        <v>0.94280904158206336</v>
      </c>
      <c r="AF655" s="77">
        <v>-0.3535533905932744</v>
      </c>
      <c r="AG655" s="77">
        <v>2</v>
      </c>
      <c r="AH655" s="76">
        <v>6.333333333333333</v>
      </c>
      <c r="AI655" s="76">
        <v>1.247219128924647</v>
      </c>
      <c r="AJ655" s="77">
        <v>0.53452248382484902</v>
      </c>
      <c r="AK655" s="77">
        <v>3</v>
      </c>
      <c r="AL655" s="76"/>
      <c r="AM655" s="76"/>
      <c r="AN655" s="77"/>
      <c r="AO655" s="77"/>
      <c r="AP655" s="76"/>
      <c r="AQ655" s="76"/>
      <c r="AR655" s="77"/>
      <c r="AS655" s="77"/>
      <c r="AT655" s="78">
        <v>0.625</v>
      </c>
    </row>
    <row r="656" spans="1:46" ht="12.5" x14ac:dyDescent="0.25">
      <c r="A656" s="79">
        <v>44830.584260972224</v>
      </c>
      <c r="B656" s="80" t="s">
        <v>17</v>
      </c>
      <c r="C656" s="80" t="str">
        <f>INDEX(TBL_Name,MATCH(Table2[[#This Row],[Athlete Name]],listNames,0),2)</f>
        <v>Athlete 10</v>
      </c>
      <c r="D656" s="80" t="s">
        <v>130</v>
      </c>
      <c r="E656" s="80">
        <v>9</v>
      </c>
      <c r="F656" s="80">
        <v>8</v>
      </c>
      <c r="G656" s="80">
        <v>7</v>
      </c>
      <c r="H656" s="80" t="s">
        <v>131</v>
      </c>
      <c r="I656" s="80">
        <v>8</v>
      </c>
      <c r="J656" s="80"/>
      <c r="K656" s="80"/>
      <c r="L656" s="80"/>
      <c r="M656" s="1" t="s">
        <v>989</v>
      </c>
      <c r="N656" s="1">
        <v>40</v>
      </c>
      <c r="O656" s="1">
        <v>8</v>
      </c>
      <c r="P656" s="13">
        <v>44830</v>
      </c>
      <c r="Q656" s="1" t="s">
        <v>133</v>
      </c>
      <c r="R656" s="1" t="s">
        <v>64</v>
      </c>
      <c r="S656" s="1">
        <v>1</v>
      </c>
      <c r="T656" s="1" t="s">
        <v>18</v>
      </c>
      <c r="U656" s="1" t="s">
        <v>18</v>
      </c>
      <c r="V656" s="76">
        <v>8.3333333333333339</v>
      </c>
      <c r="W656" s="76">
        <v>0.74535599249993012</v>
      </c>
      <c r="X656" s="77">
        <v>0.89442719099991486</v>
      </c>
      <c r="Y656" s="77">
        <v>3</v>
      </c>
      <c r="Z656" s="76">
        <v>7.666666666666667</v>
      </c>
      <c r="AA656" s="76">
        <v>2.2110831935702668</v>
      </c>
      <c r="AB656" s="77">
        <v>0.15075567228888165</v>
      </c>
      <c r="AC656" s="77">
        <v>3</v>
      </c>
      <c r="AD656" s="76">
        <v>8.3333333333333339</v>
      </c>
      <c r="AE656" s="76">
        <v>2.4944382578492941</v>
      </c>
      <c r="AF656" s="77">
        <v>-0.53452248382484902</v>
      </c>
      <c r="AG656" s="77">
        <v>2</v>
      </c>
      <c r="AH656" s="76">
        <v>7.5</v>
      </c>
      <c r="AI656" s="76">
        <v>0.95742710775633821</v>
      </c>
      <c r="AJ656" s="77">
        <v>0.5222329678670935</v>
      </c>
      <c r="AK656" s="77">
        <v>3</v>
      </c>
      <c r="AL656" s="76"/>
      <c r="AM656" s="76"/>
      <c r="AN656" s="77"/>
      <c r="AO656" s="77"/>
      <c r="AP656" s="76"/>
      <c r="AQ656" s="76"/>
      <c r="AR656" s="77"/>
      <c r="AS656" s="77"/>
      <c r="AT656" s="78">
        <v>0.6875</v>
      </c>
    </row>
    <row r="657" spans="1:46" ht="12.5" x14ac:dyDescent="0.25">
      <c r="A657" s="79">
        <v>44830.627909375005</v>
      </c>
      <c r="B657" s="80" t="s">
        <v>16</v>
      </c>
      <c r="C657" s="80" t="str">
        <f>INDEX(TBL_Name,MATCH(Table2[[#This Row],[Athlete Name]],listNames,0),2)</f>
        <v>Athlete 9</v>
      </c>
      <c r="D657" s="80" t="s">
        <v>130</v>
      </c>
      <c r="E657" s="80">
        <v>5</v>
      </c>
      <c r="F657" s="80">
        <v>5</v>
      </c>
      <c r="G657" s="80">
        <v>8</v>
      </c>
      <c r="H657" s="80" t="s">
        <v>435</v>
      </c>
      <c r="I657" s="80">
        <v>6</v>
      </c>
      <c r="J657" s="80"/>
      <c r="K657" s="80"/>
      <c r="L657" s="80"/>
      <c r="M657" s="1" t="s">
        <v>990</v>
      </c>
      <c r="N657" s="1">
        <v>40</v>
      </c>
      <c r="O657" s="1">
        <v>8</v>
      </c>
      <c r="P657" s="13">
        <v>44830</v>
      </c>
      <c r="Q657" s="1" t="s">
        <v>133</v>
      </c>
      <c r="R657" s="1" t="s">
        <v>64</v>
      </c>
      <c r="S657" s="1">
        <v>1</v>
      </c>
      <c r="T657" s="1" t="s">
        <v>14</v>
      </c>
      <c r="U657" s="1" t="s">
        <v>14</v>
      </c>
      <c r="V657" s="76">
        <v>5</v>
      </c>
      <c r="W657" s="76">
        <v>0</v>
      </c>
      <c r="X657" s="77">
        <v>0</v>
      </c>
      <c r="Y657" s="77">
        <v>3</v>
      </c>
      <c r="Z657" s="76">
        <v>5</v>
      </c>
      <c r="AA657" s="76">
        <v>0</v>
      </c>
      <c r="AB657" s="77">
        <v>0</v>
      </c>
      <c r="AC657" s="77">
        <v>3</v>
      </c>
      <c r="AD657" s="76">
        <v>8</v>
      </c>
      <c r="AE657" s="76">
        <v>0</v>
      </c>
      <c r="AF657" s="77">
        <v>0</v>
      </c>
      <c r="AG657" s="77">
        <v>3</v>
      </c>
      <c r="AH657" s="76">
        <v>6</v>
      </c>
      <c r="AI657" s="76">
        <v>0</v>
      </c>
      <c r="AJ657" s="77">
        <v>0</v>
      </c>
      <c r="AK657" s="77">
        <v>3</v>
      </c>
      <c r="AL657" s="76"/>
      <c r="AM657" s="76"/>
      <c r="AN657" s="77"/>
      <c r="AO657" s="77"/>
      <c r="AP657" s="76"/>
      <c r="AQ657" s="76"/>
      <c r="AR657" s="77"/>
      <c r="AS657" s="77"/>
      <c r="AT657" s="78">
        <v>0.75</v>
      </c>
    </row>
    <row r="658" spans="1:46" ht="12.5" x14ac:dyDescent="0.25">
      <c r="A658" s="79">
        <v>44830.682789039347</v>
      </c>
      <c r="B658" s="80" t="s">
        <v>19</v>
      </c>
      <c r="C658" s="80" t="str">
        <f>INDEX(TBL_Name,MATCH(Table2[[#This Row],[Athlete Name]],listNames,0),2)</f>
        <v>Athlete 11</v>
      </c>
      <c r="D658" s="80" t="s">
        <v>130</v>
      </c>
      <c r="E658" s="80">
        <v>5</v>
      </c>
      <c r="F658" s="80">
        <v>7</v>
      </c>
      <c r="G658" s="80">
        <v>7</v>
      </c>
      <c r="H658" s="80" t="s">
        <v>508</v>
      </c>
      <c r="I658" s="80">
        <v>7</v>
      </c>
      <c r="J658" s="80"/>
      <c r="K658" s="80"/>
      <c r="L658" s="80"/>
      <c r="M658" s="1" t="s">
        <v>991</v>
      </c>
      <c r="N658" s="1">
        <v>40</v>
      </c>
      <c r="O658" s="1">
        <v>8</v>
      </c>
      <c r="P658" s="13">
        <v>44830</v>
      </c>
      <c r="Q658" s="1" t="s">
        <v>133</v>
      </c>
      <c r="R658" s="1" t="s">
        <v>64</v>
      </c>
      <c r="S658" s="1">
        <v>1</v>
      </c>
      <c r="T658" s="1" t="s">
        <v>18</v>
      </c>
      <c r="U658" s="1" t="s">
        <v>18</v>
      </c>
      <c r="V658" s="76">
        <v>4.5</v>
      </c>
      <c r="W658" s="76">
        <v>0.5</v>
      </c>
      <c r="X658" s="77">
        <v>1</v>
      </c>
      <c r="Y658" s="77">
        <v>4</v>
      </c>
      <c r="Z658" s="76">
        <v>7</v>
      </c>
      <c r="AA658" s="76">
        <v>0</v>
      </c>
      <c r="AB658" s="77">
        <v>0</v>
      </c>
      <c r="AC658" s="77">
        <v>3</v>
      </c>
      <c r="AD658" s="76">
        <v>7</v>
      </c>
      <c r="AE658" s="76">
        <v>0</v>
      </c>
      <c r="AF658" s="77">
        <v>0</v>
      </c>
      <c r="AG658" s="77">
        <v>3</v>
      </c>
      <c r="AH658" s="76">
        <v>5.5</v>
      </c>
      <c r="AI658" s="76">
        <v>1.5</v>
      </c>
      <c r="AJ658" s="77">
        <v>1</v>
      </c>
      <c r="AK658" s="77">
        <v>4</v>
      </c>
      <c r="AL658" s="76"/>
      <c r="AM658" s="76"/>
      <c r="AN658" s="77"/>
      <c r="AO658" s="77"/>
      <c r="AP658" s="76"/>
      <c r="AQ658" s="76"/>
      <c r="AR658" s="77"/>
      <c r="AS658" s="77"/>
      <c r="AT658" s="78">
        <v>0.875</v>
      </c>
    </row>
    <row r="659" spans="1:46" ht="12.5" x14ac:dyDescent="0.25">
      <c r="A659" s="79">
        <v>44830.683754768514</v>
      </c>
      <c r="B659" s="80" t="s">
        <v>225</v>
      </c>
      <c r="C659" s="80" t="str">
        <f>INDEX(TBL_Name,MATCH(Table2[[#This Row],[Athlete Name]],listNames,0),2)</f>
        <v>Athlete 32</v>
      </c>
      <c r="D659" s="80" t="s">
        <v>130</v>
      </c>
      <c r="E659" s="80">
        <v>10</v>
      </c>
      <c r="F659" s="80">
        <v>10</v>
      </c>
      <c r="G659" s="80">
        <v>8</v>
      </c>
      <c r="H659" s="80"/>
      <c r="I659" s="80">
        <v>8</v>
      </c>
      <c r="J659" s="80"/>
      <c r="K659" s="80"/>
      <c r="L659" s="80"/>
      <c r="M659" s="1" t="s">
        <v>992</v>
      </c>
      <c r="N659" s="1">
        <v>40</v>
      </c>
      <c r="O659" s="1">
        <v>8</v>
      </c>
      <c r="P659" s="13">
        <v>44830</v>
      </c>
      <c r="Q659" s="1" t="s">
        <v>133</v>
      </c>
      <c r="R659" s="1" t="s">
        <v>64</v>
      </c>
      <c r="S659" s="1">
        <v>1</v>
      </c>
      <c r="T659" s="1" t="s">
        <v>942</v>
      </c>
      <c r="U659" s="1" t="s">
        <v>942</v>
      </c>
      <c r="V659" s="76">
        <v>8.75</v>
      </c>
      <c r="W659" s="76">
        <v>2.1650635094610964</v>
      </c>
      <c r="X659" s="77">
        <v>0.57735026918962584</v>
      </c>
      <c r="Y659" s="77">
        <v>3</v>
      </c>
      <c r="Z659" s="76">
        <v>9.75</v>
      </c>
      <c r="AA659" s="76">
        <v>0.43301270189221946</v>
      </c>
      <c r="AB659" s="77">
        <v>0.57735026918962562</v>
      </c>
      <c r="AC659" s="77">
        <v>3</v>
      </c>
      <c r="AD659" s="76">
        <v>7.75</v>
      </c>
      <c r="AE659" s="76">
        <v>0.82915619758884984</v>
      </c>
      <c r="AF659" s="77">
        <v>0.30151134457776368</v>
      </c>
      <c r="AG659" s="77">
        <v>3</v>
      </c>
      <c r="AH659" s="76">
        <v>8.25</v>
      </c>
      <c r="AI659" s="76">
        <v>1.479019945774904</v>
      </c>
      <c r="AJ659" s="77">
        <v>-0.1690308509457033</v>
      </c>
      <c r="AK659" s="77">
        <v>2</v>
      </c>
      <c r="AL659" s="76"/>
      <c r="AM659" s="76"/>
      <c r="AN659" s="77"/>
      <c r="AO659" s="77"/>
      <c r="AP659" s="76"/>
      <c r="AQ659" s="76"/>
      <c r="AR659" s="77"/>
      <c r="AS659" s="77"/>
      <c r="AT659" s="78">
        <v>0.6875</v>
      </c>
    </row>
    <row r="660" spans="1:46" ht="12.5" x14ac:dyDescent="0.25">
      <c r="A660" s="79">
        <v>44830.708349872686</v>
      </c>
      <c r="B660" s="80" t="s">
        <v>159</v>
      </c>
      <c r="C660" s="80" t="str">
        <f>INDEX(TBL_Name,MATCH(Table2[[#This Row],[Athlete Name]],listNames,0),2)</f>
        <v>Athlete 25</v>
      </c>
      <c r="D660" s="80" t="s">
        <v>130</v>
      </c>
      <c r="E660" s="80">
        <v>8</v>
      </c>
      <c r="F660" s="80">
        <v>7</v>
      </c>
      <c r="G660" s="80">
        <v>6</v>
      </c>
      <c r="H660" s="80" t="s">
        <v>72</v>
      </c>
      <c r="I660" s="80">
        <v>8</v>
      </c>
      <c r="J660" s="80"/>
      <c r="K660" s="80"/>
      <c r="L660" s="80"/>
      <c r="M660" s="1" t="s">
        <v>993</v>
      </c>
      <c r="N660" s="1">
        <v>40</v>
      </c>
      <c r="O660" s="1">
        <v>8</v>
      </c>
      <c r="P660" s="13">
        <v>44830</v>
      </c>
      <c r="Q660" s="1" t="s">
        <v>133</v>
      </c>
      <c r="R660" s="1" t="s">
        <v>64</v>
      </c>
      <c r="S660" s="1">
        <v>1</v>
      </c>
      <c r="T660" s="1" t="s">
        <v>942</v>
      </c>
      <c r="U660" s="1" t="s">
        <v>942</v>
      </c>
      <c r="V660" s="76">
        <v>8</v>
      </c>
      <c r="W660" s="76">
        <v>0</v>
      </c>
      <c r="X660" s="77">
        <v>0</v>
      </c>
      <c r="Y660" s="77">
        <v>3</v>
      </c>
      <c r="Z660" s="76">
        <v>7</v>
      </c>
      <c r="AA660" s="76">
        <v>0</v>
      </c>
      <c r="AB660" s="77">
        <v>0</v>
      </c>
      <c r="AC660" s="77">
        <v>3</v>
      </c>
      <c r="AD660" s="76">
        <v>6</v>
      </c>
      <c r="AE660" s="76">
        <v>0</v>
      </c>
      <c r="AF660" s="77">
        <v>0</v>
      </c>
      <c r="AG660" s="77">
        <v>3</v>
      </c>
      <c r="AH660" s="76">
        <v>8</v>
      </c>
      <c r="AI660" s="76">
        <v>0</v>
      </c>
      <c r="AJ660" s="77">
        <v>0</v>
      </c>
      <c r="AK660" s="77">
        <v>3</v>
      </c>
      <c r="AL660" s="76"/>
      <c r="AM660" s="76"/>
      <c r="AN660" s="77"/>
      <c r="AO660" s="77"/>
      <c r="AP660" s="76"/>
      <c r="AQ660" s="76"/>
      <c r="AR660" s="77"/>
      <c r="AS660" s="77"/>
      <c r="AT660" s="78">
        <v>0.75</v>
      </c>
    </row>
    <row r="661" spans="1:46" ht="12.5" x14ac:dyDescent="0.25">
      <c r="A661" s="79">
        <v>44830.757981319446</v>
      </c>
      <c r="B661" s="80" t="s">
        <v>142</v>
      </c>
      <c r="C661" s="80" t="str">
        <f>INDEX(TBL_Name,MATCH(Table2[[#This Row],[Athlete Name]],listNames,0),2)</f>
        <v>Athlete 21</v>
      </c>
      <c r="D661" s="80" t="s">
        <v>150</v>
      </c>
      <c r="E661" s="80">
        <v>3</v>
      </c>
      <c r="F661" s="80">
        <v>6</v>
      </c>
      <c r="G661" s="80">
        <v>8</v>
      </c>
      <c r="H661" s="80"/>
      <c r="I661" s="80">
        <v>8</v>
      </c>
      <c r="J661" s="80"/>
      <c r="K661" s="80"/>
      <c r="L661" s="80"/>
      <c r="M661" s="1" t="s">
        <v>994</v>
      </c>
      <c r="N661" s="1">
        <v>40</v>
      </c>
      <c r="O661" s="1">
        <v>8</v>
      </c>
      <c r="P661" s="13">
        <v>44830</v>
      </c>
      <c r="Q661" s="1" t="s">
        <v>133</v>
      </c>
      <c r="R661" s="1" t="s">
        <v>64</v>
      </c>
      <c r="S661" s="1">
        <v>3</v>
      </c>
      <c r="T661" s="1" t="s">
        <v>942</v>
      </c>
      <c r="U661" s="1" t="s">
        <v>942</v>
      </c>
      <c r="V661" s="76">
        <v>3</v>
      </c>
      <c r="W661" s="76">
        <v>0</v>
      </c>
      <c r="X661" s="77">
        <v>0</v>
      </c>
      <c r="Y661" s="77">
        <v>3</v>
      </c>
      <c r="Z661" s="76">
        <v>6</v>
      </c>
      <c r="AA661" s="76">
        <v>0</v>
      </c>
      <c r="AB661" s="77">
        <v>0</v>
      </c>
      <c r="AC661" s="77">
        <v>3</v>
      </c>
      <c r="AD661" s="76">
        <v>8</v>
      </c>
      <c r="AE661" s="76">
        <v>0</v>
      </c>
      <c r="AF661" s="77">
        <v>0</v>
      </c>
      <c r="AG661" s="77">
        <v>3</v>
      </c>
      <c r="AH661" s="76">
        <v>8</v>
      </c>
      <c r="AI661" s="76">
        <v>0</v>
      </c>
      <c r="AJ661" s="77">
        <v>0</v>
      </c>
      <c r="AK661" s="77">
        <v>3</v>
      </c>
      <c r="AL661" s="76"/>
      <c r="AM661" s="76"/>
      <c r="AN661" s="77"/>
      <c r="AO661" s="77"/>
      <c r="AP661" s="76"/>
      <c r="AQ661" s="76"/>
      <c r="AR661" s="77"/>
      <c r="AS661" s="77"/>
      <c r="AT661" s="78">
        <v>0.75</v>
      </c>
    </row>
    <row r="662" spans="1:46" ht="12.5" x14ac:dyDescent="0.25">
      <c r="A662" s="79">
        <v>44830.932071006944</v>
      </c>
      <c r="B662" s="80" t="s">
        <v>15</v>
      </c>
      <c r="C662" s="80" t="str">
        <f>INDEX(TBL_Name,MATCH(Table2[[#This Row],[Athlete Name]],listNames,0),2)</f>
        <v>Athlete 8</v>
      </c>
      <c r="D662" s="80" t="s">
        <v>130</v>
      </c>
      <c r="E662" s="80">
        <v>3</v>
      </c>
      <c r="F662" s="80">
        <v>10</v>
      </c>
      <c r="G662" s="80">
        <v>8</v>
      </c>
      <c r="H662" s="80" t="s">
        <v>74</v>
      </c>
      <c r="I662" s="80">
        <v>10</v>
      </c>
      <c r="J662" s="80"/>
      <c r="K662" s="80"/>
      <c r="L662" s="80"/>
      <c r="M662" s="1" t="s">
        <v>995</v>
      </c>
      <c r="N662" s="1">
        <v>40</v>
      </c>
      <c r="O662" s="1">
        <v>8</v>
      </c>
      <c r="P662" s="13">
        <v>44830</v>
      </c>
      <c r="Q662" s="1" t="s">
        <v>133</v>
      </c>
      <c r="R662" s="1" t="s">
        <v>64</v>
      </c>
      <c r="S662" s="1">
        <v>1</v>
      </c>
      <c r="T662" s="1" t="s">
        <v>14</v>
      </c>
      <c r="U662" s="1" t="s">
        <v>14</v>
      </c>
      <c r="V662" s="76">
        <v>6.75</v>
      </c>
      <c r="W662" s="76">
        <v>2.5860201081971503</v>
      </c>
      <c r="X662" s="77">
        <v>-1.4501047335684953</v>
      </c>
      <c r="Y662" s="77">
        <v>1</v>
      </c>
      <c r="Z662" s="76">
        <v>9.5</v>
      </c>
      <c r="AA662" s="76">
        <v>0.86602540378443882</v>
      </c>
      <c r="AB662" s="77">
        <v>0.57735026918962562</v>
      </c>
      <c r="AC662" s="77">
        <v>3</v>
      </c>
      <c r="AD662" s="76">
        <v>8.25</v>
      </c>
      <c r="AE662" s="76">
        <v>1.4790199457749043</v>
      </c>
      <c r="AF662" s="77">
        <v>-0.16903085094570328</v>
      </c>
      <c r="AG662" s="77">
        <v>2</v>
      </c>
      <c r="AH662" s="76">
        <v>7.75</v>
      </c>
      <c r="AI662" s="76">
        <v>2.2776083947860748</v>
      </c>
      <c r="AJ662" s="77">
        <v>0.98787833990721308</v>
      </c>
      <c r="AK662" s="77">
        <v>3</v>
      </c>
      <c r="AL662" s="76"/>
      <c r="AM662" s="76"/>
      <c r="AN662" s="77"/>
      <c r="AO662" s="77"/>
      <c r="AP662" s="76"/>
      <c r="AQ662" s="76"/>
      <c r="AR662" s="77"/>
      <c r="AS662" s="77"/>
      <c r="AT662" s="78">
        <v>0.5625</v>
      </c>
    </row>
    <row r="663" spans="1:46" ht="12.5" x14ac:dyDescent="0.25">
      <c r="A663" s="79">
        <v>44831.202330486107</v>
      </c>
      <c r="B663" s="80" t="s">
        <v>185</v>
      </c>
      <c r="C663" s="80" t="str">
        <f>INDEX(TBL_Name,MATCH(Table2[[#This Row],[Athlete Name]],listNames,0),2)</f>
        <v>Athlete 30</v>
      </c>
      <c r="D663" s="80" t="s">
        <v>130</v>
      </c>
      <c r="E663" s="80">
        <v>7</v>
      </c>
      <c r="F663" s="80">
        <v>6</v>
      </c>
      <c r="G663" s="80">
        <v>6</v>
      </c>
      <c r="H663" s="80" t="s">
        <v>985</v>
      </c>
      <c r="I663" s="80">
        <v>8</v>
      </c>
      <c r="J663" s="80"/>
      <c r="K663" s="80"/>
      <c r="L663" s="80"/>
      <c r="M663" s="1" t="s">
        <v>996</v>
      </c>
      <c r="N663" s="1">
        <v>40</v>
      </c>
      <c r="O663" s="1">
        <v>8</v>
      </c>
      <c r="P663" s="13">
        <v>44831</v>
      </c>
      <c r="Q663" s="1" t="s">
        <v>133</v>
      </c>
      <c r="R663" s="1" t="s">
        <v>64</v>
      </c>
      <c r="S663" s="1">
        <v>1</v>
      </c>
      <c r="T663" s="1" t="s">
        <v>942</v>
      </c>
      <c r="U663" s="1" t="s">
        <v>942</v>
      </c>
      <c r="V663" s="76">
        <v>7.4</v>
      </c>
      <c r="W663" s="76">
        <v>0.48989794855663577</v>
      </c>
      <c r="X663" s="77">
        <v>-0.81649658092772648</v>
      </c>
      <c r="Y663" s="77">
        <v>2</v>
      </c>
      <c r="Z663" s="76">
        <v>4.8</v>
      </c>
      <c r="AA663" s="76">
        <v>0.74833147735478833</v>
      </c>
      <c r="AB663" s="77">
        <v>1.6035674514745464</v>
      </c>
      <c r="AC663" s="77">
        <v>4</v>
      </c>
      <c r="AD663" s="76">
        <v>6.6</v>
      </c>
      <c r="AE663" s="76">
        <v>0.48989794855663554</v>
      </c>
      <c r="AF663" s="77">
        <v>-1.2247448713915885</v>
      </c>
      <c r="AG663" s="77">
        <v>1</v>
      </c>
      <c r="AH663" s="76">
        <v>7.6</v>
      </c>
      <c r="AI663" s="76">
        <v>0.8</v>
      </c>
      <c r="AJ663" s="77">
        <v>0.50000000000000044</v>
      </c>
      <c r="AK663" s="77">
        <v>3</v>
      </c>
      <c r="AL663" s="76"/>
      <c r="AM663" s="76"/>
      <c r="AN663" s="77"/>
      <c r="AO663" s="77"/>
      <c r="AP663" s="76"/>
      <c r="AQ663" s="76"/>
      <c r="AR663" s="77"/>
      <c r="AS663" s="77"/>
      <c r="AT663" s="78">
        <v>0.625</v>
      </c>
    </row>
    <row r="664" spans="1:46" ht="12.5" x14ac:dyDescent="0.25">
      <c r="A664" s="79">
        <v>44831.276959664348</v>
      </c>
      <c r="B664" s="80" t="s">
        <v>177</v>
      </c>
      <c r="C664" s="80" t="str">
        <f>INDEX(TBL_Name,MATCH(Table2[[#This Row],[Athlete Name]],listNames,0),2)</f>
        <v>Athlete 28</v>
      </c>
      <c r="D664" s="80" t="s">
        <v>150</v>
      </c>
      <c r="E664" s="80">
        <v>4</v>
      </c>
      <c r="F664" s="80">
        <v>5</v>
      </c>
      <c r="G664" s="80">
        <v>6</v>
      </c>
      <c r="H664" s="80" t="s">
        <v>66</v>
      </c>
      <c r="I664" s="80">
        <v>10</v>
      </c>
      <c r="J664" s="80"/>
      <c r="K664" s="80"/>
      <c r="L664" s="80"/>
      <c r="M664" s="1" t="s">
        <v>997</v>
      </c>
      <c r="N664" s="1">
        <v>40</v>
      </c>
      <c r="O664" s="1">
        <v>8</v>
      </c>
      <c r="P664" s="13">
        <v>44831</v>
      </c>
      <c r="Q664" s="1" t="s">
        <v>133</v>
      </c>
      <c r="R664" s="1" t="s">
        <v>64</v>
      </c>
      <c r="S664" s="1">
        <v>3</v>
      </c>
      <c r="T664" s="1" t="s">
        <v>942</v>
      </c>
      <c r="U664" s="1" t="s">
        <v>942</v>
      </c>
      <c r="V664" s="76">
        <v>2.75</v>
      </c>
      <c r="W664" s="76">
        <v>0.82915619758884984</v>
      </c>
      <c r="X664" s="77">
        <v>1.5075567228888183</v>
      </c>
      <c r="Y664" s="77">
        <v>4</v>
      </c>
      <c r="Z664" s="76">
        <v>4.75</v>
      </c>
      <c r="AA664" s="76">
        <v>1.7853571071357126</v>
      </c>
      <c r="AB664" s="77">
        <v>0.14002800840280097</v>
      </c>
      <c r="AC664" s="77">
        <v>3</v>
      </c>
      <c r="AD664" s="76">
        <v>5.5</v>
      </c>
      <c r="AE664" s="76">
        <v>2.179449471770337</v>
      </c>
      <c r="AF664" s="77">
        <v>0.22941573387056174</v>
      </c>
      <c r="AG664" s="77">
        <v>3</v>
      </c>
      <c r="AH664" s="76">
        <v>5.75</v>
      </c>
      <c r="AI664" s="76">
        <v>4.2646805273079949</v>
      </c>
      <c r="AJ664" s="77">
        <v>0.99655764899293364</v>
      </c>
      <c r="AK664" s="77">
        <v>3</v>
      </c>
      <c r="AL664" s="76"/>
      <c r="AM664" s="76"/>
      <c r="AN664" s="77"/>
      <c r="AO664" s="77"/>
      <c r="AP664" s="76"/>
      <c r="AQ664" s="76"/>
      <c r="AR664" s="77"/>
      <c r="AS664" s="77"/>
      <c r="AT664" s="78">
        <v>0.8125</v>
      </c>
    </row>
    <row r="665" spans="1:46" ht="12.5" x14ac:dyDescent="0.25">
      <c r="A665" s="79">
        <v>44831.330892673606</v>
      </c>
      <c r="B665" s="80" t="s">
        <v>168</v>
      </c>
      <c r="C665" s="80" t="str">
        <f>INDEX(TBL_Name,MATCH(Table2[[#This Row],[Athlete Name]],listNames,0),2)</f>
        <v>Athlete 26</v>
      </c>
      <c r="D665" s="80" t="s">
        <v>130</v>
      </c>
      <c r="E665" s="80">
        <v>6</v>
      </c>
      <c r="F665" s="80">
        <v>6</v>
      </c>
      <c r="G665" s="80">
        <v>7</v>
      </c>
      <c r="H665" s="80"/>
      <c r="I665" s="80">
        <v>7</v>
      </c>
      <c r="J665" s="80"/>
      <c r="K665" s="80"/>
      <c r="L665" s="80"/>
      <c r="M665" s="1" t="s">
        <v>998</v>
      </c>
      <c r="N665" s="1">
        <v>40</v>
      </c>
      <c r="O665" s="1">
        <v>8</v>
      </c>
      <c r="P665" s="13">
        <v>44831</v>
      </c>
      <c r="Q665" s="1" t="s">
        <v>133</v>
      </c>
      <c r="R665" s="1" t="s">
        <v>64</v>
      </c>
      <c r="S665" s="1">
        <v>1</v>
      </c>
      <c r="T665" s="1" t="s">
        <v>942</v>
      </c>
      <c r="U665" s="1" t="s">
        <v>942</v>
      </c>
      <c r="V665" s="76">
        <v>6</v>
      </c>
      <c r="W665" s="76">
        <v>0.81649658092772603</v>
      </c>
      <c r="X665" s="77">
        <v>0</v>
      </c>
      <c r="Y665" s="77">
        <v>3</v>
      </c>
      <c r="Z665" s="76">
        <v>6</v>
      </c>
      <c r="AA665" s="76">
        <v>3.2659863237109041</v>
      </c>
      <c r="AB665" s="77">
        <v>0</v>
      </c>
      <c r="AC665" s="77">
        <v>3</v>
      </c>
      <c r="AD665" s="76">
        <v>6</v>
      </c>
      <c r="AE665" s="76">
        <v>2.9439202887759488</v>
      </c>
      <c r="AF665" s="77">
        <v>0.33968311024337872</v>
      </c>
      <c r="AG665" s="77">
        <v>3</v>
      </c>
      <c r="AH665" s="76">
        <v>7</v>
      </c>
      <c r="AI665" s="76">
        <v>0.81649658092772603</v>
      </c>
      <c r="AJ665" s="77">
        <v>0</v>
      </c>
      <c r="AK665" s="77">
        <v>3</v>
      </c>
      <c r="AL665" s="76"/>
      <c r="AM665" s="76"/>
      <c r="AN665" s="77"/>
      <c r="AO665" s="77"/>
      <c r="AP665" s="76"/>
      <c r="AQ665" s="76"/>
      <c r="AR665" s="77"/>
      <c r="AS665" s="77"/>
      <c r="AT665" s="78">
        <v>0.75</v>
      </c>
    </row>
    <row r="666" spans="1:46" ht="12.5" x14ac:dyDescent="0.25">
      <c r="A666" s="79">
        <v>44831.334089525466</v>
      </c>
      <c r="B666" s="80" t="s">
        <v>15</v>
      </c>
      <c r="C666" s="80" t="str">
        <f>INDEX(TBL_Name,MATCH(Table2[[#This Row],[Athlete Name]],listNames,0),2)</f>
        <v>Athlete 8</v>
      </c>
      <c r="D666" s="80" t="s">
        <v>130</v>
      </c>
      <c r="E666" s="80">
        <v>3</v>
      </c>
      <c r="F666" s="80">
        <v>8</v>
      </c>
      <c r="G666" s="80">
        <v>8</v>
      </c>
      <c r="H666" s="80" t="s">
        <v>287</v>
      </c>
      <c r="I666" s="80">
        <v>5</v>
      </c>
      <c r="J666" s="80"/>
      <c r="K666" s="80"/>
      <c r="L666" s="80"/>
      <c r="M666" s="1" t="s">
        <v>999</v>
      </c>
      <c r="N666" s="1">
        <v>40</v>
      </c>
      <c r="O666" s="1">
        <v>8</v>
      </c>
      <c r="P666" s="13">
        <v>44831</v>
      </c>
      <c r="Q666" s="1" t="s">
        <v>133</v>
      </c>
      <c r="R666" s="1" t="s">
        <v>64</v>
      </c>
      <c r="S666" s="1">
        <v>1</v>
      </c>
      <c r="T666" s="1" t="s">
        <v>14</v>
      </c>
      <c r="U666" s="1" t="s">
        <v>14</v>
      </c>
      <c r="V666" s="76">
        <v>6</v>
      </c>
      <c r="W666" s="76">
        <v>2.7568097504180442</v>
      </c>
      <c r="X666" s="77">
        <v>-1.0882143751650175</v>
      </c>
      <c r="Y666" s="77">
        <v>1</v>
      </c>
      <c r="Z666" s="76">
        <v>9.1999999999999993</v>
      </c>
      <c r="AA666" s="76">
        <v>0.9797958971132712</v>
      </c>
      <c r="AB666" s="77">
        <v>-1.2247448713915883</v>
      </c>
      <c r="AC666" s="77">
        <v>1</v>
      </c>
      <c r="AD666" s="76">
        <v>8.1999999999999993</v>
      </c>
      <c r="AE666" s="76">
        <v>1.3266499161421601</v>
      </c>
      <c r="AF666" s="77">
        <v>-0.15075567228888126</v>
      </c>
      <c r="AG666" s="77">
        <v>2</v>
      </c>
      <c r="AH666" s="76">
        <v>7.2</v>
      </c>
      <c r="AI666" s="76">
        <v>2.3151673805580453</v>
      </c>
      <c r="AJ666" s="77">
        <v>-0.95025526813949612</v>
      </c>
      <c r="AK666" s="77">
        <v>2</v>
      </c>
      <c r="AL666" s="76"/>
      <c r="AM666" s="76"/>
      <c r="AN666" s="77"/>
      <c r="AO666" s="77"/>
      <c r="AP666" s="76"/>
      <c r="AQ666" s="76"/>
      <c r="AR666" s="77"/>
      <c r="AS666" s="77"/>
      <c r="AT666" s="78">
        <v>0.375</v>
      </c>
    </row>
    <row r="667" spans="1:46" ht="12.5" x14ac:dyDescent="0.25">
      <c r="A667" s="79">
        <v>44831.345249444443</v>
      </c>
      <c r="B667" s="80" t="s">
        <v>196</v>
      </c>
      <c r="C667" s="80" t="str">
        <f>INDEX(TBL_Name,MATCH(Table2[[#This Row],[Athlete Name]],listNames,0),2)</f>
        <v>Athlete 31</v>
      </c>
      <c r="D667" s="80" t="s">
        <v>130</v>
      </c>
      <c r="E667" s="80">
        <v>6</v>
      </c>
      <c r="F667" s="80">
        <v>8</v>
      </c>
      <c r="G667" s="80">
        <v>9</v>
      </c>
      <c r="H667" s="80" t="s">
        <v>1000</v>
      </c>
      <c r="I667" s="80">
        <v>8</v>
      </c>
      <c r="J667" s="80"/>
      <c r="K667" s="80"/>
      <c r="L667" s="80"/>
      <c r="M667" s="1" t="s">
        <v>1001</v>
      </c>
      <c r="N667" s="1">
        <v>40</v>
      </c>
      <c r="O667" s="1">
        <v>8</v>
      </c>
      <c r="P667" s="13">
        <v>44831</v>
      </c>
      <c r="Q667" s="1" t="s">
        <v>133</v>
      </c>
      <c r="R667" s="1" t="s">
        <v>64</v>
      </c>
      <c r="S667" s="1">
        <v>1</v>
      </c>
      <c r="T667" s="1" t="s">
        <v>942</v>
      </c>
      <c r="U667" s="1" t="s">
        <v>942</v>
      </c>
      <c r="V667" s="76">
        <v>6.75</v>
      </c>
      <c r="W667" s="76">
        <v>0.4330127018922193</v>
      </c>
      <c r="X667" s="77">
        <v>-1.7320508075688774</v>
      </c>
      <c r="Y667" s="77">
        <v>1</v>
      </c>
      <c r="Z667" s="76">
        <v>7.75</v>
      </c>
      <c r="AA667" s="76">
        <v>0.43301270189221924</v>
      </c>
      <c r="AB667" s="77">
        <v>0.57735026918962584</v>
      </c>
      <c r="AC667" s="77">
        <v>3</v>
      </c>
      <c r="AD667" s="76">
        <v>8.25</v>
      </c>
      <c r="AE667" s="76">
        <v>0.4330127018922193</v>
      </c>
      <c r="AF667" s="77">
        <v>1.7320508075688774</v>
      </c>
      <c r="AG667" s="77">
        <v>4</v>
      </c>
      <c r="AH667" s="76">
        <v>7.25</v>
      </c>
      <c r="AI667" s="76">
        <v>1.299038105676658</v>
      </c>
      <c r="AJ667" s="77">
        <v>0.57735026918962573</v>
      </c>
      <c r="AK667" s="77">
        <v>3</v>
      </c>
      <c r="AL667" s="76"/>
      <c r="AM667" s="76"/>
      <c r="AN667" s="77"/>
      <c r="AO667" s="77"/>
      <c r="AP667" s="76"/>
      <c r="AQ667" s="76"/>
      <c r="AR667" s="77"/>
      <c r="AS667" s="77"/>
      <c r="AT667" s="78">
        <v>0.6875</v>
      </c>
    </row>
    <row r="668" spans="1:46" ht="12.5" x14ac:dyDescent="0.25">
      <c r="A668" s="79">
        <v>44831.346493726851</v>
      </c>
      <c r="B668" s="80" t="s">
        <v>21</v>
      </c>
      <c r="C668" s="80" t="str">
        <f>INDEX(TBL_Name,MATCH(Table2[[#This Row],[Athlete Name]],listNames,0),2)</f>
        <v>Athlete 13</v>
      </c>
      <c r="D668" s="80" t="s">
        <v>130</v>
      </c>
      <c r="E668" s="80">
        <v>8</v>
      </c>
      <c r="F668" s="80">
        <v>8</v>
      </c>
      <c r="G668" s="80">
        <v>9</v>
      </c>
      <c r="H668" s="80" t="s">
        <v>1002</v>
      </c>
      <c r="I668" s="80">
        <v>9</v>
      </c>
      <c r="J668" s="80"/>
      <c r="K668" s="80"/>
      <c r="L668" s="80"/>
      <c r="M668" s="1" t="s">
        <v>1003</v>
      </c>
      <c r="N668" s="1">
        <v>40</v>
      </c>
      <c r="O668" s="1">
        <v>8</v>
      </c>
      <c r="P668" s="13">
        <v>44831</v>
      </c>
      <c r="Q668" s="1" t="s">
        <v>133</v>
      </c>
      <c r="R668" s="1" t="s">
        <v>64</v>
      </c>
      <c r="S668" s="1">
        <v>1</v>
      </c>
      <c r="T668" s="1" t="s">
        <v>18</v>
      </c>
      <c r="U668" s="1" t="s">
        <v>18</v>
      </c>
      <c r="V668" s="76">
        <v>7.5</v>
      </c>
      <c r="W668" s="76">
        <v>1.3844373104863459</v>
      </c>
      <c r="X668" s="77">
        <v>0.36115755925730758</v>
      </c>
      <c r="Y668" s="77">
        <v>3</v>
      </c>
      <c r="Z668" s="76">
        <v>7.833333333333333</v>
      </c>
      <c r="AA668" s="76">
        <v>1.0671873729054748</v>
      </c>
      <c r="AB668" s="77">
        <v>0.15617376188860635</v>
      </c>
      <c r="AC668" s="77">
        <v>3</v>
      </c>
      <c r="AD668" s="76">
        <v>8.5</v>
      </c>
      <c r="AE668" s="76">
        <v>0.5</v>
      </c>
      <c r="AF668" s="77">
        <v>1</v>
      </c>
      <c r="AG668" s="77">
        <v>4</v>
      </c>
      <c r="AH668" s="76">
        <v>7.166666666666667</v>
      </c>
      <c r="AI668" s="76">
        <v>1.2133516482134199</v>
      </c>
      <c r="AJ668" s="77">
        <v>1.5109662034355789</v>
      </c>
      <c r="AK668" s="77">
        <v>4</v>
      </c>
      <c r="AL668" s="76"/>
      <c r="AM668" s="76"/>
      <c r="AN668" s="77"/>
      <c r="AO668" s="77"/>
      <c r="AP668" s="76"/>
      <c r="AQ668" s="76"/>
      <c r="AR668" s="77"/>
      <c r="AS668" s="77"/>
      <c r="AT668" s="78">
        <v>0.875</v>
      </c>
    </row>
    <row r="669" spans="1:46" ht="12.5" x14ac:dyDescent="0.25">
      <c r="A669" s="79">
        <v>44831.359798414356</v>
      </c>
      <c r="B669" s="80" t="s">
        <v>6</v>
      </c>
      <c r="C669" s="80" t="str">
        <f>INDEX(TBL_Name,MATCH(Table2[[#This Row],[Athlete Name]],listNames,0),2)</f>
        <v>Athlete 2</v>
      </c>
      <c r="D669" s="80" t="s">
        <v>143</v>
      </c>
      <c r="E669" s="80">
        <v>8</v>
      </c>
      <c r="F669" s="80">
        <v>7</v>
      </c>
      <c r="G669" s="80">
        <v>8</v>
      </c>
      <c r="H669" s="80" t="s">
        <v>73</v>
      </c>
      <c r="I669" s="80">
        <v>8</v>
      </c>
      <c r="J669" s="80"/>
      <c r="K669" s="80"/>
      <c r="L669" s="80"/>
      <c r="M669" s="1" t="s">
        <v>1004</v>
      </c>
      <c r="N669" s="1">
        <v>40</v>
      </c>
      <c r="O669" s="1">
        <v>8</v>
      </c>
      <c r="P669" s="13">
        <v>44831</v>
      </c>
      <c r="Q669" s="1" t="s">
        <v>133</v>
      </c>
      <c r="R669" s="1" t="s">
        <v>64</v>
      </c>
      <c r="S669" s="1">
        <v>2</v>
      </c>
      <c r="T669" s="1" t="s">
        <v>5</v>
      </c>
      <c r="U669" s="1" t="s">
        <v>5</v>
      </c>
      <c r="V669" s="76">
        <v>8.4285714285714288</v>
      </c>
      <c r="W669" s="76">
        <v>0.49487165930539351</v>
      </c>
      <c r="X669" s="77">
        <v>-0.86602540378443915</v>
      </c>
      <c r="Y669" s="77">
        <v>2</v>
      </c>
      <c r="Z669" s="76">
        <v>7.2857142857142856</v>
      </c>
      <c r="AA669" s="76">
        <v>1.6659862556700857</v>
      </c>
      <c r="AB669" s="77">
        <v>-0.17149858514250876</v>
      </c>
      <c r="AC669" s="77">
        <v>2</v>
      </c>
      <c r="AD669" s="76">
        <v>8</v>
      </c>
      <c r="AE669" s="76">
        <v>1.1952286093343936</v>
      </c>
      <c r="AF669" s="77">
        <v>0</v>
      </c>
      <c r="AG669" s="77">
        <v>3</v>
      </c>
      <c r="AH669" s="76">
        <v>8</v>
      </c>
      <c r="AI669" s="76">
        <v>0</v>
      </c>
      <c r="AJ669" s="77">
        <v>0</v>
      </c>
      <c r="AK669" s="77">
        <v>3</v>
      </c>
      <c r="AL669" s="76"/>
      <c r="AM669" s="76"/>
      <c r="AN669" s="77"/>
      <c r="AO669" s="77"/>
      <c r="AP669" s="76"/>
      <c r="AQ669" s="76"/>
      <c r="AR669" s="77"/>
      <c r="AS669" s="77"/>
      <c r="AT669" s="78">
        <v>0.625</v>
      </c>
    </row>
    <row r="670" spans="1:46" ht="12.5" x14ac:dyDescent="0.25">
      <c r="A670" s="79">
        <v>44831.583283356478</v>
      </c>
      <c r="B670" s="80" t="s">
        <v>22</v>
      </c>
      <c r="C670" s="80" t="str">
        <f>INDEX(TBL_Name,MATCH(Table2[[#This Row],[Athlete Name]],listNames,0),2)</f>
        <v>Athlete 14</v>
      </c>
      <c r="D670" s="80" t="s">
        <v>130</v>
      </c>
      <c r="E670" s="80">
        <v>7</v>
      </c>
      <c r="F670" s="80">
        <v>6</v>
      </c>
      <c r="G670" s="80">
        <v>9</v>
      </c>
      <c r="H670" s="80" t="s">
        <v>74</v>
      </c>
      <c r="I670" s="80">
        <v>7</v>
      </c>
      <c r="J670" s="80"/>
      <c r="K670" s="80"/>
      <c r="L670" s="80"/>
      <c r="M670" s="1" t="s">
        <v>1005</v>
      </c>
      <c r="N670" s="1">
        <v>40</v>
      </c>
      <c r="O670" s="1">
        <v>8</v>
      </c>
      <c r="P670" s="13">
        <v>44831</v>
      </c>
      <c r="Q670" s="1" t="s">
        <v>133</v>
      </c>
      <c r="R670" s="1" t="s">
        <v>64</v>
      </c>
      <c r="S670" s="1">
        <v>1</v>
      </c>
      <c r="T670" s="1" t="s">
        <v>18</v>
      </c>
      <c r="U670" s="1" t="s">
        <v>18</v>
      </c>
      <c r="V670" s="76">
        <v>6</v>
      </c>
      <c r="W670" s="76">
        <v>1</v>
      </c>
      <c r="X670" s="77">
        <v>1</v>
      </c>
      <c r="Y670" s="77">
        <v>4</v>
      </c>
      <c r="Z670" s="76">
        <v>5</v>
      </c>
      <c r="AA670" s="76">
        <v>1</v>
      </c>
      <c r="AB670" s="77">
        <v>1</v>
      </c>
      <c r="AC670" s="77">
        <v>4</v>
      </c>
      <c r="AD670" s="76">
        <v>8.5</v>
      </c>
      <c r="AE670" s="76">
        <v>0.5</v>
      </c>
      <c r="AF670" s="77">
        <v>1</v>
      </c>
      <c r="AG670" s="77">
        <v>4</v>
      </c>
      <c r="AH670" s="76">
        <v>6.5</v>
      </c>
      <c r="AI670" s="76">
        <v>0.5</v>
      </c>
      <c r="AJ670" s="77">
        <v>1</v>
      </c>
      <c r="AK670" s="77">
        <v>4</v>
      </c>
      <c r="AL670" s="76"/>
      <c r="AM670" s="76"/>
      <c r="AN670" s="77"/>
      <c r="AO670" s="77"/>
      <c r="AP670" s="76"/>
      <c r="AQ670" s="76"/>
      <c r="AR670" s="77"/>
      <c r="AS670" s="77"/>
      <c r="AT670" s="78">
        <v>1</v>
      </c>
    </row>
    <row r="671" spans="1:46" ht="12.5" x14ac:dyDescent="0.25">
      <c r="A671" s="79">
        <v>44831.585031921291</v>
      </c>
      <c r="B671" s="80" t="s">
        <v>13</v>
      </c>
      <c r="C671" s="80" t="str">
        <f>INDEX(TBL_Name,MATCH(Table2[[#This Row],[Athlete Name]],listNames,0),2)</f>
        <v>Athlete 7</v>
      </c>
      <c r="D671" s="80" t="s">
        <v>130</v>
      </c>
      <c r="E671" s="80">
        <v>3</v>
      </c>
      <c r="F671" s="80">
        <v>7</v>
      </c>
      <c r="G671" s="80">
        <v>8</v>
      </c>
      <c r="H671" s="80" t="s">
        <v>739</v>
      </c>
      <c r="I671" s="80">
        <v>3</v>
      </c>
      <c r="J671" s="80"/>
      <c r="K671" s="80"/>
      <c r="L671" s="80"/>
      <c r="M671" s="1" t="s">
        <v>1006</v>
      </c>
      <c r="N671" s="1">
        <v>40</v>
      </c>
      <c r="O671" s="1">
        <v>8</v>
      </c>
      <c r="P671" s="13">
        <v>44831</v>
      </c>
      <c r="Q671" s="1" t="s">
        <v>133</v>
      </c>
      <c r="R671" s="1" t="s">
        <v>64</v>
      </c>
      <c r="S671" s="1">
        <v>1</v>
      </c>
      <c r="T671" s="1" t="s">
        <v>14</v>
      </c>
      <c r="U671" s="1" t="s">
        <v>14</v>
      </c>
      <c r="V671" s="76">
        <v>3</v>
      </c>
      <c r="W671" s="76">
        <v>0</v>
      </c>
      <c r="X671" s="77">
        <v>0</v>
      </c>
      <c r="Y671" s="77">
        <v>3</v>
      </c>
      <c r="Z671" s="76">
        <v>7</v>
      </c>
      <c r="AA671" s="76">
        <v>0</v>
      </c>
      <c r="AB671" s="77">
        <v>0</v>
      </c>
      <c r="AC671" s="77">
        <v>3</v>
      </c>
      <c r="AD671" s="76">
        <v>8</v>
      </c>
      <c r="AE671" s="76">
        <v>0</v>
      </c>
      <c r="AF671" s="77">
        <v>0</v>
      </c>
      <c r="AG671" s="77">
        <v>3</v>
      </c>
      <c r="AH671" s="76">
        <v>3</v>
      </c>
      <c r="AI671" s="76">
        <v>0</v>
      </c>
      <c r="AJ671" s="77">
        <v>0</v>
      </c>
      <c r="AK671" s="77">
        <v>3</v>
      </c>
      <c r="AL671" s="76"/>
      <c r="AM671" s="76"/>
      <c r="AN671" s="77"/>
      <c r="AO671" s="77"/>
      <c r="AP671" s="76"/>
      <c r="AQ671" s="76"/>
      <c r="AR671" s="77"/>
      <c r="AS671" s="77"/>
      <c r="AT671" s="78">
        <v>0.75</v>
      </c>
    </row>
    <row r="672" spans="1:46" ht="12.5" x14ac:dyDescent="0.25">
      <c r="A672" s="79">
        <v>44831.586047581019</v>
      </c>
      <c r="B672" s="80" t="s">
        <v>225</v>
      </c>
      <c r="C672" s="80" t="str">
        <f>INDEX(TBL_Name,MATCH(Table2[[#This Row],[Athlete Name]],listNames,0),2)</f>
        <v>Athlete 32</v>
      </c>
      <c r="D672" s="80" t="s">
        <v>130</v>
      </c>
      <c r="E672" s="80">
        <v>10</v>
      </c>
      <c r="F672" s="80">
        <v>10</v>
      </c>
      <c r="G672" s="80">
        <v>8</v>
      </c>
      <c r="H672" s="80"/>
      <c r="I672" s="80">
        <v>10</v>
      </c>
      <c r="J672" s="80"/>
      <c r="K672" s="80"/>
      <c r="L672" s="80"/>
      <c r="M672" s="1" t="s">
        <v>1007</v>
      </c>
      <c r="N672" s="1">
        <v>40</v>
      </c>
      <c r="O672" s="1">
        <v>8</v>
      </c>
      <c r="P672" s="13">
        <v>44831</v>
      </c>
      <c r="Q672" s="1" t="s">
        <v>133</v>
      </c>
      <c r="R672" s="1" t="s">
        <v>64</v>
      </c>
      <c r="S672" s="1">
        <v>1</v>
      </c>
      <c r="T672" s="1" t="s">
        <v>942</v>
      </c>
      <c r="U672" s="1" t="s">
        <v>942</v>
      </c>
      <c r="V672" s="76">
        <v>10</v>
      </c>
      <c r="W672" s="76">
        <v>0</v>
      </c>
      <c r="X672" s="77">
        <v>0</v>
      </c>
      <c r="Y672" s="77">
        <v>3</v>
      </c>
      <c r="Z672" s="76">
        <v>10</v>
      </c>
      <c r="AA672" s="76">
        <v>0</v>
      </c>
      <c r="AB672" s="77">
        <v>0</v>
      </c>
      <c r="AC672" s="77">
        <v>3</v>
      </c>
      <c r="AD672" s="76">
        <v>8</v>
      </c>
      <c r="AE672" s="76">
        <v>0.70710678118654757</v>
      </c>
      <c r="AF672" s="77">
        <v>0</v>
      </c>
      <c r="AG672" s="77">
        <v>3</v>
      </c>
      <c r="AH672" s="76">
        <v>8.25</v>
      </c>
      <c r="AI672" s="76">
        <v>1.479019945774904</v>
      </c>
      <c r="AJ672" s="77">
        <v>1.1832159566199232</v>
      </c>
      <c r="AK672" s="77">
        <v>4</v>
      </c>
      <c r="AL672" s="76"/>
      <c r="AM672" s="76"/>
      <c r="AN672" s="77"/>
      <c r="AO672" s="77"/>
      <c r="AP672" s="76"/>
      <c r="AQ672" s="76"/>
      <c r="AR672" s="77"/>
      <c r="AS672" s="77"/>
      <c r="AT672" s="78">
        <v>0.8125</v>
      </c>
    </row>
    <row r="673" spans="1:46" ht="12.5" x14ac:dyDescent="0.25">
      <c r="A673" s="79">
        <v>44831.586067962962</v>
      </c>
      <c r="B673" s="80" t="s">
        <v>129</v>
      </c>
      <c r="C673" s="80" t="str">
        <f>INDEX(TBL_Name,MATCH(Table2[[#This Row],[Athlete Name]],listNames,0),2)</f>
        <v>Athlete 19</v>
      </c>
      <c r="D673" s="80" t="s">
        <v>130</v>
      </c>
      <c r="E673" s="80">
        <v>5</v>
      </c>
      <c r="F673" s="80">
        <v>7</v>
      </c>
      <c r="G673" s="80">
        <v>8</v>
      </c>
      <c r="H673" s="80" t="s">
        <v>1008</v>
      </c>
      <c r="I673" s="80">
        <v>5</v>
      </c>
      <c r="J673" s="80"/>
      <c r="K673" s="80"/>
      <c r="L673" s="80"/>
      <c r="M673" s="1" t="s">
        <v>1009</v>
      </c>
      <c r="N673" s="1">
        <v>40</v>
      </c>
      <c r="O673" s="1">
        <v>8</v>
      </c>
      <c r="P673" s="13">
        <v>44831</v>
      </c>
      <c r="Q673" s="1" t="s">
        <v>133</v>
      </c>
      <c r="R673" s="1" t="s">
        <v>64</v>
      </c>
      <c r="S673" s="1">
        <v>1</v>
      </c>
      <c r="T673" s="1" t="s">
        <v>942</v>
      </c>
      <c r="U673" s="1" t="s">
        <v>942</v>
      </c>
      <c r="V673" s="76">
        <v>5</v>
      </c>
      <c r="W673" s="76">
        <v>0</v>
      </c>
      <c r="X673" s="77">
        <v>0</v>
      </c>
      <c r="Y673" s="77">
        <v>3</v>
      </c>
      <c r="Z673" s="76">
        <v>7</v>
      </c>
      <c r="AA673" s="76">
        <v>0</v>
      </c>
      <c r="AB673" s="77">
        <v>0</v>
      </c>
      <c r="AC673" s="77">
        <v>3</v>
      </c>
      <c r="AD673" s="76">
        <v>8</v>
      </c>
      <c r="AE673" s="76">
        <v>0</v>
      </c>
      <c r="AF673" s="77">
        <v>0</v>
      </c>
      <c r="AG673" s="77">
        <v>3</v>
      </c>
      <c r="AH673" s="76">
        <v>5</v>
      </c>
      <c r="AI673" s="76">
        <v>0</v>
      </c>
      <c r="AJ673" s="77">
        <v>0</v>
      </c>
      <c r="AK673" s="77">
        <v>3</v>
      </c>
      <c r="AL673" s="76"/>
      <c r="AM673" s="76"/>
      <c r="AN673" s="77"/>
      <c r="AO673" s="77"/>
      <c r="AP673" s="76"/>
      <c r="AQ673" s="76"/>
      <c r="AR673" s="77"/>
      <c r="AS673" s="77"/>
      <c r="AT673" s="78">
        <v>0.75</v>
      </c>
    </row>
    <row r="674" spans="1:46" ht="12.5" x14ac:dyDescent="0.25">
      <c r="A674" s="79">
        <v>44831.586600196759</v>
      </c>
      <c r="B674" s="80" t="s">
        <v>180</v>
      </c>
      <c r="C674" s="80" t="str">
        <f>INDEX(TBL_Name,MATCH(Table2[[#This Row],[Athlete Name]],listNames,0),2)</f>
        <v>Athlete 29</v>
      </c>
      <c r="D674" s="80" t="s">
        <v>143</v>
      </c>
      <c r="E674" s="80">
        <v>8</v>
      </c>
      <c r="F674" s="80">
        <v>6</v>
      </c>
      <c r="G674" s="80">
        <v>7</v>
      </c>
      <c r="H674" s="80" t="s">
        <v>707</v>
      </c>
      <c r="I674" s="80">
        <v>4</v>
      </c>
      <c r="J674" s="80"/>
      <c r="K674" s="80"/>
      <c r="L674" s="80"/>
      <c r="M674" s="1" t="s">
        <v>1010</v>
      </c>
      <c r="N674" s="1">
        <v>40</v>
      </c>
      <c r="O674" s="1">
        <v>8</v>
      </c>
      <c r="P674" s="13">
        <v>44831</v>
      </c>
      <c r="Q674" s="1" t="s">
        <v>133</v>
      </c>
      <c r="R674" s="1" t="s">
        <v>64</v>
      </c>
      <c r="S674" s="1">
        <v>2</v>
      </c>
      <c r="T674" s="1" t="s">
        <v>942</v>
      </c>
      <c r="U674" s="1" t="s">
        <v>942</v>
      </c>
      <c r="V674" s="76">
        <v>7.333333333333333</v>
      </c>
      <c r="W674" s="76">
        <v>1.699673171197595</v>
      </c>
      <c r="X674" s="77">
        <v>0.39223227027636826</v>
      </c>
      <c r="Y674" s="77">
        <v>3</v>
      </c>
      <c r="Z674" s="76">
        <v>7.666666666666667</v>
      </c>
      <c r="AA674" s="76">
        <v>1.2472191289246473</v>
      </c>
      <c r="AB674" s="77">
        <v>-1.3363062095621221</v>
      </c>
      <c r="AC674" s="77">
        <v>1</v>
      </c>
      <c r="AD674" s="76">
        <v>8</v>
      </c>
      <c r="AE674" s="76">
        <v>0.81649658092772603</v>
      </c>
      <c r="AF674" s="77">
        <v>-1.2247448713915889</v>
      </c>
      <c r="AG674" s="77">
        <v>1</v>
      </c>
      <c r="AH674" s="76">
        <v>3.3333333333333335</v>
      </c>
      <c r="AI674" s="76">
        <v>0.47140452079103162</v>
      </c>
      <c r="AJ674" s="77">
        <v>1.4142135623730949</v>
      </c>
      <c r="AK674" s="77">
        <v>4</v>
      </c>
      <c r="AL674" s="76"/>
      <c r="AM674" s="76"/>
      <c r="AN674" s="77"/>
      <c r="AO674" s="77"/>
      <c r="AP674" s="76"/>
      <c r="AQ674" s="76"/>
      <c r="AR674" s="77"/>
      <c r="AS674" s="77"/>
      <c r="AT674" s="78">
        <v>0.5625</v>
      </c>
    </row>
    <row r="675" spans="1:46" ht="12.5" x14ac:dyDescent="0.25">
      <c r="A675" s="79">
        <v>44831.587397291667</v>
      </c>
      <c r="B675" s="80" t="s">
        <v>159</v>
      </c>
      <c r="C675" s="80" t="str">
        <f>INDEX(TBL_Name,MATCH(Table2[[#This Row],[Athlete Name]],listNames,0),2)</f>
        <v>Athlete 25</v>
      </c>
      <c r="D675" s="80" t="s">
        <v>130</v>
      </c>
      <c r="E675" s="80">
        <v>8</v>
      </c>
      <c r="F675" s="80">
        <v>8</v>
      </c>
      <c r="G675" s="80">
        <v>5</v>
      </c>
      <c r="H675" s="80"/>
      <c r="I675" s="80">
        <v>8</v>
      </c>
      <c r="J675" s="80"/>
      <c r="K675" s="80"/>
      <c r="L675" s="80"/>
      <c r="M675" s="1" t="s">
        <v>1011</v>
      </c>
      <c r="N675" s="1">
        <v>40</v>
      </c>
      <c r="O675" s="1">
        <v>8</v>
      </c>
      <c r="P675" s="13">
        <v>44831</v>
      </c>
      <c r="Q675" s="1" t="s">
        <v>133</v>
      </c>
      <c r="R675" s="1" t="s">
        <v>64</v>
      </c>
      <c r="S675" s="1">
        <v>1</v>
      </c>
      <c r="T675" s="1" t="s">
        <v>942</v>
      </c>
      <c r="U675" s="1" t="s">
        <v>942</v>
      </c>
      <c r="V675" s="76">
        <v>8</v>
      </c>
      <c r="W675" s="76">
        <v>0</v>
      </c>
      <c r="X675" s="77">
        <v>0</v>
      </c>
      <c r="Y675" s="77">
        <v>3</v>
      </c>
      <c r="Z675" s="76">
        <v>7.5</v>
      </c>
      <c r="AA675" s="76">
        <v>0.5</v>
      </c>
      <c r="AB675" s="77">
        <v>1</v>
      </c>
      <c r="AC675" s="77">
        <v>4</v>
      </c>
      <c r="AD675" s="76">
        <v>5.5</v>
      </c>
      <c r="AE675" s="76">
        <v>0.5</v>
      </c>
      <c r="AF675" s="77">
        <v>-1</v>
      </c>
      <c r="AG675" s="77">
        <v>1</v>
      </c>
      <c r="AH675" s="76">
        <v>8</v>
      </c>
      <c r="AI675" s="76">
        <v>0</v>
      </c>
      <c r="AJ675" s="77">
        <v>0</v>
      </c>
      <c r="AK675" s="77">
        <v>3</v>
      </c>
      <c r="AL675" s="76"/>
      <c r="AM675" s="76"/>
      <c r="AN675" s="77"/>
      <c r="AO675" s="77"/>
      <c r="AP675" s="76"/>
      <c r="AQ675" s="76"/>
      <c r="AR675" s="77"/>
      <c r="AS675" s="77"/>
      <c r="AT675" s="78">
        <v>0.6875</v>
      </c>
    </row>
    <row r="676" spans="1:46" ht="12.5" x14ac:dyDescent="0.25">
      <c r="A676" s="79">
        <v>44832.309223229167</v>
      </c>
      <c r="B676" s="80" t="s">
        <v>17</v>
      </c>
      <c r="C676" s="80" t="str">
        <f>INDEX(TBL_Name,MATCH(Table2[[#This Row],[Athlete Name]],listNames,0),2)</f>
        <v>Athlete 10</v>
      </c>
      <c r="D676" s="80" t="s">
        <v>130</v>
      </c>
      <c r="E676" s="80">
        <v>6</v>
      </c>
      <c r="F676" s="80">
        <v>8</v>
      </c>
      <c r="G676" s="80">
        <v>7</v>
      </c>
      <c r="H676" s="80" t="s">
        <v>71</v>
      </c>
      <c r="I676" s="80">
        <v>8</v>
      </c>
      <c r="J676" s="80"/>
      <c r="K676" s="80"/>
      <c r="L676" s="80"/>
      <c r="M676" s="1" t="s">
        <v>1012</v>
      </c>
      <c r="N676" s="1">
        <v>40</v>
      </c>
      <c r="O676" s="1">
        <v>8</v>
      </c>
      <c r="P676" s="13">
        <v>44832</v>
      </c>
      <c r="Q676" s="1" t="s">
        <v>133</v>
      </c>
      <c r="R676" s="1" t="s">
        <v>64</v>
      </c>
      <c r="S676" s="1">
        <v>1</v>
      </c>
      <c r="T676" s="1" t="s">
        <v>18</v>
      </c>
      <c r="U676" s="1" t="s">
        <v>18</v>
      </c>
      <c r="V676" s="76">
        <v>7.6</v>
      </c>
      <c r="W676" s="76">
        <v>1.0198039027185568</v>
      </c>
      <c r="X676" s="77">
        <v>-1.5689290811054721</v>
      </c>
      <c r="Y676" s="77">
        <v>1</v>
      </c>
      <c r="Z676" s="76">
        <v>7.4</v>
      </c>
      <c r="AA676" s="76">
        <v>2.3323807579381199</v>
      </c>
      <c r="AB676" s="77">
        <v>0.25724787771376312</v>
      </c>
      <c r="AC676" s="77">
        <v>3</v>
      </c>
      <c r="AD676" s="76">
        <v>7.6</v>
      </c>
      <c r="AE676" s="76">
        <v>2.5768197453450252</v>
      </c>
      <c r="AF676" s="77">
        <v>-0.2328451577118997</v>
      </c>
      <c r="AG676" s="77">
        <v>2</v>
      </c>
      <c r="AH676" s="76">
        <v>7.2</v>
      </c>
      <c r="AI676" s="76">
        <v>0.74833147735478822</v>
      </c>
      <c r="AJ676" s="77">
        <v>1.0690449676496974</v>
      </c>
      <c r="AK676" s="77">
        <v>4</v>
      </c>
      <c r="AL676" s="76"/>
      <c r="AM676" s="76"/>
      <c r="AN676" s="77"/>
      <c r="AO676" s="77"/>
      <c r="AP676" s="76"/>
      <c r="AQ676" s="76"/>
      <c r="AR676" s="77"/>
      <c r="AS676" s="77"/>
      <c r="AT676" s="78">
        <v>0.625</v>
      </c>
    </row>
    <row r="677" spans="1:46" ht="12.5" x14ac:dyDescent="0.25">
      <c r="A677" s="79">
        <v>44832.33550645833</v>
      </c>
      <c r="B677" s="80" t="s">
        <v>196</v>
      </c>
      <c r="C677" s="80" t="str">
        <f>INDEX(TBL_Name,MATCH(Table2[[#This Row],[Athlete Name]],listNames,0),2)</f>
        <v>Athlete 31</v>
      </c>
      <c r="D677" s="80" t="s">
        <v>130</v>
      </c>
      <c r="E677" s="80">
        <v>5</v>
      </c>
      <c r="F677" s="80">
        <v>7</v>
      </c>
      <c r="G677" s="80">
        <v>9</v>
      </c>
      <c r="H677" s="80" t="s">
        <v>74</v>
      </c>
      <c r="I677" s="80">
        <v>8</v>
      </c>
      <c r="J677" s="80"/>
      <c r="K677" s="80"/>
      <c r="L677" s="80"/>
      <c r="M677" s="1" t="s">
        <v>1013</v>
      </c>
      <c r="N677" s="1">
        <v>40</v>
      </c>
      <c r="O677" s="1">
        <v>8</v>
      </c>
      <c r="P677" s="13">
        <v>44832</v>
      </c>
      <c r="Q677" s="1" t="s">
        <v>133</v>
      </c>
      <c r="R677" s="1" t="s">
        <v>64</v>
      </c>
      <c r="S677" s="1">
        <v>1</v>
      </c>
      <c r="T677" s="1" t="s">
        <v>942</v>
      </c>
      <c r="U677" s="1" t="s">
        <v>942</v>
      </c>
      <c r="V677" s="76">
        <v>6.4</v>
      </c>
      <c r="W677" s="76">
        <v>0.8</v>
      </c>
      <c r="X677" s="77">
        <v>-1.7500000000000004</v>
      </c>
      <c r="Y677" s="77">
        <v>1</v>
      </c>
      <c r="Z677" s="76">
        <v>7.6</v>
      </c>
      <c r="AA677" s="76">
        <v>0.48989794855663554</v>
      </c>
      <c r="AB677" s="77">
        <v>-1.2247448713915885</v>
      </c>
      <c r="AC677" s="77">
        <v>1</v>
      </c>
      <c r="AD677" s="76">
        <v>8.4</v>
      </c>
      <c r="AE677" s="76">
        <v>0.48989794855663554</v>
      </c>
      <c r="AF677" s="77">
        <v>1.2247448713915885</v>
      </c>
      <c r="AG677" s="77">
        <v>4</v>
      </c>
      <c r="AH677" s="76">
        <v>7.4</v>
      </c>
      <c r="AI677" s="76">
        <v>1.2</v>
      </c>
      <c r="AJ677" s="77">
        <v>0.49999999999999972</v>
      </c>
      <c r="AK677" s="77">
        <v>3</v>
      </c>
      <c r="AL677" s="76"/>
      <c r="AM677" s="76"/>
      <c r="AN677" s="77"/>
      <c r="AO677" s="77"/>
      <c r="AP677" s="76"/>
      <c r="AQ677" s="76"/>
      <c r="AR677" s="77"/>
      <c r="AS677" s="77"/>
      <c r="AT677" s="78">
        <v>0.5625</v>
      </c>
    </row>
    <row r="678" spans="1:46" ht="12.5" x14ac:dyDescent="0.25">
      <c r="A678" s="79">
        <v>44832.360687106484</v>
      </c>
      <c r="B678" s="80" t="s">
        <v>6</v>
      </c>
      <c r="C678" s="80" t="str">
        <f>INDEX(TBL_Name,MATCH(Table2[[#This Row],[Athlete Name]],listNames,0),2)</f>
        <v>Athlete 2</v>
      </c>
      <c r="D678" s="80" t="s">
        <v>143</v>
      </c>
      <c r="E678" s="80">
        <v>9</v>
      </c>
      <c r="F678" s="80">
        <v>6</v>
      </c>
      <c r="G678" s="80">
        <v>8</v>
      </c>
      <c r="H678" s="80" t="s">
        <v>73</v>
      </c>
      <c r="I678" s="80">
        <v>8</v>
      </c>
      <c r="J678" s="80"/>
      <c r="K678" s="80"/>
      <c r="L678" s="80"/>
      <c r="M678" s="1" t="s">
        <v>1014</v>
      </c>
      <c r="N678" s="1">
        <v>40</v>
      </c>
      <c r="O678" s="1">
        <v>8</v>
      </c>
      <c r="P678" s="13">
        <v>44832</v>
      </c>
      <c r="Q678" s="1" t="s">
        <v>133</v>
      </c>
      <c r="R678" s="1" t="s">
        <v>64</v>
      </c>
      <c r="S678" s="1">
        <v>2</v>
      </c>
      <c r="T678" s="1" t="s">
        <v>5</v>
      </c>
      <c r="U678" s="1" t="s">
        <v>5</v>
      </c>
      <c r="V678" s="76">
        <v>8.4285714285714288</v>
      </c>
      <c r="W678" s="76">
        <v>0.49487165930539345</v>
      </c>
      <c r="X678" s="77">
        <v>1.1547005383792512</v>
      </c>
      <c r="Y678" s="77">
        <v>4</v>
      </c>
      <c r="Z678" s="76">
        <v>6.8571428571428568</v>
      </c>
      <c r="AA678" s="76">
        <v>1.5518257844571737</v>
      </c>
      <c r="AB678" s="77">
        <v>-0.5523447707389938</v>
      </c>
      <c r="AC678" s="77">
        <v>2</v>
      </c>
      <c r="AD678" s="76">
        <v>8</v>
      </c>
      <c r="AE678" s="76">
        <v>1.1952286093343938</v>
      </c>
      <c r="AF678" s="77">
        <v>0</v>
      </c>
      <c r="AG678" s="77">
        <v>3</v>
      </c>
      <c r="AH678" s="76">
        <v>8</v>
      </c>
      <c r="AI678" s="76">
        <v>0</v>
      </c>
      <c r="AJ678" s="77">
        <v>0</v>
      </c>
      <c r="AK678" s="77">
        <v>3</v>
      </c>
      <c r="AL678" s="76"/>
      <c r="AM678" s="76"/>
      <c r="AN678" s="77"/>
      <c r="AO678" s="77"/>
      <c r="AP678" s="76"/>
      <c r="AQ678" s="76"/>
      <c r="AR678" s="77"/>
      <c r="AS678" s="77"/>
      <c r="AT678" s="78">
        <v>0.75</v>
      </c>
    </row>
    <row r="679" spans="1:46" ht="12.5" x14ac:dyDescent="0.25">
      <c r="A679" s="79">
        <v>44832.360877777777</v>
      </c>
      <c r="B679" s="80" t="s">
        <v>21</v>
      </c>
      <c r="C679" s="80" t="str">
        <f>INDEX(TBL_Name,MATCH(Table2[[#This Row],[Athlete Name]],listNames,0),2)</f>
        <v>Athlete 13</v>
      </c>
      <c r="D679" s="80" t="s">
        <v>130</v>
      </c>
      <c r="E679" s="80">
        <v>8</v>
      </c>
      <c r="F679" s="80">
        <v>9</v>
      </c>
      <c r="G679" s="80">
        <v>9</v>
      </c>
      <c r="H679" s="80" t="s">
        <v>715</v>
      </c>
      <c r="I679" s="80">
        <v>8</v>
      </c>
      <c r="J679" s="80"/>
      <c r="K679" s="80"/>
      <c r="L679" s="80"/>
      <c r="M679" s="1" t="s">
        <v>1015</v>
      </c>
      <c r="N679" s="1">
        <v>40</v>
      </c>
      <c r="O679" s="1">
        <v>8</v>
      </c>
      <c r="P679" s="13">
        <v>44832</v>
      </c>
      <c r="Q679" s="1" t="s">
        <v>133</v>
      </c>
      <c r="R679" s="1" t="s">
        <v>64</v>
      </c>
      <c r="S679" s="1">
        <v>1</v>
      </c>
      <c r="T679" s="1" t="s">
        <v>18</v>
      </c>
      <c r="U679" s="1" t="s">
        <v>18</v>
      </c>
      <c r="V679" s="76">
        <v>8</v>
      </c>
      <c r="W679" s="76">
        <v>0.81649658092772592</v>
      </c>
      <c r="X679" s="77">
        <v>0</v>
      </c>
      <c r="Y679" s="77">
        <v>3</v>
      </c>
      <c r="Z679" s="76">
        <v>8</v>
      </c>
      <c r="AA679" s="76">
        <v>1.1547005383792517</v>
      </c>
      <c r="AB679" s="77">
        <v>0.86602540378443849</v>
      </c>
      <c r="AC679" s="77">
        <v>3</v>
      </c>
      <c r="AD679" s="76">
        <v>8.6666666666666661</v>
      </c>
      <c r="AE679" s="76">
        <v>0.47140452079103179</v>
      </c>
      <c r="AF679" s="77">
        <v>0.70710678118654857</v>
      </c>
      <c r="AG679" s="77">
        <v>3</v>
      </c>
      <c r="AH679" s="76">
        <v>7.166666666666667</v>
      </c>
      <c r="AI679" s="76">
        <v>1.2133516482134197</v>
      </c>
      <c r="AJ679" s="77">
        <v>0.68680281974344493</v>
      </c>
      <c r="AK679" s="77">
        <v>3</v>
      </c>
      <c r="AL679" s="76"/>
      <c r="AM679" s="76"/>
      <c r="AN679" s="77"/>
      <c r="AO679" s="77"/>
      <c r="AP679" s="76"/>
      <c r="AQ679" s="76"/>
      <c r="AR679" s="77"/>
      <c r="AS679" s="77"/>
      <c r="AT679" s="78">
        <v>0.75</v>
      </c>
    </row>
    <row r="680" spans="1:46" ht="12.5" x14ac:dyDescent="0.25">
      <c r="A680" s="79">
        <v>44832.394402557868</v>
      </c>
      <c r="B680" s="80" t="s">
        <v>10</v>
      </c>
      <c r="C680" s="80" t="str">
        <f>INDEX(TBL_Name,MATCH(Table2[[#This Row],[Athlete Name]],listNames,0),2)</f>
        <v>Athlete 5</v>
      </c>
      <c r="D680" s="80" t="s">
        <v>130</v>
      </c>
      <c r="E680" s="80">
        <v>8</v>
      </c>
      <c r="F680" s="80">
        <v>8</v>
      </c>
      <c r="G680" s="80">
        <v>8</v>
      </c>
      <c r="H680" s="80" t="s">
        <v>231</v>
      </c>
      <c r="I680" s="80">
        <v>8</v>
      </c>
      <c r="J680" s="80"/>
      <c r="K680" s="80"/>
      <c r="L680" s="80"/>
      <c r="M680" s="1" t="s">
        <v>1016</v>
      </c>
      <c r="N680" s="1">
        <v>40</v>
      </c>
      <c r="O680" s="1">
        <v>8</v>
      </c>
      <c r="P680" s="13">
        <v>44832</v>
      </c>
      <c r="Q680" s="1" t="s">
        <v>133</v>
      </c>
      <c r="R680" s="1" t="s">
        <v>64</v>
      </c>
      <c r="S680" s="1">
        <v>1</v>
      </c>
      <c r="T680" s="1" t="s">
        <v>11</v>
      </c>
      <c r="U680" s="1" t="s">
        <v>11</v>
      </c>
      <c r="V680" s="76">
        <v>9</v>
      </c>
      <c r="W680" s="76">
        <v>0.63245553203367577</v>
      </c>
      <c r="X680" s="77">
        <v>-1.58113883008419</v>
      </c>
      <c r="Y680" s="77">
        <v>1</v>
      </c>
      <c r="Z680" s="76">
        <v>8.4</v>
      </c>
      <c r="AA680" s="76">
        <v>1.019803902718557</v>
      </c>
      <c r="AB680" s="77">
        <v>-0.39223227027636837</v>
      </c>
      <c r="AC680" s="77">
        <v>2</v>
      </c>
      <c r="AD680" s="76">
        <v>8.4</v>
      </c>
      <c r="AE680" s="76">
        <v>1.019803902718557</v>
      </c>
      <c r="AF680" s="77">
        <v>-0.39223227027636837</v>
      </c>
      <c r="AG680" s="77">
        <v>2</v>
      </c>
      <c r="AH680" s="76">
        <v>6.4</v>
      </c>
      <c r="AI680" s="76">
        <v>1.3564659966250536</v>
      </c>
      <c r="AJ680" s="77">
        <v>1.1795356492391769</v>
      </c>
      <c r="AK680" s="77">
        <v>4</v>
      </c>
      <c r="AL680" s="76"/>
      <c r="AM680" s="76"/>
      <c r="AN680" s="77"/>
      <c r="AO680" s="77"/>
      <c r="AP680" s="76"/>
      <c r="AQ680" s="76"/>
      <c r="AR680" s="77"/>
      <c r="AS680" s="77"/>
      <c r="AT680" s="78">
        <v>0.5625</v>
      </c>
    </row>
    <row r="681" spans="1:46" ht="12.5" x14ac:dyDescent="0.25">
      <c r="A681" s="79">
        <v>44832.433356203706</v>
      </c>
      <c r="B681" s="80" t="s">
        <v>171</v>
      </c>
      <c r="C681" s="80" t="str">
        <f>INDEX(TBL_Name,MATCH(Table2[[#This Row],[Athlete Name]],listNames,0),2)</f>
        <v>Athlete 27</v>
      </c>
      <c r="D681" s="80" t="s">
        <v>130</v>
      </c>
      <c r="E681" s="80">
        <v>10</v>
      </c>
      <c r="F681" s="80">
        <v>8</v>
      </c>
      <c r="G681" s="80">
        <v>8</v>
      </c>
      <c r="H681" s="80"/>
      <c r="I681" s="80">
        <v>10</v>
      </c>
      <c r="J681" s="80"/>
      <c r="K681" s="80"/>
      <c r="L681" s="80"/>
      <c r="M681" s="1" t="s">
        <v>1017</v>
      </c>
      <c r="N681" s="1">
        <v>40</v>
      </c>
      <c r="O681" s="1">
        <v>8</v>
      </c>
      <c r="P681" s="13">
        <v>44832</v>
      </c>
      <c r="Q681" s="1" t="s">
        <v>133</v>
      </c>
      <c r="R681" s="1" t="s">
        <v>64</v>
      </c>
      <c r="S681" s="1">
        <v>1</v>
      </c>
      <c r="T681" s="1" t="s">
        <v>942</v>
      </c>
      <c r="U681" s="1" t="s">
        <v>942</v>
      </c>
      <c r="V681" s="76">
        <v>10</v>
      </c>
      <c r="W681" s="76">
        <v>0</v>
      </c>
      <c r="X681" s="77">
        <v>0</v>
      </c>
      <c r="Y681" s="77">
        <v>3</v>
      </c>
      <c r="Z681" s="76">
        <v>8</v>
      </c>
      <c r="AA681" s="76">
        <v>0</v>
      </c>
      <c r="AB681" s="77">
        <v>0</v>
      </c>
      <c r="AC681" s="77">
        <v>3</v>
      </c>
      <c r="AD681" s="76">
        <v>8</v>
      </c>
      <c r="AE681" s="76">
        <v>0</v>
      </c>
      <c r="AF681" s="77">
        <v>0</v>
      </c>
      <c r="AG681" s="77">
        <v>3</v>
      </c>
      <c r="AH681" s="76">
        <v>10</v>
      </c>
      <c r="AI681" s="76">
        <v>0</v>
      </c>
      <c r="AJ681" s="77">
        <v>0</v>
      </c>
      <c r="AK681" s="77">
        <v>3</v>
      </c>
      <c r="AL681" s="76"/>
      <c r="AM681" s="76"/>
      <c r="AN681" s="77"/>
      <c r="AO681" s="77"/>
      <c r="AP681" s="76"/>
      <c r="AQ681" s="76"/>
      <c r="AR681" s="77"/>
      <c r="AS681" s="77"/>
      <c r="AT681" s="78">
        <v>0.75</v>
      </c>
    </row>
    <row r="682" spans="1:46" ht="12.5" x14ac:dyDescent="0.25">
      <c r="A682" s="79">
        <v>44832.436160092591</v>
      </c>
      <c r="B682" s="80" t="s">
        <v>15</v>
      </c>
      <c r="C682" s="80" t="str">
        <f>INDEX(TBL_Name,MATCH(Table2[[#This Row],[Athlete Name]],listNames,0),2)</f>
        <v>Athlete 8</v>
      </c>
      <c r="D682" s="80" t="s">
        <v>130</v>
      </c>
      <c r="E682" s="80">
        <v>4</v>
      </c>
      <c r="F682" s="80">
        <v>6</v>
      </c>
      <c r="G682" s="80">
        <v>7</v>
      </c>
      <c r="H682" s="80" t="s">
        <v>1018</v>
      </c>
      <c r="I682" s="80">
        <v>5</v>
      </c>
      <c r="J682" s="80"/>
      <c r="K682" s="80"/>
      <c r="L682" s="80"/>
      <c r="M682" s="1" t="s">
        <v>1019</v>
      </c>
      <c r="N682" s="1">
        <v>40</v>
      </c>
      <c r="O682" s="1">
        <v>8</v>
      </c>
      <c r="P682" s="13">
        <v>44832</v>
      </c>
      <c r="Q682" s="1" t="s">
        <v>133</v>
      </c>
      <c r="R682" s="1" t="s">
        <v>64</v>
      </c>
      <c r="S682" s="1">
        <v>1</v>
      </c>
      <c r="T682" s="1" t="s">
        <v>14</v>
      </c>
      <c r="U682" s="1" t="s">
        <v>14</v>
      </c>
      <c r="V682" s="76">
        <v>5.666666666666667</v>
      </c>
      <c r="W682" s="76">
        <v>2.6246692913372702</v>
      </c>
      <c r="X682" s="77">
        <v>-0.63500063500095261</v>
      </c>
      <c r="Y682" s="77">
        <v>2</v>
      </c>
      <c r="Z682" s="76">
        <v>8.6666666666666661</v>
      </c>
      <c r="AA682" s="76">
        <v>1.4907119849998596</v>
      </c>
      <c r="AB682" s="77">
        <v>-1.7888543819998317</v>
      </c>
      <c r="AC682" s="77">
        <v>1</v>
      </c>
      <c r="AD682" s="76">
        <v>8</v>
      </c>
      <c r="AE682" s="76">
        <v>1.2909944487358054</v>
      </c>
      <c r="AF682" s="77">
        <v>-0.77459666924148352</v>
      </c>
      <c r="AG682" s="77">
        <v>2</v>
      </c>
      <c r="AH682" s="76">
        <v>6.833333333333333</v>
      </c>
      <c r="AI682" s="76">
        <v>2.2669117514559072</v>
      </c>
      <c r="AJ682" s="77">
        <v>-0.80873608430318844</v>
      </c>
      <c r="AK682" s="77">
        <v>2</v>
      </c>
      <c r="AL682" s="76"/>
      <c r="AM682" s="76"/>
      <c r="AN682" s="77"/>
      <c r="AO682" s="77"/>
      <c r="AP682" s="76"/>
      <c r="AQ682" s="76"/>
      <c r="AR682" s="77"/>
      <c r="AS682" s="77"/>
      <c r="AT682" s="78">
        <v>0.4375</v>
      </c>
    </row>
    <row r="683" spans="1:46" ht="12.5" x14ac:dyDescent="0.25">
      <c r="A683" s="79">
        <v>44833.291361296295</v>
      </c>
      <c r="B683" s="80" t="s">
        <v>21</v>
      </c>
      <c r="C683" s="80" t="str">
        <f>INDEX(TBL_Name,MATCH(Table2[[#This Row],[Athlete Name]],listNames,0),2)</f>
        <v>Athlete 13</v>
      </c>
      <c r="D683" s="80" t="s">
        <v>130</v>
      </c>
      <c r="E683" s="80">
        <v>7</v>
      </c>
      <c r="F683" s="80">
        <v>5</v>
      </c>
      <c r="G683" s="80">
        <v>7</v>
      </c>
      <c r="H683" s="80" t="s">
        <v>971</v>
      </c>
      <c r="I683" s="80">
        <v>7</v>
      </c>
      <c r="J683" s="80"/>
      <c r="K683" s="80"/>
      <c r="L683" s="80"/>
      <c r="M683" s="1" t="s">
        <v>1020</v>
      </c>
      <c r="N683" s="1">
        <v>40</v>
      </c>
      <c r="O683" s="1">
        <v>8</v>
      </c>
      <c r="P683" s="13">
        <v>44833</v>
      </c>
      <c r="Q683" s="1" t="s">
        <v>133</v>
      </c>
      <c r="R683" s="1" t="s">
        <v>64</v>
      </c>
      <c r="S683" s="1">
        <v>1</v>
      </c>
      <c r="T683" s="1" t="s">
        <v>18</v>
      </c>
      <c r="U683" s="1" t="s">
        <v>18</v>
      </c>
      <c r="V683" s="76">
        <v>8</v>
      </c>
      <c r="W683" s="76">
        <v>0.8164965809277257</v>
      </c>
      <c r="X683" s="77">
        <v>-1.2247448713915896</v>
      </c>
      <c r="Y683" s="77">
        <v>1</v>
      </c>
      <c r="Z683" s="76">
        <v>7.833333333333333</v>
      </c>
      <c r="AA683" s="76">
        <v>1.4624940645653539</v>
      </c>
      <c r="AB683" s="77">
        <v>-1.9373297998138446</v>
      </c>
      <c r="AC683" s="77">
        <v>1</v>
      </c>
      <c r="AD683" s="76">
        <v>8.3333333333333339</v>
      </c>
      <c r="AE683" s="76">
        <v>0.74535599249992956</v>
      </c>
      <c r="AF683" s="77">
        <v>-1.7888543819998333</v>
      </c>
      <c r="AG683" s="77">
        <v>1</v>
      </c>
      <c r="AH683" s="76">
        <v>7.166666666666667</v>
      </c>
      <c r="AI683" s="76">
        <v>1.2133516482134197</v>
      </c>
      <c r="AJ683" s="77">
        <v>-0.13736056394868928</v>
      </c>
      <c r="AK683" s="77">
        <v>2</v>
      </c>
      <c r="AL683" s="76"/>
      <c r="AM683" s="76"/>
      <c r="AN683" s="77"/>
      <c r="AO683" s="77"/>
      <c r="AP683" s="76"/>
      <c r="AQ683" s="76"/>
      <c r="AR683" s="77"/>
      <c r="AS683" s="77"/>
      <c r="AT683" s="78">
        <v>0.3125</v>
      </c>
    </row>
    <row r="684" spans="1:46" ht="12.5" x14ac:dyDescent="0.25">
      <c r="A684" s="79">
        <v>44833.293062534722</v>
      </c>
      <c r="B684" s="80" t="s">
        <v>196</v>
      </c>
      <c r="C684" s="80" t="str">
        <f>INDEX(TBL_Name,MATCH(Table2[[#This Row],[Athlete Name]],listNames,0),2)</f>
        <v>Athlete 31</v>
      </c>
      <c r="D684" s="80" t="s">
        <v>130</v>
      </c>
      <c r="E684" s="80">
        <v>7</v>
      </c>
      <c r="F684" s="80">
        <v>9</v>
      </c>
      <c r="G684" s="80">
        <v>8</v>
      </c>
      <c r="H684" s="80" t="s">
        <v>432</v>
      </c>
      <c r="I684" s="80">
        <v>8</v>
      </c>
      <c r="J684" s="80"/>
      <c r="K684" s="80"/>
      <c r="L684" s="80"/>
      <c r="M684" s="1" t="s">
        <v>1021</v>
      </c>
      <c r="N684" s="1">
        <v>40</v>
      </c>
      <c r="O684" s="1">
        <v>8</v>
      </c>
      <c r="P684" s="13">
        <v>44833</v>
      </c>
      <c r="Q684" s="1" t="s">
        <v>133</v>
      </c>
      <c r="R684" s="1" t="s">
        <v>64</v>
      </c>
      <c r="S684" s="1">
        <v>1</v>
      </c>
      <c r="T684" s="1" t="s">
        <v>942</v>
      </c>
      <c r="U684" s="1" t="s">
        <v>942</v>
      </c>
      <c r="V684" s="76">
        <v>6.4</v>
      </c>
      <c r="W684" s="76">
        <v>0.8</v>
      </c>
      <c r="X684" s="77">
        <v>0.74999999999999956</v>
      </c>
      <c r="Y684" s="77">
        <v>3</v>
      </c>
      <c r="Z684" s="76">
        <v>8</v>
      </c>
      <c r="AA684" s="76">
        <v>0.63245553203367588</v>
      </c>
      <c r="AB684" s="77">
        <v>1.5811388300841895</v>
      </c>
      <c r="AC684" s="77">
        <v>4</v>
      </c>
      <c r="AD684" s="76">
        <v>8.4</v>
      </c>
      <c r="AE684" s="76">
        <v>0.48989794855663549</v>
      </c>
      <c r="AF684" s="77">
        <v>-0.81649658092772703</v>
      </c>
      <c r="AG684" s="77">
        <v>2</v>
      </c>
      <c r="AH684" s="76">
        <v>7.4</v>
      </c>
      <c r="AI684" s="76">
        <v>1.2</v>
      </c>
      <c r="AJ684" s="77">
        <v>0.49999999999999972</v>
      </c>
      <c r="AK684" s="77">
        <v>3</v>
      </c>
      <c r="AL684" s="76"/>
      <c r="AM684" s="76"/>
      <c r="AN684" s="77"/>
      <c r="AO684" s="77"/>
      <c r="AP684" s="76"/>
      <c r="AQ684" s="76"/>
      <c r="AR684" s="77"/>
      <c r="AS684" s="77"/>
      <c r="AT684" s="78">
        <v>0.75</v>
      </c>
    </row>
    <row r="685" spans="1:46" ht="12.5" x14ac:dyDescent="0.25">
      <c r="A685" s="79">
        <v>44833.340138518513</v>
      </c>
      <c r="B685" s="80" t="s">
        <v>17</v>
      </c>
      <c r="C685" s="80" t="str">
        <f>INDEX(TBL_Name,MATCH(Table2[[#This Row],[Athlete Name]],listNames,0),2)</f>
        <v>Athlete 10</v>
      </c>
      <c r="D685" s="80" t="s">
        <v>130</v>
      </c>
      <c r="E685" s="80">
        <v>6</v>
      </c>
      <c r="F685" s="80">
        <v>8</v>
      </c>
      <c r="G685" s="80">
        <v>9</v>
      </c>
      <c r="H685" s="80" t="s">
        <v>131</v>
      </c>
      <c r="I685" s="80">
        <v>6</v>
      </c>
      <c r="J685" s="80"/>
      <c r="K685" s="80"/>
      <c r="L685" s="80"/>
      <c r="M685" s="1" t="s">
        <v>1022</v>
      </c>
      <c r="N685" s="1">
        <v>40</v>
      </c>
      <c r="O685" s="1">
        <v>8</v>
      </c>
      <c r="P685" s="13">
        <v>44833</v>
      </c>
      <c r="Q685" s="1" t="s">
        <v>133</v>
      </c>
      <c r="R685" s="1" t="s">
        <v>64</v>
      </c>
      <c r="S685" s="1">
        <v>1</v>
      </c>
      <c r="T685" s="1" t="s">
        <v>18</v>
      </c>
      <c r="U685" s="1" t="s">
        <v>18</v>
      </c>
      <c r="V685" s="76">
        <v>7.4</v>
      </c>
      <c r="W685" s="76">
        <v>1.2000000000000002</v>
      </c>
      <c r="X685" s="77">
        <v>-1.1666666666666667</v>
      </c>
      <c r="Y685" s="77">
        <v>1</v>
      </c>
      <c r="Z685" s="76">
        <v>7.4</v>
      </c>
      <c r="AA685" s="76">
        <v>2.3323807579381199</v>
      </c>
      <c r="AB685" s="77">
        <v>0.25724787771376312</v>
      </c>
      <c r="AC685" s="77">
        <v>3</v>
      </c>
      <c r="AD685" s="76">
        <v>7.8</v>
      </c>
      <c r="AE685" s="76">
        <v>2.6381811916545836</v>
      </c>
      <c r="AF685" s="77">
        <v>0.45485882614734213</v>
      </c>
      <c r="AG685" s="77">
        <v>3</v>
      </c>
      <c r="AH685" s="76">
        <v>7</v>
      </c>
      <c r="AI685" s="76">
        <v>0.89442719099991586</v>
      </c>
      <c r="AJ685" s="77">
        <v>-1.1180339887498949</v>
      </c>
      <c r="AK685" s="77">
        <v>1</v>
      </c>
      <c r="AL685" s="76"/>
      <c r="AM685" s="76"/>
      <c r="AN685" s="77"/>
      <c r="AO685" s="77"/>
      <c r="AP685" s="76"/>
      <c r="AQ685" s="76"/>
      <c r="AR685" s="77"/>
      <c r="AS685" s="77"/>
      <c r="AT685" s="78">
        <v>0.5</v>
      </c>
    </row>
    <row r="686" spans="1:46" ht="12.5" x14ac:dyDescent="0.25">
      <c r="A686" s="79">
        <v>44833.365723796298</v>
      </c>
      <c r="B686" s="80" t="s">
        <v>15</v>
      </c>
      <c r="C686" s="80" t="str">
        <f>INDEX(TBL_Name,MATCH(Table2[[#This Row],[Athlete Name]],listNames,0),2)</f>
        <v>Athlete 8</v>
      </c>
      <c r="D686" s="80" t="s">
        <v>130</v>
      </c>
      <c r="E686" s="80">
        <v>6</v>
      </c>
      <c r="F686" s="80">
        <v>4</v>
      </c>
      <c r="G686" s="80">
        <v>6</v>
      </c>
      <c r="H686" s="80" t="s">
        <v>74</v>
      </c>
      <c r="I686" s="80">
        <v>10</v>
      </c>
      <c r="J686" s="80"/>
      <c r="K686" s="80"/>
      <c r="L686" s="80"/>
      <c r="M686" s="1" t="s">
        <v>1023</v>
      </c>
      <c r="N686" s="1">
        <v>40</v>
      </c>
      <c r="O686" s="1">
        <v>8</v>
      </c>
      <c r="P686" s="13">
        <v>44833</v>
      </c>
      <c r="Q686" s="1" t="s">
        <v>133</v>
      </c>
      <c r="R686" s="1" t="s">
        <v>64</v>
      </c>
      <c r="S686" s="1">
        <v>1</v>
      </c>
      <c r="T686" s="1" t="s">
        <v>14</v>
      </c>
      <c r="U686" s="1" t="s">
        <v>14</v>
      </c>
      <c r="V686" s="76">
        <v>5.666666666666667</v>
      </c>
      <c r="W686" s="76">
        <v>2.6246692913372702</v>
      </c>
      <c r="X686" s="77">
        <v>0.12700012700019039</v>
      </c>
      <c r="Y686" s="77">
        <v>3</v>
      </c>
      <c r="Z686" s="76">
        <v>7.666666666666667</v>
      </c>
      <c r="AA686" s="76">
        <v>2.1343747458109497</v>
      </c>
      <c r="AB686" s="77">
        <v>-1.7179113807746669</v>
      </c>
      <c r="AC686" s="77">
        <v>1</v>
      </c>
      <c r="AD686" s="76">
        <v>7.5</v>
      </c>
      <c r="AE686" s="76">
        <v>1.3844373104863459</v>
      </c>
      <c r="AF686" s="77">
        <v>-1.0834726777719228</v>
      </c>
      <c r="AG686" s="77">
        <v>1</v>
      </c>
      <c r="AH686" s="76">
        <v>7.666666666666667</v>
      </c>
      <c r="AI686" s="76">
        <v>2.3570226039551585</v>
      </c>
      <c r="AJ686" s="77">
        <v>0.98994949366116636</v>
      </c>
      <c r="AK686" s="77">
        <v>3</v>
      </c>
      <c r="AL686" s="76"/>
      <c r="AM686" s="76"/>
      <c r="AN686" s="77"/>
      <c r="AO686" s="77"/>
      <c r="AP686" s="76"/>
      <c r="AQ686" s="76"/>
      <c r="AR686" s="77"/>
      <c r="AS686" s="77"/>
      <c r="AT686" s="78">
        <v>0.5</v>
      </c>
    </row>
    <row r="687" spans="1:46" ht="12.5" x14ac:dyDescent="0.25">
      <c r="A687" s="79">
        <v>44833.377545358795</v>
      </c>
      <c r="B687" s="80" t="s">
        <v>171</v>
      </c>
      <c r="C687" s="80" t="str">
        <f>INDEX(TBL_Name,MATCH(Table2[[#This Row],[Athlete Name]],listNames,0),2)</f>
        <v>Athlete 27</v>
      </c>
      <c r="D687" s="80" t="s">
        <v>130</v>
      </c>
      <c r="E687" s="80">
        <v>10</v>
      </c>
      <c r="F687" s="80">
        <v>8</v>
      </c>
      <c r="G687" s="80">
        <v>8</v>
      </c>
      <c r="H687" s="80" t="s">
        <v>525</v>
      </c>
      <c r="I687" s="80">
        <v>6</v>
      </c>
      <c r="J687" s="80"/>
      <c r="K687" s="80"/>
      <c r="L687" s="80"/>
      <c r="M687" s="1" t="s">
        <v>1024</v>
      </c>
      <c r="N687" s="1">
        <v>40</v>
      </c>
      <c r="O687" s="1">
        <v>8</v>
      </c>
      <c r="P687" s="13">
        <v>44833</v>
      </c>
      <c r="Q687" s="1" t="s">
        <v>133</v>
      </c>
      <c r="R687" s="1" t="s">
        <v>64</v>
      </c>
      <c r="S687" s="1">
        <v>1</v>
      </c>
      <c r="T687" s="1" t="s">
        <v>942</v>
      </c>
      <c r="U687" s="1" t="s">
        <v>942</v>
      </c>
      <c r="V687" s="76">
        <v>10</v>
      </c>
      <c r="W687" s="76">
        <v>0</v>
      </c>
      <c r="X687" s="77">
        <v>0</v>
      </c>
      <c r="Y687" s="77">
        <v>3</v>
      </c>
      <c r="Z687" s="76">
        <v>8</v>
      </c>
      <c r="AA687" s="76">
        <v>0</v>
      </c>
      <c r="AB687" s="77">
        <v>0</v>
      </c>
      <c r="AC687" s="77">
        <v>3</v>
      </c>
      <c r="AD687" s="76">
        <v>8</v>
      </c>
      <c r="AE687" s="76">
        <v>0</v>
      </c>
      <c r="AF687" s="77">
        <v>0</v>
      </c>
      <c r="AG687" s="77">
        <v>3</v>
      </c>
      <c r="AH687" s="76">
        <v>8</v>
      </c>
      <c r="AI687" s="76">
        <v>2</v>
      </c>
      <c r="AJ687" s="77">
        <v>-1</v>
      </c>
      <c r="AK687" s="77">
        <v>1</v>
      </c>
      <c r="AL687" s="76"/>
      <c r="AM687" s="76"/>
      <c r="AN687" s="77"/>
      <c r="AO687" s="77"/>
      <c r="AP687" s="76"/>
      <c r="AQ687" s="76"/>
      <c r="AR687" s="77"/>
      <c r="AS687" s="77"/>
      <c r="AT687" s="78">
        <v>0.625</v>
      </c>
    </row>
    <row r="688" spans="1:46" ht="12.5" x14ac:dyDescent="0.25">
      <c r="A688" s="79">
        <v>44833.379882071764</v>
      </c>
      <c r="B688" s="80" t="s">
        <v>129</v>
      </c>
      <c r="C688" s="80" t="str">
        <f>INDEX(TBL_Name,MATCH(Table2[[#This Row],[Athlete Name]],listNames,0),2)</f>
        <v>Athlete 19</v>
      </c>
      <c r="D688" s="80" t="s">
        <v>130</v>
      </c>
      <c r="E688" s="80">
        <v>7</v>
      </c>
      <c r="F688" s="80">
        <v>7</v>
      </c>
      <c r="G688" s="80">
        <v>6</v>
      </c>
      <c r="H688" s="80" t="s">
        <v>1025</v>
      </c>
      <c r="I688" s="80">
        <v>3</v>
      </c>
      <c r="J688" s="80"/>
      <c r="K688" s="80"/>
      <c r="L688" s="80"/>
      <c r="M688" s="1" t="s">
        <v>1026</v>
      </c>
      <c r="N688" s="1">
        <v>40</v>
      </c>
      <c r="O688" s="1">
        <v>8</v>
      </c>
      <c r="P688" s="13">
        <v>44833</v>
      </c>
      <c r="Q688" s="1" t="s">
        <v>133</v>
      </c>
      <c r="R688" s="1" t="s">
        <v>64</v>
      </c>
      <c r="S688" s="1">
        <v>1</v>
      </c>
      <c r="T688" s="1" t="s">
        <v>942</v>
      </c>
      <c r="U688" s="1" t="s">
        <v>942</v>
      </c>
      <c r="V688" s="76">
        <v>6</v>
      </c>
      <c r="W688" s="76">
        <v>1</v>
      </c>
      <c r="X688" s="77">
        <v>1</v>
      </c>
      <c r="Y688" s="77">
        <v>4</v>
      </c>
      <c r="Z688" s="76">
        <v>7</v>
      </c>
      <c r="AA688" s="76">
        <v>0</v>
      </c>
      <c r="AB688" s="77">
        <v>0</v>
      </c>
      <c r="AC688" s="77">
        <v>3</v>
      </c>
      <c r="AD688" s="76">
        <v>7</v>
      </c>
      <c r="AE688" s="76">
        <v>1</v>
      </c>
      <c r="AF688" s="77">
        <v>-1</v>
      </c>
      <c r="AG688" s="77">
        <v>1</v>
      </c>
      <c r="AH688" s="76">
        <v>4</v>
      </c>
      <c r="AI688" s="76">
        <v>1</v>
      </c>
      <c r="AJ688" s="77">
        <v>-1</v>
      </c>
      <c r="AK688" s="77">
        <v>1</v>
      </c>
      <c r="AL688" s="76"/>
      <c r="AM688" s="76"/>
      <c r="AN688" s="77"/>
      <c r="AO688" s="77"/>
      <c r="AP688" s="76"/>
      <c r="AQ688" s="76"/>
      <c r="AR688" s="77"/>
      <c r="AS688" s="77"/>
      <c r="AT688" s="78">
        <v>0.5625</v>
      </c>
    </row>
    <row r="689" spans="1:46" ht="12.5" x14ac:dyDescent="0.25">
      <c r="A689" s="79">
        <v>44833.383080023152</v>
      </c>
      <c r="B689" s="80" t="s">
        <v>10</v>
      </c>
      <c r="C689" s="80" t="str">
        <f>INDEX(TBL_Name,MATCH(Table2[[#This Row],[Athlete Name]],listNames,0),2)</f>
        <v>Athlete 5</v>
      </c>
      <c r="D689" s="80" t="s">
        <v>130</v>
      </c>
      <c r="E689" s="80">
        <v>8</v>
      </c>
      <c r="F689" s="80">
        <v>8</v>
      </c>
      <c r="G689" s="80">
        <v>8</v>
      </c>
      <c r="H689" s="80" t="s">
        <v>188</v>
      </c>
      <c r="I689" s="80">
        <v>9</v>
      </c>
      <c r="J689" s="80"/>
      <c r="K689" s="80"/>
      <c r="L689" s="80"/>
      <c r="M689" s="1" t="s">
        <v>1027</v>
      </c>
      <c r="N689" s="1">
        <v>40</v>
      </c>
      <c r="O689" s="1">
        <v>8</v>
      </c>
      <c r="P689" s="13">
        <v>44833</v>
      </c>
      <c r="Q689" s="1" t="s">
        <v>133</v>
      </c>
      <c r="R689" s="1" t="s">
        <v>64</v>
      </c>
      <c r="S689" s="1">
        <v>1</v>
      </c>
      <c r="T689" s="1" t="s">
        <v>11</v>
      </c>
      <c r="U689" s="1" t="s">
        <v>11</v>
      </c>
      <c r="V689" s="76">
        <v>8.8000000000000007</v>
      </c>
      <c r="W689" s="76">
        <v>0.74833147735478844</v>
      </c>
      <c r="X689" s="77">
        <v>-1.0690449676496983</v>
      </c>
      <c r="Y689" s="77">
        <v>1</v>
      </c>
      <c r="Z689" s="76">
        <v>8.1999999999999993</v>
      </c>
      <c r="AA689" s="76">
        <v>0.9797958971132712</v>
      </c>
      <c r="AB689" s="77">
        <v>-0.20412414523193079</v>
      </c>
      <c r="AC689" s="77">
        <v>2</v>
      </c>
      <c r="AD689" s="76">
        <v>8.1999999999999993</v>
      </c>
      <c r="AE689" s="76">
        <v>0.9797958971132712</v>
      </c>
      <c r="AF689" s="77">
        <v>-0.20412414523193079</v>
      </c>
      <c r="AG689" s="77">
        <v>2</v>
      </c>
      <c r="AH689" s="76">
        <v>7</v>
      </c>
      <c r="AI689" s="76">
        <v>1.6733200530681511</v>
      </c>
      <c r="AJ689" s="77">
        <v>1.1952286093343936</v>
      </c>
      <c r="AK689" s="77">
        <v>4</v>
      </c>
      <c r="AL689" s="76"/>
      <c r="AM689" s="76"/>
      <c r="AN689" s="77"/>
      <c r="AO689" s="77"/>
      <c r="AP689" s="76"/>
      <c r="AQ689" s="76"/>
      <c r="AR689" s="77"/>
      <c r="AS689" s="77"/>
      <c r="AT689" s="78">
        <v>0.5625</v>
      </c>
    </row>
    <row r="690" spans="1:46" ht="12.5" x14ac:dyDescent="0.25">
      <c r="A690" s="79">
        <v>44833.388745671298</v>
      </c>
      <c r="B690" s="80" t="s">
        <v>225</v>
      </c>
      <c r="C690" s="80" t="str">
        <f>INDEX(TBL_Name,MATCH(Table2[[#This Row],[Athlete Name]],listNames,0),2)</f>
        <v>Athlete 32</v>
      </c>
      <c r="D690" s="80" t="s">
        <v>130</v>
      </c>
      <c r="E690" s="80">
        <v>10</v>
      </c>
      <c r="F690" s="80">
        <v>7</v>
      </c>
      <c r="G690" s="80">
        <v>7</v>
      </c>
      <c r="H690" s="80"/>
      <c r="I690" s="80">
        <v>5</v>
      </c>
      <c r="J690" s="80"/>
      <c r="K690" s="80"/>
      <c r="L690" s="80"/>
      <c r="M690" s="1" t="s">
        <v>1028</v>
      </c>
      <c r="N690" s="1">
        <v>40</v>
      </c>
      <c r="O690" s="1">
        <v>8</v>
      </c>
      <c r="P690" s="13">
        <v>44833</v>
      </c>
      <c r="Q690" s="1" t="s">
        <v>133</v>
      </c>
      <c r="R690" s="1" t="s">
        <v>64</v>
      </c>
      <c r="S690" s="1">
        <v>1</v>
      </c>
      <c r="T690" s="1" t="s">
        <v>942</v>
      </c>
      <c r="U690" s="1" t="s">
        <v>942</v>
      </c>
      <c r="V690" s="76">
        <v>10</v>
      </c>
      <c r="W690" s="76">
        <v>0</v>
      </c>
      <c r="X690" s="77">
        <v>0</v>
      </c>
      <c r="Y690" s="77">
        <v>3</v>
      </c>
      <c r="Z690" s="76">
        <v>9.4</v>
      </c>
      <c r="AA690" s="76">
        <v>1.2000000000000002</v>
      </c>
      <c r="AB690" s="77">
        <v>-2</v>
      </c>
      <c r="AC690" s="77">
        <v>1</v>
      </c>
      <c r="AD690" s="76">
        <v>7.8</v>
      </c>
      <c r="AE690" s="76">
        <v>0.74833147735478822</v>
      </c>
      <c r="AF690" s="77">
        <v>-1.0690449676496974</v>
      </c>
      <c r="AG690" s="77">
        <v>1</v>
      </c>
      <c r="AH690" s="76">
        <v>7.6</v>
      </c>
      <c r="AI690" s="76">
        <v>1.8547236990991407</v>
      </c>
      <c r="AJ690" s="77">
        <v>-1.4018260516446992</v>
      </c>
      <c r="AK690" s="77">
        <v>1</v>
      </c>
      <c r="AL690" s="76"/>
      <c r="AM690" s="76"/>
      <c r="AN690" s="77"/>
      <c r="AO690" s="77"/>
      <c r="AP690" s="76"/>
      <c r="AQ690" s="76"/>
      <c r="AR690" s="77"/>
      <c r="AS690" s="77"/>
      <c r="AT690" s="78">
        <v>0.375</v>
      </c>
    </row>
    <row r="691" spans="1:46" ht="12.5" x14ac:dyDescent="0.25">
      <c r="A691" s="79">
        <v>44833.397320787037</v>
      </c>
      <c r="B691" s="80" t="s">
        <v>177</v>
      </c>
      <c r="C691" s="80" t="str">
        <f>INDEX(TBL_Name,MATCH(Table2[[#This Row],[Athlete Name]],listNames,0),2)</f>
        <v>Athlete 28</v>
      </c>
      <c r="D691" s="80" t="s">
        <v>150</v>
      </c>
      <c r="E691" s="80">
        <v>4</v>
      </c>
      <c r="F691" s="80">
        <v>9</v>
      </c>
      <c r="G691" s="80">
        <v>9</v>
      </c>
      <c r="H691" s="80" t="s">
        <v>1029</v>
      </c>
      <c r="I691" s="80">
        <v>4</v>
      </c>
      <c r="J691" s="80"/>
      <c r="K691" s="80"/>
      <c r="L691" s="80"/>
      <c r="M691" s="1" t="s">
        <v>1030</v>
      </c>
      <c r="N691" s="1">
        <v>40</v>
      </c>
      <c r="O691" s="1">
        <v>8</v>
      </c>
      <c r="P691" s="13">
        <v>44833</v>
      </c>
      <c r="Q691" s="1" t="s">
        <v>133</v>
      </c>
      <c r="R691" s="1" t="s">
        <v>64</v>
      </c>
      <c r="S691" s="1">
        <v>3</v>
      </c>
      <c r="T691" s="1" t="s">
        <v>942</v>
      </c>
      <c r="U691" s="1" t="s">
        <v>942</v>
      </c>
      <c r="V691" s="76">
        <v>3.6666666666666665</v>
      </c>
      <c r="W691" s="76">
        <v>0.47140452079103168</v>
      </c>
      <c r="X691" s="77">
        <v>0.70710678118654779</v>
      </c>
      <c r="Y691" s="77">
        <v>3</v>
      </c>
      <c r="Z691" s="76">
        <v>6.333333333333333</v>
      </c>
      <c r="AA691" s="76">
        <v>1.8856180831641267</v>
      </c>
      <c r="AB691" s="77">
        <v>1.4142135623730951</v>
      </c>
      <c r="AC691" s="77">
        <v>4</v>
      </c>
      <c r="AD691" s="76">
        <v>7</v>
      </c>
      <c r="AE691" s="76">
        <v>1.4142135623730951</v>
      </c>
      <c r="AF691" s="77">
        <v>1.4142135623730949</v>
      </c>
      <c r="AG691" s="77">
        <v>4</v>
      </c>
      <c r="AH691" s="76">
        <v>8</v>
      </c>
      <c r="AI691" s="76">
        <v>2.8284271247461903</v>
      </c>
      <c r="AJ691" s="77">
        <v>-1.4142135623730949</v>
      </c>
      <c r="AK691" s="77">
        <v>1</v>
      </c>
      <c r="AL691" s="76"/>
      <c r="AM691" s="76"/>
      <c r="AN691" s="77"/>
      <c r="AO691" s="77"/>
      <c r="AP691" s="76"/>
      <c r="AQ691" s="76"/>
      <c r="AR691" s="77"/>
      <c r="AS691" s="77"/>
      <c r="AT691" s="78">
        <v>0.75</v>
      </c>
    </row>
    <row r="692" spans="1:46" ht="12.5" x14ac:dyDescent="0.25">
      <c r="A692" s="79">
        <v>44833.403482650465</v>
      </c>
      <c r="B692" s="80" t="s">
        <v>185</v>
      </c>
      <c r="C692" s="80" t="str">
        <f>INDEX(TBL_Name,MATCH(Table2[[#This Row],[Athlete Name]],listNames,0),2)</f>
        <v>Athlete 30</v>
      </c>
      <c r="D692" s="80" t="s">
        <v>130</v>
      </c>
      <c r="E692" s="80">
        <v>8</v>
      </c>
      <c r="F692" s="80">
        <v>4</v>
      </c>
      <c r="G692" s="80">
        <v>6</v>
      </c>
      <c r="H692" s="80" t="s">
        <v>1031</v>
      </c>
      <c r="I692" s="80">
        <v>8</v>
      </c>
      <c r="J692" s="80"/>
      <c r="K692" s="80"/>
      <c r="L692" s="80"/>
      <c r="M692" s="1" t="s">
        <v>1032</v>
      </c>
      <c r="N692" s="1">
        <v>40</v>
      </c>
      <c r="O692" s="1">
        <v>8</v>
      </c>
      <c r="P692" s="13">
        <v>44833</v>
      </c>
      <c r="Q692" s="1" t="s">
        <v>133</v>
      </c>
      <c r="R692" s="1" t="s">
        <v>64</v>
      </c>
      <c r="S692" s="1">
        <v>1</v>
      </c>
      <c r="T692" s="1" t="s">
        <v>942</v>
      </c>
      <c r="U692" s="1" t="s">
        <v>942</v>
      </c>
      <c r="V692" s="76">
        <v>7.6</v>
      </c>
      <c r="W692" s="76">
        <v>0.48989794855663565</v>
      </c>
      <c r="X692" s="77">
        <v>0.8164965809277267</v>
      </c>
      <c r="Y692" s="77">
        <v>3</v>
      </c>
      <c r="Z692" s="76">
        <v>4.8</v>
      </c>
      <c r="AA692" s="76">
        <v>0.74833147735478811</v>
      </c>
      <c r="AB692" s="77">
        <v>-1.0690449676496976</v>
      </c>
      <c r="AC692" s="77">
        <v>1</v>
      </c>
      <c r="AD692" s="76">
        <v>6.6</v>
      </c>
      <c r="AE692" s="76">
        <v>0.48989794855663554</v>
      </c>
      <c r="AF692" s="77">
        <v>-1.2247448713915885</v>
      </c>
      <c r="AG692" s="77">
        <v>1</v>
      </c>
      <c r="AH692" s="76">
        <v>7.6</v>
      </c>
      <c r="AI692" s="76">
        <v>0.79999999999999993</v>
      </c>
      <c r="AJ692" s="77">
        <v>0.50000000000000044</v>
      </c>
      <c r="AK692" s="77">
        <v>3</v>
      </c>
      <c r="AL692" s="76"/>
      <c r="AM692" s="76"/>
      <c r="AN692" s="77"/>
      <c r="AO692" s="77"/>
      <c r="AP692" s="76"/>
      <c r="AQ692" s="76"/>
      <c r="AR692" s="77"/>
      <c r="AS692" s="77"/>
      <c r="AT692" s="78">
        <v>0.5</v>
      </c>
    </row>
    <row r="693" spans="1:46" ht="12.5" x14ac:dyDescent="0.25">
      <c r="A693" s="79">
        <v>44833.432696898148</v>
      </c>
      <c r="B693" s="80" t="s">
        <v>19</v>
      </c>
      <c r="C693" s="80" t="str">
        <f>INDEX(TBL_Name,MATCH(Table2[[#This Row],[Athlete Name]],listNames,0),2)</f>
        <v>Athlete 11</v>
      </c>
      <c r="D693" s="80" t="s">
        <v>130</v>
      </c>
      <c r="E693" s="80">
        <v>4</v>
      </c>
      <c r="F693" s="80">
        <v>8</v>
      </c>
      <c r="G693" s="80">
        <v>8</v>
      </c>
      <c r="H693" s="80" t="s">
        <v>1033</v>
      </c>
      <c r="I693" s="80">
        <v>2</v>
      </c>
      <c r="J693" s="80"/>
      <c r="K693" s="80"/>
      <c r="L693" s="80"/>
      <c r="M693" s="1" t="s">
        <v>1034</v>
      </c>
      <c r="N693" s="1">
        <v>40</v>
      </c>
      <c r="O693" s="1">
        <v>8</v>
      </c>
      <c r="P693" s="13">
        <v>44833</v>
      </c>
      <c r="Q693" s="1" t="s">
        <v>133</v>
      </c>
      <c r="R693" s="1" t="s">
        <v>64</v>
      </c>
      <c r="S693" s="1">
        <v>1</v>
      </c>
      <c r="T693" s="1" t="s">
        <v>18</v>
      </c>
      <c r="U693" s="1" t="s">
        <v>18</v>
      </c>
      <c r="V693" s="76">
        <v>4.5</v>
      </c>
      <c r="W693" s="76">
        <v>0.5</v>
      </c>
      <c r="X693" s="77">
        <v>-1</v>
      </c>
      <c r="Y693" s="77">
        <v>1</v>
      </c>
      <c r="Z693" s="76">
        <v>7.5</v>
      </c>
      <c r="AA693" s="76">
        <v>0.5</v>
      </c>
      <c r="AB693" s="77">
        <v>1</v>
      </c>
      <c r="AC693" s="77">
        <v>4</v>
      </c>
      <c r="AD693" s="76">
        <v>7.5</v>
      </c>
      <c r="AE693" s="76">
        <v>0.5</v>
      </c>
      <c r="AF693" s="77">
        <v>1</v>
      </c>
      <c r="AG693" s="77">
        <v>4</v>
      </c>
      <c r="AH693" s="76">
        <v>4.5</v>
      </c>
      <c r="AI693" s="76">
        <v>2.5</v>
      </c>
      <c r="AJ693" s="77">
        <v>-1</v>
      </c>
      <c r="AK693" s="77">
        <v>1</v>
      </c>
      <c r="AL693" s="76"/>
      <c r="AM693" s="76"/>
      <c r="AN693" s="77"/>
      <c r="AO693" s="77"/>
      <c r="AP693" s="76"/>
      <c r="AQ693" s="76"/>
      <c r="AR693" s="77"/>
      <c r="AS693" s="77"/>
      <c r="AT693" s="78">
        <v>0.625</v>
      </c>
    </row>
    <row r="694" spans="1:46" ht="12.5" x14ac:dyDescent="0.25">
      <c r="A694" s="79">
        <v>44833.441037129625</v>
      </c>
      <c r="B694" s="80" t="s">
        <v>6</v>
      </c>
      <c r="C694" s="80" t="str">
        <f>INDEX(TBL_Name,MATCH(Table2[[#This Row],[Athlete Name]],listNames,0),2)</f>
        <v>Athlete 2</v>
      </c>
      <c r="D694" s="80" t="s">
        <v>130</v>
      </c>
      <c r="E694" s="80">
        <v>7</v>
      </c>
      <c r="F694" s="80">
        <v>5</v>
      </c>
      <c r="G694" s="80">
        <v>8</v>
      </c>
      <c r="H694" s="80" t="s">
        <v>73</v>
      </c>
      <c r="I694" s="80">
        <v>8</v>
      </c>
      <c r="J694" s="80"/>
      <c r="K694" s="80"/>
      <c r="L694" s="80"/>
      <c r="M694" s="1" t="s">
        <v>1035</v>
      </c>
      <c r="N694" s="1">
        <v>40</v>
      </c>
      <c r="O694" s="1">
        <v>8</v>
      </c>
      <c r="P694" s="13">
        <v>44833</v>
      </c>
      <c r="Q694" s="1" t="s">
        <v>133</v>
      </c>
      <c r="R694" s="1" t="s">
        <v>64</v>
      </c>
      <c r="S694" s="1">
        <v>1</v>
      </c>
      <c r="T694" s="1" t="s">
        <v>5</v>
      </c>
      <c r="U694" s="1" t="s">
        <v>5</v>
      </c>
      <c r="V694" s="76">
        <v>8.2857142857142865</v>
      </c>
      <c r="W694" s="76">
        <v>0.6998542122237652</v>
      </c>
      <c r="X694" s="77">
        <v>-1.8371173070873845</v>
      </c>
      <c r="Y694" s="77">
        <v>1</v>
      </c>
      <c r="Z694" s="76">
        <v>6.4285714285714288</v>
      </c>
      <c r="AA694" s="76">
        <v>1.5907898179514348</v>
      </c>
      <c r="AB694" s="77">
        <v>-0.89802651013387469</v>
      </c>
      <c r="AC694" s="77">
        <v>2</v>
      </c>
      <c r="AD694" s="76">
        <v>8</v>
      </c>
      <c r="AE694" s="76">
        <v>1.1952286093343936</v>
      </c>
      <c r="AF694" s="77">
        <v>0</v>
      </c>
      <c r="AG694" s="77">
        <v>3</v>
      </c>
      <c r="AH694" s="76">
        <v>8</v>
      </c>
      <c r="AI694" s="76">
        <v>0</v>
      </c>
      <c r="AJ694" s="77">
        <v>0</v>
      </c>
      <c r="AK694" s="77">
        <v>3</v>
      </c>
      <c r="AL694" s="76"/>
      <c r="AM694" s="76"/>
      <c r="AN694" s="77"/>
      <c r="AO694" s="77"/>
      <c r="AP694" s="76"/>
      <c r="AQ694" s="76"/>
      <c r="AR694" s="77"/>
      <c r="AS694" s="77"/>
      <c r="AT694" s="78">
        <v>0.5625</v>
      </c>
    </row>
    <row r="695" spans="1:46" ht="12.5" x14ac:dyDescent="0.25">
      <c r="A695" s="79">
        <v>44833.696198854166</v>
      </c>
      <c r="B695" s="80" t="s">
        <v>168</v>
      </c>
      <c r="C695" s="80" t="str">
        <f>INDEX(TBL_Name,MATCH(Table2[[#This Row],[Athlete Name]],listNames,0),2)</f>
        <v>Athlete 26</v>
      </c>
      <c r="D695" s="80" t="s">
        <v>130</v>
      </c>
      <c r="E695" s="80">
        <v>7</v>
      </c>
      <c r="F695" s="80">
        <v>8</v>
      </c>
      <c r="G695" s="80">
        <v>8</v>
      </c>
      <c r="H695" s="80"/>
      <c r="I695" s="80">
        <v>5</v>
      </c>
      <c r="J695" s="80"/>
      <c r="K695" s="80"/>
      <c r="L695" s="80"/>
      <c r="M695" s="1" t="s">
        <v>1036</v>
      </c>
      <c r="N695" s="1">
        <v>40</v>
      </c>
      <c r="O695" s="1">
        <v>8</v>
      </c>
      <c r="P695" s="13">
        <v>44833</v>
      </c>
      <c r="Q695" s="1" t="s">
        <v>133</v>
      </c>
      <c r="R695" s="1" t="s">
        <v>64</v>
      </c>
      <c r="S695" s="1">
        <v>1</v>
      </c>
      <c r="T695" s="1" t="s">
        <v>942</v>
      </c>
      <c r="U695" s="1" t="s">
        <v>942</v>
      </c>
      <c r="V695" s="76">
        <v>6.5</v>
      </c>
      <c r="W695" s="76">
        <v>0.5</v>
      </c>
      <c r="X695" s="77">
        <v>1</v>
      </c>
      <c r="Y695" s="77">
        <v>4</v>
      </c>
      <c r="Z695" s="76">
        <v>7</v>
      </c>
      <c r="AA695" s="76">
        <v>1</v>
      </c>
      <c r="AB695" s="77">
        <v>1</v>
      </c>
      <c r="AC695" s="77">
        <v>4</v>
      </c>
      <c r="AD695" s="76">
        <v>7.5</v>
      </c>
      <c r="AE695" s="76">
        <v>0.5</v>
      </c>
      <c r="AF695" s="77">
        <v>1</v>
      </c>
      <c r="AG695" s="77">
        <v>4</v>
      </c>
      <c r="AH695" s="76">
        <v>6</v>
      </c>
      <c r="AI695" s="76">
        <v>1</v>
      </c>
      <c r="AJ695" s="77">
        <v>-1</v>
      </c>
      <c r="AK695" s="77">
        <v>1</v>
      </c>
      <c r="AL695" s="76"/>
      <c r="AM695" s="76"/>
      <c r="AN695" s="77"/>
      <c r="AO695" s="77"/>
      <c r="AP695" s="76"/>
      <c r="AQ695" s="76"/>
      <c r="AR695" s="77"/>
      <c r="AS695" s="77"/>
      <c r="AT695" s="78">
        <v>0.8125</v>
      </c>
    </row>
    <row r="696" spans="1:46" ht="12.5" x14ac:dyDescent="0.25">
      <c r="A696" s="79">
        <v>44834.272075219909</v>
      </c>
      <c r="B696" s="80" t="s">
        <v>196</v>
      </c>
      <c r="C696" s="80" t="str">
        <f>INDEX(TBL_Name,MATCH(Table2[[#This Row],[Athlete Name]],listNames,0),2)</f>
        <v>Athlete 31</v>
      </c>
      <c r="D696" s="80" t="s">
        <v>130</v>
      </c>
      <c r="E696" s="80">
        <v>7</v>
      </c>
      <c r="F696" s="80">
        <v>9</v>
      </c>
      <c r="G696" s="80">
        <v>6.5</v>
      </c>
      <c r="H696" s="80" t="s">
        <v>1000</v>
      </c>
      <c r="I696" s="80">
        <v>8</v>
      </c>
      <c r="J696" s="80"/>
      <c r="K696" s="80"/>
      <c r="L696" s="80"/>
      <c r="M696" s="1" t="s">
        <v>1037</v>
      </c>
      <c r="N696" s="1">
        <v>40</v>
      </c>
      <c r="O696" s="1">
        <v>8</v>
      </c>
      <c r="P696" s="13">
        <v>44834</v>
      </c>
      <c r="Q696" s="1" t="s">
        <v>133</v>
      </c>
      <c r="R696" s="1" t="s">
        <v>64</v>
      </c>
      <c r="S696" s="1">
        <v>1</v>
      </c>
      <c r="T696" s="1" t="s">
        <v>942</v>
      </c>
      <c r="U696" s="1" t="s">
        <v>942</v>
      </c>
      <c r="V696" s="76">
        <v>6.4</v>
      </c>
      <c r="W696" s="76">
        <v>0.79999999999999993</v>
      </c>
      <c r="X696" s="77">
        <v>0.74999999999999967</v>
      </c>
      <c r="Y696" s="77">
        <v>3</v>
      </c>
      <c r="Z696" s="76">
        <v>8.1999999999999993</v>
      </c>
      <c r="AA696" s="76">
        <v>0.74833147735478833</v>
      </c>
      <c r="AB696" s="77">
        <v>1.0690449676496985</v>
      </c>
      <c r="AC696" s="77">
        <v>4</v>
      </c>
      <c r="AD696" s="76">
        <v>8.1</v>
      </c>
      <c r="AE696" s="76">
        <v>0.91651513899116788</v>
      </c>
      <c r="AF696" s="77">
        <v>-1.7457431218879389</v>
      </c>
      <c r="AG696" s="77">
        <v>1</v>
      </c>
      <c r="AH696" s="76">
        <v>7.4</v>
      </c>
      <c r="AI696" s="76">
        <v>1.2</v>
      </c>
      <c r="AJ696" s="77">
        <v>0.49999999999999972</v>
      </c>
      <c r="AK696" s="77">
        <v>3</v>
      </c>
      <c r="AL696" s="76"/>
      <c r="AM696" s="76"/>
      <c r="AN696" s="77"/>
      <c r="AO696" s="77"/>
      <c r="AP696" s="76"/>
      <c r="AQ696" s="76"/>
      <c r="AR696" s="77"/>
      <c r="AS696" s="77"/>
      <c r="AT696" s="78">
        <v>0.6875</v>
      </c>
    </row>
    <row r="697" spans="1:46" ht="12.5" x14ac:dyDescent="0.25">
      <c r="A697" s="79">
        <v>44834.283974548613</v>
      </c>
      <c r="B697" s="80" t="s">
        <v>10</v>
      </c>
      <c r="C697" s="80" t="str">
        <f>INDEX(TBL_Name,MATCH(Table2[[#This Row],[Athlete Name]],listNames,0),2)</f>
        <v>Athlete 5</v>
      </c>
      <c r="D697" s="80" t="s">
        <v>130</v>
      </c>
      <c r="E697" s="80">
        <v>9</v>
      </c>
      <c r="F697" s="80">
        <v>6</v>
      </c>
      <c r="G697" s="80">
        <v>6</v>
      </c>
      <c r="H697" s="80" t="s">
        <v>450</v>
      </c>
      <c r="I697" s="80">
        <v>7</v>
      </c>
      <c r="J697" s="80"/>
      <c r="K697" s="80"/>
      <c r="L697" s="80"/>
      <c r="M697" s="1" t="s">
        <v>1038</v>
      </c>
      <c r="N697" s="1">
        <v>40</v>
      </c>
      <c r="O697" s="1">
        <v>8</v>
      </c>
      <c r="P697" s="13">
        <v>44834</v>
      </c>
      <c r="Q697" s="1" t="s">
        <v>133</v>
      </c>
      <c r="R697" s="1" t="s">
        <v>64</v>
      </c>
      <c r="S697" s="1">
        <v>1</v>
      </c>
      <c r="T697" s="1" t="s">
        <v>11</v>
      </c>
      <c r="U697" s="1" t="s">
        <v>11</v>
      </c>
      <c r="V697" s="76">
        <v>8.8333333333333339</v>
      </c>
      <c r="W697" s="76">
        <v>0.68718427093627699</v>
      </c>
      <c r="X697" s="77">
        <v>0.24253562503633203</v>
      </c>
      <c r="Y697" s="77">
        <v>3</v>
      </c>
      <c r="Z697" s="76">
        <v>7.833333333333333</v>
      </c>
      <c r="AA697" s="76">
        <v>1.2133516482134197</v>
      </c>
      <c r="AB697" s="77">
        <v>-1.5109662034355791</v>
      </c>
      <c r="AC697" s="77">
        <v>1</v>
      </c>
      <c r="AD697" s="76">
        <v>7.833333333333333</v>
      </c>
      <c r="AE697" s="76">
        <v>1.2133516482134197</v>
      </c>
      <c r="AF697" s="77">
        <v>-1.5109662034355791</v>
      </c>
      <c r="AG697" s="77">
        <v>1</v>
      </c>
      <c r="AH697" s="76">
        <v>7</v>
      </c>
      <c r="AI697" s="76">
        <v>1.5275252316519468</v>
      </c>
      <c r="AJ697" s="77">
        <v>0</v>
      </c>
      <c r="AK697" s="77">
        <v>3</v>
      </c>
      <c r="AL697" s="76"/>
      <c r="AM697" s="76"/>
      <c r="AN697" s="77"/>
      <c r="AO697" s="77"/>
      <c r="AP697" s="76"/>
      <c r="AQ697" s="76"/>
      <c r="AR697" s="77"/>
      <c r="AS697" s="77"/>
      <c r="AT697" s="78">
        <v>0.5</v>
      </c>
    </row>
    <row r="698" spans="1:46" ht="12.5" x14ac:dyDescent="0.25">
      <c r="A698" s="79">
        <v>44834.32660049769</v>
      </c>
      <c r="B698" s="80" t="s">
        <v>17</v>
      </c>
      <c r="C698" s="80" t="str">
        <f>INDEX(TBL_Name,MATCH(Table2[[#This Row],[Athlete Name]],listNames,0),2)</f>
        <v>Athlete 10</v>
      </c>
      <c r="D698" s="80" t="s">
        <v>130</v>
      </c>
      <c r="E698" s="80">
        <v>8</v>
      </c>
      <c r="F698" s="80">
        <v>7</v>
      </c>
      <c r="G698" s="80">
        <v>6</v>
      </c>
      <c r="H698" s="80" t="s">
        <v>131</v>
      </c>
      <c r="I698" s="80">
        <v>7</v>
      </c>
      <c r="J698" s="80"/>
      <c r="K698" s="80"/>
      <c r="L698" s="80"/>
      <c r="M698" s="1" t="s">
        <v>1039</v>
      </c>
      <c r="N698" s="1">
        <v>40</v>
      </c>
      <c r="O698" s="1">
        <v>8</v>
      </c>
      <c r="P698" s="13">
        <v>44834</v>
      </c>
      <c r="Q698" s="1" t="s">
        <v>133</v>
      </c>
      <c r="R698" s="1" t="s">
        <v>64</v>
      </c>
      <c r="S698" s="1">
        <v>1</v>
      </c>
      <c r="T698" s="1" t="s">
        <v>18</v>
      </c>
      <c r="U698" s="1" t="s">
        <v>18</v>
      </c>
      <c r="V698" s="76">
        <v>7.5</v>
      </c>
      <c r="W698" s="76">
        <v>1.1180339887498949</v>
      </c>
      <c r="X698" s="77">
        <v>0.44721359549995793</v>
      </c>
      <c r="Y698" s="77">
        <v>3</v>
      </c>
      <c r="Z698" s="76">
        <v>7.333333333333333</v>
      </c>
      <c r="AA698" s="76">
        <v>2.1343747458109497</v>
      </c>
      <c r="AB698" s="77">
        <v>-0.15617376188860593</v>
      </c>
      <c r="AC698" s="77">
        <v>2</v>
      </c>
      <c r="AD698" s="76">
        <v>7.5</v>
      </c>
      <c r="AE698" s="76">
        <v>2.5</v>
      </c>
      <c r="AF698" s="77">
        <v>-0.6</v>
      </c>
      <c r="AG698" s="77">
        <v>2</v>
      </c>
      <c r="AH698" s="76">
        <v>7</v>
      </c>
      <c r="AI698" s="76">
        <v>0.81649658092772603</v>
      </c>
      <c r="AJ698" s="77">
        <v>0</v>
      </c>
      <c r="AK698" s="77">
        <v>3</v>
      </c>
      <c r="AL698" s="76"/>
      <c r="AM698" s="76"/>
      <c r="AN698" s="77"/>
      <c r="AO698" s="77"/>
      <c r="AP698" s="76"/>
      <c r="AQ698" s="76"/>
      <c r="AR698" s="77"/>
      <c r="AS698" s="77"/>
      <c r="AT698" s="78">
        <v>0.625</v>
      </c>
    </row>
    <row r="699" spans="1:46" ht="12.5" x14ac:dyDescent="0.25">
      <c r="A699" s="79">
        <v>44834.327794247685</v>
      </c>
      <c r="B699" s="80" t="s">
        <v>6</v>
      </c>
      <c r="C699" s="80" t="str">
        <f>INDEX(TBL_Name,MATCH(Table2[[#This Row],[Athlete Name]],listNames,0),2)</f>
        <v>Athlete 2</v>
      </c>
      <c r="D699" s="80" t="s">
        <v>130</v>
      </c>
      <c r="E699" s="80">
        <v>9</v>
      </c>
      <c r="F699" s="80">
        <v>7</v>
      </c>
      <c r="G699" s="80">
        <v>9</v>
      </c>
      <c r="H699" s="80" t="s">
        <v>73</v>
      </c>
      <c r="I699" s="80">
        <v>9</v>
      </c>
      <c r="J699" s="80"/>
      <c r="K699" s="80"/>
      <c r="L699" s="80"/>
      <c r="M699" s="1" t="s">
        <v>1040</v>
      </c>
      <c r="N699" s="1">
        <v>40</v>
      </c>
      <c r="O699" s="1">
        <v>8</v>
      </c>
      <c r="P699" s="13">
        <v>44834</v>
      </c>
      <c r="Q699" s="1" t="s">
        <v>133</v>
      </c>
      <c r="R699" s="1" t="s">
        <v>64</v>
      </c>
      <c r="S699" s="1">
        <v>1</v>
      </c>
      <c r="T699" s="1" t="s">
        <v>5</v>
      </c>
      <c r="U699" s="1" t="s">
        <v>5</v>
      </c>
      <c r="V699" s="76">
        <v>8.4285714285714288</v>
      </c>
      <c r="W699" s="76">
        <v>0.72843135908468348</v>
      </c>
      <c r="X699" s="77">
        <v>0.78446454055273585</v>
      </c>
      <c r="Y699" s="77">
        <v>3</v>
      </c>
      <c r="Z699" s="76">
        <v>6.1428571428571432</v>
      </c>
      <c r="AA699" s="76">
        <v>1.2453996981544782</v>
      </c>
      <c r="AB699" s="77">
        <v>0.68824720161168496</v>
      </c>
      <c r="AC699" s="77">
        <v>3</v>
      </c>
      <c r="AD699" s="76">
        <v>7.8571428571428568</v>
      </c>
      <c r="AE699" s="76">
        <v>0.98974331861078735</v>
      </c>
      <c r="AF699" s="77">
        <v>1.1547005383792515</v>
      </c>
      <c r="AG699" s="77">
        <v>4</v>
      </c>
      <c r="AH699" s="76">
        <v>8.1428571428571423</v>
      </c>
      <c r="AI699" s="76">
        <v>0.34992710611188266</v>
      </c>
      <c r="AJ699" s="77">
        <v>2.4494897427831792</v>
      </c>
      <c r="AK699" s="77">
        <v>4</v>
      </c>
      <c r="AL699" s="76"/>
      <c r="AM699" s="76"/>
      <c r="AN699" s="77"/>
      <c r="AO699" s="77"/>
      <c r="AP699" s="76"/>
      <c r="AQ699" s="76"/>
      <c r="AR699" s="77"/>
      <c r="AS699" s="77"/>
      <c r="AT699" s="78">
        <v>0.875</v>
      </c>
    </row>
    <row r="700" spans="1:46" ht="12.5" x14ac:dyDescent="0.25">
      <c r="A700" s="79">
        <v>44834.360716747688</v>
      </c>
      <c r="B700" s="80" t="s">
        <v>21</v>
      </c>
      <c r="C700" s="80" t="str">
        <f>INDEX(TBL_Name,MATCH(Table2[[#This Row],[Athlete Name]],listNames,0),2)</f>
        <v>Athlete 13</v>
      </c>
      <c r="D700" s="80" t="s">
        <v>130</v>
      </c>
      <c r="E700" s="80">
        <v>8</v>
      </c>
      <c r="F700" s="80">
        <v>8</v>
      </c>
      <c r="G700" s="80">
        <v>9</v>
      </c>
      <c r="H700" s="80" t="s">
        <v>607</v>
      </c>
      <c r="I700" s="80">
        <v>8</v>
      </c>
      <c r="J700" s="80"/>
      <c r="K700" s="80"/>
      <c r="L700" s="80"/>
      <c r="M700" s="1" t="s">
        <v>1041</v>
      </c>
      <c r="N700" s="1">
        <v>40</v>
      </c>
      <c r="O700" s="1">
        <v>8</v>
      </c>
      <c r="P700" s="13">
        <v>44834</v>
      </c>
      <c r="Q700" s="1" t="s">
        <v>133</v>
      </c>
      <c r="R700" s="1" t="s">
        <v>64</v>
      </c>
      <c r="S700" s="1">
        <v>1</v>
      </c>
      <c r="T700" s="1" t="s">
        <v>18</v>
      </c>
      <c r="U700" s="1" t="s">
        <v>18</v>
      </c>
      <c r="V700" s="76">
        <v>8.1666666666666661</v>
      </c>
      <c r="W700" s="76">
        <v>0.68718427093627654</v>
      </c>
      <c r="X700" s="77">
        <v>-0.24253562503633219</v>
      </c>
      <c r="Y700" s="77">
        <v>2</v>
      </c>
      <c r="Z700" s="76">
        <v>8</v>
      </c>
      <c r="AA700" s="76">
        <v>1.4142135623730951</v>
      </c>
      <c r="AB700" s="77">
        <v>0</v>
      </c>
      <c r="AC700" s="77">
        <v>3</v>
      </c>
      <c r="AD700" s="76">
        <v>8.5</v>
      </c>
      <c r="AE700" s="76">
        <v>0.76376261582597338</v>
      </c>
      <c r="AF700" s="77">
        <v>0.65465367070797709</v>
      </c>
      <c r="AG700" s="77">
        <v>3</v>
      </c>
      <c r="AH700" s="76">
        <v>7.333333333333333</v>
      </c>
      <c r="AI700" s="76">
        <v>1.247219128924647</v>
      </c>
      <c r="AJ700" s="77">
        <v>0.53452248382484902</v>
      </c>
      <c r="AK700" s="77">
        <v>3</v>
      </c>
      <c r="AL700" s="76"/>
      <c r="AM700" s="76"/>
      <c r="AN700" s="77"/>
      <c r="AO700" s="77"/>
      <c r="AP700" s="76"/>
      <c r="AQ700" s="76"/>
      <c r="AR700" s="77"/>
      <c r="AS700" s="77"/>
      <c r="AT700" s="78">
        <v>0.6875</v>
      </c>
    </row>
    <row r="701" spans="1:46" ht="12.5" x14ac:dyDescent="0.25">
      <c r="A701" s="79">
        <v>44835.357974756946</v>
      </c>
      <c r="B701" s="80" t="s">
        <v>6</v>
      </c>
      <c r="C701" s="80" t="str">
        <f>INDEX(TBL_Name,MATCH(Table2[[#This Row],[Athlete Name]],listNames,0),2)</f>
        <v>Athlete 2</v>
      </c>
      <c r="D701" s="80" t="s">
        <v>130</v>
      </c>
      <c r="E701" s="80">
        <v>9</v>
      </c>
      <c r="F701" s="80">
        <v>7</v>
      </c>
      <c r="G701" s="80">
        <v>9</v>
      </c>
      <c r="H701" s="80" t="s">
        <v>73</v>
      </c>
      <c r="I701" s="80">
        <v>8</v>
      </c>
      <c r="J701" s="80"/>
      <c r="K701" s="80"/>
      <c r="L701" s="80"/>
      <c r="M701" s="1" t="s">
        <v>1042</v>
      </c>
      <c r="N701" s="1">
        <v>40</v>
      </c>
      <c r="O701" s="1">
        <v>8</v>
      </c>
      <c r="P701" s="13">
        <v>44835</v>
      </c>
      <c r="Q701" s="1" t="s">
        <v>133</v>
      </c>
      <c r="R701" s="1" t="s">
        <v>64</v>
      </c>
      <c r="S701" s="1">
        <v>1</v>
      </c>
      <c r="T701" s="1" t="s">
        <v>5</v>
      </c>
      <c r="U701" s="1" t="s">
        <v>5</v>
      </c>
      <c r="V701" s="76">
        <v>8.5714285714285712</v>
      </c>
      <c r="W701" s="76">
        <v>0.72843135908468359</v>
      </c>
      <c r="X701" s="77">
        <v>0.58834840541455236</v>
      </c>
      <c r="Y701" s="77">
        <v>3</v>
      </c>
      <c r="Z701" s="76">
        <v>6.2857142857142856</v>
      </c>
      <c r="AA701" s="76">
        <v>1.2777531299998799</v>
      </c>
      <c r="AB701" s="77">
        <v>0.55901699437494745</v>
      </c>
      <c r="AC701" s="77">
        <v>3</v>
      </c>
      <c r="AD701" s="76">
        <v>8.1428571428571423</v>
      </c>
      <c r="AE701" s="76">
        <v>0.98974331861078702</v>
      </c>
      <c r="AF701" s="77">
        <v>0.86602540378443915</v>
      </c>
      <c r="AG701" s="77">
        <v>3</v>
      </c>
      <c r="AH701" s="76">
        <v>8.1428571428571423</v>
      </c>
      <c r="AI701" s="76">
        <v>0.34992710611188266</v>
      </c>
      <c r="AJ701" s="77">
        <v>-0.40824829046386146</v>
      </c>
      <c r="AK701" s="77">
        <v>2</v>
      </c>
      <c r="AL701" s="76"/>
      <c r="AM701" s="76"/>
      <c r="AN701" s="77"/>
      <c r="AO701" s="77"/>
      <c r="AP701" s="76"/>
      <c r="AQ701" s="76"/>
      <c r="AR701" s="77"/>
      <c r="AS701" s="77"/>
      <c r="AT701" s="78">
        <v>0.6875</v>
      </c>
    </row>
    <row r="702" spans="1:46" ht="12.5" x14ac:dyDescent="0.25">
      <c r="A702" s="79">
        <v>44835.372255150462</v>
      </c>
      <c r="B702" s="80" t="s">
        <v>17</v>
      </c>
      <c r="C702" s="80" t="str">
        <f>INDEX(TBL_Name,MATCH(Table2[[#This Row],[Athlete Name]],listNames,0),2)</f>
        <v>Athlete 10</v>
      </c>
      <c r="D702" s="80" t="s">
        <v>130</v>
      </c>
      <c r="E702" s="80">
        <v>8</v>
      </c>
      <c r="F702" s="80">
        <v>7</v>
      </c>
      <c r="G702" s="80">
        <v>10</v>
      </c>
      <c r="H702" s="80" t="s">
        <v>131</v>
      </c>
      <c r="I702" s="80">
        <v>8</v>
      </c>
      <c r="J702" s="80"/>
      <c r="K702" s="80"/>
      <c r="L702" s="80"/>
      <c r="M702" s="1" t="s">
        <v>1043</v>
      </c>
      <c r="N702" s="1">
        <v>40</v>
      </c>
      <c r="O702" s="1">
        <v>8</v>
      </c>
      <c r="P702" s="13">
        <v>44835</v>
      </c>
      <c r="Q702" s="1" t="s">
        <v>133</v>
      </c>
      <c r="R702" s="1" t="s">
        <v>64</v>
      </c>
      <c r="S702" s="1">
        <v>1</v>
      </c>
      <c r="T702" s="1" t="s">
        <v>18</v>
      </c>
      <c r="U702" s="1" t="s">
        <v>18</v>
      </c>
      <c r="V702" s="76">
        <v>7.5</v>
      </c>
      <c r="W702" s="76">
        <v>1.1180339887498949</v>
      </c>
      <c r="X702" s="77">
        <v>0.44721359549995793</v>
      </c>
      <c r="Y702" s="77">
        <v>3</v>
      </c>
      <c r="Z702" s="76">
        <v>8</v>
      </c>
      <c r="AA702" s="76">
        <v>0.99999999999999967</v>
      </c>
      <c r="AB702" s="77">
        <v>-1.0000000000000004</v>
      </c>
      <c r="AC702" s="77">
        <v>1</v>
      </c>
      <c r="AD702" s="76">
        <v>8.5</v>
      </c>
      <c r="AE702" s="76">
        <v>2.0615528128088298</v>
      </c>
      <c r="AF702" s="77">
        <v>0.72760687510899902</v>
      </c>
      <c r="AG702" s="77">
        <v>3</v>
      </c>
      <c r="AH702" s="76">
        <v>7.166666666666667</v>
      </c>
      <c r="AI702" s="76">
        <v>0.89752746785575066</v>
      </c>
      <c r="AJ702" s="77">
        <v>0.92847669088525897</v>
      </c>
      <c r="AK702" s="77">
        <v>3</v>
      </c>
      <c r="AL702" s="76"/>
      <c r="AM702" s="76"/>
      <c r="AN702" s="77"/>
      <c r="AO702" s="77"/>
      <c r="AP702" s="76"/>
      <c r="AQ702" s="76"/>
      <c r="AR702" s="77"/>
      <c r="AS702" s="77"/>
      <c r="AT702" s="78">
        <v>0.625</v>
      </c>
    </row>
    <row r="703" spans="1:46" ht="12.5" x14ac:dyDescent="0.25">
      <c r="A703" s="79">
        <v>44835.372367546297</v>
      </c>
      <c r="B703" s="80" t="s">
        <v>21</v>
      </c>
      <c r="C703" s="80" t="str">
        <f>INDEX(TBL_Name,MATCH(Table2[[#This Row],[Athlete Name]],listNames,0),2)</f>
        <v>Athlete 13</v>
      </c>
      <c r="D703" s="80" t="s">
        <v>130</v>
      </c>
      <c r="E703" s="80">
        <v>8</v>
      </c>
      <c r="F703" s="80">
        <v>8</v>
      </c>
      <c r="G703" s="80">
        <v>9</v>
      </c>
      <c r="H703" s="80" t="s">
        <v>607</v>
      </c>
      <c r="I703" s="80">
        <v>8</v>
      </c>
      <c r="J703" s="80"/>
      <c r="K703" s="80"/>
      <c r="L703" s="80"/>
      <c r="M703" s="1" t="s">
        <v>1044</v>
      </c>
      <c r="N703" s="1">
        <v>40</v>
      </c>
      <c r="O703" s="1">
        <v>8</v>
      </c>
      <c r="P703" s="13">
        <v>44835</v>
      </c>
      <c r="Q703" s="1" t="s">
        <v>133</v>
      </c>
      <c r="R703" s="1" t="s">
        <v>64</v>
      </c>
      <c r="S703" s="1">
        <v>1</v>
      </c>
      <c r="T703" s="1" t="s">
        <v>18</v>
      </c>
      <c r="U703" s="1" t="s">
        <v>18</v>
      </c>
      <c r="V703" s="76">
        <v>8</v>
      </c>
      <c r="W703" s="76">
        <v>0.57735026918962584</v>
      </c>
      <c r="X703" s="77">
        <v>0</v>
      </c>
      <c r="Y703" s="77">
        <v>3</v>
      </c>
      <c r="Z703" s="76">
        <v>7.833333333333333</v>
      </c>
      <c r="AA703" s="76">
        <v>1.3437096247164249</v>
      </c>
      <c r="AB703" s="77">
        <v>0.12403473458920869</v>
      </c>
      <c r="AC703" s="77">
        <v>3</v>
      </c>
      <c r="AD703" s="76">
        <v>8.6666666666666661</v>
      </c>
      <c r="AE703" s="76">
        <v>0.74535599249993001</v>
      </c>
      <c r="AF703" s="77">
        <v>0.44721359549995865</v>
      </c>
      <c r="AG703" s="77">
        <v>3</v>
      </c>
      <c r="AH703" s="76">
        <v>7.833333333333333</v>
      </c>
      <c r="AI703" s="76">
        <v>0.68718427093627676</v>
      </c>
      <c r="AJ703" s="77">
        <v>0.24253562503633341</v>
      </c>
      <c r="AK703" s="77">
        <v>3</v>
      </c>
      <c r="AL703" s="76"/>
      <c r="AM703" s="76"/>
      <c r="AN703" s="77"/>
      <c r="AO703" s="77"/>
      <c r="AP703" s="76"/>
      <c r="AQ703" s="76"/>
      <c r="AR703" s="77"/>
      <c r="AS703" s="77"/>
      <c r="AT703" s="78">
        <v>0.75</v>
      </c>
    </row>
    <row r="704" spans="1:46" ht="12.5" x14ac:dyDescent="0.25">
      <c r="A704" s="79">
        <v>44835.372665150462</v>
      </c>
      <c r="B704" s="80" t="s">
        <v>225</v>
      </c>
      <c r="C704" s="80" t="str">
        <f>INDEX(TBL_Name,MATCH(Table2[[#This Row],[Athlete Name]],listNames,0),2)</f>
        <v>Athlete 32</v>
      </c>
      <c r="D704" s="80" t="s">
        <v>130</v>
      </c>
      <c r="E704" s="80">
        <v>10</v>
      </c>
      <c r="F704" s="80">
        <v>10</v>
      </c>
      <c r="G704" s="80">
        <v>8</v>
      </c>
      <c r="H704" s="80"/>
      <c r="I704" s="80">
        <v>10</v>
      </c>
      <c r="J704" s="80"/>
      <c r="K704" s="80"/>
      <c r="L704" s="80"/>
      <c r="M704" s="1" t="s">
        <v>1045</v>
      </c>
      <c r="N704" s="1">
        <v>40</v>
      </c>
      <c r="O704" s="1">
        <v>8</v>
      </c>
      <c r="P704" s="13">
        <v>44835</v>
      </c>
      <c r="Q704" s="1" t="s">
        <v>133</v>
      </c>
      <c r="R704" s="1" t="s">
        <v>64</v>
      </c>
      <c r="S704" s="1">
        <v>1</v>
      </c>
      <c r="T704" s="1" t="s">
        <v>942</v>
      </c>
      <c r="U704" s="1" t="s">
        <v>942</v>
      </c>
      <c r="V704" s="76">
        <v>10</v>
      </c>
      <c r="W704" s="76">
        <v>0</v>
      </c>
      <c r="X704" s="77">
        <v>0</v>
      </c>
      <c r="Y704" s="77">
        <v>3</v>
      </c>
      <c r="Z704" s="76">
        <v>9.4</v>
      </c>
      <c r="AA704" s="76">
        <v>1.2</v>
      </c>
      <c r="AB704" s="77">
        <v>0.49999999999999972</v>
      </c>
      <c r="AC704" s="77">
        <v>3</v>
      </c>
      <c r="AD704" s="76">
        <v>8</v>
      </c>
      <c r="AE704" s="76">
        <v>0.63245553203367599</v>
      </c>
      <c r="AF704" s="77">
        <v>0</v>
      </c>
      <c r="AG704" s="77">
        <v>3</v>
      </c>
      <c r="AH704" s="76">
        <v>8.4</v>
      </c>
      <c r="AI704" s="76">
        <v>1.8547236990991407</v>
      </c>
      <c r="AJ704" s="77">
        <v>0.86266218562750718</v>
      </c>
      <c r="AK704" s="77">
        <v>3</v>
      </c>
      <c r="AL704" s="76"/>
      <c r="AM704" s="76"/>
      <c r="AN704" s="77"/>
      <c r="AO704" s="77"/>
      <c r="AP704" s="76"/>
      <c r="AQ704" s="76"/>
      <c r="AR704" s="77"/>
      <c r="AS704" s="77"/>
      <c r="AT704" s="78">
        <v>0.75</v>
      </c>
    </row>
    <row r="705" spans="1:46" ht="12.5" x14ac:dyDescent="0.25">
      <c r="A705" s="79">
        <v>44835.373061377315</v>
      </c>
      <c r="B705" s="80" t="s">
        <v>10</v>
      </c>
      <c r="C705" s="80" t="str">
        <f>INDEX(TBL_Name,MATCH(Table2[[#This Row],[Athlete Name]],listNames,0),2)</f>
        <v>Athlete 5</v>
      </c>
      <c r="D705" s="80" t="s">
        <v>130</v>
      </c>
      <c r="E705" s="80">
        <v>8</v>
      </c>
      <c r="F705" s="80">
        <v>9</v>
      </c>
      <c r="G705" s="80">
        <v>9</v>
      </c>
      <c r="H705" s="80" t="s">
        <v>450</v>
      </c>
      <c r="I705" s="80">
        <v>8</v>
      </c>
      <c r="J705" s="80"/>
      <c r="K705" s="80"/>
      <c r="L705" s="80"/>
      <c r="M705" s="1" t="s">
        <v>1046</v>
      </c>
      <c r="N705" s="1">
        <v>40</v>
      </c>
      <c r="O705" s="1">
        <v>8</v>
      </c>
      <c r="P705" s="13">
        <v>44835</v>
      </c>
      <c r="Q705" s="1" t="s">
        <v>133</v>
      </c>
      <c r="R705" s="1" t="s">
        <v>64</v>
      </c>
      <c r="S705" s="1">
        <v>1</v>
      </c>
      <c r="T705" s="1" t="s">
        <v>11</v>
      </c>
      <c r="U705" s="1" t="s">
        <v>11</v>
      </c>
      <c r="V705" s="76">
        <v>8.6666666666666661</v>
      </c>
      <c r="W705" s="76">
        <v>0.74535599249993001</v>
      </c>
      <c r="X705" s="77">
        <v>-0.89442719099991497</v>
      </c>
      <c r="Y705" s="77">
        <v>2</v>
      </c>
      <c r="Z705" s="76">
        <v>8.1666666666666661</v>
      </c>
      <c r="AA705" s="76">
        <v>1.2133516482134197</v>
      </c>
      <c r="AB705" s="77">
        <v>0.68680281974344559</v>
      </c>
      <c r="AC705" s="77">
        <v>3</v>
      </c>
      <c r="AD705" s="76">
        <v>8.1666666666666661</v>
      </c>
      <c r="AE705" s="76">
        <v>1.2133516482134197</v>
      </c>
      <c r="AF705" s="77">
        <v>0.68680281974344559</v>
      </c>
      <c r="AG705" s="77">
        <v>3</v>
      </c>
      <c r="AH705" s="76">
        <v>7.666666666666667</v>
      </c>
      <c r="AI705" s="76">
        <v>0.74535599249993001</v>
      </c>
      <c r="AJ705" s="77">
        <v>0.44721359549995748</v>
      </c>
      <c r="AK705" s="77">
        <v>3</v>
      </c>
      <c r="AL705" s="76"/>
      <c r="AM705" s="76"/>
      <c r="AN705" s="77"/>
      <c r="AO705" s="77"/>
      <c r="AP705" s="76"/>
      <c r="AQ705" s="76"/>
      <c r="AR705" s="77"/>
      <c r="AS705" s="77"/>
      <c r="AT705" s="78">
        <v>0.6875</v>
      </c>
    </row>
    <row r="706" spans="1:46" ht="12.5" x14ac:dyDescent="0.25">
      <c r="A706" s="79">
        <v>44835.373776608802</v>
      </c>
      <c r="B706" s="80" t="s">
        <v>168</v>
      </c>
      <c r="C706" s="80" t="str">
        <f>INDEX(TBL_Name,MATCH(Table2[[#This Row],[Athlete Name]],listNames,0),2)</f>
        <v>Athlete 26</v>
      </c>
      <c r="D706" s="80" t="s">
        <v>130</v>
      </c>
      <c r="E706" s="80">
        <v>7</v>
      </c>
      <c r="F706" s="80">
        <v>9</v>
      </c>
      <c r="G706" s="80">
        <v>8</v>
      </c>
      <c r="H706" s="80" t="s">
        <v>228</v>
      </c>
      <c r="I706" s="80">
        <v>5</v>
      </c>
      <c r="J706" s="80"/>
      <c r="K706" s="80"/>
      <c r="L706" s="80"/>
      <c r="M706" s="1" t="s">
        <v>1047</v>
      </c>
      <c r="N706" s="1">
        <v>40</v>
      </c>
      <c r="O706" s="1">
        <v>8</v>
      </c>
      <c r="P706" s="13">
        <v>44835</v>
      </c>
      <c r="Q706" s="1" t="s">
        <v>133</v>
      </c>
      <c r="R706" s="1" t="s">
        <v>64</v>
      </c>
      <c r="S706" s="1">
        <v>1</v>
      </c>
      <c r="T706" s="1" t="s">
        <v>942</v>
      </c>
      <c r="U706" s="1" t="s">
        <v>942</v>
      </c>
      <c r="V706" s="76">
        <v>6.666666666666667</v>
      </c>
      <c r="W706" s="76">
        <v>0.47140452079103162</v>
      </c>
      <c r="X706" s="77">
        <v>0.70710678118654702</v>
      </c>
      <c r="Y706" s="77">
        <v>3</v>
      </c>
      <c r="Z706" s="76">
        <v>7.666666666666667</v>
      </c>
      <c r="AA706" s="76">
        <v>1.247219128924647</v>
      </c>
      <c r="AB706" s="77">
        <v>1.0690449676496974</v>
      </c>
      <c r="AC706" s="77">
        <v>4</v>
      </c>
      <c r="AD706" s="76">
        <v>7.666666666666667</v>
      </c>
      <c r="AE706" s="76">
        <v>0.47140452079103162</v>
      </c>
      <c r="AF706" s="77">
        <v>0.70710678118654702</v>
      </c>
      <c r="AG706" s="77">
        <v>3</v>
      </c>
      <c r="AH706" s="76">
        <v>5.666666666666667</v>
      </c>
      <c r="AI706" s="76">
        <v>0.94280904158206336</v>
      </c>
      <c r="AJ706" s="77">
        <v>-0.70710678118654779</v>
      </c>
      <c r="AK706" s="77">
        <v>2</v>
      </c>
      <c r="AL706" s="76"/>
      <c r="AM706" s="76"/>
      <c r="AN706" s="77"/>
      <c r="AO706" s="77"/>
      <c r="AP706" s="76"/>
      <c r="AQ706" s="76"/>
      <c r="AR706" s="77"/>
      <c r="AS706" s="77"/>
      <c r="AT706" s="78">
        <v>0.75</v>
      </c>
    </row>
    <row r="707" spans="1:46" ht="12.5" x14ac:dyDescent="0.25">
      <c r="A707" s="79">
        <v>44835.373921226856</v>
      </c>
      <c r="B707" s="80" t="s">
        <v>185</v>
      </c>
      <c r="C707" s="80" t="str">
        <f>INDEX(TBL_Name,MATCH(Table2[[#This Row],[Athlete Name]],listNames,0),2)</f>
        <v>Athlete 30</v>
      </c>
      <c r="D707" s="80" t="s">
        <v>130</v>
      </c>
      <c r="E707" s="80">
        <v>9</v>
      </c>
      <c r="F707" s="80">
        <v>6</v>
      </c>
      <c r="G707" s="80">
        <v>10</v>
      </c>
      <c r="H707" s="80" t="s">
        <v>1031</v>
      </c>
      <c r="I707" s="80">
        <v>8</v>
      </c>
      <c r="J707" s="80"/>
      <c r="K707" s="80"/>
      <c r="L707" s="80"/>
      <c r="M707" s="1" t="s">
        <v>1048</v>
      </c>
      <c r="N707" s="1">
        <v>40</v>
      </c>
      <c r="O707" s="1">
        <v>8</v>
      </c>
      <c r="P707" s="13">
        <v>44835</v>
      </c>
      <c r="Q707" s="1" t="s">
        <v>133</v>
      </c>
      <c r="R707" s="1" t="s">
        <v>64</v>
      </c>
      <c r="S707" s="1">
        <v>1</v>
      </c>
      <c r="T707" s="1" t="s">
        <v>942</v>
      </c>
      <c r="U707" s="1" t="s">
        <v>942</v>
      </c>
      <c r="V707" s="76">
        <v>8</v>
      </c>
      <c r="W707" s="76">
        <v>0.70710678118654746</v>
      </c>
      <c r="X707" s="77">
        <v>1.4142135623730951</v>
      </c>
      <c r="Y707" s="77">
        <v>4</v>
      </c>
      <c r="Z707" s="76">
        <v>5.25</v>
      </c>
      <c r="AA707" s="76">
        <v>0.82915619758884995</v>
      </c>
      <c r="AB707" s="77">
        <v>0.90453403373329089</v>
      </c>
      <c r="AC707" s="77">
        <v>3</v>
      </c>
      <c r="AD707" s="76">
        <v>7.25</v>
      </c>
      <c r="AE707" s="76">
        <v>1.6393596310755001</v>
      </c>
      <c r="AF707" s="77">
        <v>1.6774842736586515</v>
      </c>
      <c r="AG707" s="77">
        <v>4</v>
      </c>
      <c r="AH707" s="76">
        <v>7.5</v>
      </c>
      <c r="AI707" s="76">
        <v>0.86602540378443871</v>
      </c>
      <c r="AJ707" s="77">
        <v>0.57735026918962573</v>
      </c>
      <c r="AK707" s="77">
        <v>3</v>
      </c>
      <c r="AL707" s="76"/>
      <c r="AM707" s="76"/>
      <c r="AN707" s="77"/>
      <c r="AO707" s="77"/>
      <c r="AP707" s="76"/>
      <c r="AQ707" s="76"/>
      <c r="AR707" s="77"/>
      <c r="AS707" s="77"/>
      <c r="AT707" s="78">
        <v>0.875</v>
      </c>
    </row>
    <row r="708" spans="1:46" ht="12.5" x14ac:dyDescent="0.25">
      <c r="A708" s="79">
        <v>44835.419008333338</v>
      </c>
      <c r="B708" s="80" t="s">
        <v>171</v>
      </c>
      <c r="C708" s="80" t="str">
        <f>INDEX(TBL_Name,MATCH(Table2[[#This Row],[Athlete Name]],listNames,0),2)</f>
        <v>Athlete 27</v>
      </c>
      <c r="D708" s="80" t="s">
        <v>130</v>
      </c>
      <c r="E708" s="80">
        <v>10</v>
      </c>
      <c r="F708" s="80">
        <v>10</v>
      </c>
      <c r="G708" s="80">
        <v>9</v>
      </c>
      <c r="H708" s="80" t="s">
        <v>69</v>
      </c>
      <c r="I708" s="80">
        <v>7</v>
      </c>
      <c r="J708" s="80"/>
      <c r="K708" s="80"/>
      <c r="L708" s="80"/>
      <c r="M708" s="1" t="s">
        <v>1049</v>
      </c>
      <c r="N708" s="1">
        <v>40</v>
      </c>
      <c r="O708" s="1">
        <v>8</v>
      </c>
      <c r="P708" s="13">
        <v>44835</v>
      </c>
      <c r="Q708" s="1" t="s">
        <v>133</v>
      </c>
      <c r="R708" s="1" t="s">
        <v>64</v>
      </c>
      <c r="S708" s="1">
        <v>1</v>
      </c>
      <c r="T708" s="1" t="s">
        <v>942</v>
      </c>
      <c r="U708" s="1" t="s">
        <v>942</v>
      </c>
      <c r="V708" s="76">
        <v>10</v>
      </c>
      <c r="W708" s="76">
        <v>0</v>
      </c>
      <c r="X708" s="77">
        <v>0</v>
      </c>
      <c r="Y708" s="77">
        <v>3</v>
      </c>
      <c r="Z708" s="76">
        <v>8.6666666666666661</v>
      </c>
      <c r="AA708" s="76">
        <v>0.94280904158206358</v>
      </c>
      <c r="AB708" s="77">
        <v>1.4142135623730954</v>
      </c>
      <c r="AC708" s="77">
        <v>4</v>
      </c>
      <c r="AD708" s="76">
        <v>8.3333333333333339</v>
      </c>
      <c r="AE708" s="76">
        <v>0.47140452079103146</v>
      </c>
      <c r="AF708" s="77">
        <v>1.4142135623730945</v>
      </c>
      <c r="AG708" s="77">
        <v>4</v>
      </c>
      <c r="AH708" s="76">
        <v>7.666666666666667</v>
      </c>
      <c r="AI708" s="76">
        <v>1.699673171197595</v>
      </c>
      <c r="AJ708" s="77">
        <v>-0.39223227027636826</v>
      </c>
      <c r="AK708" s="77">
        <v>2</v>
      </c>
      <c r="AL708" s="76"/>
      <c r="AM708" s="76"/>
      <c r="AN708" s="77"/>
      <c r="AO708" s="77"/>
      <c r="AP708" s="76"/>
      <c r="AQ708" s="76"/>
      <c r="AR708" s="77"/>
      <c r="AS708" s="77"/>
      <c r="AT708" s="78">
        <v>0.8125</v>
      </c>
    </row>
    <row r="709" spans="1:46" ht="12.5" x14ac:dyDescent="0.25">
      <c r="A709" s="79">
        <v>44835.458886018518</v>
      </c>
      <c r="B709" s="80" t="s">
        <v>148</v>
      </c>
      <c r="C709" s="80" t="str">
        <f>INDEX(TBL_Name,MATCH(Table2[[#This Row],[Athlete Name]],listNames,0),2)</f>
        <v>Athlete 22</v>
      </c>
      <c r="D709" s="80" t="s">
        <v>130</v>
      </c>
      <c r="E709" s="80">
        <v>9</v>
      </c>
      <c r="F709" s="80">
        <v>10</v>
      </c>
      <c r="G709" s="80">
        <v>8</v>
      </c>
      <c r="H709" s="80"/>
      <c r="I709" s="80">
        <v>10</v>
      </c>
      <c r="J709" s="80"/>
      <c r="K709" s="80"/>
      <c r="L709" s="80"/>
      <c r="M709" s="1" t="s">
        <v>1050</v>
      </c>
      <c r="N709" s="1">
        <v>40</v>
      </c>
      <c r="O709" s="1">
        <v>8</v>
      </c>
      <c r="P709" s="13">
        <v>44835</v>
      </c>
      <c r="Q709" s="1" t="s">
        <v>133</v>
      </c>
      <c r="R709" s="1" t="s">
        <v>64</v>
      </c>
      <c r="S709" s="1">
        <v>1</v>
      </c>
      <c r="T709" s="1" t="s">
        <v>942</v>
      </c>
      <c r="U709" s="1" t="s">
        <v>942</v>
      </c>
      <c r="V709" s="76">
        <v>9</v>
      </c>
      <c r="W709" s="76">
        <v>0</v>
      </c>
      <c r="X709" s="77">
        <v>0</v>
      </c>
      <c r="Y709" s="77">
        <v>3</v>
      </c>
      <c r="Z709" s="76">
        <v>10</v>
      </c>
      <c r="AA709" s="76">
        <v>0</v>
      </c>
      <c r="AB709" s="77">
        <v>0</v>
      </c>
      <c r="AC709" s="77">
        <v>3</v>
      </c>
      <c r="AD709" s="76">
        <v>8</v>
      </c>
      <c r="AE709" s="76">
        <v>0</v>
      </c>
      <c r="AF709" s="77">
        <v>0</v>
      </c>
      <c r="AG709" s="77">
        <v>3</v>
      </c>
      <c r="AH709" s="76">
        <v>10</v>
      </c>
      <c r="AI709" s="76">
        <v>0</v>
      </c>
      <c r="AJ709" s="77">
        <v>0</v>
      </c>
      <c r="AK709" s="77">
        <v>3</v>
      </c>
      <c r="AL709" s="76"/>
      <c r="AM709" s="76"/>
      <c r="AN709" s="77"/>
      <c r="AO709" s="77"/>
      <c r="AP709" s="76"/>
      <c r="AQ709" s="76"/>
      <c r="AR709" s="77"/>
      <c r="AS709" s="77"/>
      <c r="AT709" s="78">
        <v>0.75</v>
      </c>
    </row>
    <row r="710" spans="1:46" ht="12.5" x14ac:dyDescent="0.25">
      <c r="A710" s="79">
        <v>44836.353666412033</v>
      </c>
      <c r="B710" s="80" t="s">
        <v>196</v>
      </c>
      <c r="C710" s="80" t="str">
        <f>INDEX(TBL_Name,MATCH(Table2[[#This Row],[Athlete Name]],listNames,0),2)</f>
        <v>Athlete 31</v>
      </c>
      <c r="D710" s="80" t="s">
        <v>130</v>
      </c>
      <c r="E710" s="80">
        <v>7</v>
      </c>
      <c r="F710" s="80">
        <v>8</v>
      </c>
      <c r="G710" s="80">
        <v>8</v>
      </c>
      <c r="H710" s="80" t="s">
        <v>287</v>
      </c>
      <c r="I710" s="80">
        <v>8</v>
      </c>
      <c r="J710" s="80"/>
      <c r="K710" s="80"/>
      <c r="L710" s="80"/>
      <c r="M710" s="1" t="s">
        <v>1051</v>
      </c>
      <c r="N710" s="1">
        <v>41</v>
      </c>
      <c r="O710" s="1">
        <v>9</v>
      </c>
      <c r="P710" s="13">
        <v>44836</v>
      </c>
      <c r="Q710" s="1" t="s">
        <v>133</v>
      </c>
      <c r="R710" s="1" t="s">
        <v>64</v>
      </c>
      <c r="S710" s="1">
        <v>1</v>
      </c>
      <c r="T710" s="1" t="s">
        <v>942</v>
      </c>
      <c r="U710" s="1" t="s">
        <v>942</v>
      </c>
      <c r="V710" s="76">
        <v>6.4</v>
      </c>
      <c r="W710" s="76">
        <v>0.79999999999999993</v>
      </c>
      <c r="X710" s="77">
        <v>0.74999999999999967</v>
      </c>
      <c r="Y710" s="77">
        <v>3</v>
      </c>
      <c r="Z710" s="76">
        <v>8.1999999999999993</v>
      </c>
      <c r="AA710" s="76">
        <v>0.74833147735478822</v>
      </c>
      <c r="AB710" s="77">
        <v>-0.26726124191242345</v>
      </c>
      <c r="AC710" s="77">
        <v>2</v>
      </c>
      <c r="AD710" s="76">
        <v>8.1</v>
      </c>
      <c r="AE710" s="76">
        <v>0.91651513899116777</v>
      </c>
      <c r="AF710" s="77">
        <v>-0.10910894511799583</v>
      </c>
      <c r="AG710" s="77">
        <v>2</v>
      </c>
      <c r="AH710" s="76">
        <v>8</v>
      </c>
      <c r="AI710" s="76">
        <v>0</v>
      </c>
      <c r="AJ710" s="77">
        <v>0</v>
      </c>
      <c r="AK710" s="77">
        <v>3</v>
      </c>
      <c r="AL710" s="76"/>
      <c r="AM710" s="76"/>
      <c r="AN710" s="77"/>
      <c r="AO710" s="77"/>
      <c r="AP710" s="76"/>
      <c r="AQ710" s="76"/>
      <c r="AR710" s="77"/>
      <c r="AS710" s="77"/>
      <c r="AT710" s="78">
        <v>0.625</v>
      </c>
    </row>
    <row r="711" spans="1:46" ht="12.5" x14ac:dyDescent="0.25">
      <c r="A711" s="79">
        <v>44836.359496585646</v>
      </c>
      <c r="B711" s="80" t="s">
        <v>21</v>
      </c>
      <c r="C711" s="80" t="str">
        <f>INDEX(TBL_Name,MATCH(Table2[[#This Row],[Athlete Name]],listNames,0),2)</f>
        <v>Athlete 13</v>
      </c>
      <c r="D711" s="80" t="s">
        <v>130</v>
      </c>
      <c r="E711" s="80">
        <v>8</v>
      </c>
      <c r="F711" s="80">
        <v>8</v>
      </c>
      <c r="G711" s="80">
        <v>9</v>
      </c>
      <c r="H711" s="80" t="s">
        <v>1052</v>
      </c>
      <c r="I711" s="80">
        <v>6</v>
      </c>
      <c r="J711" s="80"/>
      <c r="K711" s="80"/>
      <c r="L711" s="80"/>
      <c r="M711" s="1" t="s">
        <v>1053</v>
      </c>
      <c r="N711" s="1">
        <v>41</v>
      </c>
      <c r="O711" s="1">
        <v>9</v>
      </c>
      <c r="P711" s="13">
        <v>44836</v>
      </c>
      <c r="Q711" s="1" t="s">
        <v>133</v>
      </c>
      <c r="R711" s="1" t="s">
        <v>64</v>
      </c>
      <c r="S711" s="1">
        <v>1</v>
      </c>
      <c r="T711" s="1" t="s">
        <v>18</v>
      </c>
      <c r="U711" s="1" t="s">
        <v>18</v>
      </c>
      <c r="V711" s="76">
        <v>7.833333333333333</v>
      </c>
      <c r="W711" s="76">
        <v>0.372677996249965</v>
      </c>
      <c r="X711" s="77">
        <v>0.44721359549995865</v>
      </c>
      <c r="Y711" s="77">
        <v>3</v>
      </c>
      <c r="Z711" s="76">
        <v>7.666666666666667</v>
      </c>
      <c r="AA711" s="76">
        <v>1.247219128924647</v>
      </c>
      <c r="AB711" s="77">
        <v>0.26726124191242417</v>
      </c>
      <c r="AC711" s="77">
        <v>3</v>
      </c>
      <c r="AD711" s="76">
        <v>8.6666666666666661</v>
      </c>
      <c r="AE711" s="76">
        <v>0.74535599249993001</v>
      </c>
      <c r="AF711" s="77">
        <v>0.44721359549995865</v>
      </c>
      <c r="AG711" s="77">
        <v>3</v>
      </c>
      <c r="AH711" s="76">
        <v>7.666666666666667</v>
      </c>
      <c r="AI711" s="76">
        <v>0.94280904158206336</v>
      </c>
      <c r="AJ711" s="77">
        <v>-1.7677669529663691</v>
      </c>
      <c r="AK711" s="77">
        <v>1</v>
      </c>
      <c r="AL711" s="76"/>
      <c r="AM711" s="76"/>
      <c r="AN711" s="77"/>
      <c r="AO711" s="77"/>
      <c r="AP711" s="76"/>
      <c r="AQ711" s="76"/>
      <c r="AR711" s="77"/>
      <c r="AS711" s="77"/>
      <c r="AT711" s="78">
        <v>0.625</v>
      </c>
    </row>
    <row r="712" spans="1:46" ht="12.5" x14ac:dyDescent="0.25">
      <c r="A712" s="79">
        <v>44836.359886053237</v>
      </c>
      <c r="B712" s="80" t="s">
        <v>10</v>
      </c>
      <c r="C712" s="80" t="str">
        <f>INDEX(TBL_Name,MATCH(Table2[[#This Row],[Athlete Name]],listNames,0),2)</f>
        <v>Athlete 5</v>
      </c>
      <c r="D712" s="80" t="s">
        <v>130</v>
      </c>
      <c r="E712" s="80">
        <v>9</v>
      </c>
      <c r="F712" s="80">
        <v>8</v>
      </c>
      <c r="G712" s="80">
        <v>8</v>
      </c>
      <c r="H712" s="80" t="s">
        <v>231</v>
      </c>
      <c r="I712" s="80">
        <v>7</v>
      </c>
      <c r="J712" s="80"/>
      <c r="K712" s="80"/>
      <c r="L712" s="80"/>
      <c r="M712" s="1" t="s">
        <v>1054</v>
      </c>
      <c r="N712" s="1">
        <v>41</v>
      </c>
      <c r="O712" s="1">
        <v>9</v>
      </c>
      <c r="P712" s="13">
        <v>44836</v>
      </c>
      <c r="Q712" s="1" t="s">
        <v>133</v>
      </c>
      <c r="R712" s="1" t="s">
        <v>64</v>
      </c>
      <c r="S712" s="1">
        <v>1</v>
      </c>
      <c r="T712" s="1" t="s">
        <v>11</v>
      </c>
      <c r="U712" s="1" t="s">
        <v>11</v>
      </c>
      <c r="V712" s="76">
        <v>8.5</v>
      </c>
      <c r="W712" s="76">
        <v>0.5</v>
      </c>
      <c r="X712" s="77">
        <v>1</v>
      </c>
      <c r="Y712" s="77">
        <v>4</v>
      </c>
      <c r="Z712" s="76">
        <v>7.833333333333333</v>
      </c>
      <c r="AA712" s="76">
        <v>0.89752746785575077</v>
      </c>
      <c r="AB712" s="77">
        <v>0.18569533817705217</v>
      </c>
      <c r="AC712" s="77">
        <v>3</v>
      </c>
      <c r="AD712" s="76">
        <v>7.833333333333333</v>
      </c>
      <c r="AE712" s="76">
        <v>0.89752746785575077</v>
      </c>
      <c r="AF712" s="77">
        <v>0.18569533817705217</v>
      </c>
      <c r="AG712" s="77">
        <v>3</v>
      </c>
      <c r="AH712" s="76">
        <v>7.666666666666667</v>
      </c>
      <c r="AI712" s="76">
        <v>0.74535599249992979</v>
      </c>
      <c r="AJ712" s="77">
        <v>-0.89442719099991641</v>
      </c>
      <c r="AK712" s="77">
        <v>2</v>
      </c>
      <c r="AL712" s="76"/>
      <c r="AM712" s="76"/>
      <c r="AN712" s="77"/>
      <c r="AO712" s="77"/>
      <c r="AP712" s="76"/>
      <c r="AQ712" s="76"/>
      <c r="AR712" s="77"/>
      <c r="AS712" s="77"/>
      <c r="AT712" s="78">
        <v>0.75</v>
      </c>
    </row>
    <row r="713" spans="1:46" ht="12.5" x14ac:dyDescent="0.25">
      <c r="A713" s="79">
        <v>44836.401818842598</v>
      </c>
      <c r="B713" s="80" t="s">
        <v>17</v>
      </c>
      <c r="C713" s="80" t="str">
        <f>INDEX(TBL_Name,MATCH(Table2[[#This Row],[Athlete Name]],listNames,0),2)</f>
        <v>Athlete 10</v>
      </c>
      <c r="D713" s="80" t="s">
        <v>130</v>
      </c>
      <c r="E713" s="80">
        <v>7</v>
      </c>
      <c r="F713" s="80">
        <v>9</v>
      </c>
      <c r="G713" s="80">
        <v>8</v>
      </c>
      <c r="H713" s="80" t="s">
        <v>203</v>
      </c>
      <c r="I713" s="80">
        <v>7</v>
      </c>
      <c r="J713" s="80"/>
      <c r="K713" s="80"/>
      <c r="L713" s="80"/>
      <c r="M713" s="1" t="s">
        <v>1055</v>
      </c>
      <c r="N713" s="1">
        <v>41</v>
      </c>
      <c r="O713" s="1">
        <v>9</v>
      </c>
      <c r="P713" s="13">
        <v>44836</v>
      </c>
      <c r="Q713" s="1" t="s">
        <v>133</v>
      </c>
      <c r="R713" s="1" t="s">
        <v>64</v>
      </c>
      <c r="S713" s="1">
        <v>1</v>
      </c>
      <c r="T713" s="1" t="s">
        <v>18</v>
      </c>
      <c r="U713" s="1" t="s">
        <v>18</v>
      </c>
      <c r="V713" s="76">
        <v>7.333333333333333</v>
      </c>
      <c r="W713" s="76">
        <v>1.1055415967851332</v>
      </c>
      <c r="X713" s="77">
        <v>-0.30151134457776335</v>
      </c>
      <c r="Y713" s="77">
        <v>2</v>
      </c>
      <c r="Z713" s="76">
        <v>7.833333333333333</v>
      </c>
      <c r="AA713" s="76">
        <v>0.68718427093627688</v>
      </c>
      <c r="AB713" s="77">
        <v>1.6977493752543309</v>
      </c>
      <c r="AC713" s="77">
        <v>4</v>
      </c>
      <c r="AD713" s="76">
        <v>7.833333333333333</v>
      </c>
      <c r="AE713" s="76">
        <v>1.3437096247164249</v>
      </c>
      <c r="AF713" s="77">
        <v>0.12403473458920869</v>
      </c>
      <c r="AG713" s="77">
        <v>3</v>
      </c>
      <c r="AH713" s="76">
        <v>7.333333333333333</v>
      </c>
      <c r="AI713" s="76">
        <v>0.74535599249992979</v>
      </c>
      <c r="AJ713" s="77">
        <v>-0.44721359549995759</v>
      </c>
      <c r="AK713" s="77">
        <v>2</v>
      </c>
      <c r="AL713" s="76"/>
      <c r="AM713" s="76"/>
      <c r="AN713" s="77"/>
      <c r="AO713" s="77"/>
      <c r="AP713" s="76"/>
      <c r="AQ713" s="76"/>
      <c r="AR713" s="77"/>
      <c r="AS713" s="77"/>
      <c r="AT713" s="78">
        <v>0.6875</v>
      </c>
    </row>
    <row r="714" spans="1:46" ht="12.5" x14ac:dyDescent="0.25">
      <c r="A714" s="79">
        <v>44836.402351562501</v>
      </c>
      <c r="B714" s="80" t="s">
        <v>6</v>
      </c>
      <c r="C714" s="80" t="str">
        <f>INDEX(TBL_Name,MATCH(Table2[[#This Row],[Athlete Name]],listNames,0),2)</f>
        <v>Athlete 2</v>
      </c>
      <c r="D714" s="80" t="s">
        <v>130</v>
      </c>
      <c r="E714" s="80">
        <v>9</v>
      </c>
      <c r="F714" s="80">
        <v>8</v>
      </c>
      <c r="G714" s="80">
        <v>8</v>
      </c>
      <c r="H714" s="80" t="s">
        <v>73</v>
      </c>
      <c r="I714" s="80">
        <v>8</v>
      </c>
      <c r="J714" s="80"/>
      <c r="K714" s="80"/>
      <c r="L714" s="80"/>
      <c r="M714" s="1" t="s">
        <v>1056</v>
      </c>
      <c r="N714" s="1">
        <v>41</v>
      </c>
      <c r="O714" s="1">
        <v>9</v>
      </c>
      <c r="P714" s="13">
        <v>44836</v>
      </c>
      <c r="Q714" s="1" t="s">
        <v>133</v>
      </c>
      <c r="R714" s="1" t="s">
        <v>64</v>
      </c>
      <c r="S714" s="1">
        <v>1</v>
      </c>
      <c r="T714" s="1" t="s">
        <v>5</v>
      </c>
      <c r="U714" s="1" t="s">
        <v>5</v>
      </c>
      <c r="V714" s="76">
        <v>8.5714285714285712</v>
      </c>
      <c r="W714" s="76">
        <v>0.72843135908468348</v>
      </c>
      <c r="X714" s="77">
        <v>0.58834840541455247</v>
      </c>
      <c r="Y714" s="77">
        <v>3</v>
      </c>
      <c r="Z714" s="76">
        <v>6.8571428571428568</v>
      </c>
      <c r="AA714" s="76">
        <v>0.98974331861078724</v>
      </c>
      <c r="AB714" s="77">
        <v>1.1547005383792517</v>
      </c>
      <c r="AC714" s="77">
        <v>4</v>
      </c>
      <c r="AD714" s="76">
        <v>8.4285714285714288</v>
      </c>
      <c r="AE714" s="76">
        <v>0.49487165930539351</v>
      </c>
      <c r="AF714" s="77">
        <v>-0.86602540378443915</v>
      </c>
      <c r="AG714" s="77">
        <v>2</v>
      </c>
      <c r="AH714" s="76">
        <v>8.1428571428571423</v>
      </c>
      <c r="AI714" s="76">
        <v>0.34992710611188266</v>
      </c>
      <c r="AJ714" s="77">
        <v>-0.40824829046386146</v>
      </c>
      <c r="AK714" s="77">
        <v>2</v>
      </c>
      <c r="AL714" s="76"/>
      <c r="AM714" s="76"/>
      <c r="AN714" s="77"/>
      <c r="AO714" s="77"/>
      <c r="AP714" s="76"/>
      <c r="AQ714" s="76"/>
      <c r="AR714" s="77"/>
      <c r="AS714" s="77"/>
      <c r="AT714" s="78">
        <v>0.6875</v>
      </c>
    </row>
    <row r="715" spans="1:46" ht="12.5" x14ac:dyDescent="0.25">
      <c r="A715" s="79">
        <v>44836.445662893515</v>
      </c>
      <c r="B715" s="80" t="s">
        <v>171</v>
      </c>
      <c r="C715" s="80" t="str">
        <f>INDEX(TBL_Name,MATCH(Table2[[#This Row],[Athlete Name]],listNames,0),2)</f>
        <v>Athlete 27</v>
      </c>
      <c r="D715" s="80" t="s">
        <v>130</v>
      </c>
      <c r="E715" s="80">
        <v>10</v>
      </c>
      <c r="F715" s="80">
        <v>8</v>
      </c>
      <c r="G715" s="80">
        <v>8</v>
      </c>
      <c r="H715" s="80" t="s">
        <v>1057</v>
      </c>
      <c r="I715" s="80">
        <v>5</v>
      </c>
      <c r="J715" s="80"/>
      <c r="K715" s="80"/>
      <c r="L715" s="80"/>
      <c r="M715" s="1" t="s">
        <v>1058</v>
      </c>
      <c r="N715" s="1">
        <v>41</v>
      </c>
      <c r="O715" s="1">
        <v>9</v>
      </c>
      <c r="P715" s="13">
        <v>44836</v>
      </c>
      <c r="Q715" s="1" t="s">
        <v>133</v>
      </c>
      <c r="R715" s="1" t="s">
        <v>64</v>
      </c>
      <c r="S715" s="1">
        <v>1</v>
      </c>
      <c r="T715" s="1" t="s">
        <v>942</v>
      </c>
      <c r="U715" s="1" t="s">
        <v>942</v>
      </c>
      <c r="V715" s="76">
        <v>10</v>
      </c>
      <c r="W715" s="76">
        <v>0</v>
      </c>
      <c r="X715" s="77">
        <v>0</v>
      </c>
      <c r="Y715" s="77">
        <v>3</v>
      </c>
      <c r="Z715" s="76">
        <v>8.5</v>
      </c>
      <c r="AA715" s="76">
        <v>0.86602540378443882</v>
      </c>
      <c r="AB715" s="77">
        <v>-0.57735026918962562</v>
      </c>
      <c r="AC715" s="77">
        <v>2</v>
      </c>
      <c r="AD715" s="76">
        <v>8.25</v>
      </c>
      <c r="AE715" s="76">
        <v>0.43301270189221919</v>
      </c>
      <c r="AF715" s="77">
        <v>-0.57735026918962595</v>
      </c>
      <c r="AG715" s="77">
        <v>2</v>
      </c>
      <c r="AH715" s="76">
        <v>7</v>
      </c>
      <c r="AI715" s="76">
        <v>1.8708286933869709</v>
      </c>
      <c r="AJ715" s="77">
        <v>-1.0690449676496974</v>
      </c>
      <c r="AK715" s="77">
        <v>1</v>
      </c>
      <c r="AL715" s="76"/>
      <c r="AM715" s="76"/>
      <c r="AN715" s="77"/>
      <c r="AO715" s="77"/>
      <c r="AP715" s="76"/>
      <c r="AQ715" s="76"/>
      <c r="AR715" s="77"/>
      <c r="AS715" s="77"/>
      <c r="AT715" s="78">
        <v>0.5</v>
      </c>
    </row>
    <row r="716" spans="1:46" ht="12.5" x14ac:dyDescent="0.25">
      <c r="A716" s="79">
        <v>44837.271508819445</v>
      </c>
      <c r="B716" s="80" t="s">
        <v>21</v>
      </c>
      <c r="C716" s="80" t="str">
        <f>INDEX(TBL_Name,MATCH(Table2[[#This Row],[Athlete Name]],listNames,0),2)</f>
        <v>Athlete 13</v>
      </c>
      <c r="D716" s="80" t="s">
        <v>130</v>
      </c>
      <c r="E716" s="80">
        <v>8</v>
      </c>
      <c r="F716" s="80">
        <v>8</v>
      </c>
      <c r="G716" s="80">
        <v>8</v>
      </c>
      <c r="H716" s="80" t="s">
        <v>607</v>
      </c>
      <c r="I716" s="80">
        <v>7</v>
      </c>
      <c r="J716" s="80"/>
      <c r="K716" s="80"/>
      <c r="L716" s="80"/>
      <c r="M716" s="1" t="s">
        <v>1059</v>
      </c>
      <c r="N716" s="1">
        <v>41</v>
      </c>
      <c r="O716" s="1">
        <v>9</v>
      </c>
      <c r="P716" s="13">
        <v>44837</v>
      </c>
      <c r="Q716" s="1" t="s">
        <v>133</v>
      </c>
      <c r="R716" s="1" t="s">
        <v>64</v>
      </c>
      <c r="S716" s="1">
        <v>1</v>
      </c>
      <c r="T716" s="1" t="s">
        <v>18</v>
      </c>
      <c r="U716" s="1" t="s">
        <v>18</v>
      </c>
      <c r="V716" s="76">
        <v>7.8571428571428568</v>
      </c>
      <c r="W716" s="76">
        <v>0.34992710611188266</v>
      </c>
      <c r="X716" s="77">
        <v>0.40824829046386402</v>
      </c>
      <c r="Y716" s="77">
        <v>3</v>
      </c>
      <c r="Z716" s="76">
        <v>7.7142857142857144</v>
      </c>
      <c r="AA716" s="76">
        <v>1.1605769149479943</v>
      </c>
      <c r="AB716" s="77">
        <v>0.24618298195866536</v>
      </c>
      <c r="AC716" s="77">
        <v>3</v>
      </c>
      <c r="AD716" s="76">
        <v>8.5714285714285712</v>
      </c>
      <c r="AE716" s="76">
        <v>0.72843135908468359</v>
      </c>
      <c r="AF716" s="77">
        <v>-0.78446454055273573</v>
      </c>
      <c r="AG716" s="77">
        <v>2</v>
      </c>
      <c r="AH716" s="76">
        <v>7.5714285714285712</v>
      </c>
      <c r="AI716" s="76">
        <v>0.90350790290525129</v>
      </c>
      <c r="AJ716" s="77">
        <v>-0.63245553203367555</v>
      </c>
      <c r="AK716" s="77">
        <v>2</v>
      </c>
      <c r="AL716" s="76"/>
      <c r="AM716" s="76"/>
      <c r="AN716" s="77"/>
      <c r="AO716" s="77"/>
      <c r="AP716" s="76"/>
      <c r="AQ716" s="76"/>
      <c r="AR716" s="77"/>
      <c r="AS716" s="77"/>
      <c r="AT716" s="78">
        <v>0.625</v>
      </c>
    </row>
    <row r="717" spans="1:46" ht="12.5" x14ac:dyDescent="0.25">
      <c r="A717" s="79">
        <v>44837.379701145837</v>
      </c>
      <c r="B717" s="80" t="s">
        <v>6</v>
      </c>
      <c r="C717" s="80" t="str">
        <f>INDEX(TBL_Name,MATCH(Table2[[#This Row],[Athlete Name]],listNames,0),2)</f>
        <v>Athlete 2</v>
      </c>
      <c r="D717" s="80" t="s">
        <v>130</v>
      </c>
      <c r="E717" s="80">
        <v>9</v>
      </c>
      <c r="F717" s="80">
        <v>8</v>
      </c>
      <c r="G717" s="80">
        <v>8</v>
      </c>
      <c r="H717" s="80" t="s">
        <v>73</v>
      </c>
      <c r="I717" s="80">
        <v>8</v>
      </c>
      <c r="J717" s="80"/>
      <c r="K717" s="80"/>
      <c r="L717" s="80"/>
      <c r="M717" s="1" t="s">
        <v>1060</v>
      </c>
      <c r="N717" s="1">
        <v>41</v>
      </c>
      <c r="O717" s="1">
        <v>9</v>
      </c>
      <c r="P717" s="13">
        <v>44837</v>
      </c>
      <c r="Q717" s="1" t="s">
        <v>133</v>
      </c>
      <c r="R717" s="1" t="s">
        <v>64</v>
      </c>
      <c r="S717" s="1">
        <v>1</v>
      </c>
      <c r="T717" s="1" t="s">
        <v>5</v>
      </c>
      <c r="U717" s="1" t="s">
        <v>5</v>
      </c>
      <c r="V717" s="76">
        <v>8.5714285714285712</v>
      </c>
      <c r="W717" s="76">
        <v>0.72843135908468348</v>
      </c>
      <c r="X717" s="77">
        <v>0.58834840541455247</v>
      </c>
      <c r="Y717" s="77">
        <v>3</v>
      </c>
      <c r="Z717" s="76">
        <v>6.8571428571428568</v>
      </c>
      <c r="AA717" s="76">
        <v>0.98974331861078679</v>
      </c>
      <c r="AB717" s="77">
        <v>1.1547005383792521</v>
      </c>
      <c r="AC717" s="77">
        <v>4</v>
      </c>
      <c r="AD717" s="76">
        <v>8.2857142857142865</v>
      </c>
      <c r="AE717" s="76">
        <v>0.4517539514526257</v>
      </c>
      <c r="AF717" s="77">
        <v>-0.63245553203367744</v>
      </c>
      <c r="AG717" s="77">
        <v>2</v>
      </c>
      <c r="AH717" s="76">
        <v>8.1428571428571423</v>
      </c>
      <c r="AI717" s="76">
        <v>0.34992710611188244</v>
      </c>
      <c r="AJ717" s="77">
        <v>-0.40824829046386174</v>
      </c>
      <c r="AK717" s="77">
        <v>2</v>
      </c>
      <c r="AL717" s="76"/>
      <c r="AM717" s="76"/>
      <c r="AN717" s="77"/>
      <c r="AO717" s="77"/>
      <c r="AP717" s="76"/>
      <c r="AQ717" s="76"/>
      <c r="AR717" s="77"/>
      <c r="AS717" s="77"/>
      <c r="AT717" s="78">
        <v>0.6875</v>
      </c>
    </row>
    <row r="718" spans="1:46" ht="12.5" x14ac:dyDescent="0.25">
      <c r="A718" s="79">
        <v>44837.414648043981</v>
      </c>
      <c r="B718" s="80" t="s">
        <v>15</v>
      </c>
      <c r="C718" s="80" t="str">
        <f>INDEX(TBL_Name,MATCH(Table2[[#This Row],[Athlete Name]],listNames,0),2)</f>
        <v>Athlete 8</v>
      </c>
      <c r="D718" s="80" t="s">
        <v>130</v>
      </c>
      <c r="E718" s="80">
        <v>10</v>
      </c>
      <c r="F718" s="80">
        <v>3</v>
      </c>
      <c r="G718" s="80">
        <v>5</v>
      </c>
      <c r="H718" s="80" t="s">
        <v>74</v>
      </c>
      <c r="I718" s="80">
        <v>10</v>
      </c>
      <c r="J718" s="80"/>
      <c r="K718" s="80"/>
      <c r="L718" s="80"/>
      <c r="M718" s="1" t="s">
        <v>1061</v>
      </c>
      <c r="N718" s="1">
        <v>41</v>
      </c>
      <c r="O718" s="1">
        <v>9</v>
      </c>
      <c r="P718" s="13">
        <v>44837</v>
      </c>
      <c r="Q718" s="1" t="s">
        <v>133</v>
      </c>
      <c r="R718" s="1" t="s">
        <v>64</v>
      </c>
      <c r="S718" s="1">
        <v>1</v>
      </c>
      <c r="T718" s="1" t="s">
        <v>14</v>
      </c>
      <c r="U718" s="1" t="s">
        <v>14</v>
      </c>
      <c r="V718" s="76">
        <v>5.75</v>
      </c>
      <c r="W718" s="76">
        <v>2.6809513236909024</v>
      </c>
      <c r="X718" s="77">
        <v>1.5852581740085332</v>
      </c>
      <c r="Y718" s="77">
        <v>4</v>
      </c>
      <c r="Z718" s="76">
        <v>5.25</v>
      </c>
      <c r="AA718" s="76">
        <v>1.920286436967152</v>
      </c>
      <c r="AB718" s="77">
        <v>-1.1717001988274149</v>
      </c>
      <c r="AC718" s="77">
        <v>1</v>
      </c>
      <c r="AD718" s="76">
        <v>6.5</v>
      </c>
      <c r="AE718" s="76">
        <v>1.1180339887498949</v>
      </c>
      <c r="AF718" s="77">
        <v>-1.3416407864998738</v>
      </c>
      <c r="AG718" s="77">
        <v>1</v>
      </c>
      <c r="AH718" s="76">
        <v>7.5</v>
      </c>
      <c r="AI718" s="76">
        <v>2.5</v>
      </c>
      <c r="AJ718" s="77">
        <v>1</v>
      </c>
      <c r="AK718" s="77">
        <v>4</v>
      </c>
      <c r="AL718" s="76"/>
      <c r="AM718" s="76"/>
      <c r="AN718" s="77"/>
      <c r="AO718" s="77"/>
      <c r="AP718" s="76"/>
      <c r="AQ718" s="76"/>
      <c r="AR718" s="77"/>
      <c r="AS718" s="77"/>
      <c r="AT718" s="78">
        <v>0.625</v>
      </c>
    </row>
    <row r="719" spans="1:46" ht="12.5" x14ac:dyDescent="0.25">
      <c r="A719" s="79">
        <v>44837.450442013884</v>
      </c>
      <c r="B719" s="80" t="s">
        <v>171</v>
      </c>
      <c r="C719" s="80" t="str">
        <f>INDEX(TBL_Name,MATCH(Table2[[#This Row],[Athlete Name]],listNames,0),2)</f>
        <v>Athlete 27</v>
      </c>
      <c r="D719" s="80" t="s">
        <v>130</v>
      </c>
      <c r="E719" s="80">
        <v>10</v>
      </c>
      <c r="F719" s="80">
        <v>9</v>
      </c>
      <c r="G719" s="80">
        <v>9</v>
      </c>
      <c r="H719" s="80" t="s">
        <v>1062</v>
      </c>
      <c r="I719" s="80">
        <v>6</v>
      </c>
      <c r="J719" s="80"/>
      <c r="K719" s="80"/>
      <c r="L719" s="80"/>
      <c r="M719" s="1" t="s">
        <v>1063</v>
      </c>
      <c r="N719" s="1">
        <v>41</v>
      </c>
      <c r="O719" s="1">
        <v>9</v>
      </c>
      <c r="P719" s="13">
        <v>44837</v>
      </c>
      <c r="Q719" s="1" t="s">
        <v>133</v>
      </c>
      <c r="R719" s="1" t="s">
        <v>64</v>
      </c>
      <c r="S719" s="1">
        <v>1</v>
      </c>
      <c r="T719" s="1" t="s">
        <v>942</v>
      </c>
      <c r="U719" s="1" t="s">
        <v>942</v>
      </c>
      <c r="V719" s="76">
        <v>10</v>
      </c>
      <c r="W719" s="76">
        <v>0</v>
      </c>
      <c r="X719" s="77">
        <v>0</v>
      </c>
      <c r="Y719" s="77">
        <v>3</v>
      </c>
      <c r="Z719" s="76">
        <v>8.6</v>
      </c>
      <c r="AA719" s="76">
        <v>0.80000000000000016</v>
      </c>
      <c r="AB719" s="77">
        <v>0.50000000000000033</v>
      </c>
      <c r="AC719" s="77">
        <v>3</v>
      </c>
      <c r="AD719" s="76">
        <v>8.4</v>
      </c>
      <c r="AE719" s="76">
        <v>0.48989794855663549</v>
      </c>
      <c r="AF719" s="77">
        <v>1.2247448713915887</v>
      </c>
      <c r="AG719" s="77">
        <v>4</v>
      </c>
      <c r="AH719" s="76">
        <v>6.8</v>
      </c>
      <c r="AI719" s="76">
        <v>1.7204650534085253</v>
      </c>
      <c r="AJ719" s="77">
        <v>-0.46499055497527703</v>
      </c>
      <c r="AK719" s="77">
        <v>2</v>
      </c>
      <c r="AL719" s="76"/>
      <c r="AM719" s="76"/>
      <c r="AN719" s="77"/>
      <c r="AO719" s="77"/>
      <c r="AP719" s="76"/>
      <c r="AQ719" s="76"/>
      <c r="AR719" s="77"/>
      <c r="AS719" s="77"/>
      <c r="AT719" s="78">
        <v>0.75</v>
      </c>
    </row>
    <row r="720" spans="1:46" ht="12.5" x14ac:dyDescent="0.25">
      <c r="A720" s="79">
        <v>44837.479995787042</v>
      </c>
      <c r="B720" s="80" t="s">
        <v>10</v>
      </c>
      <c r="C720" s="80" t="str">
        <f>INDEX(TBL_Name,MATCH(Table2[[#This Row],[Athlete Name]],listNames,0),2)</f>
        <v>Athlete 5</v>
      </c>
      <c r="D720" s="80" t="s">
        <v>130</v>
      </c>
      <c r="E720" s="80">
        <v>9</v>
      </c>
      <c r="F720" s="80">
        <v>9</v>
      </c>
      <c r="G720" s="80">
        <v>9</v>
      </c>
      <c r="H720" s="80" t="s">
        <v>73</v>
      </c>
      <c r="I720" s="80">
        <v>8</v>
      </c>
      <c r="J720" s="80"/>
      <c r="K720" s="80"/>
      <c r="L720" s="80"/>
      <c r="M720" s="1" t="s">
        <v>1064</v>
      </c>
      <c r="N720" s="1">
        <v>41</v>
      </c>
      <c r="O720" s="1">
        <v>9</v>
      </c>
      <c r="P720" s="13">
        <v>44837</v>
      </c>
      <c r="Q720" s="1" t="s">
        <v>133</v>
      </c>
      <c r="R720" s="1" t="s">
        <v>64</v>
      </c>
      <c r="S720" s="1">
        <v>1</v>
      </c>
      <c r="T720" s="1" t="s">
        <v>11</v>
      </c>
      <c r="U720" s="1" t="s">
        <v>11</v>
      </c>
      <c r="V720" s="76">
        <v>8.5</v>
      </c>
      <c r="W720" s="76">
        <v>0.49999999999999983</v>
      </c>
      <c r="X720" s="77">
        <v>1.0000000000000004</v>
      </c>
      <c r="Y720" s="77">
        <v>4</v>
      </c>
      <c r="Z720" s="76">
        <v>8</v>
      </c>
      <c r="AA720" s="76">
        <v>1</v>
      </c>
      <c r="AB720" s="77">
        <v>1</v>
      </c>
      <c r="AC720" s="77">
        <v>4</v>
      </c>
      <c r="AD720" s="76">
        <v>8</v>
      </c>
      <c r="AE720" s="76">
        <v>1</v>
      </c>
      <c r="AF720" s="77">
        <v>1</v>
      </c>
      <c r="AG720" s="77">
        <v>4</v>
      </c>
      <c r="AH720" s="76">
        <v>7.833333333333333</v>
      </c>
      <c r="AI720" s="76">
        <v>0.68718427093627676</v>
      </c>
      <c r="AJ720" s="77">
        <v>0.24253562503633341</v>
      </c>
      <c r="AK720" s="77">
        <v>3</v>
      </c>
      <c r="AL720" s="76"/>
      <c r="AM720" s="76"/>
      <c r="AN720" s="77"/>
      <c r="AO720" s="77"/>
      <c r="AP720" s="76"/>
      <c r="AQ720" s="76"/>
      <c r="AR720" s="77"/>
      <c r="AS720" s="77"/>
      <c r="AT720" s="78">
        <v>0.9375</v>
      </c>
    </row>
    <row r="721" spans="1:46" ht="12.5" x14ac:dyDescent="0.25">
      <c r="A721" s="79">
        <v>44837.584312557869</v>
      </c>
      <c r="B721" s="80" t="s">
        <v>180</v>
      </c>
      <c r="C721" s="80" t="str">
        <f>INDEX(TBL_Name,MATCH(Table2[[#This Row],[Athlete Name]],listNames,0),2)</f>
        <v>Athlete 29</v>
      </c>
      <c r="D721" s="80" t="s">
        <v>130</v>
      </c>
      <c r="E721" s="80">
        <v>2</v>
      </c>
      <c r="F721" s="80">
        <v>3</v>
      </c>
      <c r="G721" s="80">
        <v>5</v>
      </c>
      <c r="H721" s="80" t="s">
        <v>1065</v>
      </c>
      <c r="I721" s="80">
        <v>3</v>
      </c>
      <c r="J721" s="80"/>
      <c r="K721" s="80"/>
      <c r="L721" s="80"/>
      <c r="M721" s="1" t="s">
        <v>1066</v>
      </c>
      <c r="N721" s="1">
        <v>41</v>
      </c>
      <c r="O721" s="1">
        <v>9</v>
      </c>
      <c r="P721" s="13">
        <v>44837</v>
      </c>
      <c r="Q721" s="1" t="s">
        <v>133</v>
      </c>
      <c r="R721" s="1" t="s">
        <v>64</v>
      </c>
      <c r="S721" s="1">
        <v>1</v>
      </c>
      <c r="T721" s="1" t="s">
        <v>942</v>
      </c>
      <c r="U721" s="1" t="s">
        <v>942</v>
      </c>
      <c r="V721" s="76">
        <v>5</v>
      </c>
      <c r="W721" s="76">
        <v>3</v>
      </c>
      <c r="X721" s="77">
        <v>-1</v>
      </c>
      <c r="Y721" s="77">
        <v>1</v>
      </c>
      <c r="Z721" s="76">
        <v>4.5</v>
      </c>
      <c r="AA721" s="76">
        <v>1.5</v>
      </c>
      <c r="AB721" s="77">
        <v>-1</v>
      </c>
      <c r="AC721" s="77">
        <v>1</v>
      </c>
      <c r="AD721" s="76">
        <v>6</v>
      </c>
      <c r="AE721" s="76">
        <v>1</v>
      </c>
      <c r="AF721" s="77">
        <v>-1</v>
      </c>
      <c r="AG721" s="77">
        <v>1</v>
      </c>
      <c r="AH721" s="76">
        <v>3.5</v>
      </c>
      <c r="AI721" s="76">
        <v>0.5</v>
      </c>
      <c r="AJ721" s="77">
        <v>-1</v>
      </c>
      <c r="AK721" s="77">
        <v>1</v>
      </c>
      <c r="AL721" s="76"/>
      <c r="AM721" s="76"/>
      <c r="AN721" s="77"/>
      <c r="AO721" s="77"/>
      <c r="AP721" s="76"/>
      <c r="AQ721" s="76"/>
      <c r="AR721" s="77"/>
      <c r="AS721" s="77"/>
      <c r="AT721" s="78">
        <v>0.25</v>
      </c>
    </row>
    <row r="722" spans="1:46" ht="12.5" x14ac:dyDescent="0.25">
      <c r="A722" s="79">
        <v>44837.584737083336</v>
      </c>
      <c r="B722" s="80" t="s">
        <v>16</v>
      </c>
      <c r="C722" s="80" t="str">
        <f>INDEX(TBL_Name,MATCH(Table2[[#This Row],[Athlete Name]],listNames,0),2)</f>
        <v>Athlete 9</v>
      </c>
      <c r="D722" s="80" t="s">
        <v>130</v>
      </c>
      <c r="E722" s="80">
        <v>7</v>
      </c>
      <c r="F722" s="80">
        <v>7</v>
      </c>
      <c r="G722" s="80">
        <v>8</v>
      </c>
      <c r="H722" s="80" t="s">
        <v>742</v>
      </c>
      <c r="I722" s="80">
        <v>7</v>
      </c>
      <c r="J722" s="80"/>
      <c r="K722" s="80"/>
      <c r="L722" s="80"/>
      <c r="M722" s="1" t="s">
        <v>1067</v>
      </c>
      <c r="N722" s="1">
        <v>41</v>
      </c>
      <c r="O722" s="1">
        <v>9</v>
      </c>
      <c r="P722" s="13">
        <v>44837</v>
      </c>
      <c r="Q722" s="1" t="s">
        <v>133</v>
      </c>
      <c r="R722" s="1" t="s">
        <v>64</v>
      </c>
      <c r="S722" s="1">
        <v>1</v>
      </c>
      <c r="T722" s="1" t="s">
        <v>14</v>
      </c>
      <c r="U722" s="1" t="s">
        <v>14</v>
      </c>
      <c r="V722" s="76">
        <v>7</v>
      </c>
      <c r="W722" s="76">
        <v>0</v>
      </c>
      <c r="X722" s="77">
        <v>0</v>
      </c>
      <c r="Y722" s="77">
        <v>3</v>
      </c>
      <c r="Z722" s="76">
        <v>7</v>
      </c>
      <c r="AA722" s="76">
        <v>0</v>
      </c>
      <c r="AB722" s="77">
        <v>0</v>
      </c>
      <c r="AC722" s="77">
        <v>3</v>
      </c>
      <c r="AD722" s="76">
        <v>8</v>
      </c>
      <c r="AE722" s="76">
        <v>0</v>
      </c>
      <c r="AF722" s="77">
        <v>0</v>
      </c>
      <c r="AG722" s="77">
        <v>3</v>
      </c>
      <c r="AH722" s="76">
        <v>7</v>
      </c>
      <c r="AI722" s="76">
        <v>0</v>
      </c>
      <c r="AJ722" s="77">
        <v>0</v>
      </c>
      <c r="AK722" s="77">
        <v>3</v>
      </c>
      <c r="AL722" s="76"/>
      <c r="AM722" s="76"/>
      <c r="AN722" s="77"/>
      <c r="AO722" s="77"/>
      <c r="AP722" s="76"/>
      <c r="AQ722" s="76"/>
      <c r="AR722" s="77"/>
      <c r="AS722" s="77"/>
      <c r="AT722" s="78">
        <v>0.75</v>
      </c>
    </row>
    <row r="723" spans="1:46" ht="12.5" x14ac:dyDescent="0.25">
      <c r="A723" s="79">
        <v>44837.677386724536</v>
      </c>
      <c r="B723" s="80" t="s">
        <v>17</v>
      </c>
      <c r="C723" s="80" t="str">
        <f>INDEX(TBL_Name,MATCH(Table2[[#This Row],[Athlete Name]],listNames,0),2)</f>
        <v>Athlete 10</v>
      </c>
      <c r="D723" s="80" t="s">
        <v>130</v>
      </c>
      <c r="E723" s="80">
        <v>8</v>
      </c>
      <c r="F723" s="80">
        <v>8</v>
      </c>
      <c r="G723" s="80">
        <v>8</v>
      </c>
      <c r="H723" s="80" t="s">
        <v>131</v>
      </c>
      <c r="I723" s="80">
        <v>7</v>
      </c>
      <c r="J723" s="80"/>
      <c r="K723" s="80"/>
      <c r="L723" s="80"/>
      <c r="M723" s="1" t="s">
        <v>1068</v>
      </c>
      <c r="N723" s="1">
        <v>41</v>
      </c>
      <c r="O723" s="1">
        <v>9</v>
      </c>
      <c r="P723" s="13">
        <v>44837</v>
      </c>
      <c r="Q723" s="1" t="s">
        <v>133</v>
      </c>
      <c r="R723" s="1" t="s">
        <v>64</v>
      </c>
      <c r="S723" s="1">
        <v>1</v>
      </c>
      <c r="T723" s="1" t="s">
        <v>18</v>
      </c>
      <c r="U723" s="1" t="s">
        <v>18</v>
      </c>
      <c r="V723" s="76">
        <v>7.166666666666667</v>
      </c>
      <c r="W723" s="76">
        <v>0.89752746785575055</v>
      </c>
      <c r="X723" s="77">
        <v>0.92847669088525908</v>
      </c>
      <c r="Y723" s="77">
        <v>3</v>
      </c>
      <c r="Z723" s="76">
        <v>7.833333333333333</v>
      </c>
      <c r="AA723" s="76">
        <v>0.68718427093627688</v>
      </c>
      <c r="AB723" s="77">
        <v>0.24253562503633336</v>
      </c>
      <c r="AC723" s="77">
        <v>3</v>
      </c>
      <c r="AD723" s="76">
        <v>8</v>
      </c>
      <c r="AE723" s="76">
        <v>1.2909944487358056</v>
      </c>
      <c r="AF723" s="77">
        <v>0</v>
      </c>
      <c r="AG723" s="77">
        <v>3</v>
      </c>
      <c r="AH723" s="76">
        <v>7.166666666666667</v>
      </c>
      <c r="AI723" s="76">
        <v>0.68718427093627676</v>
      </c>
      <c r="AJ723" s="77">
        <v>-0.24253562503633341</v>
      </c>
      <c r="AK723" s="77">
        <v>2</v>
      </c>
      <c r="AL723" s="76"/>
      <c r="AM723" s="76"/>
      <c r="AN723" s="77"/>
      <c r="AO723" s="77"/>
      <c r="AP723" s="76"/>
      <c r="AQ723" s="76"/>
      <c r="AR723" s="77"/>
      <c r="AS723" s="77"/>
      <c r="AT723" s="78">
        <v>0.6875</v>
      </c>
    </row>
    <row r="724" spans="1:46" ht="12.5" x14ac:dyDescent="0.25">
      <c r="A724" s="79">
        <v>44838.293896145835</v>
      </c>
      <c r="B724" s="80" t="s">
        <v>21</v>
      </c>
      <c r="C724" s="80" t="str">
        <f>INDEX(TBL_Name,MATCH(Table2[[#This Row],[Athlete Name]],listNames,0),2)</f>
        <v>Athlete 13</v>
      </c>
      <c r="D724" s="80" t="s">
        <v>130</v>
      </c>
      <c r="E724" s="80">
        <v>8</v>
      </c>
      <c r="F724" s="80">
        <v>8</v>
      </c>
      <c r="G724" s="80">
        <v>9</v>
      </c>
      <c r="H724" s="80" t="s">
        <v>1069</v>
      </c>
      <c r="I724" s="80">
        <v>8</v>
      </c>
      <c r="J724" s="80"/>
      <c r="K724" s="80"/>
      <c r="L724" s="80"/>
      <c r="M724" s="1" t="s">
        <v>1070</v>
      </c>
      <c r="N724" s="1">
        <v>41</v>
      </c>
      <c r="O724" s="1">
        <v>9</v>
      </c>
      <c r="P724" s="13">
        <v>44838</v>
      </c>
      <c r="Q724" s="1" t="s">
        <v>133</v>
      </c>
      <c r="R724" s="1" t="s">
        <v>64</v>
      </c>
      <c r="S724" s="1">
        <v>1</v>
      </c>
      <c r="T724" s="1" t="s">
        <v>18</v>
      </c>
      <c r="U724" s="1" t="s">
        <v>18</v>
      </c>
      <c r="V724" s="76">
        <v>7.8571428571428568</v>
      </c>
      <c r="W724" s="76">
        <v>0.3499271061118826</v>
      </c>
      <c r="X724" s="77">
        <v>0.40824829046386407</v>
      </c>
      <c r="Y724" s="77">
        <v>3</v>
      </c>
      <c r="Z724" s="76">
        <v>7.7142857142857144</v>
      </c>
      <c r="AA724" s="76">
        <v>1.1605769149479945</v>
      </c>
      <c r="AB724" s="77">
        <v>0.24618298195866531</v>
      </c>
      <c r="AC724" s="77">
        <v>3</v>
      </c>
      <c r="AD724" s="76">
        <v>8.5714285714285712</v>
      </c>
      <c r="AE724" s="76">
        <v>0.72843135908468348</v>
      </c>
      <c r="AF724" s="77">
        <v>0.58834840541455247</v>
      </c>
      <c r="AG724" s="77">
        <v>3</v>
      </c>
      <c r="AH724" s="76">
        <v>7.4285714285714288</v>
      </c>
      <c r="AI724" s="76">
        <v>0.72843135908468359</v>
      </c>
      <c r="AJ724" s="77">
        <v>0.78446454055273573</v>
      </c>
      <c r="AK724" s="77">
        <v>3</v>
      </c>
      <c r="AL724" s="76"/>
      <c r="AM724" s="76"/>
      <c r="AN724" s="77"/>
      <c r="AO724" s="77"/>
      <c r="AP724" s="76"/>
      <c r="AQ724" s="76"/>
      <c r="AR724" s="77"/>
      <c r="AS724" s="77"/>
      <c r="AT724" s="78">
        <v>0.75</v>
      </c>
    </row>
    <row r="725" spans="1:46" ht="12.5" x14ac:dyDescent="0.25">
      <c r="A725" s="79">
        <v>44838.333899386576</v>
      </c>
      <c r="B725" s="80" t="s">
        <v>168</v>
      </c>
      <c r="C725" s="80" t="str">
        <f>INDEX(TBL_Name,MATCH(Table2[[#This Row],[Athlete Name]],listNames,0),2)</f>
        <v>Athlete 26</v>
      </c>
      <c r="D725" s="80" t="s">
        <v>130</v>
      </c>
      <c r="E725" s="80">
        <v>8</v>
      </c>
      <c r="F725" s="80">
        <v>7</v>
      </c>
      <c r="G725" s="80">
        <v>7</v>
      </c>
      <c r="H725" s="80"/>
      <c r="I725" s="80">
        <v>6</v>
      </c>
      <c r="J725" s="80"/>
      <c r="K725" s="80"/>
      <c r="L725" s="80"/>
      <c r="M725" s="1" t="s">
        <v>1071</v>
      </c>
      <c r="N725" s="1">
        <v>41</v>
      </c>
      <c r="O725" s="1">
        <v>9</v>
      </c>
      <c r="P725" s="13">
        <v>44838</v>
      </c>
      <c r="Q725" s="1" t="s">
        <v>133</v>
      </c>
      <c r="R725" s="1" t="s">
        <v>64</v>
      </c>
      <c r="S725" s="1">
        <v>1</v>
      </c>
      <c r="T725" s="1" t="s">
        <v>942</v>
      </c>
      <c r="U725" s="1" t="s">
        <v>942</v>
      </c>
      <c r="V725" s="76">
        <v>7.333333333333333</v>
      </c>
      <c r="W725" s="76">
        <v>0.47140452079103179</v>
      </c>
      <c r="X725" s="77">
        <v>1.4142135623730954</v>
      </c>
      <c r="Y725" s="77">
        <v>4</v>
      </c>
      <c r="Z725" s="76">
        <v>8</v>
      </c>
      <c r="AA725" s="76">
        <v>0.81649658092772603</v>
      </c>
      <c r="AB725" s="77">
        <v>-1.2247448713915889</v>
      </c>
      <c r="AC725" s="77">
        <v>1</v>
      </c>
      <c r="AD725" s="76">
        <v>7.666666666666667</v>
      </c>
      <c r="AE725" s="76">
        <v>0.47140452079103179</v>
      </c>
      <c r="AF725" s="77">
        <v>-1.4142135623730954</v>
      </c>
      <c r="AG725" s="77">
        <v>1</v>
      </c>
      <c r="AH725" s="76">
        <v>5.333333333333333</v>
      </c>
      <c r="AI725" s="76">
        <v>0.47140452079103179</v>
      </c>
      <c r="AJ725" s="77">
        <v>1.4142135623730954</v>
      </c>
      <c r="AK725" s="77">
        <v>4</v>
      </c>
      <c r="AL725" s="76"/>
      <c r="AM725" s="76"/>
      <c r="AN725" s="77"/>
      <c r="AO725" s="77"/>
      <c r="AP725" s="76"/>
      <c r="AQ725" s="76"/>
      <c r="AR725" s="77"/>
      <c r="AS725" s="77"/>
      <c r="AT725" s="78">
        <v>0.625</v>
      </c>
    </row>
    <row r="726" spans="1:46" ht="12.5" x14ac:dyDescent="0.25">
      <c r="A726" s="79">
        <v>44838.334603599535</v>
      </c>
      <c r="B726" s="80" t="s">
        <v>196</v>
      </c>
      <c r="C726" s="80" t="str">
        <f>INDEX(TBL_Name,MATCH(Table2[[#This Row],[Athlete Name]],listNames,0),2)</f>
        <v>Athlete 31</v>
      </c>
      <c r="D726" s="80" t="s">
        <v>130</v>
      </c>
      <c r="E726" s="80">
        <v>7</v>
      </c>
      <c r="F726" s="80">
        <v>8</v>
      </c>
      <c r="G726" s="80">
        <v>8.5</v>
      </c>
      <c r="H726" s="80" t="s">
        <v>65</v>
      </c>
      <c r="I726" s="80">
        <v>9</v>
      </c>
      <c r="J726" s="80"/>
      <c r="K726" s="80"/>
      <c r="L726" s="80"/>
      <c r="M726" s="1" t="s">
        <v>1072</v>
      </c>
      <c r="N726" s="1">
        <v>41</v>
      </c>
      <c r="O726" s="1">
        <v>9</v>
      </c>
      <c r="P726" s="13">
        <v>44838</v>
      </c>
      <c r="Q726" s="1" t="s">
        <v>133</v>
      </c>
      <c r="R726" s="1" t="s">
        <v>64</v>
      </c>
      <c r="S726" s="1">
        <v>1</v>
      </c>
      <c r="T726" s="1" t="s">
        <v>942</v>
      </c>
      <c r="U726" s="1" t="s">
        <v>942</v>
      </c>
      <c r="V726" s="76">
        <v>6.6</v>
      </c>
      <c r="W726" s="76">
        <v>0.8</v>
      </c>
      <c r="X726" s="77">
        <v>0.50000000000000044</v>
      </c>
      <c r="Y726" s="77">
        <v>3</v>
      </c>
      <c r="Z726" s="76">
        <v>8.1999999999999993</v>
      </c>
      <c r="AA726" s="76">
        <v>0.74833147735478811</v>
      </c>
      <c r="AB726" s="77">
        <v>-0.26726124191242351</v>
      </c>
      <c r="AC726" s="77">
        <v>2</v>
      </c>
      <c r="AD726" s="76">
        <v>8</v>
      </c>
      <c r="AE726" s="76">
        <v>0.83666002653407556</v>
      </c>
      <c r="AF726" s="77">
        <v>0.59761430466719678</v>
      </c>
      <c r="AG726" s="77">
        <v>3</v>
      </c>
      <c r="AH726" s="76">
        <v>8.1999999999999993</v>
      </c>
      <c r="AI726" s="76">
        <v>0.40000000000000019</v>
      </c>
      <c r="AJ726" s="77">
        <v>2.0000000000000009</v>
      </c>
      <c r="AK726" s="77">
        <v>4</v>
      </c>
      <c r="AL726" s="76"/>
      <c r="AM726" s="76"/>
      <c r="AN726" s="77"/>
      <c r="AO726" s="77"/>
      <c r="AP726" s="76"/>
      <c r="AQ726" s="76"/>
      <c r="AR726" s="77"/>
      <c r="AS726" s="77"/>
      <c r="AT726" s="78">
        <v>0.75</v>
      </c>
    </row>
    <row r="727" spans="1:46" ht="12.5" x14ac:dyDescent="0.25">
      <c r="A727" s="79">
        <v>44838.335220775465</v>
      </c>
      <c r="B727" s="80" t="s">
        <v>177</v>
      </c>
      <c r="C727" s="80" t="str">
        <f>INDEX(TBL_Name,MATCH(Table2[[#This Row],[Athlete Name]],listNames,0),2)</f>
        <v>Athlete 28</v>
      </c>
      <c r="D727" s="80" t="s">
        <v>150</v>
      </c>
      <c r="E727" s="80">
        <v>1</v>
      </c>
      <c r="F727" s="80">
        <v>4</v>
      </c>
      <c r="G727" s="80">
        <v>6</v>
      </c>
      <c r="H727" s="80" t="s">
        <v>66</v>
      </c>
      <c r="I727" s="80">
        <v>9</v>
      </c>
      <c r="J727" s="80"/>
      <c r="K727" s="80"/>
      <c r="L727" s="80"/>
      <c r="M727" s="1" t="s">
        <v>1073</v>
      </c>
      <c r="N727" s="1">
        <v>41</v>
      </c>
      <c r="O727" s="1">
        <v>9</v>
      </c>
      <c r="P727" s="13">
        <v>44838</v>
      </c>
      <c r="Q727" s="1" t="s">
        <v>133</v>
      </c>
      <c r="R727" s="1" t="s">
        <v>64</v>
      </c>
      <c r="S727" s="1">
        <v>3</v>
      </c>
      <c r="T727" s="1" t="s">
        <v>942</v>
      </c>
      <c r="U727" s="1" t="s">
        <v>942</v>
      </c>
      <c r="V727" s="76">
        <v>2.5</v>
      </c>
      <c r="W727" s="76">
        <v>1.5</v>
      </c>
      <c r="X727" s="77">
        <v>-1</v>
      </c>
      <c r="Y727" s="77">
        <v>1</v>
      </c>
      <c r="Z727" s="76">
        <v>6.5</v>
      </c>
      <c r="AA727" s="76">
        <v>2.5</v>
      </c>
      <c r="AB727" s="77">
        <v>-1</v>
      </c>
      <c r="AC727" s="77">
        <v>1</v>
      </c>
      <c r="AD727" s="76">
        <v>7.5</v>
      </c>
      <c r="AE727" s="76">
        <v>1.5</v>
      </c>
      <c r="AF727" s="77">
        <v>-1</v>
      </c>
      <c r="AG727" s="77">
        <v>1</v>
      </c>
      <c r="AH727" s="76">
        <v>6.5</v>
      </c>
      <c r="AI727" s="76">
        <v>2.5</v>
      </c>
      <c r="AJ727" s="77">
        <v>1</v>
      </c>
      <c r="AK727" s="77">
        <v>4</v>
      </c>
      <c r="AL727" s="76"/>
      <c r="AM727" s="76"/>
      <c r="AN727" s="77"/>
      <c r="AO727" s="77"/>
      <c r="AP727" s="76"/>
      <c r="AQ727" s="76"/>
      <c r="AR727" s="77"/>
      <c r="AS727" s="77"/>
      <c r="AT727" s="78">
        <v>0.4375</v>
      </c>
    </row>
    <row r="728" spans="1:46" ht="12.5" x14ac:dyDescent="0.25">
      <c r="A728" s="79">
        <v>44838.336614108797</v>
      </c>
      <c r="B728" s="80" t="s">
        <v>225</v>
      </c>
      <c r="C728" s="80" t="str">
        <f>INDEX(TBL_Name,MATCH(Table2[[#This Row],[Athlete Name]],listNames,0),2)</f>
        <v>Athlete 32</v>
      </c>
      <c r="D728" s="80" t="s">
        <v>130</v>
      </c>
      <c r="E728" s="80">
        <v>8</v>
      </c>
      <c r="F728" s="80">
        <v>10</v>
      </c>
      <c r="G728" s="80">
        <v>8</v>
      </c>
      <c r="H728" s="80"/>
      <c r="I728" s="80">
        <v>10</v>
      </c>
      <c r="J728" s="80"/>
      <c r="K728" s="80"/>
      <c r="L728" s="80"/>
      <c r="M728" s="1" t="s">
        <v>1074</v>
      </c>
      <c r="N728" s="1">
        <v>41</v>
      </c>
      <c r="O728" s="1">
        <v>9</v>
      </c>
      <c r="P728" s="13">
        <v>44838</v>
      </c>
      <c r="Q728" s="1" t="s">
        <v>133</v>
      </c>
      <c r="R728" s="1" t="s">
        <v>64</v>
      </c>
      <c r="S728" s="1">
        <v>1</v>
      </c>
      <c r="T728" s="1" t="s">
        <v>942</v>
      </c>
      <c r="U728" s="1" t="s">
        <v>942</v>
      </c>
      <c r="V728" s="76">
        <v>9.3333333333333339</v>
      </c>
      <c r="W728" s="76">
        <v>0.94280904158206358</v>
      </c>
      <c r="X728" s="77">
        <v>-1.4142135623730954</v>
      </c>
      <c r="Y728" s="77">
        <v>1</v>
      </c>
      <c r="Z728" s="76">
        <v>9</v>
      </c>
      <c r="AA728" s="76">
        <v>1.4142135623730951</v>
      </c>
      <c r="AB728" s="77">
        <v>0.70710678118654746</v>
      </c>
      <c r="AC728" s="77">
        <v>3</v>
      </c>
      <c r="AD728" s="76">
        <v>7.666666666666667</v>
      </c>
      <c r="AE728" s="76">
        <v>0.47140452079103162</v>
      </c>
      <c r="AF728" s="77">
        <v>0.70710678118654702</v>
      </c>
      <c r="AG728" s="77">
        <v>3</v>
      </c>
      <c r="AH728" s="76">
        <v>8.3333333333333339</v>
      </c>
      <c r="AI728" s="76">
        <v>2.3570226039551581</v>
      </c>
      <c r="AJ728" s="77">
        <v>0.70710678118654735</v>
      </c>
      <c r="AK728" s="77">
        <v>3</v>
      </c>
      <c r="AL728" s="76"/>
      <c r="AM728" s="76"/>
      <c r="AN728" s="77"/>
      <c r="AO728" s="77"/>
      <c r="AP728" s="76"/>
      <c r="AQ728" s="76"/>
      <c r="AR728" s="77"/>
      <c r="AS728" s="77"/>
      <c r="AT728" s="78">
        <v>0.625</v>
      </c>
    </row>
    <row r="729" spans="1:46" ht="12.5" x14ac:dyDescent="0.25">
      <c r="A729" s="79">
        <v>44838.37023695602</v>
      </c>
      <c r="B729" s="80" t="s">
        <v>6</v>
      </c>
      <c r="C729" s="80" t="str">
        <f>INDEX(TBL_Name,MATCH(Table2[[#This Row],[Athlete Name]],listNames,0),2)</f>
        <v>Athlete 2</v>
      </c>
      <c r="D729" s="80" t="s">
        <v>130</v>
      </c>
      <c r="E729" s="80">
        <v>9</v>
      </c>
      <c r="F729" s="80">
        <v>8</v>
      </c>
      <c r="G729" s="80">
        <v>8</v>
      </c>
      <c r="H729" s="80" t="s">
        <v>73</v>
      </c>
      <c r="I729" s="80">
        <v>9</v>
      </c>
      <c r="J729" s="80"/>
      <c r="K729" s="80"/>
      <c r="L729" s="80"/>
      <c r="M729" s="1" t="s">
        <v>1075</v>
      </c>
      <c r="N729" s="1">
        <v>41</v>
      </c>
      <c r="O729" s="1">
        <v>9</v>
      </c>
      <c r="P729" s="13">
        <v>44838</v>
      </c>
      <c r="Q729" s="1" t="s">
        <v>133</v>
      </c>
      <c r="R729" s="1" t="s">
        <v>64</v>
      </c>
      <c r="S729" s="1">
        <v>1</v>
      </c>
      <c r="T729" s="1" t="s">
        <v>5</v>
      </c>
      <c r="U729" s="1" t="s">
        <v>5</v>
      </c>
      <c r="V729" s="76">
        <v>8.7142857142857135</v>
      </c>
      <c r="W729" s="76">
        <v>0.6998542122237652</v>
      </c>
      <c r="X729" s="77">
        <v>0.40824829046386407</v>
      </c>
      <c r="Y729" s="77">
        <v>3</v>
      </c>
      <c r="Z729" s="76">
        <v>7</v>
      </c>
      <c r="AA729" s="76">
        <v>1.0690449676496978</v>
      </c>
      <c r="AB729" s="77">
        <v>0.93541434669348511</v>
      </c>
      <c r="AC729" s="77">
        <v>3</v>
      </c>
      <c r="AD729" s="76">
        <v>8.2857142857142865</v>
      </c>
      <c r="AE729" s="76">
        <v>0.45175395145262565</v>
      </c>
      <c r="AF729" s="77">
        <v>-0.63245553203367755</v>
      </c>
      <c r="AG729" s="77">
        <v>2</v>
      </c>
      <c r="AH729" s="76">
        <v>8.2857142857142865</v>
      </c>
      <c r="AI729" s="76">
        <v>0.45175395145262565</v>
      </c>
      <c r="AJ729" s="77">
        <v>1.581138830084188</v>
      </c>
      <c r="AK729" s="77">
        <v>4</v>
      </c>
      <c r="AL729" s="76"/>
      <c r="AM729" s="76"/>
      <c r="AN729" s="77"/>
      <c r="AO729" s="77"/>
      <c r="AP729" s="76"/>
      <c r="AQ729" s="76"/>
      <c r="AR729" s="77"/>
      <c r="AS729" s="77"/>
      <c r="AT729" s="78">
        <v>0.75</v>
      </c>
    </row>
    <row r="730" spans="1:46" ht="12.5" x14ac:dyDescent="0.25">
      <c r="A730" s="79">
        <v>44838.393390671292</v>
      </c>
      <c r="B730" s="80" t="s">
        <v>19</v>
      </c>
      <c r="C730" s="80" t="str">
        <f>INDEX(TBL_Name,MATCH(Table2[[#This Row],[Athlete Name]],listNames,0),2)</f>
        <v>Athlete 11</v>
      </c>
      <c r="D730" s="80" t="s">
        <v>130</v>
      </c>
      <c r="E730" s="80">
        <v>4</v>
      </c>
      <c r="F730" s="80">
        <v>7</v>
      </c>
      <c r="G730" s="80">
        <v>7</v>
      </c>
      <c r="H730" s="80" t="s">
        <v>883</v>
      </c>
      <c r="I730" s="80">
        <v>4</v>
      </c>
      <c r="J730" s="80"/>
      <c r="K730" s="80"/>
      <c r="L730" s="80"/>
      <c r="M730" s="1" t="s">
        <v>1076</v>
      </c>
      <c r="N730" s="1">
        <v>41</v>
      </c>
      <c r="O730" s="1">
        <v>9</v>
      </c>
      <c r="P730" s="13">
        <v>44838</v>
      </c>
      <c r="Q730" s="1" t="s">
        <v>133</v>
      </c>
      <c r="R730" s="1" t="s">
        <v>64</v>
      </c>
      <c r="S730" s="1">
        <v>1</v>
      </c>
      <c r="T730" s="1" t="s">
        <v>18</v>
      </c>
      <c r="U730" s="1" t="s">
        <v>18</v>
      </c>
      <c r="V730" s="76">
        <v>4</v>
      </c>
      <c r="W730" s="76">
        <v>0</v>
      </c>
      <c r="X730" s="77">
        <v>0</v>
      </c>
      <c r="Y730" s="77">
        <v>3</v>
      </c>
      <c r="Z730" s="76">
        <v>7.5</v>
      </c>
      <c r="AA730" s="76">
        <v>0.5</v>
      </c>
      <c r="AB730" s="77">
        <v>-1</v>
      </c>
      <c r="AC730" s="77">
        <v>1</v>
      </c>
      <c r="AD730" s="76">
        <v>7.5</v>
      </c>
      <c r="AE730" s="76">
        <v>0.5</v>
      </c>
      <c r="AF730" s="77">
        <v>-1</v>
      </c>
      <c r="AG730" s="77">
        <v>1</v>
      </c>
      <c r="AH730" s="76">
        <v>3</v>
      </c>
      <c r="AI730" s="76">
        <v>1</v>
      </c>
      <c r="AJ730" s="77">
        <v>1</v>
      </c>
      <c r="AK730" s="77">
        <v>4</v>
      </c>
      <c r="AL730" s="76"/>
      <c r="AM730" s="76"/>
      <c r="AN730" s="77"/>
      <c r="AO730" s="77"/>
      <c r="AP730" s="76"/>
      <c r="AQ730" s="76"/>
      <c r="AR730" s="77"/>
      <c r="AS730" s="77"/>
      <c r="AT730" s="78">
        <v>0.5625</v>
      </c>
    </row>
    <row r="731" spans="1:46" ht="12.5" x14ac:dyDescent="0.25">
      <c r="A731" s="79">
        <v>44838.453340486114</v>
      </c>
      <c r="B731" s="80" t="s">
        <v>171</v>
      </c>
      <c r="C731" s="80" t="str">
        <f>INDEX(TBL_Name,MATCH(Table2[[#This Row],[Athlete Name]],listNames,0),2)</f>
        <v>Athlete 27</v>
      </c>
      <c r="D731" s="80" t="s">
        <v>130</v>
      </c>
      <c r="E731" s="80">
        <v>10</v>
      </c>
      <c r="F731" s="80">
        <v>10</v>
      </c>
      <c r="G731" s="80">
        <v>9</v>
      </c>
      <c r="H731" s="80"/>
      <c r="I731" s="80">
        <v>10</v>
      </c>
      <c r="J731" s="80"/>
      <c r="K731" s="80"/>
      <c r="L731" s="80"/>
      <c r="M731" s="1" t="s">
        <v>1077</v>
      </c>
      <c r="N731" s="1">
        <v>41</v>
      </c>
      <c r="O731" s="1">
        <v>9</v>
      </c>
      <c r="P731" s="13">
        <v>44838</v>
      </c>
      <c r="Q731" s="1" t="s">
        <v>133</v>
      </c>
      <c r="R731" s="1" t="s">
        <v>64</v>
      </c>
      <c r="S731" s="1">
        <v>1</v>
      </c>
      <c r="T731" s="1" t="s">
        <v>942</v>
      </c>
      <c r="U731" s="1" t="s">
        <v>942</v>
      </c>
      <c r="V731" s="76">
        <v>10</v>
      </c>
      <c r="W731" s="76">
        <v>0</v>
      </c>
      <c r="X731" s="77">
        <v>0</v>
      </c>
      <c r="Y731" s="77">
        <v>3</v>
      </c>
      <c r="Z731" s="76">
        <v>8.8333333333333339</v>
      </c>
      <c r="AA731" s="76">
        <v>0.89752746785575099</v>
      </c>
      <c r="AB731" s="77">
        <v>1.2998673672393619</v>
      </c>
      <c r="AC731" s="77">
        <v>4</v>
      </c>
      <c r="AD731" s="76">
        <v>8.5</v>
      </c>
      <c r="AE731" s="76">
        <v>0.49999999999999983</v>
      </c>
      <c r="AF731" s="77">
        <v>1.0000000000000004</v>
      </c>
      <c r="AG731" s="77">
        <v>4</v>
      </c>
      <c r="AH731" s="76">
        <v>7.333333333333333</v>
      </c>
      <c r="AI731" s="76">
        <v>1.9720265943665387</v>
      </c>
      <c r="AJ731" s="77">
        <v>1.3522468075656267</v>
      </c>
      <c r="AK731" s="77">
        <v>4</v>
      </c>
      <c r="AL731" s="76"/>
      <c r="AM731" s="76"/>
      <c r="AN731" s="77"/>
      <c r="AO731" s="77"/>
      <c r="AP731" s="76"/>
      <c r="AQ731" s="76"/>
      <c r="AR731" s="77"/>
      <c r="AS731" s="77"/>
      <c r="AT731" s="78">
        <v>0.9375</v>
      </c>
    </row>
    <row r="732" spans="1:46" ht="12.5" x14ac:dyDescent="0.25">
      <c r="A732" s="79">
        <v>44838.465838773147</v>
      </c>
      <c r="B732" s="80" t="s">
        <v>15</v>
      </c>
      <c r="C732" s="80" t="str">
        <f>INDEX(TBL_Name,MATCH(Table2[[#This Row],[Athlete Name]],listNames,0),2)</f>
        <v>Athlete 8</v>
      </c>
      <c r="D732" s="80" t="s">
        <v>130</v>
      </c>
      <c r="E732" s="80">
        <v>9</v>
      </c>
      <c r="F732" s="80">
        <v>10</v>
      </c>
      <c r="G732" s="80">
        <v>9</v>
      </c>
      <c r="H732" s="80" t="s">
        <v>215</v>
      </c>
      <c r="I732" s="80">
        <v>4</v>
      </c>
      <c r="J732" s="80"/>
      <c r="K732" s="80"/>
      <c r="L732" s="80"/>
      <c r="M732" s="1" t="s">
        <v>1078</v>
      </c>
      <c r="N732" s="1">
        <v>41</v>
      </c>
      <c r="O732" s="1">
        <v>9</v>
      </c>
      <c r="P732" s="13">
        <v>44838</v>
      </c>
      <c r="Q732" s="1" t="s">
        <v>133</v>
      </c>
      <c r="R732" s="1" t="s">
        <v>64</v>
      </c>
      <c r="S732" s="1">
        <v>1</v>
      </c>
      <c r="T732" s="1" t="s">
        <v>14</v>
      </c>
      <c r="U732" s="1" t="s">
        <v>14</v>
      </c>
      <c r="V732" s="76">
        <v>7.25</v>
      </c>
      <c r="W732" s="76">
        <v>2.384848003542364</v>
      </c>
      <c r="X732" s="77">
        <v>0.73379938570534287</v>
      </c>
      <c r="Y732" s="77">
        <v>3</v>
      </c>
      <c r="Z732" s="76">
        <v>5.75</v>
      </c>
      <c r="AA732" s="76">
        <v>2.6809513236909019</v>
      </c>
      <c r="AB732" s="77">
        <v>1.5852581740085334</v>
      </c>
      <c r="AC732" s="77">
        <v>4</v>
      </c>
      <c r="AD732" s="76">
        <v>6.75</v>
      </c>
      <c r="AE732" s="76">
        <v>1.479019945774904</v>
      </c>
      <c r="AF732" s="77">
        <v>1.5212776585113299</v>
      </c>
      <c r="AG732" s="77">
        <v>4</v>
      </c>
      <c r="AH732" s="76">
        <v>7.25</v>
      </c>
      <c r="AI732" s="76">
        <v>2.7726341266023544</v>
      </c>
      <c r="AJ732" s="77">
        <v>-1.172170525067662</v>
      </c>
      <c r="AK732" s="77">
        <v>1</v>
      </c>
      <c r="AL732" s="76"/>
      <c r="AM732" s="76"/>
      <c r="AN732" s="77"/>
      <c r="AO732" s="77"/>
      <c r="AP732" s="76"/>
      <c r="AQ732" s="76"/>
      <c r="AR732" s="77"/>
      <c r="AS732" s="77"/>
      <c r="AT732" s="78">
        <v>0.75</v>
      </c>
    </row>
    <row r="733" spans="1:46" ht="12.5" x14ac:dyDescent="0.25">
      <c r="A733" s="79">
        <v>44838.480765138884</v>
      </c>
      <c r="B733" s="80" t="s">
        <v>10</v>
      </c>
      <c r="C733" s="80" t="str">
        <f>INDEX(TBL_Name,MATCH(Table2[[#This Row],[Athlete Name]],listNames,0),2)</f>
        <v>Athlete 5</v>
      </c>
      <c r="D733" s="80" t="s">
        <v>130</v>
      </c>
      <c r="E733" s="80">
        <v>8</v>
      </c>
      <c r="F733" s="80">
        <v>8</v>
      </c>
      <c r="G733" s="80">
        <v>8</v>
      </c>
      <c r="H733" s="80" t="s">
        <v>231</v>
      </c>
      <c r="I733" s="80">
        <v>9</v>
      </c>
      <c r="J733" s="80"/>
      <c r="K733" s="80"/>
      <c r="L733" s="80"/>
      <c r="M733" s="1" t="s">
        <v>1079</v>
      </c>
      <c r="N733" s="1">
        <v>41</v>
      </c>
      <c r="O733" s="1">
        <v>9</v>
      </c>
      <c r="P733" s="13">
        <v>44838</v>
      </c>
      <c r="Q733" s="1" t="s">
        <v>133</v>
      </c>
      <c r="R733" s="1" t="s">
        <v>64</v>
      </c>
      <c r="S733" s="1">
        <v>1</v>
      </c>
      <c r="T733" s="1" t="s">
        <v>11</v>
      </c>
      <c r="U733" s="1" t="s">
        <v>11</v>
      </c>
      <c r="V733" s="76">
        <v>8.4285714285714288</v>
      </c>
      <c r="W733" s="76">
        <v>0.4948716593053934</v>
      </c>
      <c r="X733" s="77">
        <v>-0.86602540378443937</v>
      </c>
      <c r="Y733" s="77">
        <v>2</v>
      </c>
      <c r="Z733" s="76">
        <v>8</v>
      </c>
      <c r="AA733" s="76">
        <v>0.92582009977255142</v>
      </c>
      <c r="AB733" s="77">
        <v>0</v>
      </c>
      <c r="AC733" s="77">
        <v>3</v>
      </c>
      <c r="AD733" s="76">
        <v>8</v>
      </c>
      <c r="AE733" s="76">
        <v>0.92582009977255142</v>
      </c>
      <c r="AF733" s="77">
        <v>0</v>
      </c>
      <c r="AG733" s="77">
        <v>3</v>
      </c>
      <c r="AH733" s="76">
        <v>8</v>
      </c>
      <c r="AI733" s="76">
        <v>0.7559289460184544</v>
      </c>
      <c r="AJ733" s="77">
        <v>1.3228756555322954</v>
      </c>
      <c r="AK733" s="77">
        <v>4</v>
      </c>
      <c r="AL733" s="76"/>
      <c r="AM733" s="76"/>
      <c r="AN733" s="77"/>
      <c r="AO733" s="77"/>
      <c r="AP733" s="76"/>
      <c r="AQ733" s="76"/>
      <c r="AR733" s="77"/>
      <c r="AS733" s="77"/>
      <c r="AT733" s="78">
        <v>0.75</v>
      </c>
    </row>
    <row r="734" spans="1:46" ht="12.5" x14ac:dyDescent="0.25">
      <c r="A734" s="79">
        <v>44838.494920138888</v>
      </c>
      <c r="B734" s="80" t="s">
        <v>282</v>
      </c>
      <c r="C734" s="80" t="str">
        <f>INDEX(TBL_Name,MATCH(Table2[[#This Row],[Athlete Name]],listNames,0),2)</f>
        <v>Athlete 33</v>
      </c>
      <c r="D734" s="80" t="s">
        <v>130</v>
      </c>
      <c r="E734" s="80">
        <v>6</v>
      </c>
      <c r="F734" s="80">
        <v>8</v>
      </c>
      <c r="G734" s="80">
        <v>8</v>
      </c>
      <c r="H734" s="80" t="s">
        <v>131</v>
      </c>
      <c r="I734" s="80">
        <v>3</v>
      </c>
      <c r="J734" s="80"/>
      <c r="K734" s="80"/>
      <c r="L734" s="80"/>
      <c r="M734" s="1" t="s">
        <v>1080</v>
      </c>
      <c r="N734" s="1">
        <v>41</v>
      </c>
      <c r="O734" s="1">
        <v>9</v>
      </c>
      <c r="P734" s="13">
        <v>44838</v>
      </c>
      <c r="Q734" s="1" t="s">
        <v>133</v>
      </c>
      <c r="R734" s="1" t="s">
        <v>64</v>
      </c>
      <c r="S734" s="1">
        <v>1</v>
      </c>
      <c r="T734" s="1" t="s">
        <v>942</v>
      </c>
      <c r="U734" s="1" t="s">
        <v>942</v>
      </c>
      <c r="V734" s="76">
        <v>6</v>
      </c>
      <c r="W734" s="76">
        <v>0</v>
      </c>
      <c r="X734" s="77">
        <v>0</v>
      </c>
      <c r="Y734" s="77">
        <v>3</v>
      </c>
      <c r="Z734" s="76">
        <v>8</v>
      </c>
      <c r="AA734" s="76">
        <v>0</v>
      </c>
      <c r="AB734" s="77">
        <v>0</v>
      </c>
      <c r="AC734" s="77">
        <v>3</v>
      </c>
      <c r="AD734" s="76">
        <v>8</v>
      </c>
      <c r="AE734" s="76">
        <v>0</v>
      </c>
      <c r="AF734" s="77">
        <v>0</v>
      </c>
      <c r="AG734" s="77">
        <v>3</v>
      </c>
      <c r="AH734" s="76">
        <v>3</v>
      </c>
      <c r="AI734" s="76">
        <v>0</v>
      </c>
      <c r="AJ734" s="77">
        <v>0</v>
      </c>
      <c r="AK734" s="77">
        <v>3</v>
      </c>
      <c r="AL734" s="76"/>
      <c r="AM734" s="76"/>
      <c r="AN734" s="77"/>
      <c r="AO734" s="77"/>
      <c r="AP734" s="76"/>
      <c r="AQ734" s="76"/>
      <c r="AR734" s="77"/>
      <c r="AS734" s="77"/>
      <c r="AT734" s="78">
        <v>0.75</v>
      </c>
    </row>
    <row r="735" spans="1:46" ht="12.5" x14ac:dyDescent="0.25">
      <c r="A735" s="79">
        <v>44838.647003136575</v>
      </c>
      <c r="B735" s="80" t="s">
        <v>180</v>
      </c>
      <c r="C735" s="80" t="str">
        <f>INDEX(TBL_Name,MATCH(Table2[[#This Row],[Athlete Name]],listNames,0),2)</f>
        <v>Athlete 29</v>
      </c>
      <c r="D735" s="80" t="s">
        <v>130</v>
      </c>
      <c r="E735" s="80">
        <v>4</v>
      </c>
      <c r="F735" s="80">
        <v>7</v>
      </c>
      <c r="G735" s="80">
        <v>9</v>
      </c>
      <c r="H735" s="80" t="s">
        <v>435</v>
      </c>
      <c r="I735" s="80">
        <v>4</v>
      </c>
      <c r="J735" s="80"/>
      <c r="K735" s="80"/>
      <c r="L735" s="80"/>
      <c r="M735" s="1" t="s">
        <v>1081</v>
      </c>
      <c r="N735" s="1">
        <v>41</v>
      </c>
      <c r="O735" s="1">
        <v>9</v>
      </c>
      <c r="P735" s="13">
        <v>44838</v>
      </c>
      <c r="Q735" s="1" t="s">
        <v>133</v>
      </c>
      <c r="R735" s="1" t="s">
        <v>64</v>
      </c>
      <c r="S735" s="1">
        <v>1</v>
      </c>
      <c r="T735" s="1" t="s">
        <v>942</v>
      </c>
      <c r="U735" s="1" t="s">
        <v>942</v>
      </c>
      <c r="V735" s="76">
        <v>3</v>
      </c>
      <c r="W735" s="76">
        <v>1</v>
      </c>
      <c r="X735" s="77">
        <v>1</v>
      </c>
      <c r="Y735" s="77">
        <v>4</v>
      </c>
      <c r="Z735" s="76">
        <v>5</v>
      </c>
      <c r="AA735" s="76">
        <v>2</v>
      </c>
      <c r="AB735" s="77">
        <v>1</v>
      </c>
      <c r="AC735" s="77">
        <v>4</v>
      </c>
      <c r="AD735" s="76">
        <v>7</v>
      </c>
      <c r="AE735" s="76">
        <v>2</v>
      </c>
      <c r="AF735" s="77">
        <v>1</v>
      </c>
      <c r="AG735" s="77">
        <v>4</v>
      </c>
      <c r="AH735" s="76">
        <v>3.5</v>
      </c>
      <c r="AI735" s="76">
        <v>0.5</v>
      </c>
      <c r="AJ735" s="77">
        <v>1</v>
      </c>
      <c r="AK735" s="77">
        <v>4</v>
      </c>
      <c r="AL735" s="76"/>
      <c r="AM735" s="76"/>
      <c r="AN735" s="77"/>
      <c r="AO735" s="77"/>
      <c r="AP735" s="76"/>
      <c r="AQ735" s="76"/>
      <c r="AR735" s="77"/>
      <c r="AS735" s="77"/>
      <c r="AT735" s="78">
        <v>1</v>
      </c>
    </row>
    <row r="736" spans="1:46" ht="12.5" x14ac:dyDescent="0.25">
      <c r="A736" s="79">
        <v>44839.350655717593</v>
      </c>
      <c r="B736" s="80" t="s">
        <v>21</v>
      </c>
      <c r="C736" s="80" t="str">
        <f>INDEX(TBL_Name,MATCH(Table2[[#This Row],[Athlete Name]],listNames,0),2)</f>
        <v>Athlete 13</v>
      </c>
      <c r="D736" s="80" t="s">
        <v>130</v>
      </c>
      <c r="E736" s="80">
        <v>7</v>
      </c>
      <c r="F736" s="80">
        <v>8</v>
      </c>
      <c r="G736" s="80">
        <v>9</v>
      </c>
      <c r="H736" s="80" t="s">
        <v>971</v>
      </c>
      <c r="I736" s="80">
        <v>7</v>
      </c>
      <c r="J736" s="80"/>
      <c r="K736" s="80"/>
      <c r="L736" s="80"/>
      <c r="M736" s="1" t="s">
        <v>1082</v>
      </c>
      <c r="N736" s="1">
        <v>41</v>
      </c>
      <c r="O736" s="1">
        <v>9</v>
      </c>
      <c r="P736" s="13">
        <v>44839</v>
      </c>
      <c r="Q736" s="1" t="s">
        <v>133</v>
      </c>
      <c r="R736" s="1" t="s">
        <v>64</v>
      </c>
      <c r="S736" s="1">
        <v>1</v>
      </c>
      <c r="T736" s="1" t="s">
        <v>18</v>
      </c>
      <c r="U736" s="1" t="s">
        <v>18</v>
      </c>
      <c r="V736" s="76">
        <v>7.7142857142857144</v>
      </c>
      <c r="W736" s="76">
        <v>0.45175395145262559</v>
      </c>
      <c r="X736" s="77">
        <v>-1.58113883008419</v>
      </c>
      <c r="Y736" s="77">
        <v>1</v>
      </c>
      <c r="Z736" s="76">
        <v>7.5714285714285712</v>
      </c>
      <c r="AA736" s="76">
        <v>1.0497813183356477</v>
      </c>
      <c r="AB736" s="77">
        <v>0.40824829046386329</v>
      </c>
      <c r="AC736" s="77">
        <v>3</v>
      </c>
      <c r="AD736" s="76">
        <v>8.5714285714285712</v>
      </c>
      <c r="AE736" s="76">
        <v>0.72843135908468348</v>
      </c>
      <c r="AF736" s="77">
        <v>0.58834840541455247</v>
      </c>
      <c r="AG736" s="77">
        <v>3</v>
      </c>
      <c r="AH736" s="76">
        <v>7.2857142857142856</v>
      </c>
      <c r="AI736" s="76">
        <v>0.6998542122237652</v>
      </c>
      <c r="AJ736" s="77">
        <v>-0.4082482904638628</v>
      </c>
      <c r="AK736" s="77">
        <v>2</v>
      </c>
      <c r="AL736" s="76"/>
      <c r="AM736" s="76"/>
      <c r="AN736" s="77"/>
      <c r="AO736" s="77"/>
      <c r="AP736" s="76"/>
      <c r="AQ736" s="76"/>
      <c r="AR736" s="77"/>
      <c r="AS736" s="77"/>
      <c r="AT736" s="78">
        <v>0.5625</v>
      </c>
    </row>
    <row r="737" spans="1:46" ht="12.5" x14ac:dyDescent="0.25">
      <c r="A737" s="79">
        <v>44839.372166284724</v>
      </c>
      <c r="B737" s="80" t="s">
        <v>6</v>
      </c>
      <c r="C737" s="80" t="str">
        <f>INDEX(TBL_Name,MATCH(Table2[[#This Row],[Athlete Name]],listNames,0),2)</f>
        <v>Athlete 2</v>
      </c>
      <c r="D737" s="80" t="s">
        <v>143</v>
      </c>
      <c r="E737" s="80">
        <v>8</v>
      </c>
      <c r="F737" s="80">
        <v>7</v>
      </c>
      <c r="G737" s="80">
        <v>8</v>
      </c>
      <c r="H737" s="80"/>
      <c r="I737" s="80">
        <v>9</v>
      </c>
      <c r="J737" s="80"/>
      <c r="K737" s="80"/>
      <c r="L737" s="80"/>
      <c r="M737" s="1" t="s">
        <v>1083</v>
      </c>
      <c r="N737" s="1">
        <v>41</v>
      </c>
      <c r="O737" s="1">
        <v>9</v>
      </c>
      <c r="P737" s="13">
        <v>44839</v>
      </c>
      <c r="Q737" s="1" t="s">
        <v>133</v>
      </c>
      <c r="R737" s="1" t="s">
        <v>64</v>
      </c>
      <c r="S737" s="1">
        <v>2</v>
      </c>
      <c r="T737" s="1" t="s">
        <v>5</v>
      </c>
      <c r="U737" s="1" t="s">
        <v>5</v>
      </c>
      <c r="V737" s="76">
        <v>8.5714285714285712</v>
      </c>
      <c r="W737" s="76">
        <v>0.72843135908468348</v>
      </c>
      <c r="X737" s="77">
        <v>-0.78446454055273585</v>
      </c>
      <c r="Y737" s="77">
        <v>2</v>
      </c>
      <c r="Z737" s="76">
        <v>7.1428571428571432</v>
      </c>
      <c r="AA737" s="76">
        <v>0.98974331861078702</v>
      </c>
      <c r="AB737" s="77">
        <v>-0.14433756729740682</v>
      </c>
      <c r="AC737" s="77">
        <v>2</v>
      </c>
      <c r="AD737" s="76">
        <v>8.2857142857142865</v>
      </c>
      <c r="AE737" s="76">
        <v>0.45175395145262576</v>
      </c>
      <c r="AF737" s="77">
        <v>-0.63245553203367733</v>
      </c>
      <c r="AG737" s="77">
        <v>2</v>
      </c>
      <c r="AH737" s="76">
        <v>8.4285714285714288</v>
      </c>
      <c r="AI737" s="76">
        <v>0.49487165930539401</v>
      </c>
      <c r="AJ737" s="77">
        <v>1.1547005383792499</v>
      </c>
      <c r="AK737" s="77">
        <v>4</v>
      </c>
      <c r="AL737" s="76"/>
      <c r="AM737" s="76"/>
      <c r="AN737" s="77"/>
      <c r="AO737" s="77"/>
      <c r="AP737" s="76"/>
      <c r="AQ737" s="76"/>
      <c r="AR737" s="77"/>
      <c r="AS737" s="77"/>
      <c r="AT737" s="78">
        <v>0.625</v>
      </c>
    </row>
    <row r="738" spans="1:46" ht="12.5" x14ac:dyDescent="0.25">
      <c r="A738" s="79">
        <v>44839.384806458329</v>
      </c>
      <c r="B738" s="80" t="s">
        <v>16</v>
      </c>
      <c r="C738" s="80" t="str">
        <f>INDEX(TBL_Name,MATCH(Table2[[#This Row],[Athlete Name]],listNames,0),2)</f>
        <v>Athlete 9</v>
      </c>
      <c r="D738" s="80" t="s">
        <v>130</v>
      </c>
      <c r="E738" s="80">
        <v>4</v>
      </c>
      <c r="F738" s="80">
        <v>8</v>
      </c>
      <c r="G738" s="80">
        <v>8</v>
      </c>
      <c r="H738" s="80" t="s">
        <v>739</v>
      </c>
      <c r="I738" s="80">
        <v>6</v>
      </c>
      <c r="J738" s="80"/>
      <c r="K738" s="80"/>
      <c r="L738" s="80"/>
      <c r="M738" s="1" t="s">
        <v>1084</v>
      </c>
      <c r="N738" s="1">
        <v>41</v>
      </c>
      <c r="O738" s="1">
        <v>9</v>
      </c>
      <c r="P738" s="13">
        <v>44839</v>
      </c>
      <c r="Q738" s="1" t="s">
        <v>133</v>
      </c>
      <c r="R738" s="1" t="s">
        <v>64</v>
      </c>
      <c r="S738" s="1">
        <v>1</v>
      </c>
      <c r="T738" s="1" t="s">
        <v>14</v>
      </c>
      <c r="U738" s="1" t="s">
        <v>14</v>
      </c>
      <c r="V738" s="76">
        <v>5.5</v>
      </c>
      <c r="W738" s="76">
        <v>1.5</v>
      </c>
      <c r="X738" s="77">
        <v>-1</v>
      </c>
      <c r="Y738" s="77">
        <v>1</v>
      </c>
      <c r="Z738" s="76">
        <v>7.5</v>
      </c>
      <c r="AA738" s="76">
        <v>0.5</v>
      </c>
      <c r="AB738" s="77">
        <v>1</v>
      </c>
      <c r="AC738" s="77">
        <v>4</v>
      </c>
      <c r="AD738" s="76">
        <v>8</v>
      </c>
      <c r="AE738" s="76">
        <v>0</v>
      </c>
      <c r="AF738" s="77">
        <v>0</v>
      </c>
      <c r="AG738" s="77">
        <v>3</v>
      </c>
      <c r="AH738" s="76">
        <v>6.5</v>
      </c>
      <c r="AI738" s="76">
        <v>0.5</v>
      </c>
      <c r="AJ738" s="77">
        <v>-1</v>
      </c>
      <c r="AK738" s="77">
        <v>1</v>
      </c>
      <c r="AL738" s="76"/>
      <c r="AM738" s="76"/>
      <c r="AN738" s="77"/>
      <c r="AO738" s="77"/>
      <c r="AP738" s="76"/>
      <c r="AQ738" s="76"/>
      <c r="AR738" s="77"/>
      <c r="AS738" s="77"/>
      <c r="AT738" s="78">
        <v>0.5625</v>
      </c>
    </row>
    <row r="739" spans="1:46" ht="12.5" x14ac:dyDescent="0.25">
      <c r="A739" s="79">
        <v>44839.414164594906</v>
      </c>
      <c r="B739" s="80" t="s">
        <v>10</v>
      </c>
      <c r="C739" s="80" t="str">
        <f>INDEX(TBL_Name,MATCH(Table2[[#This Row],[Athlete Name]],listNames,0),2)</f>
        <v>Athlete 5</v>
      </c>
      <c r="D739" s="80" t="s">
        <v>130</v>
      </c>
      <c r="E739" s="80">
        <v>8</v>
      </c>
      <c r="F739" s="80">
        <v>8</v>
      </c>
      <c r="G739" s="80">
        <v>8</v>
      </c>
      <c r="H739" s="80" t="s">
        <v>231</v>
      </c>
      <c r="I739" s="80">
        <v>8</v>
      </c>
      <c r="J739" s="80"/>
      <c r="K739" s="80"/>
      <c r="L739" s="80"/>
      <c r="M739" s="1" t="s">
        <v>1085</v>
      </c>
      <c r="N739" s="1">
        <v>41</v>
      </c>
      <c r="O739" s="1">
        <v>9</v>
      </c>
      <c r="P739" s="13">
        <v>44839</v>
      </c>
      <c r="Q739" s="1" t="s">
        <v>133</v>
      </c>
      <c r="R739" s="1" t="s">
        <v>64</v>
      </c>
      <c r="S739" s="1">
        <v>1</v>
      </c>
      <c r="T739" s="1" t="s">
        <v>11</v>
      </c>
      <c r="U739" s="1" t="s">
        <v>11</v>
      </c>
      <c r="V739" s="76">
        <v>8.4285714285714288</v>
      </c>
      <c r="W739" s="76">
        <v>0.49487165930539351</v>
      </c>
      <c r="X739" s="77">
        <v>-0.86602540378443915</v>
      </c>
      <c r="Y739" s="77">
        <v>2</v>
      </c>
      <c r="Z739" s="76">
        <v>8</v>
      </c>
      <c r="AA739" s="76">
        <v>0.92582009977255142</v>
      </c>
      <c r="AB739" s="77">
        <v>0</v>
      </c>
      <c r="AC739" s="77">
        <v>3</v>
      </c>
      <c r="AD739" s="76">
        <v>8</v>
      </c>
      <c r="AE739" s="76">
        <v>0.92582009977255142</v>
      </c>
      <c r="AF739" s="77">
        <v>0</v>
      </c>
      <c r="AG739" s="77">
        <v>3</v>
      </c>
      <c r="AH739" s="76">
        <v>8</v>
      </c>
      <c r="AI739" s="76">
        <v>0.7559289460184544</v>
      </c>
      <c r="AJ739" s="77">
        <v>0</v>
      </c>
      <c r="AK739" s="77">
        <v>3</v>
      </c>
      <c r="AL739" s="76"/>
      <c r="AM739" s="76"/>
      <c r="AN739" s="77"/>
      <c r="AO739" s="77"/>
      <c r="AP739" s="76"/>
      <c r="AQ739" s="76"/>
      <c r="AR739" s="77"/>
      <c r="AS739" s="77"/>
      <c r="AT739" s="78">
        <v>0.6875</v>
      </c>
    </row>
    <row r="740" spans="1:46" ht="12.5" x14ac:dyDescent="0.25">
      <c r="A740" s="79">
        <v>44839.448915069443</v>
      </c>
      <c r="B740" s="80" t="s">
        <v>171</v>
      </c>
      <c r="C740" s="80" t="str">
        <f>INDEX(TBL_Name,MATCH(Table2[[#This Row],[Athlete Name]],listNames,0),2)</f>
        <v>Athlete 27</v>
      </c>
      <c r="D740" s="80" t="s">
        <v>130</v>
      </c>
      <c r="E740" s="80">
        <v>7</v>
      </c>
      <c r="F740" s="80">
        <v>10</v>
      </c>
      <c r="G740" s="80">
        <v>9</v>
      </c>
      <c r="H740" s="80" t="s">
        <v>68</v>
      </c>
      <c r="I740" s="80">
        <v>7</v>
      </c>
      <c r="J740" s="80"/>
      <c r="K740" s="80"/>
      <c r="L740" s="80"/>
      <c r="M740" s="1" t="s">
        <v>1086</v>
      </c>
      <c r="N740" s="1">
        <v>41</v>
      </c>
      <c r="O740" s="1">
        <v>9</v>
      </c>
      <c r="P740" s="13">
        <v>44839</v>
      </c>
      <c r="Q740" s="1" t="s">
        <v>133</v>
      </c>
      <c r="R740" s="1" t="s">
        <v>64</v>
      </c>
      <c r="S740" s="1">
        <v>1</v>
      </c>
      <c r="T740" s="1" t="s">
        <v>942</v>
      </c>
      <c r="U740" s="1" t="s">
        <v>942</v>
      </c>
      <c r="V740" s="76">
        <v>9.5</v>
      </c>
      <c r="W740" s="76">
        <v>1.1180339887498949</v>
      </c>
      <c r="X740" s="77">
        <v>-2.2360679774997898</v>
      </c>
      <c r="Y740" s="77">
        <v>1</v>
      </c>
      <c r="Z740" s="76">
        <v>9.1666666666666661</v>
      </c>
      <c r="AA740" s="76">
        <v>0.89752746785575077</v>
      </c>
      <c r="AB740" s="77">
        <v>0.92847669088525986</v>
      </c>
      <c r="AC740" s="77">
        <v>3</v>
      </c>
      <c r="AD740" s="76">
        <v>8.6666666666666661</v>
      </c>
      <c r="AE740" s="76">
        <v>0.47140452079103179</v>
      </c>
      <c r="AF740" s="77">
        <v>0.70710678118654857</v>
      </c>
      <c r="AG740" s="77">
        <v>3</v>
      </c>
      <c r="AH740" s="76">
        <v>6.833333333333333</v>
      </c>
      <c r="AI740" s="76">
        <v>1.5723301886761007</v>
      </c>
      <c r="AJ740" s="77">
        <v>0.10599978800063618</v>
      </c>
      <c r="AK740" s="77">
        <v>3</v>
      </c>
      <c r="AL740" s="76"/>
      <c r="AM740" s="76"/>
      <c r="AN740" s="77"/>
      <c r="AO740" s="77"/>
      <c r="AP740" s="76"/>
      <c r="AQ740" s="76"/>
      <c r="AR740" s="77"/>
      <c r="AS740" s="77"/>
      <c r="AT740" s="78">
        <v>0.625</v>
      </c>
    </row>
    <row r="741" spans="1:46" ht="12.5" x14ac:dyDescent="0.25">
      <c r="A741" s="79">
        <v>44840.328155509254</v>
      </c>
      <c r="B741" s="80" t="s">
        <v>168</v>
      </c>
      <c r="C741" s="80" t="str">
        <f>INDEX(TBL_Name,MATCH(Table2[[#This Row],[Athlete Name]],listNames,0),2)</f>
        <v>Athlete 26</v>
      </c>
      <c r="D741" s="80" t="s">
        <v>130</v>
      </c>
      <c r="E741" s="80">
        <v>5</v>
      </c>
      <c r="F741" s="80">
        <v>6</v>
      </c>
      <c r="G741" s="80">
        <v>7</v>
      </c>
      <c r="H741" s="80"/>
      <c r="I741" s="80">
        <v>5</v>
      </c>
      <c r="J741" s="80"/>
      <c r="K741" s="80"/>
      <c r="L741" s="80"/>
      <c r="M741" s="1" t="s">
        <v>1087</v>
      </c>
      <c r="N741" s="1">
        <v>41</v>
      </c>
      <c r="O741" s="1">
        <v>9</v>
      </c>
      <c r="P741" s="13">
        <v>44840</v>
      </c>
      <c r="Q741" s="1" t="s">
        <v>133</v>
      </c>
      <c r="R741" s="1" t="s">
        <v>64</v>
      </c>
      <c r="S741" s="1">
        <v>1</v>
      </c>
      <c r="T741" s="1" t="s">
        <v>942</v>
      </c>
      <c r="U741" s="1" t="s">
        <v>942</v>
      </c>
      <c r="V741" s="76">
        <v>6.666666666666667</v>
      </c>
      <c r="W741" s="76">
        <v>1.2472191289246473</v>
      </c>
      <c r="X741" s="77">
        <v>-1.3363062095621221</v>
      </c>
      <c r="Y741" s="77">
        <v>1</v>
      </c>
      <c r="Z741" s="76">
        <v>7.333333333333333</v>
      </c>
      <c r="AA741" s="76">
        <v>1.247219128924647</v>
      </c>
      <c r="AB741" s="77">
        <v>-1.0690449676496974</v>
      </c>
      <c r="AC741" s="77">
        <v>1</v>
      </c>
      <c r="AD741" s="76">
        <v>7.333333333333333</v>
      </c>
      <c r="AE741" s="76">
        <v>0.47140452079103162</v>
      </c>
      <c r="AF741" s="77">
        <v>-0.70710678118654702</v>
      </c>
      <c r="AG741" s="77">
        <v>2</v>
      </c>
      <c r="AH741" s="76">
        <v>5.333333333333333</v>
      </c>
      <c r="AI741" s="76">
        <v>0.47140452079103162</v>
      </c>
      <c r="AJ741" s="77">
        <v>-0.70710678118654702</v>
      </c>
      <c r="AK741" s="77">
        <v>2</v>
      </c>
      <c r="AL741" s="76"/>
      <c r="AM741" s="76"/>
      <c r="AN741" s="77"/>
      <c r="AO741" s="77"/>
      <c r="AP741" s="76"/>
      <c r="AQ741" s="76"/>
      <c r="AR741" s="77"/>
      <c r="AS741" s="77"/>
      <c r="AT741" s="78">
        <v>0.375</v>
      </c>
    </row>
    <row r="742" spans="1:46" ht="12.5" x14ac:dyDescent="0.25">
      <c r="A742" s="79">
        <v>44840.330310289355</v>
      </c>
      <c r="B742" s="80" t="s">
        <v>21</v>
      </c>
      <c r="C742" s="80" t="str">
        <f>INDEX(TBL_Name,MATCH(Table2[[#This Row],[Athlete Name]],listNames,0),2)</f>
        <v>Athlete 13</v>
      </c>
      <c r="D742" s="80" t="s">
        <v>130</v>
      </c>
      <c r="E742" s="80">
        <v>7</v>
      </c>
      <c r="F742" s="80">
        <v>7</v>
      </c>
      <c r="G742" s="80">
        <v>7</v>
      </c>
      <c r="H742" s="80" t="s">
        <v>1052</v>
      </c>
      <c r="I742" s="80">
        <v>6</v>
      </c>
      <c r="J742" s="80"/>
      <c r="K742" s="80"/>
      <c r="L742" s="80"/>
      <c r="M742" s="1" t="s">
        <v>1088</v>
      </c>
      <c r="N742" s="1">
        <v>41</v>
      </c>
      <c r="O742" s="1">
        <v>9</v>
      </c>
      <c r="P742" s="13">
        <v>44840</v>
      </c>
      <c r="Q742" s="1" t="s">
        <v>133</v>
      </c>
      <c r="R742" s="1" t="s">
        <v>64</v>
      </c>
      <c r="S742" s="1">
        <v>1</v>
      </c>
      <c r="T742" s="1" t="s">
        <v>18</v>
      </c>
      <c r="U742" s="1" t="s">
        <v>18</v>
      </c>
      <c r="V742" s="76">
        <v>7.7142857142857144</v>
      </c>
      <c r="W742" s="76">
        <v>0.45175395145262554</v>
      </c>
      <c r="X742" s="77">
        <v>-1.5811388300841902</v>
      </c>
      <c r="Y742" s="77">
        <v>1</v>
      </c>
      <c r="Z742" s="76">
        <v>7.8571428571428568</v>
      </c>
      <c r="AA742" s="76">
        <v>0.34992710611188249</v>
      </c>
      <c r="AB742" s="77">
        <v>-2.4494897427831779</v>
      </c>
      <c r="AC742" s="77">
        <v>1</v>
      </c>
      <c r="AD742" s="76">
        <v>8.5714285714285712</v>
      </c>
      <c r="AE742" s="76">
        <v>0.72843135908468359</v>
      </c>
      <c r="AF742" s="77">
        <v>-2.1572774865200239</v>
      </c>
      <c r="AG742" s="77">
        <v>1</v>
      </c>
      <c r="AH742" s="76">
        <v>7.1428571428571432</v>
      </c>
      <c r="AI742" s="76">
        <v>0.83299312783504298</v>
      </c>
      <c r="AJ742" s="77">
        <v>-1.371988681140071</v>
      </c>
      <c r="AK742" s="77">
        <v>1</v>
      </c>
      <c r="AL742" s="76"/>
      <c r="AM742" s="76"/>
      <c r="AN742" s="77"/>
      <c r="AO742" s="77"/>
      <c r="AP742" s="76"/>
      <c r="AQ742" s="76"/>
      <c r="AR742" s="77"/>
      <c r="AS742" s="77"/>
      <c r="AT742" s="78">
        <v>0.25</v>
      </c>
    </row>
    <row r="743" spans="1:46" ht="12.5" x14ac:dyDescent="0.25">
      <c r="A743" s="79">
        <v>44840.366238530092</v>
      </c>
      <c r="B743" s="80" t="s">
        <v>17</v>
      </c>
      <c r="C743" s="80" t="str">
        <f>INDEX(TBL_Name,MATCH(Table2[[#This Row],[Athlete Name]],listNames,0),2)</f>
        <v>Athlete 10</v>
      </c>
      <c r="D743" s="80" t="s">
        <v>130</v>
      </c>
      <c r="E743" s="80">
        <v>8</v>
      </c>
      <c r="F743" s="80">
        <v>6</v>
      </c>
      <c r="G743" s="80">
        <v>9</v>
      </c>
      <c r="H743" s="80" t="s">
        <v>131</v>
      </c>
      <c r="I743" s="80">
        <v>5</v>
      </c>
      <c r="J743" s="80"/>
      <c r="K743" s="80"/>
      <c r="L743" s="80"/>
      <c r="M743" s="1" t="s">
        <v>1089</v>
      </c>
      <c r="N743" s="1">
        <v>41</v>
      </c>
      <c r="O743" s="1">
        <v>9</v>
      </c>
      <c r="P743" s="13">
        <v>44840</v>
      </c>
      <c r="Q743" s="1" t="s">
        <v>133</v>
      </c>
      <c r="R743" s="1" t="s">
        <v>64</v>
      </c>
      <c r="S743" s="1">
        <v>1</v>
      </c>
      <c r="T743" s="1" t="s">
        <v>18</v>
      </c>
      <c r="U743" s="1" t="s">
        <v>18</v>
      </c>
      <c r="V743" s="76">
        <v>7.8</v>
      </c>
      <c r="W743" s="76">
        <v>0.40000000000000008</v>
      </c>
      <c r="X743" s="77">
        <v>0.50000000000000033</v>
      </c>
      <c r="Y743" s="77">
        <v>3</v>
      </c>
      <c r="Z743" s="76">
        <v>7.4</v>
      </c>
      <c r="AA743" s="76">
        <v>1.0198039027185568</v>
      </c>
      <c r="AB743" s="77">
        <v>-1.3728129459672889</v>
      </c>
      <c r="AC743" s="77">
        <v>1</v>
      </c>
      <c r="AD743" s="76">
        <v>8.1999999999999993</v>
      </c>
      <c r="AE743" s="76">
        <v>1.3266499161421601</v>
      </c>
      <c r="AF743" s="77">
        <v>0.6030226891555277</v>
      </c>
      <c r="AG743" s="77">
        <v>3</v>
      </c>
      <c r="AH743" s="76">
        <v>6.8</v>
      </c>
      <c r="AI743" s="76">
        <v>0.9797958971132712</v>
      </c>
      <c r="AJ743" s="77">
        <v>-1.8371173070873834</v>
      </c>
      <c r="AK743" s="77">
        <v>1</v>
      </c>
      <c r="AL743" s="76"/>
      <c r="AM743" s="76"/>
      <c r="AN743" s="77"/>
      <c r="AO743" s="77"/>
      <c r="AP743" s="76"/>
      <c r="AQ743" s="76"/>
      <c r="AR743" s="77"/>
      <c r="AS743" s="77"/>
      <c r="AT743" s="78">
        <v>0.5</v>
      </c>
    </row>
    <row r="744" spans="1:46" ht="12.5" x14ac:dyDescent="0.25">
      <c r="A744" s="79">
        <v>44840.397991909718</v>
      </c>
      <c r="B744" s="80" t="s">
        <v>15</v>
      </c>
      <c r="C744" s="80" t="str">
        <f>INDEX(TBL_Name,MATCH(Table2[[#This Row],[Athlete Name]],listNames,0),2)</f>
        <v>Athlete 8</v>
      </c>
      <c r="D744" s="80" t="s">
        <v>130</v>
      </c>
      <c r="E744" s="80">
        <v>10</v>
      </c>
      <c r="F744" s="80">
        <v>6</v>
      </c>
      <c r="G744" s="80">
        <v>6</v>
      </c>
      <c r="H744" s="80" t="s">
        <v>508</v>
      </c>
      <c r="I744" s="80">
        <v>5</v>
      </c>
      <c r="J744" s="80"/>
      <c r="K744" s="80"/>
      <c r="L744" s="80"/>
      <c r="M744" s="1" t="s">
        <v>1090</v>
      </c>
      <c r="N744" s="1">
        <v>41</v>
      </c>
      <c r="O744" s="1">
        <v>9</v>
      </c>
      <c r="P744" s="13">
        <v>44840</v>
      </c>
      <c r="Q744" s="1" t="s">
        <v>133</v>
      </c>
      <c r="R744" s="1" t="s">
        <v>64</v>
      </c>
      <c r="S744" s="1">
        <v>1</v>
      </c>
      <c r="T744" s="1" t="s">
        <v>14</v>
      </c>
      <c r="U744" s="1" t="s">
        <v>14</v>
      </c>
      <c r="V744" s="76">
        <v>9.6666666666666661</v>
      </c>
      <c r="W744" s="76">
        <v>0.47140452079103179</v>
      </c>
      <c r="X744" s="77">
        <v>0.70710678118654857</v>
      </c>
      <c r="Y744" s="77">
        <v>3</v>
      </c>
      <c r="Z744" s="76">
        <v>6.333333333333333</v>
      </c>
      <c r="AA744" s="76">
        <v>2.8674417556808756</v>
      </c>
      <c r="AB744" s="77">
        <v>-0.11624763874381917</v>
      </c>
      <c r="AC744" s="77">
        <v>2</v>
      </c>
      <c r="AD744" s="76">
        <v>6.666666666666667</v>
      </c>
      <c r="AE744" s="76">
        <v>1.699673171197595</v>
      </c>
      <c r="AF744" s="77">
        <v>-0.39223227027636826</v>
      </c>
      <c r="AG744" s="77">
        <v>2</v>
      </c>
      <c r="AH744" s="76">
        <v>6.333333333333333</v>
      </c>
      <c r="AI744" s="76">
        <v>2.6246692913372702</v>
      </c>
      <c r="AJ744" s="77">
        <v>-0.50800050800076191</v>
      </c>
      <c r="AK744" s="77">
        <v>2</v>
      </c>
      <c r="AL744" s="76"/>
      <c r="AM744" s="76"/>
      <c r="AN744" s="77"/>
      <c r="AO744" s="77"/>
      <c r="AP744" s="76"/>
      <c r="AQ744" s="76"/>
      <c r="AR744" s="77"/>
      <c r="AS744" s="77"/>
      <c r="AT744" s="78">
        <v>0.5625</v>
      </c>
    </row>
    <row r="745" spans="1:46" ht="12.5" x14ac:dyDescent="0.25">
      <c r="A745" s="79">
        <v>44840.467675474538</v>
      </c>
      <c r="B745" s="80" t="s">
        <v>6</v>
      </c>
      <c r="C745" s="80" t="str">
        <f>INDEX(TBL_Name,MATCH(Table2[[#This Row],[Athlete Name]],listNames,0),2)</f>
        <v>Athlete 2</v>
      </c>
      <c r="D745" s="80" t="s">
        <v>130</v>
      </c>
      <c r="E745" s="80">
        <v>8</v>
      </c>
      <c r="F745" s="80">
        <v>9</v>
      </c>
      <c r="G745" s="80">
        <v>9</v>
      </c>
      <c r="H745" s="80" t="s">
        <v>73</v>
      </c>
      <c r="I745" s="80">
        <v>8</v>
      </c>
      <c r="J745" s="80"/>
      <c r="K745" s="80"/>
      <c r="L745" s="80"/>
      <c r="M745" s="1" t="s">
        <v>1091</v>
      </c>
      <c r="N745" s="1">
        <v>41</v>
      </c>
      <c r="O745" s="1">
        <v>9</v>
      </c>
      <c r="P745" s="13">
        <v>44840</v>
      </c>
      <c r="Q745" s="1" t="s">
        <v>133</v>
      </c>
      <c r="R745" s="1" t="s">
        <v>64</v>
      </c>
      <c r="S745" s="1">
        <v>1</v>
      </c>
      <c r="T745" s="1" t="s">
        <v>5</v>
      </c>
      <c r="U745" s="1" t="s">
        <v>5</v>
      </c>
      <c r="V745" s="76">
        <v>8.7142857142857135</v>
      </c>
      <c r="W745" s="76">
        <v>0.45175395145262592</v>
      </c>
      <c r="X745" s="77">
        <v>-1.5811388300841869</v>
      </c>
      <c r="Y745" s="77">
        <v>1</v>
      </c>
      <c r="Z745" s="76">
        <v>7.7142857142857144</v>
      </c>
      <c r="AA745" s="76">
        <v>0.6998542122237652</v>
      </c>
      <c r="AB745" s="77">
        <v>1.8371173070873834</v>
      </c>
      <c r="AC745" s="77">
        <v>4</v>
      </c>
      <c r="AD745" s="76">
        <v>8.4285714285714288</v>
      </c>
      <c r="AE745" s="76">
        <v>0.4948716593053934</v>
      </c>
      <c r="AF745" s="77">
        <v>1.1547005383792512</v>
      </c>
      <c r="AG745" s="77">
        <v>4</v>
      </c>
      <c r="AH745" s="76">
        <v>8.4285714285714288</v>
      </c>
      <c r="AI745" s="76">
        <v>0.49487165930539351</v>
      </c>
      <c r="AJ745" s="77">
        <v>-0.86602540378443915</v>
      </c>
      <c r="AK745" s="77">
        <v>2</v>
      </c>
      <c r="AL745" s="76"/>
      <c r="AM745" s="76"/>
      <c r="AN745" s="77"/>
      <c r="AO745" s="77"/>
      <c r="AP745" s="76"/>
      <c r="AQ745" s="76"/>
      <c r="AR745" s="77"/>
      <c r="AS745" s="77"/>
      <c r="AT745" s="78">
        <v>0.6875</v>
      </c>
    </row>
    <row r="746" spans="1:46" ht="12.5" x14ac:dyDescent="0.25">
      <c r="A746" s="79">
        <v>44840.583729363425</v>
      </c>
      <c r="B746" s="80" t="s">
        <v>159</v>
      </c>
      <c r="C746" s="80" t="str">
        <f>INDEX(TBL_Name,MATCH(Table2[[#This Row],[Athlete Name]],listNames,0),2)</f>
        <v>Athlete 25</v>
      </c>
      <c r="D746" s="80" t="s">
        <v>130</v>
      </c>
      <c r="E746" s="80">
        <v>7</v>
      </c>
      <c r="F746" s="80">
        <v>7</v>
      </c>
      <c r="G746" s="80">
        <v>5</v>
      </c>
      <c r="H746" s="80"/>
      <c r="I746" s="80">
        <v>7</v>
      </c>
      <c r="J746" s="80"/>
      <c r="K746" s="80"/>
      <c r="L746" s="80"/>
      <c r="M746" s="1" t="s">
        <v>1092</v>
      </c>
      <c r="N746" s="1">
        <v>41</v>
      </c>
      <c r="O746" s="1">
        <v>9</v>
      </c>
      <c r="P746" s="13">
        <v>44840</v>
      </c>
      <c r="Q746" s="1" t="s">
        <v>133</v>
      </c>
      <c r="R746" s="1" t="s">
        <v>64</v>
      </c>
      <c r="S746" s="1">
        <v>1</v>
      </c>
      <c r="T746" s="1" t="s">
        <v>942</v>
      </c>
      <c r="U746" s="1" t="s">
        <v>942</v>
      </c>
      <c r="V746" s="76">
        <v>7</v>
      </c>
      <c r="W746" s="76">
        <v>0</v>
      </c>
      <c r="X746" s="77">
        <v>0</v>
      </c>
      <c r="Y746" s="77">
        <v>3</v>
      </c>
      <c r="Z746" s="76">
        <v>7</v>
      </c>
      <c r="AA746" s="76">
        <v>0</v>
      </c>
      <c r="AB746" s="77">
        <v>0</v>
      </c>
      <c r="AC746" s="77">
        <v>3</v>
      </c>
      <c r="AD746" s="76">
        <v>5</v>
      </c>
      <c r="AE746" s="76">
        <v>0</v>
      </c>
      <c r="AF746" s="77">
        <v>0</v>
      </c>
      <c r="AG746" s="77">
        <v>3</v>
      </c>
      <c r="AH746" s="76">
        <v>7</v>
      </c>
      <c r="AI746" s="76">
        <v>0</v>
      </c>
      <c r="AJ746" s="77">
        <v>0</v>
      </c>
      <c r="AK746" s="77">
        <v>3</v>
      </c>
      <c r="AL746" s="76"/>
      <c r="AM746" s="76"/>
      <c r="AN746" s="77"/>
      <c r="AO746" s="77"/>
      <c r="AP746" s="76"/>
      <c r="AQ746" s="76"/>
      <c r="AR746" s="77"/>
      <c r="AS746" s="77"/>
      <c r="AT746" s="78">
        <v>0.75</v>
      </c>
    </row>
    <row r="747" spans="1:46" ht="12.5" x14ac:dyDescent="0.25">
      <c r="A747" s="79">
        <v>44840.584344768518</v>
      </c>
      <c r="B747" s="80" t="s">
        <v>129</v>
      </c>
      <c r="C747" s="80" t="str">
        <f>INDEX(TBL_Name,MATCH(Table2[[#This Row],[Athlete Name]],listNames,0),2)</f>
        <v>Athlete 19</v>
      </c>
      <c r="D747" s="80" t="s">
        <v>130</v>
      </c>
      <c r="E747" s="80">
        <v>6</v>
      </c>
      <c r="F747" s="80">
        <v>7</v>
      </c>
      <c r="G747" s="80">
        <v>7</v>
      </c>
      <c r="H747" s="80" t="s">
        <v>1093</v>
      </c>
      <c r="I747" s="80">
        <v>3</v>
      </c>
      <c r="J747" s="80"/>
      <c r="K747" s="80"/>
      <c r="L747" s="80"/>
      <c r="M747" s="1" t="s">
        <v>1094</v>
      </c>
      <c r="N747" s="1">
        <v>41</v>
      </c>
      <c r="O747" s="1">
        <v>9</v>
      </c>
      <c r="P747" s="13">
        <v>44840</v>
      </c>
      <c r="Q747" s="1" t="s">
        <v>133</v>
      </c>
      <c r="R747" s="1" t="s">
        <v>64</v>
      </c>
      <c r="S747" s="1">
        <v>1</v>
      </c>
      <c r="T747" s="1" t="s">
        <v>942</v>
      </c>
      <c r="U747" s="1" t="s">
        <v>942</v>
      </c>
      <c r="V747" s="76">
        <v>6</v>
      </c>
      <c r="W747" s="76">
        <v>0</v>
      </c>
      <c r="X747" s="77">
        <v>0</v>
      </c>
      <c r="Y747" s="77">
        <v>3</v>
      </c>
      <c r="Z747" s="76">
        <v>7</v>
      </c>
      <c r="AA747" s="76">
        <v>0</v>
      </c>
      <c r="AB747" s="77">
        <v>0</v>
      </c>
      <c r="AC747" s="77">
        <v>3</v>
      </c>
      <c r="AD747" s="76">
        <v>7</v>
      </c>
      <c r="AE747" s="76">
        <v>0</v>
      </c>
      <c r="AF747" s="77">
        <v>0</v>
      </c>
      <c r="AG747" s="77">
        <v>3</v>
      </c>
      <c r="AH747" s="76">
        <v>3</v>
      </c>
      <c r="AI747" s="76">
        <v>0</v>
      </c>
      <c r="AJ747" s="77">
        <v>0</v>
      </c>
      <c r="AK747" s="77">
        <v>3</v>
      </c>
      <c r="AL747" s="76"/>
      <c r="AM747" s="76"/>
      <c r="AN747" s="77"/>
      <c r="AO747" s="77"/>
      <c r="AP747" s="76"/>
      <c r="AQ747" s="76"/>
      <c r="AR747" s="77"/>
      <c r="AS747" s="77"/>
      <c r="AT747" s="78">
        <v>0.75</v>
      </c>
    </row>
    <row r="748" spans="1:46" ht="12.5" x14ac:dyDescent="0.25">
      <c r="A748" s="79">
        <v>44840.585022858795</v>
      </c>
      <c r="B748" s="80" t="s">
        <v>9</v>
      </c>
      <c r="C748" s="80" t="str">
        <f>INDEX(TBL_Name,MATCH(Table2[[#This Row],[Athlete Name]],listNames,0),2)</f>
        <v>Athlete 4</v>
      </c>
      <c r="D748" s="80" t="s">
        <v>130</v>
      </c>
      <c r="E748" s="80">
        <v>4</v>
      </c>
      <c r="F748" s="80">
        <v>6</v>
      </c>
      <c r="G748" s="80">
        <v>7</v>
      </c>
      <c r="H748" s="80" t="s">
        <v>188</v>
      </c>
      <c r="I748" s="80">
        <v>8</v>
      </c>
      <c r="J748" s="80"/>
      <c r="K748" s="80"/>
      <c r="L748" s="80"/>
      <c r="M748" s="1" t="s">
        <v>1095</v>
      </c>
      <c r="N748" s="1">
        <v>41</v>
      </c>
      <c r="O748" s="1">
        <v>9</v>
      </c>
      <c r="P748" s="13">
        <v>44840</v>
      </c>
      <c r="Q748" s="1" t="s">
        <v>133</v>
      </c>
      <c r="R748" s="1" t="s">
        <v>64</v>
      </c>
      <c r="S748" s="1">
        <v>1</v>
      </c>
      <c r="T748" s="1" t="s">
        <v>8</v>
      </c>
      <c r="U748" s="1" t="s">
        <v>8</v>
      </c>
      <c r="V748" s="76">
        <v>4</v>
      </c>
      <c r="W748" s="76">
        <v>0</v>
      </c>
      <c r="X748" s="77">
        <v>0</v>
      </c>
      <c r="Y748" s="77">
        <v>3</v>
      </c>
      <c r="Z748" s="76">
        <v>6</v>
      </c>
      <c r="AA748" s="76">
        <v>0</v>
      </c>
      <c r="AB748" s="77">
        <v>0</v>
      </c>
      <c r="AC748" s="77">
        <v>3</v>
      </c>
      <c r="AD748" s="76">
        <v>7</v>
      </c>
      <c r="AE748" s="76">
        <v>0</v>
      </c>
      <c r="AF748" s="77">
        <v>0</v>
      </c>
      <c r="AG748" s="77">
        <v>3</v>
      </c>
      <c r="AH748" s="76">
        <v>8</v>
      </c>
      <c r="AI748" s="76">
        <v>0</v>
      </c>
      <c r="AJ748" s="77">
        <v>0</v>
      </c>
      <c r="AK748" s="77">
        <v>3</v>
      </c>
      <c r="AL748" s="76"/>
      <c r="AM748" s="76"/>
      <c r="AN748" s="77"/>
      <c r="AO748" s="77"/>
      <c r="AP748" s="76"/>
      <c r="AQ748" s="76"/>
      <c r="AR748" s="77"/>
      <c r="AS748" s="77"/>
      <c r="AT748" s="78">
        <v>0.75</v>
      </c>
    </row>
    <row r="749" spans="1:46" ht="12.5" x14ac:dyDescent="0.25">
      <c r="A749" s="79">
        <v>44840.585082662037</v>
      </c>
      <c r="B749" s="80" t="s">
        <v>185</v>
      </c>
      <c r="C749" s="80" t="str">
        <f>INDEX(TBL_Name,MATCH(Table2[[#This Row],[Athlete Name]],listNames,0),2)</f>
        <v>Athlete 30</v>
      </c>
      <c r="D749" s="80" t="s">
        <v>130</v>
      </c>
      <c r="E749" s="80">
        <v>8</v>
      </c>
      <c r="F749" s="80">
        <v>4</v>
      </c>
      <c r="G749" s="80">
        <v>7</v>
      </c>
      <c r="H749" s="80" t="s">
        <v>1031</v>
      </c>
      <c r="I749" s="80">
        <v>6</v>
      </c>
      <c r="J749" s="80"/>
      <c r="K749" s="80"/>
      <c r="L749" s="80"/>
      <c r="M749" s="1" t="s">
        <v>1096</v>
      </c>
      <c r="N749" s="1">
        <v>41</v>
      </c>
      <c r="O749" s="1">
        <v>9</v>
      </c>
      <c r="P749" s="13">
        <v>44840</v>
      </c>
      <c r="Q749" s="1" t="s">
        <v>133</v>
      </c>
      <c r="R749" s="1" t="s">
        <v>64</v>
      </c>
      <c r="S749" s="1">
        <v>1</v>
      </c>
      <c r="T749" s="1" t="s">
        <v>942</v>
      </c>
      <c r="U749" s="1" t="s">
        <v>942</v>
      </c>
      <c r="V749" s="76">
        <v>8.5</v>
      </c>
      <c r="W749" s="76">
        <v>0.5</v>
      </c>
      <c r="X749" s="77">
        <v>-1</v>
      </c>
      <c r="Y749" s="77">
        <v>1</v>
      </c>
      <c r="Z749" s="76">
        <v>5</v>
      </c>
      <c r="AA749" s="76">
        <v>1</v>
      </c>
      <c r="AB749" s="77">
        <v>-1</v>
      </c>
      <c r="AC749" s="77">
        <v>1</v>
      </c>
      <c r="AD749" s="76">
        <v>8.5</v>
      </c>
      <c r="AE749" s="76">
        <v>1.5</v>
      </c>
      <c r="AF749" s="77">
        <v>-1</v>
      </c>
      <c r="AG749" s="77">
        <v>1</v>
      </c>
      <c r="AH749" s="76">
        <v>7</v>
      </c>
      <c r="AI749" s="76">
        <v>1</v>
      </c>
      <c r="AJ749" s="77">
        <v>-1</v>
      </c>
      <c r="AK749" s="77">
        <v>1</v>
      </c>
      <c r="AL749" s="76"/>
      <c r="AM749" s="76"/>
      <c r="AN749" s="77"/>
      <c r="AO749" s="77"/>
      <c r="AP749" s="76"/>
      <c r="AQ749" s="76"/>
      <c r="AR749" s="77"/>
      <c r="AS749" s="77"/>
      <c r="AT749" s="78">
        <v>0.25</v>
      </c>
    </row>
    <row r="750" spans="1:46" ht="12.5" x14ac:dyDescent="0.25">
      <c r="A750" s="79">
        <v>44840.585182546296</v>
      </c>
      <c r="B750" s="80" t="s">
        <v>19</v>
      </c>
      <c r="C750" s="80" t="str">
        <f>INDEX(TBL_Name,MATCH(Table2[[#This Row],[Athlete Name]],listNames,0),2)</f>
        <v>Athlete 11</v>
      </c>
      <c r="D750" s="80" t="s">
        <v>130</v>
      </c>
      <c r="E750" s="80">
        <v>6</v>
      </c>
      <c r="F750" s="80">
        <v>6</v>
      </c>
      <c r="G750" s="80">
        <v>6</v>
      </c>
      <c r="H750" s="80" t="s">
        <v>1097</v>
      </c>
      <c r="I750" s="80">
        <v>2</v>
      </c>
      <c r="J750" s="80"/>
      <c r="K750" s="80"/>
      <c r="L750" s="80"/>
      <c r="M750" s="1" t="s">
        <v>1098</v>
      </c>
      <c r="N750" s="1">
        <v>41</v>
      </c>
      <c r="O750" s="1">
        <v>9</v>
      </c>
      <c r="P750" s="13">
        <v>44840</v>
      </c>
      <c r="Q750" s="1" t="s">
        <v>133</v>
      </c>
      <c r="R750" s="1" t="s">
        <v>64</v>
      </c>
      <c r="S750" s="1">
        <v>1</v>
      </c>
      <c r="T750" s="1" t="s">
        <v>18</v>
      </c>
      <c r="U750" s="1" t="s">
        <v>18</v>
      </c>
      <c r="V750" s="76">
        <v>5</v>
      </c>
      <c r="W750" s="76">
        <v>1</v>
      </c>
      <c r="X750" s="77">
        <v>1</v>
      </c>
      <c r="Y750" s="77">
        <v>4</v>
      </c>
      <c r="Z750" s="76">
        <v>6.5</v>
      </c>
      <c r="AA750" s="76">
        <v>0.5</v>
      </c>
      <c r="AB750" s="77">
        <v>-1</v>
      </c>
      <c r="AC750" s="77">
        <v>1</v>
      </c>
      <c r="AD750" s="76">
        <v>6.5</v>
      </c>
      <c r="AE750" s="76">
        <v>0.5</v>
      </c>
      <c r="AF750" s="77">
        <v>-1</v>
      </c>
      <c r="AG750" s="77">
        <v>1</v>
      </c>
      <c r="AH750" s="76">
        <v>3</v>
      </c>
      <c r="AI750" s="76">
        <v>1</v>
      </c>
      <c r="AJ750" s="77">
        <v>-1</v>
      </c>
      <c r="AK750" s="77">
        <v>1</v>
      </c>
      <c r="AL750" s="76"/>
      <c r="AM750" s="76"/>
      <c r="AN750" s="77"/>
      <c r="AO750" s="77"/>
      <c r="AP750" s="76"/>
      <c r="AQ750" s="76"/>
      <c r="AR750" s="77"/>
      <c r="AS750" s="77"/>
      <c r="AT750" s="78">
        <v>0.4375</v>
      </c>
    </row>
    <row r="751" spans="1:46" ht="12.5" x14ac:dyDescent="0.25">
      <c r="A751" s="79">
        <v>44840.585415682872</v>
      </c>
      <c r="B751" s="80" t="s">
        <v>16</v>
      </c>
      <c r="C751" s="80" t="str">
        <f>INDEX(TBL_Name,MATCH(Table2[[#This Row],[Athlete Name]],listNames,0),2)</f>
        <v>Athlete 9</v>
      </c>
      <c r="D751" s="80" t="s">
        <v>130</v>
      </c>
      <c r="E751" s="80">
        <v>6</v>
      </c>
      <c r="F751" s="80">
        <v>6</v>
      </c>
      <c r="G751" s="80">
        <v>7</v>
      </c>
      <c r="H751" s="80" t="s">
        <v>1099</v>
      </c>
      <c r="I751" s="80">
        <v>7</v>
      </c>
      <c r="J751" s="80"/>
      <c r="K751" s="80"/>
      <c r="L751" s="80"/>
      <c r="M751" s="1" t="s">
        <v>1100</v>
      </c>
      <c r="N751" s="1">
        <v>41</v>
      </c>
      <c r="O751" s="1">
        <v>9</v>
      </c>
      <c r="P751" s="13">
        <v>44840</v>
      </c>
      <c r="Q751" s="1" t="s">
        <v>133</v>
      </c>
      <c r="R751" s="1" t="s">
        <v>64</v>
      </c>
      <c r="S751" s="1">
        <v>1</v>
      </c>
      <c r="T751" s="1" t="s">
        <v>14</v>
      </c>
      <c r="U751" s="1" t="s">
        <v>14</v>
      </c>
      <c r="V751" s="76">
        <v>5.666666666666667</v>
      </c>
      <c r="W751" s="76">
        <v>1.247219128924647</v>
      </c>
      <c r="X751" s="77">
        <v>0.26726124191242417</v>
      </c>
      <c r="Y751" s="77">
        <v>3</v>
      </c>
      <c r="Z751" s="76">
        <v>7</v>
      </c>
      <c r="AA751" s="76">
        <v>0.81649658092772603</v>
      </c>
      <c r="AB751" s="77">
        <v>-1.2247448713915889</v>
      </c>
      <c r="AC751" s="77">
        <v>1</v>
      </c>
      <c r="AD751" s="76">
        <v>7.666666666666667</v>
      </c>
      <c r="AE751" s="76">
        <v>0.47140452079103179</v>
      </c>
      <c r="AF751" s="77">
        <v>-1.4142135623730954</v>
      </c>
      <c r="AG751" s="77">
        <v>1</v>
      </c>
      <c r="AH751" s="76">
        <v>6.666666666666667</v>
      </c>
      <c r="AI751" s="76">
        <v>0.47140452079103162</v>
      </c>
      <c r="AJ751" s="77">
        <v>0.70710678118654702</v>
      </c>
      <c r="AK751" s="77">
        <v>3</v>
      </c>
      <c r="AL751" s="76"/>
      <c r="AM751" s="76"/>
      <c r="AN751" s="77"/>
      <c r="AO751" s="77"/>
      <c r="AP751" s="76"/>
      <c r="AQ751" s="76"/>
      <c r="AR751" s="77"/>
      <c r="AS751" s="77"/>
      <c r="AT751" s="78">
        <v>0.5</v>
      </c>
    </row>
    <row r="752" spans="1:46" ht="12.5" x14ac:dyDescent="0.25">
      <c r="A752" s="79">
        <v>44840.586044374999</v>
      </c>
      <c r="B752" s="80" t="s">
        <v>156</v>
      </c>
      <c r="C752" s="80" t="str">
        <f>INDEX(TBL_Name,MATCH(Table2[[#This Row],[Athlete Name]],listNames,0),2)</f>
        <v>Athlete 24</v>
      </c>
      <c r="D752" s="80" t="s">
        <v>130</v>
      </c>
      <c r="E752" s="80">
        <v>7</v>
      </c>
      <c r="F752" s="80">
        <v>7</v>
      </c>
      <c r="G752" s="80">
        <v>7</v>
      </c>
      <c r="H752" s="80" t="s">
        <v>1101</v>
      </c>
      <c r="I752" s="80">
        <v>5</v>
      </c>
      <c r="J752" s="80"/>
      <c r="K752" s="80"/>
      <c r="L752" s="80"/>
      <c r="M752" s="1" t="s">
        <v>1102</v>
      </c>
      <c r="N752" s="1">
        <v>41</v>
      </c>
      <c r="O752" s="1">
        <v>9</v>
      </c>
      <c r="P752" s="13">
        <v>44840</v>
      </c>
      <c r="Q752" s="1" t="s">
        <v>133</v>
      </c>
      <c r="R752" s="1" t="s">
        <v>64</v>
      </c>
      <c r="S752" s="1">
        <v>1</v>
      </c>
      <c r="T752" s="1" t="s">
        <v>942</v>
      </c>
      <c r="U752" s="1" t="s">
        <v>942</v>
      </c>
      <c r="V752" s="76">
        <v>7</v>
      </c>
      <c r="W752" s="76">
        <v>0</v>
      </c>
      <c r="X752" s="77">
        <v>0</v>
      </c>
      <c r="Y752" s="77">
        <v>3</v>
      </c>
      <c r="Z752" s="76">
        <v>7</v>
      </c>
      <c r="AA752" s="76">
        <v>0</v>
      </c>
      <c r="AB752" s="77">
        <v>0</v>
      </c>
      <c r="AC752" s="77">
        <v>3</v>
      </c>
      <c r="AD752" s="76">
        <v>7</v>
      </c>
      <c r="AE752" s="76">
        <v>0</v>
      </c>
      <c r="AF752" s="77">
        <v>0</v>
      </c>
      <c r="AG752" s="77">
        <v>3</v>
      </c>
      <c r="AH752" s="76">
        <v>5</v>
      </c>
      <c r="AI752" s="76">
        <v>0</v>
      </c>
      <c r="AJ752" s="77">
        <v>0</v>
      </c>
      <c r="AK752" s="77">
        <v>3</v>
      </c>
      <c r="AL752" s="76"/>
      <c r="AM752" s="76"/>
      <c r="AN752" s="77"/>
      <c r="AO752" s="77"/>
      <c r="AP752" s="76"/>
      <c r="AQ752" s="76"/>
      <c r="AR752" s="77"/>
      <c r="AS752" s="77"/>
      <c r="AT752" s="78">
        <v>0.75</v>
      </c>
    </row>
    <row r="753" spans="1:46" ht="12.5" x14ac:dyDescent="0.25">
      <c r="A753" s="79">
        <v>44840.586320127317</v>
      </c>
      <c r="B753" s="80" t="s">
        <v>180</v>
      </c>
      <c r="C753" s="80" t="str">
        <f>INDEX(TBL_Name,MATCH(Table2[[#This Row],[Athlete Name]],listNames,0),2)</f>
        <v>Athlete 29</v>
      </c>
      <c r="D753" s="80" t="s">
        <v>130</v>
      </c>
      <c r="E753" s="80">
        <v>4</v>
      </c>
      <c r="F753" s="80">
        <v>10</v>
      </c>
      <c r="G753" s="80">
        <v>9</v>
      </c>
      <c r="H753" s="80" t="s">
        <v>1103</v>
      </c>
      <c r="I753" s="80">
        <v>3</v>
      </c>
      <c r="J753" s="80"/>
      <c r="K753" s="80"/>
      <c r="L753" s="80"/>
      <c r="M753" s="1" t="s">
        <v>1104</v>
      </c>
      <c r="N753" s="1">
        <v>41</v>
      </c>
      <c r="O753" s="1">
        <v>9</v>
      </c>
      <c r="P753" s="13">
        <v>44840</v>
      </c>
      <c r="Q753" s="1" t="s">
        <v>133</v>
      </c>
      <c r="R753" s="1" t="s">
        <v>64</v>
      </c>
      <c r="S753" s="1">
        <v>1</v>
      </c>
      <c r="T753" s="1" t="s">
        <v>942</v>
      </c>
      <c r="U753" s="1" t="s">
        <v>942</v>
      </c>
      <c r="V753" s="76">
        <v>3.3333333333333335</v>
      </c>
      <c r="W753" s="76">
        <v>0.94280904158206336</v>
      </c>
      <c r="X753" s="77">
        <v>0.70710678118654735</v>
      </c>
      <c r="Y753" s="77">
        <v>3</v>
      </c>
      <c r="Z753" s="76">
        <v>6.666666666666667</v>
      </c>
      <c r="AA753" s="76">
        <v>2.8674417556808756</v>
      </c>
      <c r="AB753" s="77">
        <v>1.1624763874381927</v>
      </c>
      <c r="AC753" s="77">
        <v>4</v>
      </c>
      <c r="AD753" s="76">
        <v>7.666666666666667</v>
      </c>
      <c r="AE753" s="76">
        <v>1.8856180831641267</v>
      </c>
      <c r="AF753" s="77">
        <v>0.70710678118654735</v>
      </c>
      <c r="AG753" s="77">
        <v>3</v>
      </c>
      <c r="AH753" s="76">
        <v>3.3333333333333335</v>
      </c>
      <c r="AI753" s="76">
        <v>0.47140452079103168</v>
      </c>
      <c r="AJ753" s="77">
        <v>-0.70710678118654779</v>
      </c>
      <c r="AK753" s="77">
        <v>2</v>
      </c>
      <c r="AL753" s="76"/>
      <c r="AM753" s="76"/>
      <c r="AN753" s="77"/>
      <c r="AO753" s="77"/>
      <c r="AP753" s="76"/>
      <c r="AQ753" s="76"/>
      <c r="AR753" s="77"/>
      <c r="AS753" s="77"/>
      <c r="AT753" s="78">
        <v>0.75</v>
      </c>
    </row>
    <row r="754" spans="1:46" ht="12.5" x14ac:dyDescent="0.25">
      <c r="A754" s="79">
        <v>44840.586372488426</v>
      </c>
      <c r="B754" s="80" t="s">
        <v>23</v>
      </c>
      <c r="C754" s="80" t="str">
        <f>INDEX(TBL_Name,MATCH(Table2[[#This Row],[Athlete Name]],listNames,0),2)</f>
        <v>Athlete 15</v>
      </c>
      <c r="D754" s="80" t="s">
        <v>150</v>
      </c>
      <c r="E754" s="80">
        <v>8</v>
      </c>
      <c r="F754" s="80">
        <v>4</v>
      </c>
      <c r="G754" s="80">
        <v>4</v>
      </c>
      <c r="H754" s="80" t="s">
        <v>1105</v>
      </c>
      <c r="I754" s="80">
        <v>6</v>
      </c>
      <c r="J754" s="80"/>
      <c r="K754" s="80"/>
      <c r="L754" s="80"/>
      <c r="M754" s="1" t="s">
        <v>1106</v>
      </c>
      <c r="N754" s="1">
        <v>41</v>
      </c>
      <c r="O754" s="1">
        <v>9</v>
      </c>
      <c r="P754" s="13">
        <v>44840</v>
      </c>
      <c r="Q754" s="1" t="s">
        <v>133</v>
      </c>
      <c r="R754" s="1" t="s">
        <v>64</v>
      </c>
      <c r="S754" s="1">
        <v>3</v>
      </c>
      <c r="T754" s="1" t="s">
        <v>18</v>
      </c>
      <c r="U754" s="1" t="s">
        <v>18</v>
      </c>
      <c r="V754" s="76">
        <v>8</v>
      </c>
      <c r="W754" s="76">
        <v>0</v>
      </c>
      <c r="X754" s="77">
        <v>0</v>
      </c>
      <c r="Y754" s="77">
        <v>3</v>
      </c>
      <c r="Z754" s="76">
        <v>4</v>
      </c>
      <c r="AA754" s="76">
        <v>0</v>
      </c>
      <c r="AB754" s="77">
        <v>0</v>
      </c>
      <c r="AC754" s="77">
        <v>3</v>
      </c>
      <c r="AD754" s="76">
        <v>4</v>
      </c>
      <c r="AE754" s="76">
        <v>0</v>
      </c>
      <c r="AF754" s="77">
        <v>0</v>
      </c>
      <c r="AG754" s="77">
        <v>3</v>
      </c>
      <c r="AH754" s="76">
        <v>6</v>
      </c>
      <c r="AI754" s="76">
        <v>0</v>
      </c>
      <c r="AJ754" s="77">
        <v>0</v>
      </c>
      <c r="AK754" s="77">
        <v>3</v>
      </c>
      <c r="AL754" s="76"/>
      <c r="AM754" s="76"/>
      <c r="AN754" s="77"/>
      <c r="AO754" s="77"/>
      <c r="AP754" s="76"/>
      <c r="AQ754" s="76"/>
      <c r="AR754" s="77"/>
      <c r="AS754" s="77"/>
      <c r="AT754" s="78">
        <v>0.75</v>
      </c>
    </row>
    <row r="755" spans="1:46" ht="12.5" x14ac:dyDescent="0.25">
      <c r="A755" s="79">
        <v>44840.638842129629</v>
      </c>
      <c r="B755" s="80" t="s">
        <v>225</v>
      </c>
      <c r="C755" s="80" t="str">
        <f>INDEX(TBL_Name,MATCH(Table2[[#This Row],[Athlete Name]],listNames,0),2)</f>
        <v>Athlete 32</v>
      </c>
      <c r="D755" s="80" t="s">
        <v>130</v>
      </c>
      <c r="E755" s="80">
        <v>9</v>
      </c>
      <c r="F755" s="80">
        <v>10</v>
      </c>
      <c r="G755" s="80">
        <v>8</v>
      </c>
      <c r="H755" s="80" t="s">
        <v>69</v>
      </c>
      <c r="I755" s="80">
        <v>4</v>
      </c>
      <c r="J755" s="80"/>
      <c r="K755" s="80"/>
      <c r="L755" s="80"/>
      <c r="M755" s="1" t="s">
        <v>1107</v>
      </c>
      <c r="N755" s="1">
        <v>41</v>
      </c>
      <c r="O755" s="1">
        <v>9</v>
      </c>
      <c r="P755" s="13">
        <v>44840</v>
      </c>
      <c r="Q755" s="1" t="s">
        <v>133</v>
      </c>
      <c r="R755" s="1" t="s">
        <v>64</v>
      </c>
      <c r="S755" s="1">
        <v>1</v>
      </c>
      <c r="T755" s="1" t="s">
        <v>942</v>
      </c>
      <c r="U755" s="1" t="s">
        <v>942</v>
      </c>
      <c r="V755" s="76">
        <v>9</v>
      </c>
      <c r="W755" s="76">
        <v>0.81649658092772603</v>
      </c>
      <c r="X755" s="77">
        <v>0</v>
      </c>
      <c r="Y755" s="77">
        <v>3</v>
      </c>
      <c r="Z755" s="76">
        <v>10</v>
      </c>
      <c r="AA755" s="76">
        <v>0</v>
      </c>
      <c r="AB755" s="77">
        <v>0</v>
      </c>
      <c r="AC755" s="77">
        <v>3</v>
      </c>
      <c r="AD755" s="76">
        <v>8</v>
      </c>
      <c r="AE755" s="76">
        <v>0</v>
      </c>
      <c r="AF755" s="77">
        <v>0</v>
      </c>
      <c r="AG755" s="77">
        <v>3</v>
      </c>
      <c r="AH755" s="76">
        <v>8</v>
      </c>
      <c r="AI755" s="76">
        <v>2.8284271247461903</v>
      </c>
      <c r="AJ755" s="77">
        <v>-1.4142135623730949</v>
      </c>
      <c r="AK755" s="77">
        <v>1</v>
      </c>
      <c r="AL755" s="76"/>
      <c r="AM755" s="76"/>
      <c r="AN755" s="77"/>
      <c r="AO755" s="77"/>
      <c r="AP755" s="76"/>
      <c r="AQ755" s="76"/>
      <c r="AR755" s="77"/>
      <c r="AS755" s="77"/>
      <c r="AT755" s="78">
        <v>0.625</v>
      </c>
    </row>
    <row r="756" spans="1:46" ht="12.5" x14ac:dyDescent="0.25">
      <c r="A756" s="79">
        <v>44840.948683032402</v>
      </c>
      <c r="B756" s="80" t="s">
        <v>10</v>
      </c>
      <c r="C756" s="80" t="str">
        <f>INDEX(TBL_Name,MATCH(Table2[[#This Row],[Athlete Name]],listNames,0),2)</f>
        <v>Athlete 5</v>
      </c>
      <c r="D756" s="80" t="s">
        <v>143</v>
      </c>
      <c r="E756" s="80">
        <v>9</v>
      </c>
      <c r="F756" s="80">
        <v>7</v>
      </c>
      <c r="G756" s="80">
        <v>7</v>
      </c>
      <c r="H756" s="80" t="s">
        <v>208</v>
      </c>
      <c r="I756" s="80">
        <v>6</v>
      </c>
      <c r="J756" s="80"/>
      <c r="K756" s="80"/>
      <c r="L756" s="80"/>
      <c r="M756" s="1" t="s">
        <v>1108</v>
      </c>
      <c r="N756" s="1">
        <v>41</v>
      </c>
      <c r="O756" s="1">
        <v>9</v>
      </c>
      <c r="P756" s="13">
        <v>44840</v>
      </c>
      <c r="Q756" s="1" t="s">
        <v>133</v>
      </c>
      <c r="R756" s="1" t="s">
        <v>64</v>
      </c>
      <c r="S756" s="1">
        <v>2</v>
      </c>
      <c r="T756" s="1" t="s">
        <v>11</v>
      </c>
      <c r="U756" s="1" t="s">
        <v>11</v>
      </c>
      <c r="V756" s="76">
        <v>8.5714285714285712</v>
      </c>
      <c r="W756" s="76">
        <v>0.49487165930539351</v>
      </c>
      <c r="X756" s="77">
        <v>0.86602540378443915</v>
      </c>
      <c r="Y756" s="77">
        <v>3</v>
      </c>
      <c r="Z756" s="76">
        <v>7.8571428571428568</v>
      </c>
      <c r="AA756" s="76">
        <v>0.9897433186107869</v>
      </c>
      <c r="AB756" s="77">
        <v>-0.86602540378443837</v>
      </c>
      <c r="AC756" s="77">
        <v>2</v>
      </c>
      <c r="AD756" s="76">
        <v>7.8571428571428568</v>
      </c>
      <c r="AE756" s="76">
        <v>0.9897433186107869</v>
      </c>
      <c r="AF756" s="77">
        <v>-0.86602540378443837</v>
      </c>
      <c r="AG756" s="77">
        <v>2</v>
      </c>
      <c r="AH756" s="76">
        <v>7.5714285714285712</v>
      </c>
      <c r="AI756" s="76">
        <v>0.90350790290525118</v>
      </c>
      <c r="AJ756" s="77">
        <v>-1.7392527130926085</v>
      </c>
      <c r="AK756" s="77">
        <v>1</v>
      </c>
      <c r="AL756" s="76"/>
      <c r="AM756" s="76"/>
      <c r="AN756" s="77"/>
      <c r="AO756" s="77"/>
      <c r="AP756" s="76"/>
      <c r="AQ756" s="76"/>
      <c r="AR756" s="77"/>
      <c r="AS756" s="77"/>
      <c r="AT756" s="78">
        <v>0.5</v>
      </c>
    </row>
    <row r="757" spans="1:46" ht="12.5" x14ac:dyDescent="0.25">
      <c r="A757" s="79">
        <v>44841.241041909721</v>
      </c>
      <c r="B757" s="80" t="s">
        <v>6</v>
      </c>
      <c r="C757" s="80" t="str">
        <f>INDEX(TBL_Name,MATCH(Table2[[#This Row],[Athlete Name]],listNames,0),2)</f>
        <v>Athlete 2</v>
      </c>
      <c r="D757" s="80" t="s">
        <v>130</v>
      </c>
      <c r="E757" s="80">
        <v>9</v>
      </c>
      <c r="F757" s="80">
        <v>6</v>
      </c>
      <c r="G757" s="80">
        <v>7</v>
      </c>
      <c r="H757" s="80" t="s">
        <v>73</v>
      </c>
      <c r="I757" s="80">
        <v>8</v>
      </c>
      <c r="J757" s="80"/>
      <c r="K757" s="80"/>
      <c r="L757" s="80"/>
      <c r="M757" s="1" t="s">
        <v>1109</v>
      </c>
      <c r="N757" s="1">
        <v>41</v>
      </c>
      <c r="O757" s="1">
        <v>9</v>
      </c>
      <c r="P757" s="13">
        <v>44841</v>
      </c>
      <c r="Q757" s="1" t="s">
        <v>133</v>
      </c>
      <c r="R757" s="1" t="s">
        <v>64</v>
      </c>
      <c r="S757" s="1">
        <v>1</v>
      </c>
      <c r="T757" s="1" t="s">
        <v>5</v>
      </c>
      <c r="U757" s="1" t="s">
        <v>5</v>
      </c>
      <c r="V757" s="76">
        <v>8.7142857142857135</v>
      </c>
      <c r="W757" s="76">
        <v>0.45175395145262587</v>
      </c>
      <c r="X757" s="77">
        <v>0.63245553203367721</v>
      </c>
      <c r="Y757" s="77">
        <v>3</v>
      </c>
      <c r="Z757" s="76">
        <v>7.5714285714285712</v>
      </c>
      <c r="AA757" s="76">
        <v>0.90350790290525118</v>
      </c>
      <c r="AB757" s="77">
        <v>-1.7392527130926085</v>
      </c>
      <c r="AC757" s="77">
        <v>1</v>
      </c>
      <c r="AD757" s="76">
        <v>8.1428571428571423</v>
      </c>
      <c r="AE757" s="76">
        <v>0.63887656499993983</v>
      </c>
      <c r="AF757" s="77">
        <v>-1.7888543819998313</v>
      </c>
      <c r="AG757" s="77">
        <v>1</v>
      </c>
      <c r="AH757" s="76">
        <v>8.2857142857142865</v>
      </c>
      <c r="AI757" s="76">
        <v>0.4517539514526257</v>
      </c>
      <c r="AJ757" s="77">
        <v>-0.63245553203367744</v>
      </c>
      <c r="AK757" s="77">
        <v>2</v>
      </c>
      <c r="AL757" s="76"/>
      <c r="AM757" s="76"/>
      <c r="AN757" s="77"/>
      <c r="AO757" s="77"/>
      <c r="AP757" s="76"/>
      <c r="AQ757" s="76"/>
      <c r="AR757" s="77"/>
      <c r="AS757" s="77"/>
      <c r="AT757" s="78">
        <v>0.4375</v>
      </c>
    </row>
    <row r="758" spans="1:46" ht="12.5" x14ac:dyDescent="0.25">
      <c r="A758" s="79">
        <v>44841.271700381942</v>
      </c>
      <c r="B758" s="80" t="s">
        <v>148</v>
      </c>
      <c r="C758" s="80" t="str">
        <f>INDEX(TBL_Name,MATCH(Table2[[#This Row],[Athlete Name]],listNames,0),2)</f>
        <v>Athlete 22</v>
      </c>
      <c r="D758" s="80" t="s">
        <v>130</v>
      </c>
      <c r="E758" s="80">
        <v>10</v>
      </c>
      <c r="F758" s="80">
        <v>6</v>
      </c>
      <c r="G758" s="80">
        <v>7</v>
      </c>
      <c r="H758" s="80" t="s">
        <v>131</v>
      </c>
      <c r="I758" s="80">
        <v>7</v>
      </c>
      <c r="J758" s="80"/>
      <c r="K758" s="80"/>
      <c r="L758" s="80"/>
      <c r="M758" s="1" t="s">
        <v>1110</v>
      </c>
      <c r="N758" s="1">
        <v>41</v>
      </c>
      <c r="O758" s="1">
        <v>9</v>
      </c>
      <c r="P758" s="13">
        <v>44841</v>
      </c>
      <c r="Q758" s="1" t="s">
        <v>133</v>
      </c>
      <c r="R758" s="1" t="s">
        <v>64</v>
      </c>
      <c r="S758" s="1">
        <v>1</v>
      </c>
      <c r="T758" s="1" t="s">
        <v>942</v>
      </c>
      <c r="U758" s="1" t="s">
        <v>942</v>
      </c>
      <c r="V758" s="76">
        <v>9.5</v>
      </c>
      <c r="W758" s="76">
        <v>0.5</v>
      </c>
      <c r="X758" s="77">
        <v>1</v>
      </c>
      <c r="Y758" s="77">
        <v>4</v>
      </c>
      <c r="Z758" s="76">
        <v>8</v>
      </c>
      <c r="AA758" s="76">
        <v>2</v>
      </c>
      <c r="AB758" s="77">
        <v>-1</v>
      </c>
      <c r="AC758" s="77">
        <v>1</v>
      </c>
      <c r="AD758" s="76">
        <v>7.5</v>
      </c>
      <c r="AE758" s="76">
        <v>0.5</v>
      </c>
      <c r="AF758" s="77">
        <v>-1</v>
      </c>
      <c r="AG758" s="77">
        <v>1</v>
      </c>
      <c r="AH758" s="76">
        <v>8.5</v>
      </c>
      <c r="AI758" s="76">
        <v>1.5</v>
      </c>
      <c r="AJ758" s="77">
        <v>-1</v>
      </c>
      <c r="AK758" s="77">
        <v>1</v>
      </c>
      <c r="AL758" s="76"/>
      <c r="AM758" s="76"/>
      <c r="AN758" s="77"/>
      <c r="AO758" s="77"/>
      <c r="AP758" s="76"/>
      <c r="AQ758" s="76"/>
      <c r="AR758" s="77"/>
      <c r="AS758" s="77"/>
      <c r="AT758" s="78">
        <v>0.4375</v>
      </c>
    </row>
    <row r="759" spans="1:46" ht="12.5" x14ac:dyDescent="0.25">
      <c r="A759" s="79">
        <v>44841.273629745367</v>
      </c>
      <c r="B759" s="80" t="s">
        <v>225</v>
      </c>
      <c r="C759" s="80" t="str">
        <f>INDEX(TBL_Name,MATCH(Table2[[#This Row],[Athlete Name]],listNames,0),2)</f>
        <v>Athlete 32</v>
      </c>
      <c r="D759" s="80" t="s">
        <v>130</v>
      </c>
      <c r="E759" s="80">
        <v>10</v>
      </c>
      <c r="F759" s="80">
        <v>10</v>
      </c>
      <c r="G759" s="80">
        <v>7</v>
      </c>
      <c r="H759" s="80" t="s">
        <v>69</v>
      </c>
      <c r="I759" s="80">
        <v>8</v>
      </c>
      <c r="J759" s="80"/>
      <c r="K759" s="80"/>
      <c r="L759" s="80"/>
      <c r="M759" s="1" t="s">
        <v>1111</v>
      </c>
      <c r="N759" s="1">
        <v>41</v>
      </c>
      <c r="O759" s="1">
        <v>9</v>
      </c>
      <c r="P759" s="13">
        <v>44841</v>
      </c>
      <c r="Q759" s="1" t="s">
        <v>133</v>
      </c>
      <c r="R759" s="1" t="s">
        <v>64</v>
      </c>
      <c r="S759" s="1">
        <v>1</v>
      </c>
      <c r="T759" s="1" t="s">
        <v>942</v>
      </c>
      <c r="U759" s="1" t="s">
        <v>942</v>
      </c>
      <c r="V759" s="76">
        <v>9.25</v>
      </c>
      <c r="W759" s="76">
        <v>0.82915619758884995</v>
      </c>
      <c r="X759" s="77">
        <v>0.90453403373329089</v>
      </c>
      <c r="Y759" s="77">
        <v>3</v>
      </c>
      <c r="Z759" s="76">
        <v>10</v>
      </c>
      <c r="AA759" s="76">
        <v>0</v>
      </c>
      <c r="AB759" s="77">
        <v>0</v>
      </c>
      <c r="AC759" s="77">
        <v>3</v>
      </c>
      <c r="AD759" s="76">
        <v>7.75</v>
      </c>
      <c r="AE759" s="76">
        <v>0.4330127018922193</v>
      </c>
      <c r="AF759" s="77">
        <v>-1.7320508075688774</v>
      </c>
      <c r="AG759" s="77">
        <v>1</v>
      </c>
      <c r="AH759" s="76">
        <v>8</v>
      </c>
      <c r="AI759" s="76">
        <v>2.4494897427831779</v>
      </c>
      <c r="AJ759" s="77">
        <v>0</v>
      </c>
      <c r="AK759" s="77">
        <v>3</v>
      </c>
      <c r="AL759" s="76"/>
      <c r="AM759" s="76"/>
      <c r="AN759" s="77"/>
      <c r="AO759" s="77"/>
      <c r="AP759" s="76"/>
      <c r="AQ759" s="76"/>
      <c r="AR759" s="77"/>
      <c r="AS759" s="77"/>
      <c r="AT759" s="78">
        <v>0.625</v>
      </c>
    </row>
    <row r="760" spans="1:46" ht="12.5" x14ac:dyDescent="0.25">
      <c r="A760" s="79">
        <v>44841.27598200232</v>
      </c>
      <c r="B760" s="80" t="s">
        <v>10</v>
      </c>
      <c r="C760" s="80" t="str">
        <f>INDEX(TBL_Name,MATCH(Table2[[#This Row],[Athlete Name]],listNames,0),2)</f>
        <v>Athlete 5</v>
      </c>
      <c r="D760" s="80" t="s">
        <v>143</v>
      </c>
      <c r="E760" s="80">
        <v>8</v>
      </c>
      <c r="F760" s="80">
        <v>5</v>
      </c>
      <c r="G760" s="80">
        <v>5</v>
      </c>
      <c r="H760" s="80" t="s">
        <v>69</v>
      </c>
      <c r="I760" s="80">
        <v>8</v>
      </c>
      <c r="J760" s="80"/>
      <c r="K760" s="80"/>
      <c r="L760" s="80"/>
      <c r="M760" s="1" t="s">
        <v>1112</v>
      </c>
      <c r="N760" s="1">
        <v>41</v>
      </c>
      <c r="O760" s="1">
        <v>9</v>
      </c>
      <c r="P760" s="13">
        <v>44841</v>
      </c>
      <c r="Q760" s="1" t="s">
        <v>133</v>
      </c>
      <c r="R760" s="1" t="s">
        <v>64</v>
      </c>
      <c r="S760" s="1">
        <v>2</v>
      </c>
      <c r="T760" s="1" t="s">
        <v>11</v>
      </c>
      <c r="U760" s="1" t="s">
        <v>11</v>
      </c>
      <c r="V760" s="76">
        <v>8.4285714285714288</v>
      </c>
      <c r="W760" s="76">
        <v>0.49487165930539351</v>
      </c>
      <c r="X760" s="77">
        <v>-0.86602540378443915</v>
      </c>
      <c r="Y760" s="77">
        <v>2</v>
      </c>
      <c r="Z760" s="76">
        <v>7.7142857142857144</v>
      </c>
      <c r="AA760" s="76">
        <v>1.2777531299998803</v>
      </c>
      <c r="AB760" s="77">
        <v>-2.1242645786247993</v>
      </c>
      <c r="AC760" s="77">
        <v>1</v>
      </c>
      <c r="AD760" s="76">
        <v>7.7142857142857144</v>
      </c>
      <c r="AE760" s="76">
        <v>1.2777531299998803</v>
      </c>
      <c r="AF760" s="77">
        <v>-2.1242645786247993</v>
      </c>
      <c r="AG760" s="77">
        <v>1</v>
      </c>
      <c r="AH760" s="76">
        <v>7.7142857142857144</v>
      </c>
      <c r="AI760" s="76">
        <v>0.88063057185271099</v>
      </c>
      <c r="AJ760" s="77">
        <v>0.32444284226152492</v>
      </c>
      <c r="AK760" s="77">
        <v>3</v>
      </c>
      <c r="AL760" s="76"/>
      <c r="AM760" s="76"/>
      <c r="AN760" s="77"/>
      <c r="AO760" s="77"/>
      <c r="AP760" s="76"/>
      <c r="AQ760" s="76"/>
      <c r="AR760" s="77"/>
      <c r="AS760" s="77"/>
      <c r="AT760" s="78">
        <v>0.4375</v>
      </c>
    </row>
    <row r="761" spans="1:46" ht="12.5" x14ac:dyDescent="0.25">
      <c r="A761" s="79">
        <v>44841.277227025465</v>
      </c>
      <c r="B761" s="80" t="s">
        <v>21</v>
      </c>
      <c r="C761" s="80" t="str">
        <f>INDEX(TBL_Name,MATCH(Table2[[#This Row],[Athlete Name]],listNames,0),2)</f>
        <v>Athlete 13</v>
      </c>
      <c r="D761" s="80" t="s">
        <v>130</v>
      </c>
      <c r="E761" s="80">
        <v>7</v>
      </c>
      <c r="F761" s="80">
        <v>6</v>
      </c>
      <c r="G761" s="80">
        <v>7</v>
      </c>
      <c r="H761" s="80" t="s">
        <v>715</v>
      </c>
      <c r="I761" s="80">
        <v>7</v>
      </c>
      <c r="J761" s="80"/>
      <c r="K761" s="80"/>
      <c r="L761" s="80"/>
      <c r="M761" s="1" t="s">
        <v>1113</v>
      </c>
      <c r="N761" s="1">
        <v>41</v>
      </c>
      <c r="O761" s="1">
        <v>9</v>
      </c>
      <c r="P761" s="13">
        <v>44841</v>
      </c>
      <c r="Q761" s="1" t="s">
        <v>133</v>
      </c>
      <c r="R761" s="1" t="s">
        <v>64</v>
      </c>
      <c r="S761" s="1">
        <v>1</v>
      </c>
      <c r="T761" s="1" t="s">
        <v>18</v>
      </c>
      <c r="U761" s="1" t="s">
        <v>18</v>
      </c>
      <c r="V761" s="76">
        <v>7.5714285714285712</v>
      </c>
      <c r="W761" s="76">
        <v>0.49487165930539334</v>
      </c>
      <c r="X761" s="77">
        <v>-1.1547005383792515</v>
      </c>
      <c r="Y761" s="77">
        <v>1</v>
      </c>
      <c r="Z761" s="76">
        <v>7.5714285714285712</v>
      </c>
      <c r="AA761" s="76">
        <v>0.72843135908468337</v>
      </c>
      <c r="AB761" s="77">
        <v>-2.1572774865200244</v>
      </c>
      <c r="AC761" s="77">
        <v>1</v>
      </c>
      <c r="AD761" s="76">
        <v>8.2857142857142865</v>
      </c>
      <c r="AE761" s="76">
        <v>0.8806305718527111</v>
      </c>
      <c r="AF761" s="77">
        <v>-1.4599927901768635</v>
      </c>
      <c r="AG761" s="77">
        <v>1</v>
      </c>
      <c r="AH761" s="76">
        <v>7</v>
      </c>
      <c r="AI761" s="76">
        <v>0.7559289460184544</v>
      </c>
      <c r="AJ761" s="77">
        <v>0</v>
      </c>
      <c r="AK761" s="77">
        <v>3</v>
      </c>
      <c r="AL761" s="76"/>
      <c r="AM761" s="76"/>
      <c r="AN761" s="77"/>
      <c r="AO761" s="77"/>
      <c r="AP761" s="76"/>
      <c r="AQ761" s="76"/>
      <c r="AR761" s="77"/>
      <c r="AS761" s="77"/>
      <c r="AT761" s="78">
        <v>0.375</v>
      </c>
    </row>
    <row r="762" spans="1:46" ht="12.5" x14ac:dyDescent="0.25">
      <c r="A762" s="79">
        <v>44841.277788009262</v>
      </c>
      <c r="B762" s="80" t="s">
        <v>196</v>
      </c>
      <c r="C762" s="80" t="str">
        <f>INDEX(TBL_Name,MATCH(Table2[[#This Row],[Athlete Name]],listNames,0),2)</f>
        <v>Athlete 31</v>
      </c>
      <c r="D762" s="80" t="s">
        <v>130</v>
      </c>
      <c r="E762" s="80">
        <v>7</v>
      </c>
      <c r="F762" s="80">
        <v>10</v>
      </c>
      <c r="G762" s="80">
        <v>6.5</v>
      </c>
      <c r="H762" s="80" t="s">
        <v>1000</v>
      </c>
      <c r="I762" s="80">
        <v>9</v>
      </c>
      <c r="J762" s="80"/>
      <c r="K762" s="80"/>
      <c r="L762" s="80"/>
      <c r="M762" s="1" t="s">
        <v>1114</v>
      </c>
      <c r="N762" s="1">
        <v>41</v>
      </c>
      <c r="O762" s="1">
        <v>9</v>
      </c>
      <c r="P762" s="13">
        <v>44841</v>
      </c>
      <c r="Q762" s="1" t="s">
        <v>133</v>
      </c>
      <c r="R762" s="1" t="s">
        <v>64</v>
      </c>
      <c r="S762" s="1">
        <v>1</v>
      </c>
      <c r="T762" s="1" t="s">
        <v>942</v>
      </c>
      <c r="U762" s="1" t="s">
        <v>942</v>
      </c>
      <c r="V762" s="76">
        <v>7</v>
      </c>
      <c r="W762" s="76">
        <v>0</v>
      </c>
      <c r="X762" s="77">
        <v>0</v>
      </c>
      <c r="Y762" s="77">
        <v>3</v>
      </c>
      <c r="Z762" s="76">
        <v>8.6666666666666661</v>
      </c>
      <c r="AA762" s="76">
        <v>0.94280904158206358</v>
      </c>
      <c r="AB762" s="77">
        <v>1.4142135623730954</v>
      </c>
      <c r="AC762" s="77">
        <v>4</v>
      </c>
      <c r="AD762" s="76">
        <v>7.666666666666667</v>
      </c>
      <c r="AE762" s="76">
        <v>0.84983658559879749</v>
      </c>
      <c r="AF762" s="77">
        <v>-1.3728129459672886</v>
      </c>
      <c r="AG762" s="77">
        <v>1</v>
      </c>
      <c r="AH762" s="76">
        <v>8.6666666666666661</v>
      </c>
      <c r="AI762" s="76">
        <v>0.47140452079103179</v>
      </c>
      <c r="AJ762" s="77">
        <v>0.70710678118654857</v>
      </c>
      <c r="AK762" s="77">
        <v>3</v>
      </c>
      <c r="AL762" s="76"/>
      <c r="AM762" s="76"/>
      <c r="AN762" s="77"/>
      <c r="AO762" s="77"/>
      <c r="AP762" s="76"/>
      <c r="AQ762" s="76"/>
      <c r="AR762" s="77"/>
      <c r="AS762" s="77"/>
      <c r="AT762" s="78">
        <v>0.6875</v>
      </c>
    </row>
    <row r="763" spans="1:46" ht="12.5" x14ac:dyDescent="0.25">
      <c r="A763" s="79">
        <v>44841.600445729171</v>
      </c>
      <c r="B763" s="80" t="s">
        <v>17</v>
      </c>
      <c r="C763" s="80" t="str">
        <f>INDEX(TBL_Name,MATCH(Table2[[#This Row],[Athlete Name]],listNames,0),2)</f>
        <v>Athlete 10</v>
      </c>
      <c r="D763" s="80" t="s">
        <v>143</v>
      </c>
      <c r="E763" s="80">
        <v>7</v>
      </c>
      <c r="F763" s="80">
        <v>6</v>
      </c>
      <c r="G763" s="80">
        <v>7</v>
      </c>
      <c r="H763" s="80" t="s">
        <v>131</v>
      </c>
      <c r="I763" s="80">
        <v>8</v>
      </c>
      <c r="J763" s="80"/>
      <c r="K763" s="80"/>
      <c r="L763" s="80"/>
      <c r="M763" s="1" t="s">
        <v>1115</v>
      </c>
      <c r="N763" s="1">
        <v>41</v>
      </c>
      <c r="O763" s="1">
        <v>9</v>
      </c>
      <c r="P763" s="13">
        <v>44841</v>
      </c>
      <c r="Q763" s="1" t="s">
        <v>133</v>
      </c>
      <c r="R763" s="1" t="s">
        <v>64</v>
      </c>
      <c r="S763" s="1">
        <v>2</v>
      </c>
      <c r="T763" s="1" t="s">
        <v>18</v>
      </c>
      <c r="U763" s="1" t="s">
        <v>18</v>
      </c>
      <c r="V763" s="76">
        <v>7.6</v>
      </c>
      <c r="W763" s="76">
        <v>0.48989794855663554</v>
      </c>
      <c r="X763" s="77">
        <v>-1.2247448713915885</v>
      </c>
      <c r="Y763" s="77">
        <v>1</v>
      </c>
      <c r="Z763" s="76">
        <v>7.2</v>
      </c>
      <c r="AA763" s="76">
        <v>1.1661903789690602</v>
      </c>
      <c r="AB763" s="77">
        <v>-1.0289915108550531</v>
      </c>
      <c r="AC763" s="77">
        <v>1</v>
      </c>
      <c r="AD763" s="76">
        <v>8.4</v>
      </c>
      <c r="AE763" s="76">
        <v>1.019803902718557</v>
      </c>
      <c r="AF763" s="77">
        <v>-1.3728129459672884</v>
      </c>
      <c r="AG763" s="77">
        <v>1</v>
      </c>
      <c r="AH763" s="76">
        <v>7</v>
      </c>
      <c r="AI763" s="76">
        <v>1.0954451150103321</v>
      </c>
      <c r="AJ763" s="77">
        <v>0.9128709291752769</v>
      </c>
      <c r="AK763" s="77">
        <v>3</v>
      </c>
      <c r="AL763" s="76"/>
      <c r="AM763" s="76"/>
      <c r="AN763" s="77"/>
      <c r="AO763" s="77"/>
      <c r="AP763" s="76"/>
      <c r="AQ763" s="76"/>
      <c r="AR763" s="77"/>
      <c r="AS763" s="77"/>
      <c r="AT763" s="78">
        <v>0.375</v>
      </c>
    </row>
    <row r="764" spans="1:46" ht="12.5" x14ac:dyDescent="0.25">
      <c r="A764" s="79">
        <v>44842.362511666666</v>
      </c>
      <c r="B764" s="80" t="s">
        <v>21</v>
      </c>
      <c r="C764" s="80" t="str">
        <f>INDEX(TBL_Name,MATCH(Table2[[#This Row],[Athlete Name]],listNames,0),2)</f>
        <v>Athlete 13</v>
      </c>
      <c r="D764" s="80" t="s">
        <v>130</v>
      </c>
      <c r="E764" s="80">
        <v>8</v>
      </c>
      <c r="F764" s="80">
        <v>10</v>
      </c>
      <c r="G764" s="80">
        <v>8</v>
      </c>
      <c r="H764" s="80" t="s">
        <v>715</v>
      </c>
      <c r="I764" s="80">
        <v>8</v>
      </c>
      <c r="J764" s="80"/>
      <c r="K764" s="80"/>
      <c r="L764" s="80"/>
      <c r="M764" s="1" t="s">
        <v>1116</v>
      </c>
      <c r="N764" s="1">
        <v>41</v>
      </c>
      <c r="O764" s="1">
        <v>9</v>
      </c>
      <c r="P764" s="13">
        <v>44842</v>
      </c>
      <c r="Q764" s="1" t="s">
        <v>133</v>
      </c>
      <c r="R764" s="1" t="s">
        <v>64</v>
      </c>
      <c r="S764" s="1">
        <v>1</v>
      </c>
      <c r="T764" s="1" t="s">
        <v>18</v>
      </c>
      <c r="U764" s="1" t="s">
        <v>18</v>
      </c>
      <c r="V764" s="76">
        <v>7.5714285714285712</v>
      </c>
      <c r="W764" s="76">
        <v>0.49487165930539345</v>
      </c>
      <c r="X764" s="77">
        <v>0.86602540378443926</v>
      </c>
      <c r="Y764" s="77">
        <v>3</v>
      </c>
      <c r="Z764" s="76">
        <v>7.8571428571428568</v>
      </c>
      <c r="AA764" s="76">
        <v>1.1248582677159731</v>
      </c>
      <c r="AB764" s="77">
        <v>1.9050019050028577</v>
      </c>
      <c r="AC764" s="77">
        <v>4</v>
      </c>
      <c r="AD764" s="76">
        <v>8.1428571428571423</v>
      </c>
      <c r="AE764" s="76">
        <v>0.8329931278350432</v>
      </c>
      <c r="AF764" s="77">
        <v>-0.17149858514250818</v>
      </c>
      <c r="AG764" s="77">
        <v>2</v>
      </c>
      <c r="AH764" s="76">
        <v>7</v>
      </c>
      <c r="AI764" s="76">
        <v>0.7559289460184544</v>
      </c>
      <c r="AJ764" s="77">
        <v>1.3228756555322954</v>
      </c>
      <c r="AK764" s="77">
        <v>4</v>
      </c>
      <c r="AL764" s="76"/>
      <c r="AM764" s="76"/>
      <c r="AN764" s="77"/>
      <c r="AO764" s="77"/>
      <c r="AP764" s="76"/>
      <c r="AQ764" s="76"/>
      <c r="AR764" s="77"/>
      <c r="AS764" s="77"/>
      <c r="AT764" s="78">
        <v>0.8125</v>
      </c>
    </row>
    <row r="765" spans="1:46" ht="12.5" x14ac:dyDescent="0.25">
      <c r="A765" s="79">
        <v>44842.36252141204</v>
      </c>
      <c r="B765" s="80" t="s">
        <v>6</v>
      </c>
      <c r="C765" s="80" t="str">
        <f>INDEX(TBL_Name,MATCH(Table2[[#This Row],[Athlete Name]],listNames,0),2)</f>
        <v>Athlete 2</v>
      </c>
      <c r="D765" s="80" t="s">
        <v>130</v>
      </c>
      <c r="E765" s="80">
        <v>9</v>
      </c>
      <c r="F765" s="80">
        <v>9</v>
      </c>
      <c r="G765" s="80">
        <v>8</v>
      </c>
      <c r="H765" s="80" t="s">
        <v>73</v>
      </c>
      <c r="I765" s="80">
        <v>8</v>
      </c>
      <c r="J765" s="80"/>
      <c r="K765" s="80"/>
      <c r="L765" s="80"/>
      <c r="M765" s="1" t="s">
        <v>1117</v>
      </c>
      <c r="N765" s="1">
        <v>41</v>
      </c>
      <c r="O765" s="1">
        <v>9</v>
      </c>
      <c r="P765" s="13">
        <v>44842</v>
      </c>
      <c r="Q765" s="1" t="s">
        <v>133</v>
      </c>
      <c r="R765" s="1" t="s">
        <v>64</v>
      </c>
      <c r="S765" s="1">
        <v>1</v>
      </c>
      <c r="T765" s="1" t="s">
        <v>5</v>
      </c>
      <c r="U765" s="1" t="s">
        <v>5</v>
      </c>
      <c r="V765" s="76">
        <v>8.7142857142857135</v>
      </c>
      <c r="W765" s="76">
        <v>0.4517539514526257</v>
      </c>
      <c r="X765" s="77">
        <v>0.63245553203367744</v>
      </c>
      <c r="Y765" s="77">
        <v>3</v>
      </c>
      <c r="Z765" s="76">
        <v>7.8571428571428568</v>
      </c>
      <c r="AA765" s="76">
        <v>0.98974331861078702</v>
      </c>
      <c r="AB765" s="77">
        <v>1.1547005383792519</v>
      </c>
      <c r="AC765" s="77">
        <v>4</v>
      </c>
      <c r="AD765" s="76">
        <v>8</v>
      </c>
      <c r="AE765" s="76">
        <v>0.53452248382484857</v>
      </c>
      <c r="AF765" s="77">
        <v>0</v>
      </c>
      <c r="AG765" s="77">
        <v>3</v>
      </c>
      <c r="AH765" s="76">
        <v>8.2857142857142865</v>
      </c>
      <c r="AI765" s="76">
        <v>0.45175395145262565</v>
      </c>
      <c r="AJ765" s="77">
        <v>-0.63245553203367755</v>
      </c>
      <c r="AK765" s="77">
        <v>2</v>
      </c>
      <c r="AL765" s="76"/>
      <c r="AM765" s="76"/>
      <c r="AN765" s="77"/>
      <c r="AO765" s="77"/>
      <c r="AP765" s="76"/>
      <c r="AQ765" s="76"/>
      <c r="AR765" s="77"/>
      <c r="AS765" s="77"/>
      <c r="AT765" s="78">
        <v>0.75</v>
      </c>
    </row>
    <row r="766" spans="1:46" ht="12.5" x14ac:dyDescent="0.25">
      <c r="A766" s="79">
        <v>44842.363280358797</v>
      </c>
      <c r="B766" s="80" t="s">
        <v>17</v>
      </c>
      <c r="C766" s="80" t="str">
        <f>INDEX(TBL_Name,MATCH(Table2[[#This Row],[Athlete Name]],listNames,0),2)</f>
        <v>Athlete 10</v>
      </c>
      <c r="D766" s="80" t="s">
        <v>130</v>
      </c>
      <c r="E766" s="80">
        <v>8</v>
      </c>
      <c r="F766" s="80">
        <v>8</v>
      </c>
      <c r="G766" s="80">
        <v>9</v>
      </c>
      <c r="H766" s="80" t="s">
        <v>131</v>
      </c>
      <c r="I766" s="80">
        <v>7</v>
      </c>
      <c r="J766" s="80"/>
      <c r="K766" s="80"/>
      <c r="L766" s="80"/>
      <c r="M766" s="1" t="s">
        <v>1118</v>
      </c>
      <c r="N766" s="1">
        <v>41</v>
      </c>
      <c r="O766" s="1">
        <v>9</v>
      </c>
      <c r="P766" s="13">
        <v>44842</v>
      </c>
      <c r="Q766" s="1" t="s">
        <v>133</v>
      </c>
      <c r="R766" s="1" t="s">
        <v>64</v>
      </c>
      <c r="S766" s="1">
        <v>1</v>
      </c>
      <c r="T766" s="1" t="s">
        <v>18</v>
      </c>
      <c r="U766" s="1" t="s">
        <v>18</v>
      </c>
      <c r="V766" s="76">
        <v>7.6</v>
      </c>
      <c r="W766" s="76">
        <v>0.48989794855663565</v>
      </c>
      <c r="X766" s="77">
        <v>0.8164965809277267</v>
      </c>
      <c r="Y766" s="77">
        <v>3</v>
      </c>
      <c r="Z766" s="76">
        <v>7.4</v>
      </c>
      <c r="AA766" s="76">
        <v>1.2000000000000002</v>
      </c>
      <c r="AB766" s="77">
        <v>0.49999999999999961</v>
      </c>
      <c r="AC766" s="77">
        <v>3</v>
      </c>
      <c r="AD766" s="76">
        <v>8.1999999999999993</v>
      </c>
      <c r="AE766" s="76">
        <v>0.74833147735478833</v>
      </c>
      <c r="AF766" s="77">
        <v>1.0690449676496985</v>
      </c>
      <c r="AG766" s="77">
        <v>4</v>
      </c>
      <c r="AH766" s="76">
        <v>6.8</v>
      </c>
      <c r="AI766" s="76">
        <v>0.9797958971132712</v>
      </c>
      <c r="AJ766" s="77">
        <v>0.2041241452319317</v>
      </c>
      <c r="AK766" s="77">
        <v>3</v>
      </c>
      <c r="AL766" s="76"/>
      <c r="AM766" s="76"/>
      <c r="AN766" s="77"/>
      <c r="AO766" s="77"/>
      <c r="AP766" s="76"/>
      <c r="AQ766" s="76"/>
      <c r="AR766" s="77"/>
      <c r="AS766" s="77"/>
      <c r="AT766" s="78">
        <v>0.8125</v>
      </c>
    </row>
    <row r="767" spans="1:46" ht="12.5" x14ac:dyDescent="0.25">
      <c r="A767" s="79">
        <v>44843.30107721065</v>
      </c>
      <c r="B767" s="80" t="s">
        <v>6</v>
      </c>
      <c r="C767" s="80" t="str">
        <f>INDEX(TBL_Name,MATCH(Table2[[#This Row],[Athlete Name]],listNames,0),2)</f>
        <v>Athlete 2</v>
      </c>
      <c r="D767" s="80" t="s">
        <v>130</v>
      </c>
      <c r="E767" s="80">
        <v>8</v>
      </c>
      <c r="F767" s="80">
        <v>8</v>
      </c>
      <c r="G767" s="80">
        <v>8</v>
      </c>
      <c r="H767" s="80" t="s">
        <v>73</v>
      </c>
      <c r="I767" s="80">
        <v>8</v>
      </c>
      <c r="J767" s="80"/>
      <c r="K767" s="80"/>
      <c r="L767" s="80"/>
      <c r="M767" s="1" t="s">
        <v>1119</v>
      </c>
      <c r="N767" s="1">
        <v>42</v>
      </c>
      <c r="O767" s="1">
        <v>10</v>
      </c>
      <c r="P767" s="13">
        <v>44843</v>
      </c>
      <c r="Q767" s="1" t="s">
        <v>133</v>
      </c>
      <c r="R767" s="1" t="s">
        <v>64</v>
      </c>
      <c r="S767" s="1">
        <v>1</v>
      </c>
      <c r="T767" s="1" t="s">
        <v>5</v>
      </c>
      <c r="U767" s="1" t="s">
        <v>5</v>
      </c>
      <c r="V767" s="76">
        <v>8.5714285714285712</v>
      </c>
      <c r="W767" s="76">
        <v>0.4948716593053934</v>
      </c>
      <c r="X767" s="77">
        <v>-1.1547005383792512</v>
      </c>
      <c r="Y767" s="77">
        <v>1</v>
      </c>
      <c r="Z767" s="76">
        <v>7.8571428571428568</v>
      </c>
      <c r="AA767" s="76">
        <v>0.98974331861078702</v>
      </c>
      <c r="AB767" s="77">
        <v>0.14433756729740682</v>
      </c>
      <c r="AC767" s="77">
        <v>3</v>
      </c>
      <c r="AD767" s="76">
        <v>8</v>
      </c>
      <c r="AE767" s="76">
        <v>0.53452248382484879</v>
      </c>
      <c r="AF767" s="77">
        <v>0</v>
      </c>
      <c r="AG767" s="77">
        <v>3</v>
      </c>
      <c r="AH767" s="76">
        <v>8.2857142857142865</v>
      </c>
      <c r="AI767" s="76">
        <v>0.45175395145262576</v>
      </c>
      <c r="AJ767" s="77">
        <v>-0.63245553203367733</v>
      </c>
      <c r="AK767" s="77">
        <v>2</v>
      </c>
      <c r="AL767" s="76"/>
      <c r="AM767" s="76"/>
      <c r="AN767" s="77"/>
      <c r="AO767" s="77"/>
      <c r="AP767" s="76"/>
      <c r="AQ767" s="76"/>
      <c r="AR767" s="77"/>
      <c r="AS767" s="77"/>
      <c r="AT767" s="78">
        <v>0.5625</v>
      </c>
    </row>
    <row r="768" spans="1:46" ht="12.5" x14ac:dyDescent="0.25">
      <c r="A768" s="79">
        <v>44843.315754247684</v>
      </c>
      <c r="B768" s="80" t="s">
        <v>196</v>
      </c>
      <c r="C768" s="80" t="str">
        <f>INDEX(TBL_Name,MATCH(Table2[[#This Row],[Athlete Name]],listNames,0),2)</f>
        <v>Athlete 31</v>
      </c>
      <c r="D768" s="80" t="s">
        <v>130</v>
      </c>
      <c r="E768" s="80">
        <v>5</v>
      </c>
      <c r="F768" s="80">
        <v>10</v>
      </c>
      <c r="G768" s="80">
        <v>7</v>
      </c>
      <c r="H768" s="80" t="s">
        <v>797</v>
      </c>
      <c r="I768" s="80">
        <v>7</v>
      </c>
      <c r="J768" s="80"/>
      <c r="K768" s="80"/>
      <c r="L768" s="80"/>
      <c r="M768" s="1" t="s">
        <v>1120</v>
      </c>
      <c r="N768" s="1">
        <v>42</v>
      </c>
      <c r="O768" s="1">
        <v>10</v>
      </c>
      <c r="P768" s="13">
        <v>44843</v>
      </c>
      <c r="Q768" s="1" t="s">
        <v>133</v>
      </c>
      <c r="R768" s="1" t="s">
        <v>64</v>
      </c>
      <c r="S768" s="1">
        <v>1</v>
      </c>
      <c r="T768" s="1" t="s">
        <v>942</v>
      </c>
      <c r="U768" s="1" t="s">
        <v>942</v>
      </c>
      <c r="V768" s="76">
        <v>6.333333333333333</v>
      </c>
      <c r="W768" s="76">
        <v>0.94280904158206325</v>
      </c>
      <c r="X768" s="77">
        <v>-1.4142135623730949</v>
      </c>
      <c r="Y768" s="77">
        <v>1</v>
      </c>
      <c r="Z768" s="76">
        <v>9.3333333333333339</v>
      </c>
      <c r="AA768" s="76">
        <v>0.94280904158206325</v>
      </c>
      <c r="AB768" s="77">
        <v>0.70710678118654702</v>
      </c>
      <c r="AC768" s="77">
        <v>3</v>
      </c>
      <c r="AD768" s="76">
        <v>7.333333333333333</v>
      </c>
      <c r="AE768" s="76">
        <v>0.84983658559879749</v>
      </c>
      <c r="AF768" s="77">
        <v>-0.3922322702763677</v>
      </c>
      <c r="AG768" s="77">
        <v>2</v>
      </c>
      <c r="AH768" s="76">
        <v>8.3333333333333339</v>
      </c>
      <c r="AI768" s="76">
        <v>0.94280904158206358</v>
      </c>
      <c r="AJ768" s="77">
        <v>-1.4142135623730954</v>
      </c>
      <c r="AK768" s="77">
        <v>1</v>
      </c>
      <c r="AL768" s="76"/>
      <c r="AM768" s="76"/>
      <c r="AN768" s="77"/>
      <c r="AO768" s="77"/>
      <c r="AP768" s="76"/>
      <c r="AQ768" s="76"/>
      <c r="AR768" s="77"/>
      <c r="AS768" s="77"/>
      <c r="AT768" s="78">
        <v>0.4375</v>
      </c>
    </row>
    <row r="769" spans="1:46" ht="12.5" x14ac:dyDescent="0.25">
      <c r="A769" s="79">
        <v>44843.329065671292</v>
      </c>
      <c r="B769" s="80" t="s">
        <v>10</v>
      </c>
      <c r="C769" s="80" t="str">
        <f>INDEX(TBL_Name,MATCH(Table2[[#This Row],[Athlete Name]],listNames,0),2)</f>
        <v>Athlete 5</v>
      </c>
      <c r="D769" s="80" t="s">
        <v>143</v>
      </c>
      <c r="E769" s="80">
        <v>8</v>
      </c>
      <c r="F769" s="80">
        <v>8</v>
      </c>
      <c r="G769" s="80">
        <v>8</v>
      </c>
      <c r="H769" s="80" t="s">
        <v>69</v>
      </c>
      <c r="I769" s="80">
        <v>7</v>
      </c>
      <c r="J769" s="80"/>
      <c r="K769" s="80"/>
      <c r="L769" s="80"/>
      <c r="M769" s="1" t="s">
        <v>1121</v>
      </c>
      <c r="N769" s="1">
        <v>42</v>
      </c>
      <c r="O769" s="1">
        <v>10</v>
      </c>
      <c r="P769" s="13">
        <v>44843</v>
      </c>
      <c r="Q769" s="1" t="s">
        <v>133</v>
      </c>
      <c r="R769" s="1" t="s">
        <v>64</v>
      </c>
      <c r="S769" s="1">
        <v>2</v>
      </c>
      <c r="T769" s="1" t="s">
        <v>11</v>
      </c>
      <c r="U769" s="1" t="s">
        <v>11</v>
      </c>
      <c r="V769" s="76">
        <v>8.3333333333333339</v>
      </c>
      <c r="W769" s="76">
        <v>0.47140452079103179</v>
      </c>
      <c r="X769" s="77">
        <v>-0.70710678118654857</v>
      </c>
      <c r="Y769" s="77">
        <v>2</v>
      </c>
      <c r="Z769" s="76">
        <v>7.5</v>
      </c>
      <c r="AA769" s="76">
        <v>1.2583057392117918</v>
      </c>
      <c r="AB769" s="77">
        <v>0.39735970711951307</v>
      </c>
      <c r="AC769" s="77">
        <v>3</v>
      </c>
      <c r="AD769" s="76">
        <v>7.5</v>
      </c>
      <c r="AE769" s="76">
        <v>1.2583057392117918</v>
      </c>
      <c r="AF769" s="77">
        <v>0.39735970711951307</v>
      </c>
      <c r="AG769" s="77">
        <v>3</v>
      </c>
      <c r="AH769" s="76">
        <v>7.666666666666667</v>
      </c>
      <c r="AI769" s="76">
        <v>0.94280904158206336</v>
      </c>
      <c r="AJ769" s="77">
        <v>-0.70710678118654779</v>
      </c>
      <c r="AK769" s="77">
        <v>2</v>
      </c>
      <c r="AL769" s="76"/>
      <c r="AM769" s="76"/>
      <c r="AN769" s="77"/>
      <c r="AO769" s="77"/>
      <c r="AP769" s="76"/>
      <c r="AQ769" s="76"/>
      <c r="AR769" s="77"/>
      <c r="AS769" s="77"/>
      <c r="AT769" s="78">
        <v>0.625</v>
      </c>
    </row>
    <row r="770" spans="1:46" ht="12.5" x14ac:dyDescent="0.25">
      <c r="A770" s="79">
        <v>44843.355336643523</v>
      </c>
      <c r="B770" s="80" t="s">
        <v>17</v>
      </c>
      <c r="C770" s="80" t="str">
        <f>INDEX(TBL_Name,MATCH(Table2[[#This Row],[Athlete Name]],listNames,0),2)</f>
        <v>Athlete 10</v>
      </c>
      <c r="D770" s="80" t="s">
        <v>130</v>
      </c>
      <c r="E770" s="80">
        <v>9</v>
      </c>
      <c r="F770" s="80">
        <v>6</v>
      </c>
      <c r="G770" s="80">
        <v>6</v>
      </c>
      <c r="H770" s="80" t="s">
        <v>131</v>
      </c>
      <c r="I770" s="80">
        <v>6</v>
      </c>
      <c r="J770" s="80"/>
      <c r="K770" s="80"/>
      <c r="L770" s="80"/>
      <c r="M770" s="1" t="s">
        <v>1122</v>
      </c>
      <c r="N770" s="1">
        <v>42</v>
      </c>
      <c r="O770" s="1">
        <v>10</v>
      </c>
      <c r="P770" s="13">
        <v>44843</v>
      </c>
      <c r="Q770" s="1" t="s">
        <v>133</v>
      </c>
      <c r="R770" s="1" t="s">
        <v>64</v>
      </c>
      <c r="S770" s="1">
        <v>1</v>
      </c>
      <c r="T770" s="1" t="s">
        <v>18</v>
      </c>
      <c r="U770" s="1" t="s">
        <v>18</v>
      </c>
      <c r="V770" s="76">
        <v>8</v>
      </c>
      <c r="W770" s="76">
        <v>0.63245553203367588</v>
      </c>
      <c r="X770" s="77">
        <v>1.5811388300841895</v>
      </c>
      <c r="Y770" s="77">
        <v>4</v>
      </c>
      <c r="Z770" s="76">
        <v>6.8</v>
      </c>
      <c r="AA770" s="76">
        <v>0.9797958971132712</v>
      </c>
      <c r="AB770" s="77">
        <v>-0.81649658092772592</v>
      </c>
      <c r="AC770" s="77">
        <v>2</v>
      </c>
      <c r="AD770" s="76">
        <v>7.8</v>
      </c>
      <c r="AE770" s="76">
        <v>1.16619037896906</v>
      </c>
      <c r="AF770" s="77">
        <v>-1.5434872662825796</v>
      </c>
      <c r="AG770" s="77">
        <v>1</v>
      </c>
      <c r="AH770" s="76">
        <v>6.6</v>
      </c>
      <c r="AI770" s="76">
        <v>1.0198039027185568</v>
      </c>
      <c r="AJ770" s="77">
        <v>-0.5883484054145518</v>
      </c>
      <c r="AK770" s="77">
        <v>2</v>
      </c>
      <c r="AL770" s="76"/>
      <c r="AM770" s="76"/>
      <c r="AN770" s="77"/>
      <c r="AO770" s="77"/>
      <c r="AP770" s="76"/>
      <c r="AQ770" s="76"/>
      <c r="AR770" s="77"/>
      <c r="AS770" s="77"/>
      <c r="AT770" s="78">
        <v>0.5625</v>
      </c>
    </row>
    <row r="771" spans="1:46" ht="12.5" x14ac:dyDescent="0.25">
      <c r="A771" s="79">
        <v>44843.379535335647</v>
      </c>
      <c r="B771" s="80" t="s">
        <v>21</v>
      </c>
      <c r="C771" s="80" t="str">
        <f>INDEX(TBL_Name,MATCH(Table2[[#This Row],[Athlete Name]],listNames,0),2)</f>
        <v>Athlete 13</v>
      </c>
      <c r="D771" s="80" t="s">
        <v>130</v>
      </c>
      <c r="E771" s="80">
        <v>8</v>
      </c>
      <c r="F771" s="80">
        <v>9</v>
      </c>
      <c r="G771" s="80">
        <v>8</v>
      </c>
      <c r="H771" s="80" t="s">
        <v>1123</v>
      </c>
      <c r="I771" s="80">
        <v>6</v>
      </c>
      <c r="J771" s="80"/>
      <c r="K771" s="80"/>
      <c r="L771" s="80"/>
      <c r="M771" s="1" t="s">
        <v>1124</v>
      </c>
      <c r="N771" s="1">
        <v>42</v>
      </c>
      <c r="O771" s="1">
        <v>10</v>
      </c>
      <c r="P771" s="13">
        <v>44843</v>
      </c>
      <c r="Q771" s="1" t="s">
        <v>133</v>
      </c>
      <c r="R771" s="1" t="s">
        <v>64</v>
      </c>
      <c r="S771" s="1">
        <v>1</v>
      </c>
      <c r="T771" s="1" t="s">
        <v>18</v>
      </c>
      <c r="U771" s="1" t="s">
        <v>18</v>
      </c>
      <c r="V771" s="76">
        <v>7.5714285714285712</v>
      </c>
      <c r="W771" s="76">
        <v>0.49487165930539362</v>
      </c>
      <c r="X771" s="77">
        <v>0.86602540378443893</v>
      </c>
      <c r="Y771" s="77">
        <v>3</v>
      </c>
      <c r="Z771" s="76">
        <v>8</v>
      </c>
      <c r="AA771" s="76">
        <v>1.1952286093343936</v>
      </c>
      <c r="AB771" s="77">
        <v>0.83666002653407556</v>
      </c>
      <c r="AC771" s="77">
        <v>3</v>
      </c>
      <c r="AD771" s="76">
        <v>8</v>
      </c>
      <c r="AE771" s="76">
        <v>0.7559289460184544</v>
      </c>
      <c r="AF771" s="77">
        <v>0</v>
      </c>
      <c r="AG771" s="77">
        <v>3</v>
      </c>
      <c r="AH771" s="76">
        <v>7</v>
      </c>
      <c r="AI771" s="76">
        <v>0.7559289460184544</v>
      </c>
      <c r="AJ771" s="77">
        <v>-1.3228756555322954</v>
      </c>
      <c r="AK771" s="77">
        <v>1</v>
      </c>
      <c r="AL771" s="76"/>
      <c r="AM771" s="76"/>
      <c r="AN771" s="77"/>
      <c r="AO771" s="77"/>
      <c r="AP771" s="76"/>
      <c r="AQ771" s="76"/>
      <c r="AR771" s="77"/>
      <c r="AS771" s="77"/>
      <c r="AT771" s="78">
        <v>0.625</v>
      </c>
    </row>
    <row r="772" spans="1:46" ht="12.5" x14ac:dyDescent="0.25">
      <c r="A772" s="79">
        <v>44843.419170000001</v>
      </c>
      <c r="B772" s="80" t="s">
        <v>180</v>
      </c>
      <c r="C772" s="80" t="str">
        <f>INDEX(TBL_Name,MATCH(Table2[[#This Row],[Athlete Name]],listNames,0),2)</f>
        <v>Athlete 29</v>
      </c>
      <c r="D772" s="80" t="s">
        <v>130</v>
      </c>
      <c r="E772" s="80">
        <v>3</v>
      </c>
      <c r="F772" s="80">
        <v>6</v>
      </c>
      <c r="G772" s="80">
        <v>6</v>
      </c>
      <c r="H772" s="80" t="s">
        <v>1125</v>
      </c>
      <c r="I772" s="80">
        <v>2</v>
      </c>
      <c r="J772" s="80"/>
      <c r="K772" s="80"/>
      <c r="L772" s="80"/>
      <c r="M772" s="1" t="s">
        <v>1126</v>
      </c>
      <c r="N772" s="1">
        <v>42</v>
      </c>
      <c r="O772" s="1">
        <v>10</v>
      </c>
      <c r="P772" s="13">
        <v>44843</v>
      </c>
      <c r="Q772" s="1" t="s">
        <v>133</v>
      </c>
      <c r="R772" s="1" t="s">
        <v>64</v>
      </c>
      <c r="S772" s="1">
        <v>1</v>
      </c>
      <c r="T772" s="1" t="s">
        <v>942</v>
      </c>
      <c r="U772" s="1" t="s">
        <v>942</v>
      </c>
      <c r="V772" s="76">
        <v>3.25</v>
      </c>
      <c r="W772" s="76">
        <v>0.82915619758884995</v>
      </c>
      <c r="X772" s="77">
        <v>-0.30151134457776363</v>
      </c>
      <c r="Y772" s="77">
        <v>2</v>
      </c>
      <c r="Z772" s="76">
        <v>6.5</v>
      </c>
      <c r="AA772" s="76">
        <v>2.5</v>
      </c>
      <c r="AB772" s="77">
        <v>-0.2</v>
      </c>
      <c r="AC772" s="77">
        <v>2</v>
      </c>
      <c r="AD772" s="76">
        <v>7.25</v>
      </c>
      <c r="AE772" s="76">
        <v>1.7853571071357126</v>
      </c>
      <c r="AF772" s="77">
        <v>-0.70014004201400482</v>
      </c>
      <c r="AG772" s="77">
        <v>2</v>
      </c>
      <c r="AH772" s="76">
        <v>3</v>
      </c>
      <c r="AI772" s="76">
        <v>0.70710678118654757</v>
      </c>
      <c r="AJ772" s="77">
        <v>-1.4142135623730949</v>
      </c>
      <c r="AK772" s="77">
        <v>1</v>
      </c>
      <c r="AL772" s="76"/>
      <c r="AM772" s="76"/>
      <c r="AN772" s="77"/>
      <c r="AO772" s="77"/>
      <c r="AP772" s="76"/>
      <c r="AQ772" s="76"/>
      <c r="AR772" s="77"/>
      <c r="AS772" s="77"/>
      <c r="AT772" s="78">
        <v>0.4375</v>
      </c>
    </row>
    <row r="773" spans="1:46" ht="12.5" x14ac:dyDescent="0.25">
      <c r="A773" s="79">
        <v>44843.442437812497</v>
      </c>
      <c r="B773" s="80" t="s">
        <v>225</v>
      </c>
      <c r="C773" s="80" t="str">
        <f>INDEX(TBL_Name,MATCH(Table2[[#This Row],[Athlete Name]],listNames,0),2)</f>
        <v>Athlete 32</v>
      </c>
      <c r="D773" s="80" t="s">
        <v>130</v>
      </c>
      <c r="E773" s="80">
        <v>10</v>
      </c>
      <c r="F773" s="80">
        <v>10</v>
      </c>
      <c r="G773" s="80">
        <v>7</v>
      </c>
      <c r="H773" s="80"/>
      <c r="I773" s="80">
        <v>6</v>
      </c>
      <c r="J773" s="80"/>
      <c r="K773" s="80"/>
      <c r="L773" s="80"/>
      <c r="M773" s="1" t="s">
        <v>1127</v>
      </c>
      <c r="N773" s="1">
        <v>42</v>
      </c>
      <c r="O773" s="1">
        <v>10</v>
      </c>
      <c r="P773" s="13">
        <v>44843</v>
      </c>
      <c r="Q773" s="1" t="s">
        <v>133</v>
      </c>
      <c r="R773" s="1" t="s">
        <v>64</v>
      </c>
      <c r="S773" s="1">
        <v>1</v>
      </c>
      <c r="T773" s="1" t="s">
        <v>942</v>
      </c>
      <c r="U773" s="1" t="s">
        <v>942</v>
      </c>
      <c r="V773" s="76">
        <v>9.25</v>
      </c>
      <c r="W773" s="76">
        <v>0.82915619758884995</v>
      </c>
      <c r="X773" s="77">
        <v>0.90453403373329089</v>
      </c>
      <c r="Y773" s="77">
        <v>3</v>
      </c>
      <c r="Z773" s="76">
        <v>10</v>
      </c>
      <c r="AA773" s="76">
        <v>0</v>
      </c>
      <c r="AB773" s="77">
        <v>0</v>
      </c>
      <c r="AC773" s="77">
        <v>3</v>
      </c>
      <c r="AD773" s="76">
        <v>7.5</v>
      </c>
      <c r="AE773" s="76">
        <v>0.50000000000000011</v>
      </c>
      <c r="AF773" s="77">
        <v>-0.99999999999999978</v>
      </c>
      <c r="AG773" s="77">
        <v>1</v>
      </c>
      <c r="AH773" s="76">
        <v>7</v>
      </c>
      <c r="AI773" s="76">
        <v>2.2360679774997898</v>
      </c>
      <c r="AJ773" s="77">
        <v>-0.44721359549995793</v>
      </c>
      <c r="AK773" s="77">
        <v>2</v>
      </c>
      <c r="AL773" s="76"/>
      <c r="AM773" s="76"/>
      <c r="AN773" s="77"/>
      <c r="AO773" s="77"/>
      <c r="AP773" s="76"/>
      <c r="AQ773" s="76"/>
      <c r="AR773" s="77"/>
      <c r="AS773" s="77"/>
      <c r="AT773" s="78">
        <v>0.5625</v>
      </c>
    </row>
    <row r="774" spans="1:46" ht="12.5" x14ac:dyDescent="0.25">
      <c r="A774" s="79">
        <v>44843.697009456024</v>
      </c>
      <c r="B774" s="80" t="s">
        <v>168</v>
      </c>
      <c r="C774" s="80" t="str">
        <f>INDEX(TBL_Name,MATCH(Table2[[#This Row],[Athlete Name]],listNames,0),2)</f>
        <v>Athlete 26</v>
      </c>
      <c r="D774" s="80" t="s">
        <v>130</v>
      </c>
      <c r="E774" s="80">
        <v>7</v>
      </c>
      <c r="F774" s="80">
        <v>8</v>
      </c>
      <c r="G774" s="80">
        <v>8</v>
      </c>
      <c r="H774" s="80" t="s">
        <v>175</v>
      </c>
      <c r="I774" s="80">
        <v>5</v>
      </c>
      <c r="J774" s="80"/>
      <c r="K774" s="80"/>
      <c r="L774" s="80"/>
      <c r="M774" s="1" t="s">
        <v>1128</v>
      </c>
      <c r="N774" s="1">
        <v>42</v>
      </c>
      <c r="O774" s="1">
        <v>10</v>
      </c>
      <c r="P774" s="13">
        <v>44843</v>
      </c>
      <c r="Q774" s="1" t="s">
        <v>133</v>
      </c>
      <c r="R774" s="1" t="s">
        <v>64</v>
      </c>
      <c r="S774" s="1">
        <v>1</v>
      </c>
      <c r="T774" s="1" t="s">
        <v>942</v>
      </c>
      <c r="U774" s="1" t="s">
        <v>942</v>
      </c>
      <c r="V774" s="76">
        <v>6.666666666666667</v>
      </c>
      <c r="W774" s="76">
        <v>1.247219128924647</v>
      </c>
      <c r="X774" s="77">
        <v>0.26726124191242417</v>
      </c>
      <c r="Y774" s="77">
        <v>3</v>
      </c>
      <c r="Z774" s="76">
        <v>7</v>
      </c>
      <c r="AA774" s="76">
        <v>0.81649658092772603</v>
      </c>
      <c r="AB774" s="77">
        <v>1.2247448713915889</v>
      </c>
      <c r="AC774" s="77">
        <v>4</v>
      </c>
      <c r="AD774" s="76">
        <v>7.333333333333333</v>
      </c>
      <c r="AE774" s="76">
        <v>0.47140452079103179</v>
      </c>
      <c r="AF774" s="77">
        <v>1.4142135623730954</v>
      </c>
      <c r="AG774" s="77">
        <v>4</v>
      </c>
      <c r="AH774" s="76">
        <v>5.333333333333333</v>
      </c>
      <c r="AI774" s="76">
        <v>0.47140452079103162</v>
      </c>
      <c r="AJ774" s="77">
        <v>-0.70710678118654702</v>
      </c>
      <c r="AK774" s="77">
        <v>2</v>
      </c>
      <c r="AL774" s="76"/>
      <c r="AM774" s="76"/>
      <c r="AN774" s="77"/>
      <c r="AO774" s="77"/>
      <c r="AP774" s="76"/>
      <c r="AQ774" s="76"/>
      <c r="AR774" s="77"/>
      <c r="AS774" s="77"/>
      <c r="AT774" s="78">
        <v>0.8125</v>
      </c>
    </row>
    <row r="775" spans="1:46" ht="12.5" x14ac:dyDescent="0.25">
      <c r="A775" s="79">
        <v>44844.355031817133</v>
      </c>
      <c r="B775" s="80" t="s">
        <v>6</v>
      </c>
      <c r="C775" s="80" t="str">
        <f>INDEX(TBL_Name,MATCH(Table2[[#This Row],[Athlete Name]],listNames,0),2)</f>
        <v>Athlete 2</v>
      </c>
      <c r="D775" s="80" t="s">
        <v>130</v>
      </c>
      <c r="E775" s="80">
        <v>7</v>
      </c>
      <c r="F775" s="80">
        <v>8</v>
      </c>
      <c r="G775" s="80">
        <v>7</v>
      </c>
      <c r="H775" s="80" t="s">
        <v>258</v>
      </c>
      <c r="I775" s="80">
        <v>8</v>
      </c>
      <c r="J775" s="80"/>
      <c r="K775" s="80"/>
      <c r="L775" s="80"/>
      <c r="M775" s="1" t="s">
        <v>1129</v>
      </c>
      <c r="N775" s="1">
        <v>42</v>
      </c>
      <c r="O775" s="1">
        <v>10</v>
      </c>
      <c r="P775" s="13">
        <v>44844</v>
      </c>
      <c r="Q775" s="1" t="s">
        <v>133</v>
      </c>
      <c r="R775" s="1" t="s">
        <v>64</v>
      </c>
      <c r="S775" s="1">
        <v>1</v>
      </c>
      <c r="T775" s="1" t="s">
        <v>5</v>
      </c>
      <c r="U775" s="1" t="s">
        <v>5</v>
      </c>
      <c r="V775" s="76">
        <v>8.2857142857142865</v>
      </c>
      <c r="W775" s="76">
        <v>0.69985421222376532</v>
      </c>
      <c r="X775" s="77">
        <v>-1.8371173070873843</v>
      </c>
      <c r="Y775" s="77">
        <v>1</v>
      </c>
      <c r="Z775" s="76">
        <v>7.8571428571428568</v>
      </c>
      <c r="AA775" s="76">
        <v>0.98974331861078702</v>
      </c>
      <c r="AB775" s="77">
        <v>0.14433756729740682</v>
      </c>
      <c r="AC775" s="77">
        <v>3</v>
      </c>
      <c r="AD775" s="76">
        <v>7.8571428571428568</v>
      </c>
      <c r="AE775" s="76">
        <v>0.63887656499993983</v>
      </c>
      <c r="AF775" s="77">
        <v>-1.3416407864998734</v>
      </c>
      <c r="AG775" s="77">
        <v>1</v>
      </c>
      <c r="AH775" s="76">
        <v>8.2857142857142865</v>
      </c>
      <c r="AI775" s="76">
        <v>0.45175395145262565</v>
      </c>
      <c r="AJ775" s="77">
        <v>-0.63245553203367755</v>
      </c>
      <c r="AK775" s="77">
        <v>2</v>
      </c>
      <c r="AL775" s="76"/>
      <c r="AM775" s="76"/>
      <c r="AN775" s="77"/>
      <c r="AO775" s="77"/>
      <c r="AP775" s="76"/>
      <c r="AQ775" s="76"/>
      <c r="AR775" s="77"/>
      <c r="AS775" s="77"/>
      <c r="AT775" s="78">
        <v>0.4375</v>
      </c>
    </row>
    <row r="776" spans="1:46" ht="12.5" x14ac:dyDescent="0.25">
      <c r="A776" s="79">
        <v>44844.376112789352</v>
      </c>
      <c r="B776" s="80" t="s">
        <v>168</v>
      </c>
      <c r="C776" s="80" t="str">
        <f>INDEX(TBL_Name,MATCH(Table2[[#This Row],[Athlete Name]],listNames,0),2)</f>
        <v>Athlete 26</v>
      </c>
      <c r="D776" s="80" t="s">
        <v>130</v>
      </c>
      <c r="E776" s="80">
        <v>7</v>
      </c>
      <c r="F776" s="80">
        <v>8</v>
      </c>
      <c r="G776" s="80">
        <v>8</v>
      </c>
      <c r="H776" s="80" t="s">
        <v>144</v>
      </c>
      <c r="I776" s="80">
        <v>6</v>
      </c>
      <c r="J776" s="80"/>
      <c r="K776" s="80"/>
      <c r="L776" s="80"/>
      <c r="M776" s="1" t="s">
        <v>1130</v>
      </c>
      <c r="N776" s="1">
        <v>42</v>
      </c>
      <c r="O776" s="1">
        <v>10</v>
      </c>
      <c r="P776" s="13">
        <v>44844</v>
      </c>
      <c r="Q776" s="1" t="s">
        <v>133</v>
      </c>
      <c r="R776" s="1" t="s">
        <v>64</v>
      </c>
      <c r="S776" s="1">
        <v>1</v>
      </c>
      <c r="T776" s="1" t="s">
        <v>942</v>
      </c>
      <c r="U776" s="1" t="s">
        <v>942</v>
      </c>
      <c r="V776" s="76">
        <v>6.75</v>
      </c>
      <c r="W776" s="76">
        <v>1.0897247358851683</v>
      </c>
      <c r="X776" s="77">
        <v>0.2294157338705618</v>
      </c>
      <c r="Y776" s="77">
        <v>3</v>
      </c>
      <c r="Z776" s="76">
        <v>7.25</v>
      </c>
      <c r="AA776" s="76">
        <v>0.82915619758884995</v>
      </c>
      <c r="AB776" s="77">
        <v>0.90453403373329089</v>
      </c>
      <c r="AC776" s="77">
        <v>3</v>
      </c>
      <c r="AD776" s="76">
        <v>7.5</v>
      </c>
      <c r="AE776" s="76">
        <v>0.50000000000000011</v>
      </c>
      <c r="AF776" s="77">
        <v>0.99999999999999978</v>
      </c>
      <c r="AG776" s="77">
        <v>4</v>
      </c>
      <c r="AH776" s="76">
        <v>5.5</v>
      </c>
      <c r="AI776" s="76">
        <v>0.5</v>
      </c>
      <c r="AJ776" s="77">
        <v>1</v>
      </c>
      <c r="AK776" s="77">
        <v>4</v>
      </c>
      <c r="AL776" s="76"/>
      <c r="AM776" s="76"/>
      <c r="AN776" s="77"/>
      <c r="AO776" s="77"/>
      <c r="AP776" s="76"/>
      <c r="AQ776" s="76"/>
      <c r="AR776" s="77"/>
      <c r="AS776" s="77"/>
      <c r="AT776" s="78">
        <v>0.875</v>
      </c>
    </row>
    <row r="777" spans="1:46" ht="12.5" x14ac:dyDescent="0.25">
      <c r="A777" s="79">
        <v>44844.378033935187</v>
      </c>
      <c r="B777" s="80" t="s">
        <v>25</v>
      </c>
      <c r="C777" s="80" t="str">
        <f>INDEX(TBL_Name,MATCH(Table2[[#This Row],[Athlete Name]],listNames,0),2)</f>
        <v>Athlete 23</v>
      </c>
      <c r="D777" s="80" t="s">
        <v>150</v>
      </c>
      <c r="E777" s="80">
        <v>9</v>
      </c>
      <c r="F777" s="80">
        <v>7</v>
      </c>
      <c r="G777" s="80">
        <v>8</v>
      </c>
      <c r="H777" s="80" t="s">
        <v>66</v>
      </c>
      <c r="I777" s="80">
        <v>9</v>
      </c>
      <c r="J777" s="80"/>
      <c r="K777" s="80"/>
      <c r="L777" s="80"/>
      <c r="M777" s="1" t="s">
        <v>1131</v>
      </c>
      <c r="N777" s="1">
        <v>42</v>
      </c>
      <c r="O777" s="1">
        <v>10</v>
      </c>
      <c r="P777" s="13">
        <v>44844</v>
      </c>
      <c r="Q777" s="1" t="s">
        <v>133</v>
      </c>
      <c r="R777" s="1" t="s">
        <v>64</v>
      </c>
      <c r="S777" s="1">
        <v>3</v>
      </c>
      <c r="T777" s="1" t="s">
        <v>26</v>
      </c>
      <c r="U777" s="1" t="s">
        <v>26</v>
      </c>
      <c r="V777" s="76">
        <v>9</v>
      </c>
      <c r="W777" s="76">
        <v>0</v>
      </c>
      <c r="X777" s="77">
        <v>0</v>
      </c>
      <c r="Y777" s="77">
        <v>3</v>
      </c>
      <c r="Z777" s="76">
        <v>7</v>
      </c>
      <c r="AA777" s="76">
        <v>0</v>
      </c>
      <c r="AB777" s="77">
        <v>0</v>
      </c>
      <c r="AC777" s="77">
        <v>3</v>
      </c>
      <c r="AD777" s="76">
        <v>8</v>
      </c>
      <c r="AE777" s="76">
        <v>0</v>
      </c>
      <c r="AF777" s="77">
        <v>0</v>
      </c>
      <c r="AG777" s="77">
        <v>3</v>
      </c>
      <c r="AH777" s="76">
        <v>9</v>
      </c>
      <c r="AI777" s="76">
        <v>0</v>
      </c>
      <c r="AJ777" s="77">
        <v>0</v>
      </c>
      <c r="AK777" s="77">
        <v>3</v>
      </c>
      <c r="AL777" s="76"/>
      <c r="AM777" s="76"/>
      <c r="AN777" s="77"/>
      <c r="AO777" s="77"/>
      <c r="AP777" s="76"/>
      <c r="AQ777" s="76"/>
      <c r="AR777" s="77"/>
      <c r="AS777" s="77"/>
      <c r="AT777" s="78">
        <v>0.75</v>
      </c>
    </row>
    <row r="778" spans="1:46" ht="12.5" x14ac:dyDescent="0.25">
      <c r="A778" s="79">
        <v>44844.37883350694</v>
      </c>
      <c r="B778" s="80" t="s">
        <v>10</v>
      </c>
      <c r="C778" s="80" t="str">
        <f>INDEX(TBL_Name,MATCH(Table2[[#This Row],[Athlete Name]],listNames,0),2)</f>
        <v>Athlete 5</v>
      </c>
      <c r="D778" s="80" t="s">
        <v>143</v>
      </c>
      <c r="E778" s="80">
        <v>9</v>
      </c>
      <c r="F778" s="80">
        <v>9</v>
      </c>
      <c r="G778" s="80">
        <v>9</v>
      </c>
      <c r="H778" s="80" t="s">
        <v>69</v>
      </c>
      <c r="I778" s="80">
        <v>9</v>
      </c>
      <c r="J778" s="80"/>
      <c r="K778" s="80"/>
      <c r="L778" s="80"/>
      <c r="M778" s="1" t="s">
        <v>1132</v>
      </c>
      <c r="N778" s="1">
        <v>42</v>
      </c>
      <c r="O778" s="1">
        <v>10</v>
      </c>
      <c r="P778" s="13">
        <v>44844</v>
      </c>
      <c r="Q778" s="1" t="s">
        <v>133</v>
      </c>
      <c r="R778" s="1" t="s">
        <v>64</v>
      </c>
      <c r="S778" s="1">
        <v>2</v>
      </c>
      <c r="T778" s="1" t="s">
        <v>11</v>
      </c>
      <c r="U778" s="1" t="s">
        <v>11</v>
      </c>
      <c r="V778" s="76">
        <v>8.3333333333333339</v>
      </c>
      <c r="W778" s="76">
        <v>0.47140452079103184</v>
      </c>
      <c r="X778" s="77">
        <v>1.4142135623730934</v>
      </c>
      <c r="Y778" s="77">
        <v>4</v>
      </c>
      <c r="Z778" s="76">
        <v>7.5</v>
      </c>
      <c r="AA778" s="76">
        <v>1.2583057392117916</v>
      </c>
      <c r="AB778" s="77">
        <v>1.1920791213585396</v>
      </c>
      <c r="AC778" s="77">
        <v>4</v>
      </c>
      <c r="AD778" s="76">
        <v>7.5</v>
      </c>
      <c r="AE778" s="76">
        <v>1.2583057392117916</v>
      </c>
      <c r="AF778" s="77">
        <v>1.1920791213585396</v>
      </c>
      <c r="AG778" s="77">
        <v>4</v>
      </c>
      <c r="AH778" s="76">
        <v>7.833333333333333</v>
      </c>
      <c r="AI778" s="76">
        <v>1.0671873729054751</v>
      </c>
      <c r="AJ778" s="77">
        <v>1.0932163332202425</v>
      </c>
      <c r="AK778" s="77">
        <v>4</v>
      </c>
      <c r="AL778" s="76"/>
      <c r="AM778" s="76"/>
      <c r="AN778" s="77"/>
      <c r="AO778" s="77"/>
      <c r="AP778" s="76"/>
      <c r="AQ778" s="76"/>
      <c r="AR778" s="77"/>
      <c r="AS778" s="77"/>
      <c r="AT778" s="78">
        <v>1</v>
      </c>
    </row>
    <row r="779" spans="1:46" ht="12.5" x14ac:dyDescent="0.25">
      <c r="A779" s="79">
        <v>44844.390051979164</v>
      </c>
      <c r="B779" s="80" t="s">
        <v>21</v>
      </c>
      <c r="C779" s="80" t="str">
        <f>INDEX(TBL_Name,MATCH(Table2[[#This Row],[Athlete Name]],listNames,0),2)</f>
        <v>Athlete 13</v>
      </c>
      <c r="D779" s="80" t="s">
        <v>130</v>
      </c>
      <c r="E779" s="80">
        <v>9</v>
      </c>
      <c r="F779" s="80">
        <v>5</v>
      </c>
      <c r="G779" s="80">
        <v>5</v>
      </c>
      <c r="H779" s="80" t="s">
        <v>715</v>
      </c>
      <c r="I779" s="80">
        <v>7</v>
      </c>
      <c r="J779" s="80"/>
      <c r="K779" s="80"/>
      <c r="L779" s="80"/>
      <c r="M779" s="1" t="s">
        <v>1133</v>
      </c>
      <c r="N779" s="1">
        <v>42</v>
      </c>
      <c r="O779" s="1">
        <v>10</v>
      </c>
      <c r="P779" s="13">
        <v>44844</v>
      </c>
      <c r="Q779" s="1" t="s">
        <v>133</v>
      </c>
      <c r="R779" s="1" t="s">
        <v>64</v>
      </c>
      <c r="S779" s="1">
        <v>1</v>
      </c>
      <c r="T779" s="1" t="s">
        <v>18</v>
      </c>
      <c r="U779" s="1" t="s">
        <v>18</v>
      </c>
      <c r="V779" s="76">
        <v>7.7142857142857144</v>
      </c>
      <c r="W779" s="76">
        <v>0.69985421222376509</v>
      </c>
      <c r="X779" s="77">
        <v>1.8371173070873836</v>
      </c>
      <c r="Y779" s="77">
        <v>4</v>
      </c>
      <c r="Z779" s="76">
        <v>7.5714285714285712</v>
      </c>
      <c r="AA779" s="76">
        <v>1.5907898179514348</v>
      </c>
      <c r="AB779" s="77">
        <v>-1.616447718240974</v>
      </c>
      <c r="AC779" s="77">
        <v>1</v>
      </c>
      <c r="AD779" s="76">
        <v>7.5714285714285712</v>
      </c>
      <c r="AE779" s="76">
        <v>1.2936264483053452</v>
      </c>
      <c r="AF779" s="77">
        <v>-1.9877674693472376</v>
      </c>
      <c r="AG779" s="77">
        <v>1</v>
      </c>
      <c r="AH779" s="76">
        <v>7</v>
      </c>
      <c r="AI779" s="76">
        <v>0.7559289460184544</v>
      </c>
      <c r="AJ779" s="77">
        <v>0</v>
      </c>
      <c r="AK779" s="77">
        <v>3</v>
      </c>
      <c r="AL779" s="76"/>
      <c r="AM779" s="76"/>
      <c r="AN779" s="77"/>
      <c r="AO779" s="77"/>
      <c r="AP779" s="76"/>
      <c r="AQ779" s="76"/>
      <c r="AR779" s="77"/>
      <c r="AS779" s="77"/>
      <c r="AT779" s="78">
        <v>0.5625</v>
      </c>
    </row>
    <row r="780" spans="1:46" ht="12.5" x14ac:dyDescent="0.25">
      <c r="A780" s="79">
        <v>44844.401096018519</v>
      </c>
      <c r="B780" s="80" t="s">
        <v>17</v>
      </c>
      <c r="C780" s="80" t="str">
        <f>INDEX(TBL_Name,MATCH(Table2[[#This Row],[Athlete Name]],listNames,0),2)</f>
        <v>Athlete 10</v>
      </c>
      <c r="D780" s="80" t="s">
        <v>130</v>
      </c>
      <c r="E780" s="80">
        <v>8</v>
      </c>
      <c r="F780" s="80">
        <v>7</v>
      </c>
      <c r="G780" s="80">
        <v>7</v>
      </c>
      <c r="H780" s="80" t="s">
        <v>131</v>
      </c>
      <c r="I780" s="80">
        <v>8</v>
      </c>
      <c r="J780" s="80"/>
      <c r="K780" s="80"/>
      <c r="L780" s="80"/>
      <c r="M780" s="1" t="s">
        <v>1134</v>
      </c>
      <c r="N780" s="1">
        <v>42</v>
      </c>
      <c r="O780" s="1">
        <v>10</v>
      </c>
      <c r="P780" s="13">
        <v>44844</v>
      </c>
      <c r="Q780" s="1" t="s">
        <v>133</v>
      </c>
      <c r="R780" s="1" t="s">
        <v>64</v>
      </c>
      <c r="S780" s="1">
        <v>1</v>
      </c>
      <c r="T780" s="1" t="s">
        <v>18</v>
      </c>
      <c r="U780" s="1" t="s">
        <v>18</v>
      </c>
      <c r="V780" s="76">
        <v>8</v>
      </c>
      <c r="W780" s="76">
        <v>0.63245553203367577</v>
      </c>
      <c r="X780" s="77">
        <v>0</v>
      </c>
      <c r="Y780" s="77">
        <v>3</v>
      </c>
      <c r="Z780" s="76">
        <v>6.6</v>
      </c>
      <c r="AA780" s="76">
        <v>0.79999999999999993</v>
      </c>
      <c r="AB780" s="77">
        <v>0.50000000000000044</v>
      </c>
      <c r="AC780" s="77">
        <v>3</v>
      </c>
      <c r="AD780" s="76">
        <v>7.6</v>
      </c>
      <c r="AE780" s="76">
        <v>1.2</v>
      </c>
      <c r="AF780" s="77">
        <v>-0.49999999999999972</v>
      </c>
      <c r="AG780" s="77">
        <v>2</v>
      </c>
      <c r="AH780" s="76">
        <v>6.8</v>
      </c>
      <c r="AI780" s="76">
        <v>1.1661903789690602</v>
      </c>
      <c r="AJ780" s="77">
        <v>1.0289915108550531</v>
      </c>
      <c r="AK780" s="77">
        <v>4</v>
      </c>
      <c r="AL780" s="76"/>
      <c r="AM780" s="76"/>
      <c r="AN780" s="77"/>
      <c r="AO780" s="77"/>
      <c r="AP780" s="76"/>
      <c r="AQ780" s="76"/>
      <c r="AR780" s="77"/>
      <c r="AS780" s="77"/>
      <c r="AT780" s="78">
        <v>0.75</v>
      </c>
    </row>
    <row r="781" spans="1:46" ht="12.5" x14ac:dyDescent="0.25">
      <c r="A781" s="79">
        <v>44844.592959027781</v>
      </c>
      <c r="B781" s="80" t="s">
        <v>171</v>
      </c>
      <c r="C781" s="80" t="str">
        <f>INDEX(TBL_Name,MATCH(Table2[[#This Row],[Athlete Name]],listNames,0),2)</f>
        <v>Athlete 27</v>
      </c>
      <c r="D781" s="80" t="s">
        <v>130</v>
      </c>
      <c r="E781" s="80">
        <v>10</v>
      </c>
      <c r="F781" s="80">
        <v>9</v>
      </c>
      <c r="G781" s="80">
        <v>9</v>
      </c>
      <c r="H781" s="80"/>
      <c r="I781" s="80">
        <v>10</v>
      </c>
      <c r="J781" s="80"/>
      <c r="K781" s="80"/>
      <c r="L781" s="80"/>
      <c r="M781" s="1" t="s">
        <v>1135</v>
      </c>
      <c r="N781" s="1">
        <v>42</v>
      </c>
      <c r="O781" s="1">
        <v>10</v>
      </c>
      <c r="P781" s="13">
        <v>44844</v>
      </c>
      <c r="Q781" s="1" t="s">
        <v>133</v>
      </c>
      <c r="R781" s="1" t="s">
        <v>64</v>
      </c>
      <c r="S781" s="1">
        <v>1</v>
      </c>
      <c r="T781" s="1" t="s">
        <v>942</v>
      </c>
      <c r="U781" s="1" t="s">
        <v>942</v>
      </c>
      <c r="V781" s="76">
        <v>9</v>
      </c>
      <c r="W781" s="76">
        <v>1.4142135623730951</v>
      </c>
      <c r="X781" s="77">
        <v>0.70710678118654746</v>
      </c>
      <c r="Y781" s="77">
        <v>3</v>
      </c>
      <c r="Z781" s="76">
        <v>9.6666666666666661</v>
      </c>
      <c r="AA781" s="76">
        <v>0.47140452079103146</v>
      </c>
      <c r="AB781" s="77">
        <v>-1.4142135623730945</v>
      </c>
      <c r="AC781" s="77">
        <v>1</v>
      </c>
      <c r="AD781" s="76">
        <v>9</v>
      </c>
      <c r="AE781" s="76">
        <v>0</v>
      </c>
      <c r="AF781" s="77">
        <v>0</v>
      </c>
      <c r="AG781" s="77">
        <v>3</v>
      </c>
      <c r="AH781" s="76">
        <v>9</v>
      </c>
      <c r="AI781" s="76">
        <v>1.4142135623730951</v>
      </c>
      <c r="AJ781" s="77">
        <v>0.70710678118654746</v>
      </c>
      <c r="AK781" s="77">
        <v>3</v>
      </c>
      <c r="AL781" s="76"/>
      <c r="AM781" s="76"/>
      <c r="AN781" s="77"/>
      <c r="AO781" s="77"/>
      <c r="AP781" s="76"/>
      <c r="AQ781" s="76"/>
      <c r="AR781" s="77"/>
      <c r="AS781" s="77"/>
      <c r="AT781" s="78">
        <v>0.625</v>
      </c>
    </row>
    <row r="782" spans="1:46" ht="12.5" x14ac:dyDescent="0.25">
      <c r="A782" s="79">
        <v>44845.312712303239</v>
      </c>
      <c r="B782" s="80" t="s">
        <v>21</v>
      </c>
      <c r="C782" s="80" t="str">
        <f>INDEX(TBL_Name,MATCH(Table2[[#This Row],[Athlete Name]],listNames,0),2)</f>
        <v>Athlete 13</v>
      </c>
      <c r="D782" s="80" t="s">
        <v>130</v>
      </c>
      <c r="E782" s="80">
        <v>9</v>
      </c>
      <c r="F782" s="80">
        <v>8</v>
      </c>
      <c r="G782" s="80">
        <v>8</v>
      </c>
      <c r="H782" s="80" t="s">
        <v>1136</v>
      </c>
      <c r="I782" s="80">
        <v>6</v>
      </c>
      <c r="J782" s="80"/>
      <c r="K782" s="80"/>
      <c r="L782" s="80"/>
      <c r="M782" s="1" t="s">
        <v>1137</v>
      </c>
      <c r="N782" s="1">
        <v>42</v>
      </c>
      <c r="O782" s="1">
        <v>10</v>
      </c>
      <c r="P782" s="13">
        <v>44845</v>
      </c>
      <c r="Q782" s="1" t="s">
        <v>133</v>
      </c>
      <c r="R782" s="1" t="s">
        <v>64</v>
      </c>
      <c r="S782" s="1">
        <v>1</v>
      </c>
      <c r="T782" s="1" t="s">
        <v>18</v>
      </c>
      <c r="U782" s="1" t="s">
        <v>18</v>
      </c>
      <c r="V782" s="76">
        <v>7.8571428571428568</v>
      </c>
      <c r="W782" s="76">
        <v>0.83299312783504276</v>
      </c>
      <c r="X782" s="77">
        <v>1.3719886811400714</v>
      </c>
      <c r="Y782" s="77">
        <v>4</v>
      </c>
      <c r="Z782" s="76">
        <v>7.5714285714285712</v>
      </c>
      <c r="AA782" s="76">
        <v>1.5907898179514348</v>
      </c>
      <c r="AB782" s="77">
        <v>0.26940795304016252</v>
      </c>
      <c r="AC782" s="77">
        <v>3</v>
      </c>
      <c r="AD782" s="76">
        <v>7.4285714285714288</v>
      </c>
      <c r="AE782" s="76">
        <v>1.1780301787479031</v>
      </c>
      <c r="AF782" s="77">
        <v>0.48507125007266572</v>
      </c>
      <c r="AG782" s="77">
        <v>3</v>
      </c>
      <c r="AH782" s="76">
        <v>6.7142857142857144</v>
      </c>
      <c r="AI782" s="76">
        <v>0.69985421222376509</v>
      </c>
      <c r="AJ782" s="77">
        <v>-1.0206207261596578</v>
      </c>
      <c r="AK782" s="77">
        <v>1</v>
      </c>
      <c r="AL782" s="76"/>
      <c r="AM782" s="76"/>
      <c r="AN782" s="77"/>
      <c r="AO782" s="77"/>
      <c r="AP782" s="76"/>
      <c r="AQ782" s="76"/>
      <c r="AR782" s="77"/>
      <c r="AS782" s="77"/>
      <c r="AT782" s="78">
        <v>0.6875</v>
      </c>
    </row>
    <row r="783" spans="1:46" ht="12.5" x14ac:dyDescent="0.25">
      <c r="A783" s="79">
        <v>44845.334074918981</v>
      </c>
      <c r="B783" s="80" t="s">
        <v>148</v>
      </c>
      <c r="C783" s="80" t="str">
        <f>INDEX(TBL_Name,MATCH(Table2[[#This Row],[Athlete Name]],listNames,0),2)</f>
        <v>Athlete 22</v>
      </c>
      <c r="D783" s="80" t="s">
        <v>130</v>
      </c>
      <c r="E783" s="80">
        <v>10</v>
      </c>
      <c r="F783" s="80">
        <v>10</v>
      </c>
      <c r="G783" s="80">
        <v>8</v>
      </c>
      <c r="H783" s="80" t="s">
        <v>228</v>
      </c>
      <c r="I783" s="80">
        <v>6</v>
      </c>
      <c r="J783" s="80"/>
      <c r="K783" s="80"/>
      <c r="L783" s="80"/>
      <c r="M783" s="1" t="s">
        <v>1138</v>
      </c>
      <c r="N783" s="1">
        <v>42</v>
      </c>
      <c r="O783" s="1">
        <v>10</v>
      </c>
      <c r="P783" s="13">
        <v>44845</v>
      </c>
      <c r="Q783" s="1" t="s">
        <v>133</v>
      </c>
      <c r="R783" s="1" t="s">
        <v>64</v>
      </c>
      <c r="S783" s="1">
        <v>1</v>
      </c>
      <c r="T783" s="1" t="s">
        <v>942</v>
      </c>
      <c r="U783" s="1" t="s">
        <v>942</v>
      </c>
      <c r="V783" s="76">
        <v>10</v>
      </c>
      <c r="W783" s="76">
        <v>0</v>
      </c>
      <c r="X783" s="77">
        <v>0</v>
      </c>
      <c r="Y783" s="77">
        <v>3</v>
      </c>
      <c r="Z783" s="76">
        <v>8</v>
      </c>
      <c r="AA783" s="76">
        <v>2</v>
      </c>
      <c r="AB783" s="77">
        <v>1</v>
      </c>
      <c r="AC783" s="77">
        <v>4</v>
      </c>
      <c r="AD783" s="76">
        <v>7.5</v>
      </c>
      <c r="AE783" s="76">
        <v>0.5</v>
      </c>
      <c r="AF783" s="77">
        <v>1</v>
      </c>
      <c r="AG783" s="77">
        <v>4</v>
      </c>
      <c r="AH783" s="76">
        <v>6.5</v>
      </c>
      <c r="AI783" s="76">
        <v>0.5</v>
      </c>
      <c r="AJ783" s="77">
        <v>-1</v>
      </c>
      <c r="AK783" s="77">
        <v>1</v>
      </c>
      <c r="AL783" s="76"/>
      <c r="AM783" s="76"/>
      <c r="AN783" s="77"/>
      <c r="AO783" s="77"/>
      <c r="AP783" s="76"/>
      <c r="AQ783" s="76"/>
      <c r="AR783" s="77"/>
      <c r="AS783" s="77"/>
      <c r="AT783" s="78">
        <v>0.75</v>
      </c>
    </row>
    <row r="784" spans="1:46" ht="12.5" x14ac:dyDescent="0.25">
      <c r="A784" s="79">
        <v>44845.334831296292</v>
      </c>
      <c r="B784" s="80" t="s">
        <v>196</v>
      </c>
      <c r="C784" s="80" t="str">
        <f>INDEX(TBL_Name,MATCH(Table2[[#This Row],[Athlete Name]],listNames,0),2)</f>
        <v>Athlete 31</v>
      </c>
      <c r="D784" s="80" t="s">
        <v>130</v>
      </c>
      <c r="E784" s="80">
        <v>6</v>
      </c>
      <c r="F784" s="80">
        <v>7</v>
      </c>
      <c r="G784" s="80">
        <v>9</v>
      </c>
      <c r="H784" s="80" t="s">
        <v>797</v>
      </c>
      <c r="I784" s="80">
        <v>8</v>
      </c>
      <c r="J784" s="80"/>
      <c r="K784" s="80"/>
      <c r="L784" s="80"/>
      <c r="M784" s="1" t="s">
        <v>1139</v>
      </c>
      <c r="N784" s="1">
        <v>42</v>
      </c>
      <c r="O784" s="1">
        <v>10</v>
      </c>
      <c r="P784" s="13">
        <v>44845</v>
      </c>
      <c r="Q784" s="1" t="s">
        <v>133</v>
      </c>
      <c r="R784" s="1" t="s">
        <v>64</v>
      </c>
      <c r="S784" s="1">
        <v>1</v>
      </c>
      <c r="T784" s="1" t="s">
        <v>942</v>
      </c>
      <c r="U784" s="1" t="s">
        <v>942</v>
      </c>
      <c r="V784" s="76">
        <v>6</v>
      </c>
      <c r="W784" s="76">
        <v>0.81649658092772603</v>
      </c>
      <c r="X784" s="77">
        <v>0</v>
      </c>
      <c r="Y784" s="77">
        <v>3</v>
      </c>
      <c r="Z784" s="76">
        <v>9</v>
      </c>
      <c r="AA784" s="76">
        <v>1.4142135623730951</v>
      </c>
      <c r="AB784" s="77">
        <v>-1.4142135623730949</v>
      </c>
      <c r="AC784" s="77">
        <v>1</v>
      </c>
      <c r="AD784" s="76">
        <v>7.5</v>
      </c>
      <c r="AE784" s="76">
        <v>1.0801234497346435</v>
      </c>
      <c r="AF784" s="77">
        <v>1.3887301496588271</v>
      </c>
      <c r="AG784" s="77">
        <v>4</v>
      </c>
      <c r="AH784" s="76">
        <v>8</v>
      </c>
      <c r="AI784" s="76">
        <v>0.81649658092772603</v>
      </c>
      <c r="AJ784" s="77">
        <v>0</v>
      </c>
      <c r="AK784" s="77">
        <v>3</v>
      </c>
      <c r="AL784" s="76"/>
      <c r="AM784" s="76"/>
      <c r="AN784" s="77"/>
      <c r="AO784" s="77"/>
      <c r="AP784" s="76"/>
      <c r="AQ784" s="76"/>
      <c r="AR784" s="77"/>
      <c r="AS784" s="77"/>
      <c r="AT784" s="78">
        <v>0.6875</v>
      </c>
    </row>
    <row r="785" spans="1:46" ht="12.5" x14ac:dyDescent="0.25">
      <c r="A785" s="79">
        <v>44845.336503587961</v>
      </c>
      <c r="B785" s="80" t="s">
        <v>168</v>
      </c>
      <c r="C785" s="80" t="str">
        <f>INDEX(TBL_Name,MATCH(Table2[[#This Row],[Athlete Name]],listNames,0),2)</f>
        <v>Athlete 26</v>
      </c>
      <c r="D785" s="80" t="s">
        <v>130</v>
      </c>
      <c r="E785" s="80">
        <v>5</v>
      </c>
      <c r="F785" s="80">
        <v>7</v>
      </c>
      <c r="G785" s="80">
        <v>7</v>
      </c>
      <c r="H785" s="80" t="s">
        <v>175</v>
      </c>
      <c r="I785" s="80">
        <v>7</v>
      </c>
      <c r="J785" s="80"/>
      <c r="K785" s="80"/>
      <c r="L785" s="80"/>
      <c r="M785" s="1" t="s">
        <v>1140</v>
      </c>
      <c r="N785" s="1">
        <v>42</v>
      </c>
      <c r="O785" s="1">
        <v>10</v>
      </c>
      <c r="P785" s="13">
        <v>44845</v>
      </c>
      <c r="Q785" s="1" t="s">
        <v>133</v>
      </c>
      <c r="R785" s="1" t="s">
        <v>64</v>
      </c>
      <c r="S785" s="1">
        <v>1</v>
      </c>
      <c r="T785" s="1" t="s">
        <v>942</v>
      </c>
      <c r="U785" s="1" t="s">
        <v>942</v>
      </c>
      <c r="V785" s="76">
        <v>6</v>
      </c>
      <c r="W785" s="76">
        <v>1</v>
      </c>
      <c r="X785" s="77">
        <v>-1</v>
      </c>
      <c r="Y785" s="77">
        <v>1</v>
      </c>
      <c r="Z785" s="76">
        <v>7.25</v>
      </c>
      <c r="AA785" s="76">
        <v>0.82915619758884995</v>
      </c>
      <c r="AB785" s="77">
        <v>-0.30151134457776363</v>
      </c>
      <c r="AC785" s="77">
        <v>2</v>
      </c>
      <c r="AD785" s="76">
        <v>7.5</v>
      </c>
      <c r="AE785" s="76">
        <v>0.5</v>
      </c>
      <c r="AF785" s="77">
        <v>-1</v>
      </c>
      <c r="AG785" s="77">
        <v>1</v>
      </c>
      <c r="AH785" s="76">
        <v>5.75</v>
      </c>
      <c r="AI785" s="76">
        <v>0.82915619758885006</v>
      </c>
      <c r="AJ785" s="77">
        <v>1.507556722888818</v>
      </c>
      <c r="AK785" s="77">
        <v>4</v>
      </c>
      <c r="AL785" s="76"/>
      <c r="AM785" s="76"/>
      <c r="AN785" s="77"/>
      <c r="AO785" s="77"/>
      <c r="AP785" s="76"/>
      <c r="AQ785" s="76"/>
      <c r="AR785" s="77"/>
      <c r="AS785" s="77"/>
      <c r="AT785" s="78">
        <v>0.5</v>
      </c>
    </row>
    <row r="786" spans="1:46" ht="12.5" x14ac:dyDescent="0.25">
      <c r="A786" s="79">
        <v>44845.375560983797</v>
      </c>
      <c r="B786" s="80" t="s">
        <v>6</v>
      </c>
      <c r="C786" s="80" t="str">
        <f>INDEX(TBL_Name,MATCH(Table2[[#This Row],[Athlete Name]],listNames,0),2)</f>
        <v>Athlete 2</v>
      </c>
      <c r="D786" s="80" t="s">
        <v>130</v>
      </c>
      <c r="E786" s="80">
        <v>7</v>
      </c>
      <c r="F786" s="80">
        <v>6</v>
      </c>
      <c r="G786" s="80">
        <v>5</v>
      </c>
      <c r="H786" s="80" t="s">
        <v>258</v>
      </c>
      <c r="I786" s="80">
        <v>7</v>
      </c>
      <c r="J786" s="80"/>
      <c r="K786" s="80"/>
      <c r="L786" s="80"/>
      <c r="M786" s="1" t="s">
        <v>1141</v>
      </c>
      <c r="N786" s="1">
        <v>42</v>
      </c>
      <c r="O786" s="1">
        <v>10</v>
      </c>
      <c r="P786" s="13">
        <v>44845</v>
      </c>
      <c r="Q786" s="1" t="s">
        <v>133</v>
      </c>
      <c r="R786" s="1" t="s">
        <v>64</v>
      </c>
      <c r="S786" s="1">
        <v>1</v>
      </c>
      <c r="T786" s="1" t="s">
        <v>5</v>
      </c>
      <c r="U786" s="1" t="s">
        <v>5</v>
      </c>
      <c r="V786" s="76">
        <v>8</v>
      </c>
      <c r="W786" s="76">
        <v>0.75592894601845484</v>
      </c>
      <c r="X786" s="77">
        <v>-1.3228756555322947</v>
      </c>
      <c r="Y786" s="77">
        <v>1</v>
      </c>
      <c r="Z786" s="76">
        <v>7.5714285714285712</v>
      </c>
      <c r="AA786" s="76">
        <v>1.1780301787479031</v>
      </c>
      <c r="AB786" s="77">
        <v>-1.3339459376998311</v>
      </c>
      <c r="AC786" s="77">
        <v>1</v>
      </c>
      <c r="AD786" s="76">
        <v>7.4285714285714288</v>
      </c>
      <c r="AE786" s="76">
        <v>1.1780301787479028</v>
      </c>
      <c r="AF786" s="77">
        <v>-2.0615528128088307</v>
      </c>
      <c r="AG786" s="77">
        <v>1</v>
      </c>
      <c r="AH786" s="76">
        <v>8</v>
      </c>
      <c r="AI786" s="76">
        <v>0.53452248382484857</v>
      </c>
      <c r="AJ786" s="77">
        <v>-1.8708286933869713</v>
      </c>
      <c r="AK786" s="77">
        <v>1</v>
      </c>
      <c r="AL786" s="76"/>
      <c r="AM786" s="76"/>
      <c r="AN786" s="77"/>
      <c r="AO786" s="77"/>
      <c r="AP786" s="76"/>
      <c r="AQ786" s="76"/>
      <c r="AR786" s="77"/>
      <c r="AS786" s="77"/>
      <c r="AT786" s="78">
        <v>0.25</v>
      </c>
    </row>
    <row r="787" spans="1:46" ht="12.5" x14ac:dyDescent="0.25">
      <c r="A787" s="79">
        <v>44845.384414490742</v>
      </c>
      <c r="B787" s="80" t="s">
        <v>17</v>
      </c>
      <c r="C787" s="80" t="str">
        <f>INDEX(TBL_Name,MATCH(Table2[[#This Row],[Athlete Name]],listNames,0),2)</f>
        <v>Athlete 10</v>
      </c>
      <c r="D787" s="80" t="s">
        <v>130</v>
      </c>
      <c r="E787" s="80">
        <v>8</v>
      </c>
      <c r="F787" s="80">
        <v>7</v>
      </c>
      <c r="G787" s="80">
        <v>10</v>
      </c>
      <c r="H787" s="80" t="s">
        <v>228</v>
      </c>
      <c r="I787" s="80">
        <v>8</v>
      </c>
      <c r="J787" s="80"/>
      <c r="K787" s="80"/>
      <c r="L787" s="80"/>
      <c r="M787" s="1" t="s">
        <v>1142</v>
      </c>
      <c r="N787" s="1">
        <v>42</v>
      </c>
      <c r="O787" s="1">
        <v>10</v>
      </c>
      <c r="P787" s="13">
        <v>44845</v>
      </c>
      <c r="Q787" s="1" t="s">
        <v>133</v>
      </c>
      <c r="R787" s="1" t="s">
        <v>64</v>
      </c>
      <c r="S787" s="1">
        <v>1</v>
      </c>
      <c r="T787" s="1" t="s">
        <v>18</v>
      </c>
      <c r="U787" s="1" t="s">
        <v>18</v>
      </c>
      <c r="V787" s="76">
        <v>8</v>
      </c>
      <c r="W787" s="76">
        <v>0.57735026918962573</v>
      </c>
      <c r="X787" s="77">
        <v>0</v>
      </c>
      <c r="Y787" s="77">
        <v>3</v>
      </c>
      <c r="Z787" s="76">
        <v>6.666666666666667</v>
      </c>
      <c r="AA787" s="76">
        <v>0.7453559924999299</v>
      </c>
      <c r="AB787" s="77">
        <v>0.44721359549995754</v>
      </c>
      <c r="AC787" s="77">
        <v>3</v>
      </c>
      <c r="AD787" s="76">
        <v>8</v>
      </c>
      <c r="AE787" s="76">
        <v>1.4142135623730951</v>
      </c>
      <c r="AF787" s="77">
        <v>1.4142135623730949</v>
      </c>
      <c r="AG787" s="77">
        <v>4</v>
      </c>
      <c r="AH787" s="76">
        <v>7</v>
      </c>
      <c r="AI787" s="76">
        <v>1.1547005383792515</v>
      </c>
      <c r="AJ787" s="77">
        <v>0.86602540378443871</v>
      </c>
      <c r="AK787" s="77">
        <v>3</v>
      </c>
      <c r="AL787" s="76"/>
      <c r="AM787" s="76"/>
      <c r="AN787" s="77"/>
      <c r="AO787" s="77"/>
      <c r="AP787" s="76"/>
      <c r="AQ787" s="76"/>
      <c r="AR787" s="77"/>
      <c r="AS787" s="77"/>
      <c r="AT787" s="78">
        <v>0.8125</v>
      </c>
    </row>
    <row r="788" spans="1:46" ht="12.5" x14ac:dyDescent="0.25">
      <c r="A788" s="79">
        <v>44845.502794675922</v>
      </c>
      <c r="B788" s="80" t="s">
        <v>185</v>
      </c>
      <c r="C788" s="80" t="str">
        <f>INDEX(TBL_Name,MATCH(Table2[[#This Row],[Athlete Name]],listNames,0),2)</f>
        <v>Athlete 30</v>
      </c>
      <c r="D788" s="80" t="s">
        <v>130</v>
      </c>
      <c r="E788" s="80">
        <v>8</v>
      </c>
      <c r="F788" s="80">
        <v>4</v>
      </c>
      <c r="G788" s="80">
        <v>6</v>
      </c>
      <c r="H788" s="80" t="s">
        <v>1143</v>
      </c>
      <c r="I788" s="80">
        <v>7</v>
      </c>
      <c r="J788" s="80"/>
      <c r="K788" s="80"/>
      <c r="L788" s="80"/>
      <c r="M788" s="1" t="s">
        <v>1144</v>
      </c>
      <c r="N788" s="1">
        <v>42</v>
      </c>
      <c r="O788" s="1">
        <v>10</v>
      </c>
      <c r="P788" s="13">
        <v>44845</v>
      </c>
      <c r="Q788" s="1" t="s">
        <v>133</v>
      </c>
      <c r="R788" s="1" t="s">
        <v>64</v>
      </c>
      <c r="S788" s="1">
        <v>1</v>
      </c>
      <c r="T788" s="1" t="s">
        <v>942</v>
      </c>
      <c r="U788" s="1" t="s">
        <v>942</v>
      </c>
      <c r="V788" s="76">
        <v>8</v>
      </c>
      <c r="W788" s="76">
        <v>0</v>
      </c>
      <c r="X788" s="77">
        <v>0</v>
      </c>
      <c r="Y788" s="77">
        <v>3</v>
      </c>
      <c r="Z788" s="76">
        <v>4</v>
      </c>
      <c r="AA788" s="76">
        <v>0</v>
      </c>
      <c r="AB788" s="77">
        <v>0</v>
      </c>
      <c r="AC788" s="77">
        <v>3</v>
      </c>
      <c r="AD788" s="76">
        <v>6.5</v>
      </c>
      <c r="AE788" s="76">
        <v>0.5</v>
      </c>
      <c r="AF788" s="77">
        <v>-1</v>
      </c>
      <c r="AG788" s="77">
        <v>1</v>
      </c>
      <c r="AH788" s="76">
        <v>6.5</v>
      </c>
      <c r="AI788" s="76">
        <v>0.5</v>
      </c>
      <c r="AJ788" s="77">
        <v>1</v>
      </c>
      <c r="AK788" s="77">
        <v>4</v>
      </c>
      <c r="AL788" s="76"/>
      <c r="AM788" s="76"/>
      <c r="AN788" s="77"/>
      <c r="AO788" s="77"/>
      <c r="AP788" s="76"/>
      <c r="AQ788" s="76"/>
      <c r="AR788" s="77"/>
      <c r="AS788" s="77"/>
      <c r="AT788" s="78">
        <v>0.6875</v>
      </c>
    </row>
    <row r="789" spans="1:46" ht="12.5" x14ac:dyDescent="0.25">
      <c r="A789" s="79">
        <v>44845.98778487269</v>
      </c>
      <c r="B789" s="80" t="s">
        <v>180</v>
      </c>
      <c r="C789" s="80" t="str">
        <f>INDEX(TBL_Name,MATCH(Table2[[#This Row],[Athlete Name]],listNames,0),2)</f>
        <v>Athlete 29</v>
      </c>
      <c r="D789" s="80" t="s">
        <v>130</v>
      </c>
      <c r="E789" s="80">
        <v>9</v>
      </c>
      <c r="F789" s="80">
        <v>7</v>
      </c>
      <c r="G789" s="80">
        <v>8</v>
      </c>
      <c r="H789" s="80" t="s">
        <v>435</v>
      </c>
      <c r="I789" s="80">
        <v>6</v>
      </c>
      <c r="J789" s="80"/>
      <c r="K789" s="80"/>
      <c r="L789" s="80"/>
      <c r="M789" s="1" t="s">
        <v>1145</v>
      </c>
      <c r="N789" s="1">
        <v>42</v>
      </c>
      <c r="O789" s="1">
        <v>10</v>
      </c>
      <c r="P789" s="13">
        <v>44845</v>
      </c>
      <c r="Q789" s="1" t="s">
        <v>133</v>
      </c>
      <c r="R789" s="1" t="s">
        <v>64</v>
      </c>
      <c r="S789" s="1">
        <v>1</v>
      </c>
      <c r="T789" s="1" t="s">
        <v>942</v>
      </c>
      <c r="U789" s="1" t="s">
        <v>942</v>
      </c>
      <c r="V789" s="76">
        <v>5.333333333333333</v>
      </c>
      <c r="W789" s="76">
        <v>2.6246692913372702</v>
      </c>
      <c r="X789" s="77">
        <v>1.3970013970020956</v>
      </c>
      <c r="Y789" s="77">
        <v>4</v>
      </c>
      <c r="Z789" s="76">
        <v>7.666666666666667</v>
      </c>
      <c r="AA789" s="76">
        <v>1.699673171197595</v>
      </c>
      <c r="AB789" s="77">
        <v>-0.39223227027636826</v>
      </c>
      <c r="AC789" s="77">
        <v>2</v>
      </c>
      <c r="AD789" s="76">
        <v>7.666666666666667</v>
      </c>
      <c r="AE789" s="76">
        <v>1.247219128924647</v>
      </c>
      <c r="AF789" s="77">
        <v>0.26726124191242417</v>
      </c>
      <c r="AG789" s="77">
        <v>3</v>
      </c>
      <c r="AH789" s="76">
        <v>3.6666666666666665</v>
      </c>
      <c r="AI789" s="76">
        <v>1.699673171197595</v>
      </c>
      <c r="AJ789" s="77">
        <v>1.3728129459672882</v>
      </c>
      <c r="AK789" s="77">
        <v>4</v>
      </c>
      <c r="AL789" s="76"/>
      <c r="AM789" s="76"/>
      <c r="AN789" s="77"/>
      <c r="AO789" s="77"/>
      <c r="AP789" s="76"/>
      <c r="AQ789" s="76"/>
      <c r="AR789" s="77"/>
      <c r="AS789" s="77"/>
      <c r="AT789" s="78">
        <v>0.8125</v>
      </c>
    </row>
    <row r="790" spans="1:46" ht="12.5" x14ac:dyDescent="0.25">
      <c r="A790" s="79">
        <v>44846.334849259263</v>
      </c>
      <c r="B790" s="80" t="s">
        <v>17</v>
      </c>
      <c r="C790" s="80" t="str">
        <f>INDEX(TBL_Name,MATCH(Table2[[#This Row],[Athlete Name]],listNames,0),2)</f>
        <v>Athlete 10</v>
      </c>
      <c r="D790" s="80" t="s">
        <v>130</v>
      </c>
      <c r="E790" s="80">
        <v>9</v>
      </c>
      <c r="F790" s="80">
        <v>7</v>
      </c>
      <c r="G790" s="80">
        <v>6</v>
      </c>
      <c r="H790" s="80" t="s">
        <v>131</v>
      </c>
      <c r="I790" s="80">
        <v>8</v>
      </c>
      <c r="J790" s="80"/>
      <c r="K790" s="80"/>
      <c r="L790" s="80"/>
      <c r="M790" s="1" t="s">
        <v>1146</v>
      </c>
      <c r="N790" s="1">
        <v>42</v>
      </c>
      <c r="O790" s="1">
        <v>10</v>
      </c>
      <c r="P790" s="13">
        <v>44846</v>
      </c>
      <c r="Q790" s="1" t="s">
        <v>133</v>
      </c>
      <c r="R790" s="1" t="s">
        <v>64</v>
      </c>
      <c r="S790" s="1">
        <v>1</v>
      </c>
      <c r="T790" s="1" t="s">
        <v>18</v>
      </c>
      <c r="U790" s="1" t="s">
        <v>18</v>
      </c>
      <c r="V790" s="76">
        <v>8.1428571428571423</v>
      </c>
      <c r="W790" s="76">
        <v>0.63887656499993994</v>
      </c>
      <c r="X790" s="77">
        <v>1.3416407864998745</v>
      </c>
      <c r="Y790" s="77">
        <v>4</v>
      </c>
      <c r="Z790" s="76">
        <v>6.7142857142857144</v>
      </c>
      <c r="AA790" s="76">
        <v>0.6998542122237652</v>
      </c>
      <c r="AB790" s="77">
        <v>0.4082482904638628</v>
      </c>
      <c r="AC790" s="77">
        <v>3</v>
      </c>
      <c r="AD790" s="76">
        <v>7.7142857142857144</v>
      </c>
      <c r="AE790" s="76">
        <v>1.4846149779161806</v>
      </c>
      <c r="AF790" s="77">
        <v>-1.1547005383792517</v>
      </c>
      <c r="AG790" s="77">
        <v>1</v>
      </c>
      <c r="AH790" s="76">
        <v>7.1428571428571432</v>
      </c>
      <c r="AI790" s="76">
        <v>1.1248582677159731</v>
      </c>
      <c r="AJ790" s="77">
        <v>0.76200076200114264</v>
      </c>
      <c r="AK790" s="77">
        <v>3</v>
      </c>
      <c r="AL790" s="76"/>
      <c r="AM790" s="76"/>
      <c r="AN790" s="77"/>
      <c r="AO790" s="77"/>
      <c r="AP790" s="76"/>
      <c r="AQ790" s="76"/>
      <c r="AR790" s="77"/>
      <c r="AS790" s="77"/>
      <c r="AT790" s="78">
        <v>0.6875</v>
      </c>
    </row>
    <row r="791" spans="1:46" ht="12.5" x14ac:dyDescent="0.25">
      <c r="A791" s="79">
        <v>44846.337082094906</v>
      </c>
      <c r="B791" s="80" t="s">
        <v>225</v>
      </c>
      <c r="C791" s="80" t="str">
        <f>INDEX(TBL_Name,MATCH(Table2[[#This Row],[Athlete Name]],listNames,0),2)</f>
        <v>Athlete 32</v>
      </c>
      <c r="D791" s="80" t="s">
        <v>130</v>
      </c>
      <c r="E791" s="80">
        <v>10</v>
      </c>
      <c r="F791" s="80">
        <v>10</v>
      </c>
      <c r="G791" s="80">
        <v>8</v>
      </c>
      <c r="H791" s="80"/>
      <c r="I791" s="80">
        <v>6</v>
      </c>
      <c r="J791" s="80"/>
      <c r="K791" s="80"/>
      <c r="L791" s="80"/>
      <c r="M791" s="1" t="s">
        <v>1147</v>
      </c>
      <c r="N791" s="1">
        <v>42</v>
      </c>
      <c r="O791" s="1">
        <v>10</v>
      </c>
      <c r="P791" s="13">
        <v>44846</v>
      </c>
      <c r="Q791" s="1" t="s">
        <v>133</v>
      </c>
      <c r="R791" s="1" t="s">
        <v>64</v>
      </c>
      <c r="S791" s="1">
        <v>1</v>
      </c>
      <c r="T791" s="1" t="s">
        <v>942</v>
      </c>
      <c r="U791" s="1" t="s">
        <v>942</v>
      </c>
      <c r="V791" s="76">
        <v>9.75</v>
      </c>
      <c r="W791" s="76">
        <v>0.43301270189221946</v>
      </c>
      <c r="X791" s="77">
        <v>0.57735026918962562</v>
      </c>
      <c r="Y791" s="77">
        <v>3</v>
      </c>
      <c r="Z791" s="76">
        <v>10</v>
      </c>
      <c r="AA791" s="76">
        <v>0</v>
      </c>
      <c r="AB791" s="77">
        <v>0</v>
      </c>
      <c r="AC791" s="77">
        <v>3</v>
      </c>
      <c r="AD791" s="76">
        <v>7.5</v>
      </c>
      <c r="AE791" s="76">
        <v>0.5</v>
      </c>
      <c r="AF791" s="77">
        <v>1</v>
      </c>
      <c r="AG791" s="77">
        <v>4</v>
      </c>
      <c r="AH791" s="76">
        <v>6</v>
      </c>
      <c r="AI791" s="76">
        <v>1.4142135623730951</v>
      </c>
      <c r="AJ791" s="77">
        <v>0</v>
      </c>
      <c r="AK791" s="77">
        <v>3</v>
      </c>
      <c r="AL791" s="76"/>
      <c r="AM791" s="76"/>
      <c r="AN791" s="77"/>
      <c r="AO791" s="77"/>
      <c r="AP791" s="76"/>
      <c r="AQ791" s="76"/>
      <c r="AR791" s="77"/>
      <c r="AS791" s="77"/>
      <c r="AT791" s="78">
        <v>0.8125</v>
      </c>
    </row>
    <row r="792" spans="1:46" ht="12.5" x14ac:dyDescent="0.25">
      <c r="A792" s="79">
        <v>44846.37642439815</v>
      </c>
      <c r="B792" s="80" t="s">
        <v>6</v>
      </c>
      <c r="C792" s="80" t="str">
        <f>INDEX(TBL_Name,MATCH(Table2[[#This Row],[Athlete Name]],listNames,0),2)</f>
        <v>Athlete 2</v>
      </c>
      <c r="D792" s="80" t="s">
        <v>130</v>
      </c>
      <c r="E792" s="80">
        <v>8</v>
      </c>
      <c r="F792" s="80">
        <v>9</v>
      </c>
      <c r="G792" s="80">
        <v>9</v>
      </c>
      <c r="H792" s="80" t="s">
        <v>231</v>
      </c>
      <c r="I792" s="80">
        <v>8</v>
      </c>
      <c r="J792" s="80"/>
      <c r="K792" s="80"/>
      <c r="L792" s="80"/>
      <c r="M792" s="1" t="s">
        <v>1148</v>
      </c>
      <c r="N792" s="1">
        <v>42</v>
      </c>
      <c r="O792" s="1">
        <v>10</v>
      </c>
      <c r="P792" s="13">
        <v>44846</v>
      </c>
      <c r="Q792" s="1" t="s">
        <v>133</v>
      </c>
      <c r="R792" s="1" t="s">
        <v>64</v>
      </c>
      <c r="S792" s="1">
        <v>1</v>
      </c>
      <c r="T792" s="1" t="s">
        <v>5</v>
      </c>
      <c r="U792" s="1" t="s">
        <v>5</v>
      </c>
      <c r="V792" s="76">
        <v>8</v>
      </c>
      <c r="W792" s="76">
        <v>0.75592894601845417</v>
      </c>
      <c r="X792" s="77">
        <v>0</v>
      </c>
      <c r="Y792" s="77">
        <v>3</v>
      </c>
      <c r="Z792" s="76">
        <v>7.8571428571428568</v>
      </c>
      <c r="AA792" s="76">
        <v>1.2453996981544782</v>
      </c>
      <c r="AB792" s="77">
        <v>0.91766293548224742</v>
      </c>
      <c r="AC792" s="77">
        <v>3</v>
      </c>
      <c r="AD792" s="76">
        <v>7.5714285714285712</v>
      </c>
      <c r="AE792" s="76">
        <v>1.2936264483053452</v>
      </c>
      <c r="AF792" s="77">
        <v>1.1043152607484656</v>
      </c>
      <c r="AG792" s="77">
        <v>4</v>
      </c>
      <c r="AH792" s="76">
        <v>7.8571428571428568</v>
      </c>
      <c r="AI792" s="76">
        <v>0.34992710611188255</v>
      </c>
      <c r="AJ792" s="77">
        <v>0.40824829046386413</v>
      </c>
      <c r="AK792" s="77">
        <v>3</v>
      </c>
      <c r="AL792" s="76"/>
      <c r="AM792" s="76"/>
      <c r="AN792" s="77"/>
      <c r="AO792" s="77"/>
      <c r="AP792" s="76"/>
      <c r="AQ792" s="76"/>
      <c r="AR792" s="77"/>
      <c r="AS792" s="77"/>
      <c r="AT792" s="78">
        <v>0.8125</v>
      </c>
    </row>
    <row r="793" spans="1:46" ht="12.5" x14ac:dyDescent="0.25">
      <c r="A793" s="79">
        <v>44846.418014131945</v>
      </c>
      <c r="B793" s="80" t="s">
        <v>21</v>
      </c>
      <c r="C793" s="80" t="str">
        <f>INDEX(TBL_Name,MATCH(Table2[[#This Row],[Athlete Name]],listNames,0),2)</f>
        <v>Athlete 13</v>
      </c>
      <c r="D793" s="80" t="s">
        <v>130</v>
      </c>
      <c r="E793" s="80">
        <v>8</v>
      </c>
      <c r="F793" s="80">
        <v>8</v>
      </c>
      <c r="G793" s="80">
        <v>8</v>
      </c>
      <c r="H793" s="80" t="s">
        <v>1149</v>
      </c>
      <c r="I793" s="80">
        <v>7</v>
      </c>
      <c r="J793" s="80"/>
      <c r="K793" s="80"/>
      <c r="L793" s="80"/>
      <c r="M793" s="1" t="s">
        <v>1150</v>
      </c>
      <c r="N793" s="1">
        <v>42</v>
      </c>
      <c r="O793" s="1">
        <v>10</v>
      </c>
      <c r="P793" s="13">
        <v>44846</v>
      </c>
      <c r="Q793" s="1" t="s">
        <v>133</v>
      </c>
      <c r="R793" s="1" t="s">
        <v>64</v>
      </c>
      <c r="S793" s="1">
        <v>1</v>
      </c>
      <c r="T793" s="1" t="s">
        <v>18</v>
      </c>
      <c r="U793" s="1" t="s">
        <v>18</v>
      </c>
      <c r="V793" s="76">
        <v>8</v>
      </c>
      <c r="W793" s="76">
        <v>0.75592894601845451</v>
      </c>
      <c r="X793" s="77">
        <v>0</v>
      </c>
      <c r="Y793" s="77">
        <v>3</v>
      </c>
      <c r="Z793" s="76">
        <v>7.5714285714285712</v>
      </c>
      <c r="AA793" s="76">
        <v>1.590789817951435</v>
      </c>
      <c r="AB793" s="77">
        <v>0.26940795304016246</v>
      </c>
      <c r="AC793" s="77">
        <v>3</v>
      </c>
      <c r="AD793" s="76">
        <v>7.2857142857142856</v>
      </c>
      <c r="AE793" s="76">
        <v>1.0301575072754254</v>
      </c>
      <c r="AF793" s="77">
        <v>0.6933752452815366</v>
      </c>
      <c r="AG793" s="77">
        <v>3</v>
      </c>
      <c r="AH793" s="76">
        <v>6.7142857142857144</v>
      </c>
      <c r="AI793" s="76">
        <v>0.6998542122237652</v>
      </c>
      <c r="AJ793" s="77">
        <v>0.4082482904638628</v>
      </c>
      <c r="AK793" s="77">
        <v>3</v>
      </c>
      <c r="AL793" s="76"/>
      <c r="AM793" s="76"/>
      <c r="AN793" s="77"/>
      <c r="AO793" s="77"/>
      <c r="AP793" s="76"/>
      <c r="AQ793" s="76"/>
      <c r="AR793" s="77"/>
      <c r="AS793" s="77"/>
      <c r="AT793" s="78">
        <v>0.75</v>
      </c>
    </row>
    <row r="794" spans="1:46" ht="12.5" x14ac:dyDescent="0.25">
      <c r="A794" s="79">
        <v>44846.493473668983</v>
      </c>
      <c r="B794" s="80" t="s">
        <v>10</v>
      </c>
      <c r="C794" s="80" t="str">
        <f>INDEX(TBL_Name,MATCH(Table2[[#This Row],[Athlete Name]],listNames,0),2)</f>
        <v>Athlete 5</v>
      </c>
      <c r="D794" s="80" t="s">
        <v>143</v>
      </c>
      <c r="E794" s="80">
        <v>8</v>
      </c>
      <c r="F794" s="80">
        <v>8</v>
      </c>
      <c r="G794" s="80">
        <v>8</v>
      </c>
      <c r="H794" s="80" t="s">
        <v>69</v>
      </c>
      <c r="I794" s="80">
        <v>8</v>
      </c>
      <c r="J794" s="80"/>
      <c r="K794" s="80"/>
      <c r="L794" s="80"/>
      <c r="M794" s="1" t="s">
        <v>1151</v>
      </c>
      <c r="N794" s="1">
        <v>42</v>
      </c>
      <c r="O794" s="1">
        <v>10</v>
      </c>
      <c r="P794" s="13">
        <v>44846</v>
      </c>
      <c r="Q794" s="1" t="s">
        <v>133</v>
      </c>
      <c r="R794" s="1" t="s">
        <v>64</v>
      </c>
      <c r="S794" s="1">
        <v>2</v>
      </c>
      <c r="T794" s="1" t="s">
        <v>11</v>
      </c>
      <c r="U794" s="1" t="s">
        <v>11</v>
      </c>
      <c r="V794" s="76">
        <v>8.4</v>
      </c>
      <c r="W794" s="76">
        <v>0.48989794855663565</v>
      </c>
      <c r="X794" s="77">
        <v>-0.8164965809277267</v>
      </c>
      <c r="Y794" s="77">
        <v>2</v>
      </c>
      <c r="Z794" s="76">
        <v>7.4</v>
      </c>
      <c r="AA794" s="76">
        <v>1.3564659966250536</v>
      </c>
      <c r="AB794" s="77">
        <v>0.44232586846469113</v>
      </c>
      <c r="AC794" s="77">
        <v>3</v>
      </c>
      <c r="AD794" s="76">
        <v>7.4</v>
      </c>
      <c r="AE794" s="76">
        <v>1.3564659966250536</v>
      </c>
      <c r="AF794" s="77">
        <v>0.44232586846469113</v>
      </c>
      <c r="AG794" s="77">
        <v>3</v>
      </c>
      <c r="AH794" s="76">
        <v>7.6</v>
      </c>
      <c r="AI794" s="76">
        <v>1.019803902718557</v>
      </c>
      <c r="AJ794" s="77">
        <v>0.39223227027636837</v>
      </c>
      <c r="AK794" s="77">
        <v>3</v>
      </c>
      <c r="AL794" s="76"/>
      <c r="AM794" s="76"/>
      <c r="AN794" s="77"/>
      <c r="AO794" s="77"/>
      <c r="AP794" s="76"/>
      <c r="AQ794" s="76"/>
      <c r="AR794" s="77"/>
      <c r="AS794" s="77"/>
      <c r="AT794" s="78">
        <v>0.6875</v>
      </c>
    </row>
    <row r="795" spans="1:46" ht="12.5" x14ac:dyDescent="0.25">
      <c r="A795" s="79">
        <v>44847.313551307874</v>
      </c>
      <c r="B795" s="80" t="s">
        <v>21</v>
      </c>
      <c r="C795" s="80" t="str">
        <f>INDEX(TBL_Name,MATCH(Table2[[#This Row],[Athlete Name]],listNames,0),2)</f>
        <v>Athlete 13</v>
      </c>
      <c r="D795" s="80" t="s">
        <v>130</v>
      </c>
      <c r="E795" s="80">
        <v>8</v>
      </c>
      <c r="F795" s="80">
        <v>8</v>
      </c>
      <c r="G795" s="80">
        <v>8</v>
      </c>
      <c r="H795" s="80" t="s">
        <v>1152</v>
      </c>
      <c r="I795" s="80">
        <v>7</v>
      </c>
      <c r="J795" s="80"/>
      <c r="K795" s="80"/>
      <c r="L795" s="80"/>
      <c r="M795" s="1" t="s">
        <v>1153</v>
      </c>
      <c r="N795" s="1">
        <v>42</v>
      </c>
      <c r="O795" s="1">
        <v>10</v>
      </c>
      <c r="P795" s="13">
        <v>44847</v>
      </c>
      <c r="Q795" s="1" t="s">
        <v>133</v>
      </c>
      <c r="R795" s="1" t="s">
        <v>64</v>
      </c>
      <c r="S795" s="1">
        <v>1</v>
      </c>
      <c r="T795" s="1" t="s">
        <v>18</v>
      </c>
      <c r="U795" s="1" t="s">
        <v>18</v>
      </c>
      <c r="V795" s="76">
        <v>8.1428571428571423</v>
      </c>
      <c r="W795" s="76">
        <v>0.63887656499993994</v>
      </c>
      <c r="X795" s="77">
        <v>-0.22360679774997816</v>
      </c>
      <c r="Y795" s="77">
        <v>2</v>
      </c>
      <c r="Z795" s="76">
        <v>7.7142857142857144</v>
      </c>
      <c r="AA795" s="76">
        <v>1.5779087167410371</v>
      </c>
      <c r="AB795" s="77">
        <v>0.18107149208503701</v>
      </c>
      <c r="AC795" s="77">
        <v>3</v>
      </c>
      <c r="AD795" s="76">
        <v>7.4285714285714288</v>
      </c>
      <c r="AE795" s="76">
        <v>1.0497813183356477</v>
      </c>
      <c r="AF795" s="77">
        <v>0.54433105395181713</v>
      </c>
      <c r="AG795" s="77">
        <v>3</v>
      </c>
      <c r="AH795" s="76">
        <v>6.8571428571428568</v>
      </c>
      <c r="AI795" s="76">
        <v>0.63887656499993983</v>
      </c>
      <c r="AJ795" s="77">
        <v>0.2236067977499796</v>
      </c>
      <c r="AK795" s="77">
        <v>3</v>
      </c>
      <c r="AL795" s="76"/>
      <c r="AM795" s="76"/>
      <c r="AN795" s="77"/>
      <c r="AO795" s="77"/>
      <c r="AP795" s="76"/>
      <c r="AQ795" s="76"/>
      <c r="AR795" s="77"/>
      <c r="AS795" s="77"/>
      <c r="AT795" s="78">
        <v>0.6875</v>
      </c>
    </row>
    <row r="796" spans="1:46" ht="12.5" x14ac:dyDescent="0.25">
      <c r="A796" s="79">
        <v>44847.333212928235</v>
      </c>
      <c r="B796" s="80" t="s">
        <v>168</v>
      </c>
      <c r="C796" s="80" t="str">
        <f>INDEX(TBL_Name,MATCH(Table2[[#This Row],[Athlete Name]],listNames,0),2)</f>
        <v>Athlete 26</v>
      </c>
      <c r="D796" s="80" t="s">
        <v>130</v>
      </c>
      <c r="E796" s="80">
        <v>8</v>
      </c>
      <c r="F796" s="80">
        <v>7</v>
      </c>
      <c r="G796" s="80">
        <v>7</v>
      </c>
      <c r="H796" s="80" t="s">
        <v>175</v>
      </c>
      <c r="I796" s="80">
        <v>6</v>
      </c>
      <c r="J796" s="80"/>
      <c r="K796" s="80"/>
      <c r="L796" s="80"/>
      <c r="M796" s="1" t="s">
        <v>1154</v>
      </c>
      <c r="N796" s="1">
        <v>42</v>
      </c>
      <c r="O796" s="1">
        <v>10</v>
      </c>
      <c r="P796" s="13">
        <v>44847</v>
      </c>
      <c r="Q796" s="1" t="s">
        <v>133</v>
      </c>
      <c r="R796" s="1" t="s">
        <v>64</v>
      </c>
      <c r="S796" s="1">
        <v>1</v>
      </c>
      <c r="T796" s="1" t="s">
        <v>942</v>
      </c>
      <c r="U796" s="1" t="s">
        <v>942</v>
      </c>
      <c r="V796" s="76">
        <v>6.75</v>
      </c>
      <c r="W796" s="76">
        <v>1.0897247358851685</v>
      </c>
      <c r="X796" s="77">
        <v>1.1470786693528088</v>
      </c>
      <c r="Y796" s="77">
        <v>4</v>
      </c>
      <c r="Z796" s="76">
        <v>7.5</v>
      </c>
      <c r="AA796" s="76">
        <v>0.50000000000000011</v>
      </c>
      <c r="AB796" s="77">
        <v>-0.99999999999999978</v>
      </c>
      <c r="AC796" s="77">
        <v>1</v>
      </c>
      <c r="AD796" s="76">
        <v>7.5</v>
      </c>
      <c r="AE796" s="76">
        <v>0.50000000000000011</v>
      </c>
      <c r="AF796" s="77">
        <v>-0.99999999999999978</v>
      </c>
      <c r="AG796" s="77">
        <v>1</v>
      </c>
      <c r="AH796" s="76">
        <v>6</v>
      </c>
      <c r="AI796" s="76">
        <v>0.70710678118654757</v>
      </c>
      <c r="AJ796" s="77">
        <v>0</v>
      </c>
      <c r="AK796" s="77">
        <v>3</v>
      </c>
      <c r="AL796" s="76"/>
      <c r="AM796" s="76"/>
      <c r="AN796" s="77"/>
      <c r="AO796" s="77"/>
      <c r="AP796" s="76"/>
      <c r="AQ796" s="76"/>
      <c r="AR796" s="77"/>
      <c r="AS796" s="77"/>
      <c r="AT796" s="78">
        <v>0.5625</v>
      </c>
    </row>
    <row r="797" spans="1:46" ht="12.5" x14ac:dyDescent="0.25">
      <c r="A797" s="79">
        <v>44847.336492685186</v>
      </c>
      <c r="B797" s="80" t="s">
        <v>196</v>
      </c>
      <c r="C797" s="80" t="str">
        <f>INDEX(TBL_Name,MATCH(Table2[[#This Row],[Athlete Name]],listNames,0),2)</f>
        <v>Athlete 31</v>
      </c>
      <c r="D797" s="80" t="s">
        <v>130</v>
      </c>
      <c r="E797" s="80">
        <v>6</v>
      </c>
      <c r="F797" s="80">
        <v>8</v>
      </c>
      <c r="G797" s="80">
        <v>9</v>
      </c>
      <c r="H797" s="80"/>
      <c r="I797" s="80">
        <v>10</v>
      </c>
      <c r="J797" s="80"/>
      <c r="K797" s="80"/>
      <c r="L797" s="80"/>
      <c r="M797" s="1" t="s">
        <v>1155</v>
      </c>
      <c r="N797" s="1">
        <v>42</v>
      </c>
      <c r="O797" s="1">
        <v>10</v>
      </c>
      <c r="P797" s="13">
        <v>44847</v>
      </c>
      <c r="Q797" s="1" t="s">
        <v>133</v>
      </c>
      <c r="R797" s="1" t="s">
        <v>64</v>
      </c>
      <c r="S797" s="1">
        <v>1</v>
      </c>
      <c r="T797" s="1" t="s">
        <v>942</v>
      </c>
      <c r="U797" s="1" t="s">
        <v>942</v>
      </c>
      <c r="V797" s="76">
        <v>6</v>
      </c>
      <c r="W797" s="76">
        <v>0.70710678118654757</v>
      </c>
      <c r="X797" s="77">
        <v>0</v>
      </c>
      <c r="Y797" s="77">
        <v>3</v>
      </c>
      <c r="Z797" s="76">
        <v>8.75</v>
      </c>
      <c r="AA797" s="76">
        <v>1.299038105676658</v>
      </c>
      <c r="AB797" s="77">
        <v>-0.57735026918962573</v>
      </c>
      <c r="AC797" s="77">
        <v>2</v>
      </c>
      <c r="AD797" s="76">
        <v>7.875</v>
      </c>
      <c r="AE797" s="76">
        <v>1.1388041973930374</v>
      </c>
      <c r="AF797" s="77">
        <v>0.98787833990721308</v>
      </c>
      <c r="AG797" s="77">
        <v>3</v>
      </c>
      <c r="AH797" s="76">
        <v>8.5</v>
      </c>
      <c r="AI797" s="76">
        <v>1.1180339887498949</v>
      </c>
      <c r="AJ797" s="77">
        <v>1.3416407864998738</v>
      </c>
      <c r="AK797" s="77">
        <v>4</v>
      </c>
      <c r="AL797" s="76"/>
      <c r="AM797" s="76"/>
      <c r="AN797" s="77"/>
      <c r="AO797" s="77"/>
      <c r="AP797" s="76"/>
      <c r="AQ797" s="76"/>
      <c r="AR797" s="77"/>
      <c r="AS797" s="77"/>
      <c r="AT797" s="78">
        <v>0.75</v>
      </c>
    </row>
    <row r="798" spans="1:46" ht="12.5" x14ac:dyDescent="0.25">
      <c r="A798" s="79">
        <v>44847.360933726857</v>
      </c>
      <c r="B798" s="80" t="s">
        <v>17</v>
      </c>
      <c r="C798" s="80" t="str">
        <f>INDEX(TBL_Name,MATCH(Table2[[#This Row],[Athlete Name]],listNames,0),2)</f>
        <v>Athlete 10</v>
      </c>
      <c r="D798" s="80" t="s">
        <v>130</v>
      </c>
      <c r="E798" s="80">
        <v>7</v>
      </c>
      <c r="F798" s="80">
        <v>7</v>
      </c>
      <c r="G798" s="80">
        <v>10</v>
      </c>
      <c r="H798" s="80" t="s">
        <v>228</v>
      </c>
      <c r="I798" s="80">
        <v>7</v>
      </c>
      <c r="J798" s="80"/>
      <c r="K798" s="80"/>
      <c r="L798" s="80"/>
      <c r="M798" s="1" t="s">
        <v>1156</v>
      </c>
      <c r="N798" s="1">
        <v>42</v>
      </c>
      <c r="O798" s="1">
        <v>10</v>
      </c>
      <c r="P798" s="13">
        <v>44847</v>
      </c>
      <c r="Q798" s="1" t="s">
        <v>133</v>
      </c>
      <c r="R798" s="1" t="s">
        <v>64</v>
      </c>
      <c r="S798" s="1">
        <v>1</v>
      </c>
      <c r="T798" s="1" t="s">
        <v>18</v>
      </c>
      <c r="U798" s="1" t="s">
        <v>18</v>
      </c>
      <c r="V798" s="76">
        <v>8</v>
      </c>
      <c r="W798" s="76">
        <v>0.7559289460184544</v>
      </c>
      <c r="X798" s="77">
        <v>-1.3228756555322954</v>
      </c>
      <c r="Y798" s="77">
        <v>1</v>
      </c>
      <c r="Z798" s="76">
        <v>6.8571428571428568</v>
      </c>
      <c r="AA798" s="76">
        <v>0.63887656499993983</v>
      </c>
      <c r="AB798" s="77">
        <v>0.2236067977499796</v>
      </c>
      <c r="AC798" s="77">
        <v>3</v>
      </c>
      <c r="AD798" s="76">
        <v>7.8571428571428568</v>
      </c>
      <c r="AE798" s="76">
        <v>1.6413036132965795</v>
      </c>
      <c r="AF798" s="77">
        <v>1.3055824196677341</v>
      </c>
      <c r="AG798" s="77">
        <v>4</v>
      </c>
      <c r="AH798" s="76">
        <v>7.4285714285714288</v>
      </c>
      <c r="AI798" s="76">
        <v>0.72843135908468348</v>
      </c>
      <c r="AJ798" s="77">
        <v>-0.58834840541455247</v>
      </c>
      <c r="AK798" s="77">
        <v>2</v>
      </c>
      <c r="AL798" s="76"/>
      <c r="AM798" s="76"/>
      <c r="AN798" s="77"/>
      <c r="AO798" s="77"/>
      <c r="AP798" s="76"/>
      <c r="AQ798" s="76"/>
      <c r="AR798" s="77"/>
      <c r="AS798" s="77"/>
      <c r="AT798" s="78">
        <v>0.625</v>
      </c>
    </row>
    <row r="799" spans="1:46" ht="12.5" x14ac:dyDescent="0.25">
      <c r="A799" s="79">
        <v>44847.375371793984</v>
      </c>
      <c r="B799" s="80" t="s">
        <v>6</v>
      </c>
      <c r="C799" s="80" t="str">
        <f>INDEX(TBL_Name,MATCH(Table2[[#This Row],[Athlete Name]],listNames,0),2)</f>
        <v>Athlete 2</v>
      </c>
      <c r="D799" s="80" t="s">
        <v>130</v>
      </c>
      <c r="E799" s="80">
        <v>9</v>
      </c>
      <c r="F799" s="80">
        <v>7</v>
      </c>
      <c r="G799" s="80">
        <v>8</v>
      </c>
      <c r="H799" s="80"/>
      <c r="I799" s="80">
        <v>8</v>
      </c>
      <c r="J799" s="80"/>
      <c r="K799" s="80"/>
      <c r="L799" s="80"/>
      <c r="M799" s="1" t="s">
        <v>1157</v>
      </c>
      <c r="N799" s="1">
        <v>42</v>
      </c>
      <c r="O799" s="1">
        <v>10</v>
      </c>
      <c r="P799" s="13">
        <v>44847</v>
      </c>
      <c r="Q799" s="1" t="s">
        <v>133</v>
      </c>
      <c r="R799" s="1" t="s">
        <v>64</v>
      </c>
      <c r="S799" s="1">
        <v>1</v>
      </c>
      <c r="T799" s="1" t="s">
        <v>5</v>
      </c>
      <c r="U799" s="1" t="s">
        <v>5</v>
      </c>
      <c r="V799" s="76">
        <v>8.1428571428571423</v>
      </c>
      <c r="W799" s="76">
        <v>0.83299312783504276</v>
      </c>
      <c r="X799" s="77">
        <v>1.0289915108550538</v>
      </c>
      <c r="Y799" s="77">
        <v>4</v>
      </c>
      <c r="Z799" s="76">
        <v>7.5714285714285712</v>
      </c>
      <c r="AA799" s="76">
        <v>1.1780301787479031</v>
      </c>
      <c r="AB799" s="77">
        <v>-0.48507125007266572</v>
      </c>
      <c r="AC799" s="77">
        <v>2</v>
      </c>
      <c r="AD799" s="76">
        <v>7.4285714285714288</v>
      </c>
      <c r="AE799" s="76">
        <v>1.1780301787479031</v>
      </c>
      <c r="AF799" s="77">
        <v>0.48507125007266572</v>
      </c>
      <c r="AG799" s="77">
        <v>3</v>
      </c>
      <c r="AH799" s="76">
        <v>7.8571428571428568</v>
      </c>
      <c r="AI799" s="76">
        <v>0.3499271061118826</v>
      </c>
      <c r="AJ799" s="77">
        <v>0.40824829046386407</v>
      </c>
      <c r="AK799" s="77">
        <v>3</v>
      </c>
      <c r="AL799" s="76"/>
      <c r="AM799" s="76"/>
      <c r="AN799" s="77"/>
      <c r="AO799" s="77"/>
      <c r="AP799" s="76"/>
      <c r="AQ799" s="76"/>
      <c r="AR799" s="77"/>
      <c r="AS799" s="77"/>
      <c r="AT799" s="78">
        <v>0.75</v>
      </c>
    </row>
    <row r="800" spans="1:46" ht="12.5" x14ac:dyDescent="0.25">
      <c r="A800" s="79">
        <v>44847.399873784721</v>
      </c>
      <c r="B800" s="80" t="s">
        <v>10</v>
      </c>
      <c r="C800" s="80" t="str">
        <f>INDEX(TBL_Name,MATCH(Table2[[#This Row],[Athlete Name]],listNames,0),2)</f>
        <v>Athlete 5</v>
      </c>
      <c r="D800" s="80" t="s">
        <v>143</v>
      </c>
      <c r="E800" s="80">
        <v>9</v>
      </c>
      <c r="F800" s="80">
        <v>7</v>
      </c>
      <c r="G800" s="80">
        <v>7</v>
      </c>
      <c r="H800" s="80" t="s">
        <v>69</v>
      </c>
      <c r="I800" s="80">
        <v>9</v>
      </c>
      <c r="J800" s="80"/>
      <c r="K800" s="80"/>
      <c r="L800" s="80"/>
      <c r="M800" s="1" t="s">
        <v>1158</v>
      </c>
      <c r="N800" s="1">
        <v>42</v>
      </c>
      <c r="O800" s="1">
        <v>10</v>
      </c>
      <c r="P800" s="13">
        <v>44847</v>
      </c>
      <c r="Q800" s="1" t="s">
        <v>133</v>
      </c>
      <c r="R800" s="1" t="s">
        <v>64</v>
      </c>
      <c r="S800" s="1">
        <v>2</v>
      </c>
      <c r="T800" s="1" t="s">
        <v>11</v>
      </c>
      <c r="U800" s="1" t="s">
        <v>11</v>
      </c>
      <c r="V800" s="76">
        <v>8.4</v>
      </c>
      <c r="W800" s="76">
        <v>0.48989794855663549</v>
      </c>
      <c r="X800" s="77">
        <v>1.2247448713915887</v>
      </c>
      <c r="Y800" s="77">
        <v>4</v>
      </c>
      <c r="Z800" s="76">
        <v>7.4</v>
      </c>
      <c r="AA800" s="76">
        <v>1.3564659966250538</v>
      </c>
      <c r="AB800" s="77">
        <v>-0.29488391230979449</v>
      </c>
      <c r="AC800" s="77">
        <v>2</v>
      </c>
      <c r="AD800" s="76">
        <v>7.4</v>
      </c>
      <c r="AE800" s="76">
        <v>1.3564659966250538</v>
      </c>
      <c r="AF800" s="77">
        <v>-0.29488391230979449</v>
      </c>
      <c r="AG800" s="77">
        <v>2</v>
      </c>
      <c r="AH800" s="76">
        <v>8.1999999999999993</v>
      </c>
      <c r="AI800" s="76">
        <v>0.74833147735478833</v>
      </c>
      <c r="AJ800" s="77">
        <v>1.0690449676496985</v>
      </c>
      <c r="AK800" s="77">
        <v>4</v>
      </c>
      <c r="AL800" s="76"/>
      <c r="AM800" s="76"/>
      <c r="AN800" s="77"/>
      <c r="AO800" s="77"/>
      <c r="AP800" s="76"/>
      <c r="AQ800" s="76"/>
      <c r="AR800" s="77"/>
      <c r="AS800" s="77"/>
      <c r="AT800" s="78">
        <v>0.75</v>
      </c>
    </row>
    <row r="801" spans="1:46" ht="12.5" x14ac:dyDescent="0.25">
      <c r="A801" s="79">
        <v>44847.446587314815</v>
      </c>
      <c r="B801" s="80" t="s">
        <v>180</v>
      </c>
      <c r="C801" s="80" t="str">
        <f>INDEX(TBL_Name,MATCH(Table2[[#This Row],[Athlete Name]],listNames,0),2)</f>
        <v>Athlete 29</v>
      </c>
      <c r="D801" s="80" t="s">
        <v>130</v>
      </c>
      <c r="E801" s="80">
        <v>5</v>
      </c>
      <c r="F801" s="80">
        <v>7</v>
      </c>
      <c r="G801" s="80">
        <v>7</v>
      </c>
      <c r="H801" s="80" t="s">
        <v>707</v>
      </c>
      <c r="I801" s="80">
        <v>5</v>
      </c>
      <c r="J801" s="80"/>
      <c r="K801" s="80"/>
      <c r="L801" s="80"/>
      <c r="M801" s="1" t="s">
        <v>1159</v>
      </c>
      <c r="N801" s="1">
        <v>42</v>
      </c>
      <c r="O801" s="1">
        <v>10</v>
      </c>
      <c r="P801" s="13">
        <v>44847</v>
      </c>
      <c r="Q801" s="1" t="s">
        <v>133</v>
      </c>
      <c r="R801" s="1" t="s">
        <v>64</v>
      </c>
      <c r="S801" s="1">
        <v>1</v>
      </c>
      <c r="T801" s="1" t="s">
        <v>942</v>
      </c>
      <c r="U801" s="1" t="s">
        <v>942</v>
      </c>
      <c r="V801" s="76">
        <v>5.666666666666667</v>
      </c>
      <c r="W801" s="76">
        <v>2.4944382578492941</v>
      </c>
      <c r="X801" s="77">
        <v>-0.26726124191242451</v>
      </c>
      <c r="Y801" s="77">
        <v>2</v>
      </c>
      <c r="Z801" s="76">
        <v>6.666666666666667</v>
      </c>
      <c r="AA801" s="76">
        <v>0.47140452079103162</v>
      </c>
      <c r="AB801" s="77">
        <v>0.70710678118654702</v>
      </c>
      <c r="AC801" s="77">
        <v>3</v>
      </c>
      <c r="AD801" s="76">
        <v>7</v>
      </c>
      <c r="AE801" s="76">
        <v>0.81649658092772603</v>
      </c>
      <c r="AF801" s="77">
        <v>0</v>
      </c>
      <c r="AG801" s="77">
        <v>3</v>
      </c>
      <c r="AH801" s="76">
        <v>4.333333333333333</v>
      </c>
      <c r="AI801" s="76">
        <v>1.699673171197595</v>
      </c>
      <c r="AJ801" s="77">
        <v>0.39223227027636826</v>
      </c>
      <c r="AK801" s="77">
        <v>3</v>
      </c>
      <c r="AL801" s="76"/>
      <c r="AM801" s="76"/>
      <c r="AN801" s="77"/>
      <c r="AO801" s="77"/>
      <c r="AP801" s="76"/>
      <c r="AQ801" s="76"/>
      <c r="AR801" s="77"/>
      <c r="AS801" s="77"/>
      <c r="AT801" s="78">
        <v>0.6875</v>
      </c>
    </row>
    <row r="802" spans="1:46" ht="12.5" x14ac:dyDescent="0.25">
      <c r="A802" s="79">
        <v>44847.580481516205</v>
      </c>
      <c r="B802" s="80" t="s">
        <v>23</v>
      </c>
      <c r="C802" s="80" t="str">
        <f>INDEX(TBL_Name,MATCH(Table2[[#This Row],[Athlete Name]],listNames,0),2)</f>
        <v>Athlete 15</v>
      </c>
      <c r="D802" s="80" t="s">
        <v>143</v>
      </c>
      <c r="E802" s="80">
        <v>6</v>
      </c>
      <c r="F802" s="80">
        <v>4</v>
      </c>
      <c r="G802" s="80">
        <v>5</v>
      </c>
      <c r="H802" s="80" t="s">
        <v>1160</v>
      </c>
      <c r="I802" s="80">
        <v>5</v>
      </c>
      <c r="J802" s="80"/>
      <c r="K802" s="80"/>
      <c r="L802" s="80"/>
      <c r="M802" s="1" t="s">
        <v>1161</v>
      </c>
      <c r="N802" s="1">
        <v>42</v>
      </c>
      <c r="O802" s="1">
        <v>10</v>
      </c>
      <c r="P802" s="13">
        <v>44847</v>
      </c>
      <c r="Q802" s="1" t="s">
        <v>133</v>
      </c>
      <c r="R802" s="1" t="s">
        <v>64</v>
      </c>
      <c r="S802" s="1">
        <v>2</v>
      </c>
      <c r="T802" s="1" t="s">
        <v>18</v>
      </c>
      <c r="U802" s="1" t="s">
        <v>18</v>
      </c>
      <c r="V802" s="76">
        <v>6</v>
      </c>
      <c r="W802" s="76">
        <v>0</v>
      </c>
      <c r="X802" s="77">
        <v>0</v>
      </c>
      <c r="Y802" s="77">
        <v>3</v>
      </c>
      <c r="Z802" s="76">
        <v>4</v>
      </c>
      <c r="AA802" s="76">
        <v>0</v>
      </c>
      <c r="AB802" s="77">
        <v>0</v>
      </c>
      <c r="AC802" s="77">
        <v>3</v>
      </c>
      <c r="AD802" s="76">
        <v>5</v>
      </c>
      <c r="AE802" s="76">
        <v>0</v>
      </c>
      <c r="AF802" s="77">
        <v>0</v>
      </c>
      <c r="AG802" s="77">
        <v>3</v>
      </c>
      <c r="AH802" s="76">
        <v>5</v>
      </c>
      <c r="AI802" s="76">
        <v>0</v>
      </c>
      <c r="AJ802" s="77">
        <v>0</v>
      </c>
      <c r="AK802" s="77">
        <v>3</v>
      </c>
      <c r="AL802" s="76"/>
      <c r="AM802" s="76"/>
      <c r="AN802" s="77"/>
      <c r="AO802" s="77"/>
      <c r="AP802" s="76"/>
      <c r="AQ802" s="76"/>
      <c r="AR802" s="77"/>
      <c r="AS802" s="77"/>
      <c r="AT802" s="78">
        <v>0.75</v>
      </c>
    </row>
    <row r="803" spans="1:46" ht="12.5" x14ac:dyDescent="0.25">
      <c r="A803" s="79">
        <v>44848.357589791667</v>
      </c>
      <c r="B803" s="80" t="s">
        <v>196</v>
      </c>
      <c r="C803" s="80" t="str">
        <f>INDEX(TBL_Name,MATCH(Table2[[#This Row],[Athlete Name]],listNames,0),2)</f>
        <v>Athlete 31</v>
      </c>
      <c r="D803" s="80" t="s">
        <v>130</v>
      </c>
      <c r="E803" s="80">
        <v>6</v>
      </c>
      <c r="F803" s="80">
        <v>9</v>
      </c>
      <c r="G803" s="80">
        <v>9</v>
      </c>
      <c r="H803" s="80"/>
      <c r="I803" s="80">
        <v>10</v>
      </c>
      <c r="J803" s="80"/>
      <c r="K803" s="80"/>
      <c r="L803" s="80"/>
      <c r="M803" s="1" t="s">
        <v>1162</v>
      </c>
      <c r="N803" s="1">
        <v>42</v>
      </c>
      <c r="O803" s="1">
        <v>10</v>
      </c>
      <c r="P803" s="13">
        <v>44848</v>
      </c>
      <c r="Q803" s="1" t="s">
        <v>133</v>
      </c>
      <c r="R803" s="1" t="s">
        <v>64</v>
      </c>
      <c r="S803" s="1">
        <v>1</v>
      </c>
      <c r="T803" s="1" t="s">
        <v>942</v>
      </c>
      <c r="U803" s="1" t="s">
        <v>942</v>
      </c>
      <c r="V803" s="76">
        <v>5.75</v>
      </c>
      <c r="W803" s="76">
        <v>0.43301270189221924</v>
      </c>
      <c r="X803" s="77">
        <v>0.57735026918962584</v>
      </c>
      <c r="Y803" s="77">
        <v>3</v>
      </c>
      <c r="Z803" s="76">
        <v>8.5</v>
      </c>
      <c r="AA803" s="76">
        <v>1.1180339887498949</v>
      </c>
      <c r="AB803" s="77">
        <v>0.44721359549995793</v>
      </c>
      <c r="AC803" s="77">
        <v>3</v>
      </c>
      <c r="AD803" s="76">
        <v>8.5</v>
      </c>
      <c r="AE803" s="76">
        <v>0.86602540378443849</v>
      </c>
      <c r="AF803" s="77">
        <v>0.57735026918962584</v>
      </c>
      <c r="AG803" s="77">
        <v>3</v>
      </c>
      <c r="AH803" s="76">
        <v>8.75</v>
      </c>
      <c r="AI803" s="76">
        <v>1.2990381056766578</v>
      </c>
      <c r="AJ803" s="77">
        <v>0.96225044864937637</v>
      </c>
      <c r="AK803" s="77">
        <v>3</v>
      </c>
      <c r="AL803" s="76"/>
      <c r="AM803" s="76"/>
      <c r="AN803" s="77"/>
      <c r="AO803" s="77"/>
      <c r="AP803" s="76"/>
      <c r="AQ803" s="76"/>
      <c r="AR803" s="77"/>
      <c r="AS803" s="77"/>
      <c r="AT803" s="78">
        <v>0.75</v>
      </c>
    </row>
    <row r="804" spans="1:46" ht="12.5" x14ac:dyDescent="0.25">
      <c r="A804" s="79">
        <v>44848.376445162037</v>
      </c>
      <c r="B804" s="80" t="s">
        <v>17</v>
      </c>
      <c r="C804" s="80" t="str">
        <f>INDEX(TBL_Name,MATCH(Table2[[#This Row],[Athlete Name]],listNames,0),2)</f>
        <v>Athlete 10</v>
      </c>
      <c r="D804" s="80" t="s">
        <v>130</v>
      </c>
      <c r="E804" s="80">
        <v>8</v>
      </c>
      <c r="F804" s="80">
        <v>9</v>
      </c>
      <c r="G804" s="80">
        <v>9</v>
      </c>
      <c r="H804" s="80" t="s">
        <v>131</v>
      </c>
      <c r="I804" s="80">
        <v>8</v>
      </c>
      <c r="J804" s="80"/>
      <c r="K804" s="80"/>
      <c r="L804" s="80"/>
      <c r="M804" s="1" t="s">
        <v>1163</v>
      </c>
      <c r="N804" s="1">
        <v>42</v>
      </c>
      <c r="O804" s="1">
        <v>10</v>
      </c>
      <c r="P804" s="13">
        <v>44848</v>
      </c>
      <c r="Q804" s="1" t="s">
        <v>133</v>
      </c>
      <c r="R804" s="1" t="s">
        <v>64</v>
      </c>
      <c r="S804" s="1">
        <v>1</v>
      </c>
      <c r="T804" s="1" t="s">
        <v>18</v>
      </c>
      <c r="U804" s="1" t="s">
        <v>18</v>
      </c>
      <c r="V804" s="76">
        <v>8.1428571428571423</v>
      </c>
      <c r="W804" s="76">
        <v>0.63887656499994028</v>
      </c>
      <c r="X804" s="77">
        <v>-0.22360679774997805</v>
      </c>
      <c r="Y804" s="77">
        <v>2</v>
      </c>
      <c r="Z804" s="76">
        <v>7.2857142857142856</v>
      </c>
      <c r="AA804" s="76">
        <v>0.88063057185271099</v>
      </c>
      <c r="AB804" s="77">
        <v>1.9466570535691505</v>
      </c>
      <c r="AC804" s="77">
        <v>4</v>
      </c>
      <c r="AD804" s="76">
        <v>8.1428571428571423</v>
      </c>
      <c r="AE804" s="76">
        <v>1.6413036132965795</v>
      </c>
      <c r="AF804" s="77">
        <v>0.52223296786709383</v>
      </c>
      <c r="AG804" s="77">
        <v>3</v>
      </c>
      <c r="AH804" s="76">
        <v>7.4285714285714288</v>
      </c>
      <c r="AI804" s="76">
        <v>0.72843135908468348</v>
      </c>
      <c r="AJ804" s="77">
        <v>0.78446454055273585</v>
      </c>
      <c r="AK804" s="77">
        <v>3</v>
      </c>
      <c r="AL804" s="76"/>
      <c r="AM804" s="76"/>
      <c r="AN804" s="77"/>
      <c r="AO804" s="77"/>
      <c r="AP804" s="76"/>
      <c r="AQ804" s="76"/>
      <c r="AR804" s="77"/>
      <c r="AS804" s="77"/>
      <c r="AT804" s="78">
        <v>0.75</v>
      </c>
    </row>
    <row r="805" spans="1:46" ht="12.5" x14ac:dyDescent="0.25">
      <c r="A805" s="79">
        <v>44848.421258425922</v>
      </c>
      <c r="B805" s="80" t="s">
        <v>6</v>
      </c>
      <c r="C805" s="80" t="str">
        <f>INDEX(TBL_Name,MATCH(Table2[[#This Row],[Athlete Name]],listNames,0),2)</f>
        <v>Athlete 2</v>
      </c>
      <c r="D805" s="80" t="s">
        <v>130</v>
      </c>
      <c r="E805" s="80">
        <v>8</v>
      </c>
      <c r="F805" s="80">
        <v>7</v>
      </c>
      <c r="G805" s="80">
        <v>9</v>
      </c>
      <c r="H805" s="80" t="s">
        <v>231</v>
      </c>
      <c r="I805" s="80">
        <v>6</v>
      </c>
      <c r="J805" s="80"/>
      <c r="K805" s="80"/>
      <c r="L805" s="80"/>
      <c r="M805" s="1" t="s">
        <v>1164</v>
      </c>
      <c r="N805" s="1">
        <v>42</v>
      </c>
      <c r="O805" s="1">
        <v>10</v>
      </c>
      <c r="P805" s="13">
        <v>44848</v>
      </c>
      <c r="Q805" s="1" t="s">
        <v>133</v>
      </c>
      <c r="R805" s="1" t="s">
        <v>64</v>
      </c>
      <c r="S805" s="1">
        <v>1</v>
      </c>
      <c r="T805" s="1" t="s">
        <v>5</v>
      </c>
      <c r="U805" s="1" t="s">
        <v>5</v>
      </c>
      <c r="V805" s="76">
        <v>8</v>
      </c>
      <c r="W805" s="76">
        <v>0.7559289460184544</v>
      </c>
      <c r="X805" s="77">
        <v>0</v>
      </c>
      <c r="Y805" s="77">
        <v>3</v>
      </c>
      <c r="Z805" s="76">
        <v>7.7142857142857144</v>
      </c>
      <c r="AA805" s="76">
        <v>1.0301575072754257</v>
      </c>
      <c r="AB805" s="77">
        <v>-0.69337524528153638</v>
      </c>
      <c r="AC805" s="77">
        <v>2</v>
      </c>
      <c r="AD805" s="76">
        <v>7.7142857142857144</v>
      </c>
      <c r="AE805" s="76">
        <v>1.2777531299998799</v>
      </c>
      <c r="AF805" s="77">
        <v>1.0062305898749053</v>
      </c>
      <c r="AG805" s="77">
        <v>4</v>
      </c>
      <c r="AH805" s="76">
        <v>7.5714285714285712</v>
      </c>
      <c r="AI805" s="76">
        <v>0.72843135908468348</v>
      </c>
      <c r="AJ805" s="77">
        <v>-2.1572774865200244</v>
      </c>
      <c r="AK805" s="77">
        <v>1</v>
      </c>
      <c r="AL805" s="76"/>
      <c r="AM805" s="76"/>
      <c r="AN805" s="77"/>
      <c r="AO805" s="77"/>
      <c r="AP805" s="76"/>
      <c r="AQ805" s="76"/>
      <c r="AR805" s="77"/>
      <c r="AS805" s="77"/>
      <c r="AT805" s="78">
        <v>0.625</v>
      </c>
    </row>
    <row r="806" spans="1:46" ht="12.5" x14ac:dyDescent="0.25">
      <c r="A806" s="79">
        <v>44848.488933472225</v>
      </c>
      <c r="B806" s="80" t="s">
        <v>10</v>
      </c>
      <c r="C806" s="80" t="str">
        <f>INDEX(TBL_Name,MATCH(Table2[[#This Row],[Athlete Name]],listNames,0),2)</f>
        <v>Athlete 5</v>
      </c>
      <c r="D806" s="80" t="s">
        <v>130</v>
      </c>
      <c r="E806" s="80">
        <v>9</v>
      </c>
      <c r="F806" s="80">
        <v>8</v>
      </c>
      <c r="G806" s="80">
        <v>8</v>
      </c>
      <c r="H806" s="80" t="s">
        <v>69</v>
      </c>
      <c r="I806" s="80">
        <v>9</v>
      </c>
      <c r="J806" s="80"/>
      <c r="K806" s="80"/>
      <c r="L806" s="80"/>
      <c r="M806" s="1" t="s">
        <v>1165</v>
      </c>
      <c r="N806" s="1">
        <v>42</v>
      </c>
      <c r="O806" s="1">
        <v>10</v>
      </c>
      <c r="P806" s="13">
        <v>44848</v>
      </c>
      <c r="Q806" s="1" t="s">
        <v>133</v>
      </c>
      <c r="R806" s="1" t="s">
        <v>64</v>
      </c>
      <c r="S806" s="1">
        <v>1</v>
      </c>
      <c r="T806" s="1" t="s">
        <v>11</v>
      </c>
      <c r="U806" s="1" t="s">
        <v>11</v>
      </c>
      <c r="V806" s="76">
        <v>8.6</v>
      </c>
      <c r="W806" s="76">
        <v>0.48989794855663565</v>
      </c>
      <c r="X806" s="77">
        <v>0.8164965809277267</v>
      </c>
      <c r="Y806" s="77">
        <v>3</v>
      </c>
      <c r="Z806" s="76">
        <v>8</v>
      </c>
      <c r="AA806" s="76">
        <v>0.63245553203367599</v>
      </c>
      <c r="AB806" s="77">
        <v>0</v>
      </c>
      <c r="AC806" s="77">
        <v>3</v>
      </c>
      <c r="AD806" s="76">
        <v>8</v>
      </c>
      <c r="AE806" s="76">
        <v>0.63245553203367599</v>
      </c>
      <c r="AF806" s="77">
        <v>0</v>
      </c>
      <c r="AG806" s="77">
        <v>3</v>
      </c>
      <c r="AH806" s="76">
        <v>8.4</v>
      </c>
      <c r="AI806" s="76">
        <v>0.79999999999999993</v>
      </c>
      <c r="AJ806" s="77">
        <v>0.74999999999999967</v>
      </c>
      <c r="AK806" s="77">
        <v>3</v>
      </c>
      <c r="AL806" s="76"/>
      <c r="AM806" s="76"/>
      <c r="AN806" s="77"/>
      <c r="AO806" s="77"/>
      <c r="AP806" s="76"/>
      <c r="AQ806" s="76"/>
      <c r="AR806" s="77"/>
      <c r="AS806" s="77"/>
      <c r="AT806" s="78">
        <v>0.75</v>
      </c>
    </row>
    <row r="807" spans="1:46" ht="12.5" x14ac:dyDescent="0.25">
      <c r="A807" s="79">
        <v>44848.502404375002</v>
      </c>
      <c r="B807" s="80" t="s">
        <v>21</v>
      </c>
      <c r="C807" s="80" t="str">
        <f>INDEX(TBL_Name,MATCH(Table2[[#This Row],[Athlete Name]],listNames,0),2)</f>
        <v>Athlete 13</v>
      </c>
      <c r="D807" s="80" t="s">
        <v>130</v>
      </c>
      <c r="E807" s="80">
        <v>8</v>
      </c>
      <c r="F807" s="80">
        <v>9</v>
      </c>
      <c r="G807" s="80">
        <v>9</v>
      </c>
      <c r="H807" s="80" t="s">
        <v>1136</v>
      </c>
      <c r="I807" s="80">
        <v>6</v>
      </c>
      <c r="J807" s="80"/>
      <c r="K807" s="80"/>
      <c r="L807" s="80"/>
      <c r="M807" s="1" t="s">
        <v>1166</v>
      </c>
      <c r="N807" s="1">
        <v>42</v>
      </c>
      <c r="O807" s="1">
        <v>10</v>
      </c>
      <c r="P807" s="13">
        <v>44848</v>
      </c>
      <c r="Q807" s="1" t="s">
        <v>133</v>
      </c>
      <c r="R807" s="1" t="s">
        <v>64</v>
      </c>
      <c r="S807" s="1">
        <v>1</v>
      </c>
      <c r="T807" s="1" t="s">
        <v>18</v>
      </c>
      <c r="U807" s="1" t="s">
        <v>18</v>
      </c>
      <c r="V807" s="76">
        <v>8.2857142857142865</v>
      </c>
      <c r="W807" s="76">
        <v>0.45175395145262565</v>
      </c>
      <c r="X807" s="77">
        <v>-0.63245553203367755</v>
      </c>
      <c r="Y807" s="77">
        <v>2</v>
      </c>
      <c r="Z807" s="76">
        <v>8.1428571428571423</v>
      </c>
      <c r="AA807" s="76">
        <v>1.4568627181693672</v>
      </c>
      <c r="AB807" s="77">
        <v>0.58834840541455236</v>
      </c>
      <c r="AC807" s="77">
        <v>3</v>
      </c>
      <c r="AD807" s="76">
        <v>7.7142857142857144</v>
      </c>
      <c r="AE807" s="76">
        <v>1.1605769149479943</v>
      </c>
      <c r="AF807" s="77">
        <v>1.1078234188139946</v>
      </c>
      <c r="AG807" s="77">
        <v>4</v>
      </c>
      <c r="AH807" s="76">
        <v>6.7142857142857144</v>
      </c>
      <c r="AI807" s="76">
        <v>0.69985421222376509</v>
      </c>
      <c r="AJ807" s="77">
        <v>-1.0206207261596578</v>
      </c>
      <c r="AK807" s="77">
        <v>1</v>
      </c>
      <c r="AL807" s="76"/>
      <c r="AM807" s="76"/>
      <c r="AN807" s="77"/>
      <c r="AO807" s="77"/>
      <c r="AP807" s="76"/>
      <c r="AQ807" s="76"/>
      <c r="AR807" s="77"/>
      <c r="AS807" s="77"/>
      <c r="AT807" s="78">
        <v>0.625</v>
      </c>
    </row>
    <row r="808" spans="1:46" ht="12.5" x14ac:dyDescent="0.25">
      <c r="A808" s="79">
        <v>44849.373247430558</v>
      </c>
      <c r="B808" s="80" t="s">
        <v>225</v>
      </c>
      <c r="C808" s="80" t="str">
        <f>INDEX(TBL_Name,MATCH(Table2[[#This Row],[Athlete Name]],listNames,0),2)</f>
        <v>Athlete 32</v>
      </c>
      <c r="D808" s="80" t="s">
        <v>130</v>
      </c>
      <c r="E808" s="80">
        <v>10</v>
      </c>
      <c r="F808" s="80">
        <v>10</v>
      </c>
      <c r="G808" s="80">
        <v>8</v>
      </c>
      <c r="H808" s="80"/>
      <c r="I808" s="80">
        <v>10</v>
      </c>
      <c r="J808" s="80"/>
      <c r="K808" s="80"/>
      <c r="L808" s="80"/>
      <c r="M808" s="1" t="s">
        <v>1167</v>
      </c>
      <c r="N808" s="1">
        <v>42</v>
      </c>
      <c r="O808" s="1">
        <v>10</v>
      </c>
      <c r="P808" s="13">
        <v>44849</v>
      </c>
      <c r="Q808" s="1" t="s">
        <v>133</v>
      </c>
      <c r="R808" s="1" t="s">
        <v>64</v>
      </c>
      <c r="S808" s="1">
        <v>1</v>
      </c>
      <c r="T808" s="1" t="s">
        <v>942</v>
      </c>
      <c r="U808" s="1" t="s">
        <v>942</v>
      </c>
      <c r="V808" s="76">
        <v>10</v>
      </c>
      <c r="W808" s="76">
        <v>0</v>
      </c>
      <c r="X808" s="77">
        <v>0</v>
      </c>
      <c r="Y808" s="77">
        <v>3</v>
      </c>
      <c r="Z808" s="76">
        <v>10</v>
      </c>
      <c r="AA808" s="76">
        <v>0</v>
      </c>
      <c r="AB808" s="77">
        <v>0</v>
      </c>
      <c r="AC808" s="77">
        <v>3</v>
      </c>
      <c r="AD808" s="76">
        <v>7.666666666666667</v>
      </c>
      <c r="AE808" s="76">
        <v>0.47140452079103162</v>
      </c>
      <c r="AF808" s="77">
        <v>0.70710678118654702</v>
      </c>
      <c r="AG808" s="77">
        <v>3</v>
      </c>
      <c r="AH808" s="76">
        <v>7.333333333333333</v>
      </c>
      <c r="AI808" s="76">
        <v>1.8856180831641267</v>
      </c>
      <c r="AJ808" s="77">
        <v>1.4142135623730951</v>
      </c>
      <c r="AK808" s="77">
        <v>4</v>
      </c>
      <c r="AL808" s="76"/>
      <c r="AM808" s="76"/>
      <c r="AN808" s="77"/>
      <c r="AO808" s="77"/>
      <c r="AP808" s="76"/>
      <c r="AQ808" s="76"/>
      <c r="AR808" s="77"/>
      <c r="AS808" s="77"/>
      <c r="AT808" s="78">
        <v>0.8125</v>
      </c>
    </row>
    <row r="809" spans="1:46" ht="12.5" x14ac:dyDescent="0.25">
      <c r="A809" s="79">
        <v>44849.378070682869</v>
      </c>
      <c r="B809" s="80" t="s">
        <v>196</v>
      </c>
      <c r="C809" s="80" t="str">
        <f>INDEX(TBL_Name,MATCH(Table2[[#This Row],[Athlete Name]],listNames,0),2)</f>
        <v>Athlete 31</v>
      </c>
      <c r="D809" s="80" t="s">
        <v>130</v>
      </c>
      <c r="E809" s="80">
        <v>6</v>
      </c>
      <c r="F809" s="80">
        <v>9</v>
      </c>
      <c r="G809" s="80">
        <v>9</v>
      </c>
      <c r="H809" s="80"/>
      <c r="I809" s="80">
        <v>10</v>
      </c>
      <c r="J809" s="80"/>
      <c r="K809" s="80"/>
      <c r="L809" s="80"/>
      <c r="M809" s="1" t="s">
        <v>1168</v>
      </c>
      <c r="N809" s="1">
        <v>42</v>
      </c>
      <c r="O809" s="1">
        <v>10</v>
      </c>
      <c r="P809" s="13">
        <v>44849</v>
      </c>
      <c r="Q809" s="1" t="s">
        <v>133</v>
      </c>
      <c r="R809" s="1" t="s">
        <v>64</v>
      </c>
      <c r="S809" s="1">
        <v>1</v>
      </c>
      <c r="T809" s="1" t="s">
        <v>942</v>
      </c>
      <c r="U809" s="1" t="s">
        <v>942</v>
      </c>
      <c r="V809" s="76">
        <v>5.8</v>
      </c>
      <c r="W809" s="76">
        <v>0.39999999999999997</v>
      </c>
      <c r="X809" s="77">
        <v>0.50000000000000044</v>
      </c>
      <c r="Y809" s="77">
        <v>3</v>
      </c>
      <c r="Z809" s="76">
        <v>8.6</v>
      </c>
      <c r="AA809" s="76">
        <v>1.019803902718557</v>
      </c>
      <c r="AB809" s="77">
        <v>0.39223227027636837</v>
      </c>
      <c r="AC809" s="77">
        <v>3</v>
      </c>
      <c r="AD809" s="76">
        <v>8.6</v>
      </c>
      <c r="AE809" s="76">
        <v>0.79999999999999993</v>
      </c>
      <c r="AF809" s="77">
        <v>0.50000000000000044</v>
      </c>
      <c r="AG809" s="77">
        <v>3</v>
      </c>
      <c r="AH809" s="76">
        <v>9</v>
      </c>
      <c r="AI809" s="76">
        <v>1.2649110640673515</v>
      </c>
      <c r="AJ809" s="77">
        <v>0.79056941504209499</v>
      </c>
      <c r="AK809" s="77">
        <v>3</v>
      </c>
      <c r="AL809" s="76"/>
      <c r="AM809" s="76"/>
      <c r="AN809" s="77"/>
      <c r="AO809" s="77"/>
      <c r="AP809" s="76"/>
      <c r="AQ809" s="76"/>
      <c r="AR809" s="77"/>
      <c r="AS809" s="77"/>
      <c r="AT809" s="78">
        <v>0.75</v>
      </c>
    </row>
    <row r="810" spans="1:46" ht="12.5" x14ac:dyDescent="0.25">
      <c r="A810" s="79">
        <v>44849.380842337967</v>
      </c>
      <c r="B810" s="80" t="s">
        <v>17</v>
      </c>
      <c r="C810" s="80" t="str">
        <f>INDEX(TBL_Name,MATCH(Table2[[#This Row],[Athlete Name]],listNames,0),2)</f>
        <v>Athlete 10</v>
      </c>
      <c r="D810" s="80" t="s">
        <v>130</v>
      </c>
      <c r="E810" s="80">
        <v>8</v>
      </c>
      <c r="F810" s="80">
        <v>7</v>
      </c>
      <c r="G810" s="80">
        <v>9</v>
      </c>
      <c r="H810" s="80" t="s">
        <v>228</v>
      </c>
      <c r="I810" s="80">
        <v>9</v>
      </c>
      <c r="J810" s="80"/>
      <c r="K810" s="80"/>
      <c r="L810" s="80"/>
      <c r="M810" s="1" t="s">
        <v>1169</v>
      </c>
      <c r="N810" s="1">
        <v>42</v>
      </c>
      <c r="O810" s="1">
        <v>10</v>
      </c>
      <c r="P810" s="13">
        <v>44849</v>
      </c>
      <c r="Q810" s="1" t="s">
        <v>133</v>
      </c>
      <c r="R810" s="1" t="s">
        <v>64</v>
      </c>
      <c r="S810" s="1">
        <v>1</v>
      </c>
      <c r="T810" s="1" t="s">
        <v>18</v>
      </c>
      <c r="U810" s="1" t="s">
        <v>18</v>
      </c>
      <c r="V810" s="76">
        <v>8.1428571428571423</v>
      </c>
      <c r="W810" s="76">
        <v>0.63887656499993983</v>
      </c>
      <c r="X810" s="77">
        <v>-0.22360679774997821</v>
      </c>
      <c r="Y810" s="77">
        <v>2</v>
      </c>
      <c r="Z810" s="76">
        <v>7.1428571428571432</v>
      </c>
      <c r="AA810" s="76">
        <v>0.83299312783504309</v>
      </c>
      <c r="AB810" s="77">
        <v>-0.17149858514250926</v>
      </c>
      <c r="AC810" s="77">
        <v>2</v>
      </c>
      <c r="AD810" s="76">
        <v>8.1428571428571423</v>
      </c>
      <c r="AE810" s="76">
        <v>1.6413036132965795</v>
      </c>
      <c r="AF810" s="77">
        <v>0.52223296786709383</v>
      </c>
      <c r="AG810" s="77">
        <v>3</v>
      </c>
      <c r="AH810" s="76">
        <v>7.7142857142857144</v>
      </c>
      <c r="AI810" s="76">
        <v>0.88063057185271099</v>
      </c>
      <c r="AJ810" s="77">
        <v>1.4599927901768626</v>
      </c>
      <c r="AK810" s="77">
        <v>4</v>
      </c>
      <c r="AL810" s="76"/>
      <c r="AM810" s="76"/>
      <c r="AN810" s="77"/>
      <c r="AO810" s="77"/>
      <c r="AP810" s="76"/>
      <c r="AQ810" s="76"/>
      <c r="AR810" s="77"/>
      <c r="AS810" s="77"/>
      <c r="AT810" s="78">
        <v>0.6875</v>
      </c>
    </row>
    <row r="811" spans="1:46" ht="12.5" x14ac:dyDescent="0.25">
      <c r="A811" s="79">
        <v>44849.496369988425</v>
      </c>
      <c r="B811" s="80" t="s">
        <v>6</v>
      </c>
      <c r="C811" s="80" t="str">
        <f>INDEX(TBL_Name,MATCH(Table2[[#This Row],[Athlete Name]],listNames,0),2)</f>
        <v>Athlete 2</v>
      </c>
      <c r="D811" s="80" t="s">
        <v>130</v>
      </c>
      <c r="E811" s="80">
        <v>9</v>
      </c>
      <c r="F811" s="80">
        <v>9</v>
      </c>
      <c r="G811" s="80">
        <v>9</v>
      </c>
      <c r="H811" s="80" t="s">
        <v>73</v>
      </c>
      <c r="I811" s="80">
        <v>7</v>
      </c>
      <c r="J811" s="80"/>
      <c r="K811" s="80"/>
      <c r="L811" s="80"/>
      <c r="M811" s="1" t="s">
        <v>1170</v>
      </c>
      <c r="N811" s="1">
        <v>42</v>
      </c>
      <c r="O811" s="1">
        <v>10</v>
      </c>
      <c r="P811" s="13">
        <v>44849</v>
      </c>
      <c r="Q811" s="1" t="s">
        <v>133</v>
      </c>
      <c r="R811" s="1" t="s">
        <v>64</v>
      </c>
      <c r="S811" s="1">
        <v>1</v>
      </c>
      <c r="T811" s="1" t="s">
        <v>5</v>
      </c>
      <c r="U811" s="1" t="s">
        <v>5</v>
      </c>
      <c r="V811" s="76">
        <v>8</v>
      </c>
      <c r="W811" s="76">
        <v>0.7559289460184544</v>
      </c>
      <c r="X811" s="77">
        <v>1.3228756555322954</v>
      </c>
      <c r="Y811" s="77">
        <v>4</v>
      </c>
      <c r="Z811" s="76">
        <v>7.7142857142857144</v>
      </c>
      <c r="AA811" s="76">
        <v>1.0301575072754254</v>
      </c>
      <c r="AB811" s="77">
        <v>1.2480754415067654</v>
      </c>
      <c r="AC811" s="77">
        <v>4</v>
      </c>
      <c r="AD811" s="76">
        <v>7.8571428571428568</v>
      </c>
      <c r="AE811" s="76">
        <v>1.3552618543578767</v>
      </c>
      <c r="AF811" s="77">
        <v>0.84327404271156814</v>
      </c>
      <c r="AG811" s="77">
        <v>3</v>
      </c>
      <c r="AH811" s="76">
        <v>7.4285714285714288</v>
      </c>
      <c r="AI811" s="76">
        <v>0.72843135908468359</v>
      </c>
      <c r="AJ811" s="77">
        <v>-0.58834840541455236</v>
      </c>
      <c r="AK811" s="77">
        <v>2</v>
      </c>
      <c r="AL811" s="76"/>
      <c r="AM811" s="76"/>
      <c r="AN811" s="77"/>
      <c r="AO811" s="77"/>
      <c r="AP811" s="76"/>
      <c r="AQ811" s="76"/>
      <c r="AR811" s="77"/>
      <c r="AS811" s="77"/>
      <c r="AT811" s="78">
        <v>0.8125</v>
      </c>
    </row>
    <row r="812" spans="1:46" ht="12.5" x14ac:dyDescent="0.25">
      <c r="A812" s="79">
        <v>44849.625553773149</v>
      </c>
      <c r="B812" s="80" t="s">
        <v>21</v>
      </c>
      <c r="C812" s="80" t="str">
        <f>INDEX(TBL_Name,MATCH(Table2[[#This Row],[Athlete Name]],listNames,0),2)</f>
        <v>Athlete 13</v>
      </c>
      <c r="D812" s="80" t="s">
        <v>130</v>
      </c>
      <c r="E812" s="80">
        <v>7</v>
      </c>
      <c r="F812" s="80">
        <v>9</v>
      </c>
      <c r="G812" s="80">
        <v>8</v>
      </c>
      <c r="H812" s="80" t="s">
        <v>1171</v>
      </c>
      <c r="I812" s="80">
        <v>8</v>
      </c>
      <c r="J812" s="80"/>
      <c r="K812" s="80"/>
      <c r="L812" s="80"/>
      <c r="M812" s="1" t="s">
        <v>1172</v>
      </c>
      <c r="N812" s="1">
        <v>42</v>
      </c>
      <c r="O812" s="1">
        <v>10</v>
      </c>
      <c r="P812" s="13">
        <v>44849</v>
      </c>
      <c r="Q812" s="1" t="s">
        <v>133</v>
      </c>
      <c r="R812" s="1" t="s">
        <v>64</v>
      </c>
      <c r="S812" s="1">
        <v>1</v>
      </c>
      <c r="T812" s="1" t="s">
        <v>18</v>
      </c>
      <c r="U812" s="1" t="s">
        <v>18</v>
      </c>
      <c r="V812" s="76">
        <v>8.1428571428571423</v>
      </c>
      <c r="W812" s="76">
        <v>0.63887656499994028</v>
      </c>
      <c r="X812" s="77">
        <v>-1.7888543819998299</v>
      </c>
      <c r="Y812" s="77">
        <v>1</v>
      </c>
      <c r="Z812" s="76">
        <v>8</v>
      </c>
      <c r="AA812" s="76">
        <v>1.3093073414159544</v>
      </c>
      <c r="AB812" s="77">
        <v>0.76376261582597327</v>
      </c>
      <c r="AC812" s="77">
        <v>3</v>
      </c>
      <c r="AD812" s="76">
        <v>7.7142857142857144</v>
      </c>
      <c r="AE812" s="76">
        <v>1.1605769149479943</v>
      </c>
      <c r="AF812" s="77">
        <v>0.24618298195866536</v>
      </c>
      <c r="AG812" s="77">
        <v>3</v>
      </c>
      <c r="AH812" s="76">
        <v>6.7142857142857144</v>
      </c>
      <c r="AI812" s="76">
        <v>0.6998542122237652</v>
      </c>
      <c r="AJ812" s="77">
        <v>1.8371173070873834</v>
      </c>
      <c r="AK812" s="77">
        <v>4</v>
      </c>
      <c r="AL812" s="76"/>
      <c r="AM812" s="76"/>
      <c r="AN812" s="77"/>
      <c r="AO812" s="77"/>
      <c r="AP812" s="76"/>
      <c r="AQ812" s="76"/>
      <c r="AR812" s="77"/>
      <c r="AS812" s="77"/>
      <c r="AT812" s="78">
        <v>0.6875</v>
      </c>
    </row>
    <row r="813" spans="1:46" ht="12.5" x14ac:dyDescent="0.25">
      <c r="A813" s="79">
        <v>44850.292943182867</v>
      </c>
      <c r="B813" s="80" t="s">
        <v>6</v>
      </c>
      <c r="C813" s="80" t="str">
        <f>INDEX(TBL_Name,MATCH(Table2[[#This Row],[Athlete Name]],listNames,0),2)</f>
        <v>Athlete 2</v>
      </c>
      <c r="D813" s="80" t="s">
        <v>130</v>
      </c>
      <c r="E813" s="80">
        <v>8</v>
      </c>
      <c r="F813" s="80">
        <v>9</v>
      </c>
      <c r="G813" s="80">
        <v>6</v>
      </c>
      <c r="H813" s="80" t="s">
        <v>73</v>
      </c>
      <c r="I813" s="80">
        <v>8</v>
      </c>
      <c r="J813" s="80"/>
      <c r="K813" s="80"/>
      <c r="L813" s="80"/>
      <c r="M813" s="1" t="s">
        <v>1173</v>
      </c>
      <c r="N813" s="1">
        <v>43</v>
      </c>
      <c r="O813" s="1">
        <v>11</v>
      </c>
      <c r="P813" s="13">
        <v>44850</v>
      </c>
      <c r="Q813" s="1" t="s">
        <v>133</v>
      </c>
      <c r="R813" s="1" t="s">
        <v>64</v>
      </c>
      <c r="S813" s="1">
        <v>1</v>
      </c>
      <c r="T813" s="1" t="s">
        <v>5</v>
      </c>
      <c r="U813" s="1" t="s">
        <v>5</v>
      </c>
      <c r="V813" s="76">
        <v>8</v>
      </c>
      <c r="W813" s="76">
        <v>0.75592894601845451</v>
      </c>
      <c r="X813" s="77">
        <v>0</v>
      </c>
      <c r="Y813" s="77">
        <v>3</v>
      </c>
      <c r="Z813" s="76">
        <v>7.8571428571428568</v>
      </c>
      <c r="AA813" s="76">
        <v>1.1248582677159729</v>
      </c>
      <c r="AB813" s="77">
        <v>1.0160010160015245</v>
      </c>
      <c r="AC813" s="77">
        <v>4</v>
      </c>
      <c r="AD813" s="76">
        <v>7.5714285714285712</v>
      </c>
      <c r="AE813" s="76">
        <v>1.498298354528788</v>
      </c>
      <c r="AF813" s="77">
        <v>-1.0488088481701514</v>
      </c>
      <c r="AG813" s="77">
        <v>1</v>
      </c>
      <c r="AH813" s="76">
        <v>7.4285714285714288</v>
      </c>
      <c r="AI813" s="76">
        <v>0.72843135908468359</v>
      </c>
      <c r="AJ813" s="77">
        <v>0.78446454055273573</v>
      </c>
      <c r="AK813" s="77">
        <v>3</v>
      </c>
      <c r="AL813" s="76"/>
      <c r="AM813" s="76"/>
      <c r="AN813" s="77"/>
      <c r="AO813" s="77"/>
      <c r="AP813" s="76"/>
      <c r="AQ813" s="76"/>
      <c r="AR813" s="77"/>
      <c r="AS813" s="77"/>
      <c r="AT813" s="78">
        <v>0.6875</v>
      </c>
    </row>
    <row r="814" spans="1:46" ht="12.5" x14ac:dyDescent="0.25">
      <c r="A814" s="79">
        <v>44850.309562048613</v>
      </c>
      <c r="B814" s="80" t="s">
        <v>17</v>
      </c>
      <c r="C814" s="80" t="str">
        <f>INDEX(TBL_Name,MATCH(Table2[[#This Row],[Athlete Name]],listNames,0),2)</f>
        <v>Athlete 10</v>
      </c>
      <c r="D814" s="80" t="s">
        <v>130</v>
      </c>
      <c r="E814" s="80">
        <v>6</v>
      </c>
      <c r="F814" s="80">
        <v>8</v>
      </c>
      <c r="G814" s="80">
        <v>7</v>
      </c>
      <c r="H814" s="80" t="s">
        <v>193</v>
      </c>
      <c r="I814" s="80">
        <v>5</v>
      </c>
      <c r="J814" s="80"/>
      <c r="K814" s="80"/>
      <c r="L814" s="80"/>
      <c r="M814" s="1" t="s">
        <v>1174</v>
      </c>
      <c r="N814" s="1">
        <v>43</v>
      </c>
      <c r="O814" s="1">
        <v>11</v>
      </c>
      <c r="P814" s="13">
        <v>44850</v>
      </c>
      <c r="Q814" s="1" t="s">
        <v>133</v>
      </c>
      <c r="R814" s="1" t="s">
        <v>64</v>
      </c>
      <c r="S814" s="1">
        <v>1</v>
      </c>
      <c r="T814" s="1" t="s">
        <v>18</v>
      </c>
      <c r="U814" s="1" t="s">
        <v>18</v>
      </c>
      <c r="V814" s="76">
        <v>7.7142857142857144</v>
      </c>
      <c r="W814" s="76">
        <v>0.88063057185271099</v>
      </c>
      <c r="X814" s="77">
        <v>-1.9466570535691505</v>
      </c>
      <c r="Y814" s="77">
        <v>1</v>
      </c>
      <c r="Z814" s="76">
        <v>7.4285714285714288</v>
      </c>
      <c r="AA814" s="76">
        <v>0.72843135908468348</v>
      </c>
      <c r="AB814" s="77">
        <v>0.78446454055273585</v>
      </c>
      <c r="AC814" s="77">
        <v>3</v>
      </c>
      <c r="AD814" s="76">
        <v>8.2857142857142865</v>
      </c>
      <c r="AE814" s="76">
        <v>1.4846149779161806</v>
      </c>
      <c r="AF814" s="77">
        <v>-0.86602540378443915</v>
      </c>
      <c r="AG814" s="77">
        <v>2</v>
      </c>
      <c r="AH814" s="76">
        <v>7.5714285714285712</v>
      </c>
      <c r="AI814" s="76">
        <v>1.1780301787479031</v>
      </c>
      <c r="AJ814" s="77">
        <v>-2.1828206253269964</v>
      </c>
      <c r="AK814" s="77">
        <v>1</v>
      </c>
      <c r="AL814" s="76"/>
      <c r="AM814" s="76"/>
      <c r="AN814" s="77"/>
      <c r="AO814" s="77"/>
      <c r="AP814" s="76"/>
      <c r="AQ814" s="76"/>
      <c r="AR814" s="77"/>
      <c r="AS814" s="77"/>
      <c r="AT814" s="78">
        <v>0.4375</v>
      </c>
    </row>
    <row r="815" spans="1:46" ht="12.5" x14ac:dyDescent="0.25">
      <c r="A815" s="79">
        <v>44850.318554293983</v>
      </c>
      <c r="B815" s="80" t="s">
        <v>10</v>
      </c>
      <c r="C815" s="80" t="str">
        <f>INDEX(TBL_Name,MATCH(Table2[[#This Row],[Athlete Name]],listNames,0),2)</f>
        <v>Athlete 5</v>
      </c>
      <c r="D815" s="80" t="s">
        <v>130</v>
      </c>
      <c r="E815" s="80">
        <v>9</v>
      </c>
      <c r="F815" s="80">
        <v>7</v>
      </c>
      <c r="G815" s="80">
        <v>7</v>
      </c>
      <c r="H815" s="80" t="s">
        <v>69</v>
      </c>
      <c r="I815" s="80">
        <v>9</v>
      </c>
      <c r="J815" s="80"/>
      <c r="K815" s="80"/>
      <c r="L815" s="80"/>
      <c r="M815" s="1" t="s">
        <v>1175</v>
      </c>
      <c r="N815" s="1">
        <v>43</v>
      </c>
      <c r="O815" s="1">
        <v>11</v>
      </c>
      <c r="P815" s="13">
        <v>44850</v>
      </c>
      <c r="Q815" s="1" t="s">
        <v>133</v>
      </c>
      <c r="R815" s="1" t="s">
        <v>64</v>
      </c>
      <c r="S815" s="1">
        <v>1</v>
      </c>
      <c r="T815" s="1" t="s">
        <v>11</v>
      </c>
      <c r="U815" s="1" t="s">
        <v>11</v>
      </c>
      <c r="V815" s="76">
        <v>8.8000000000000007</v>
      </c>
      <c r="W815" s="76">
        <v>0.40000000000000008</v>
      </c>
      <c r="X815" s="77">
        <v>0.49999999999999811</v>
      </c>
      <c r="Y815" s="77">
        <v>3</v>
      </c>
      <c r="Z815" s="76">
        <v>7.8</v>
      </c>
      <c r="AA815" s="76">
        <v>0.74833147735478822</v>
      </c>
      <c r="AB815" s="77">
        <v>-1.0690449676496974</v>
      </c>
      <c r="AC815" s="77">
        <v>1</v>
      </c>
      <c r="AD815" s="76">
        <v>7.8</v>
      </c>
      <c r="AE815" s="76">
        <v>0.74833147735478822</v>
      </c>
      <c r="AF815" s="77">
        <v>-1.0690449676496974</v>
      </c>
      <c r="AG815" s="77">
        <v>1</v>
      </c>
      <c r="AH815" s="76">
        <v>8.8000000000000007</v>
      </c>
      <c r="AI815" s="76">
        <v>0.40000000000000008</v>
      </c>
      <c r="AJ815" s="77">
        <v>0.49999999999999811</v>
      </c>
      <c r="AK815" s="77">
        <v>3</v>
      </c>
      <c r="AL815" s="76"/>
      <c r="AM815" s="76"/>
      <c r="AN815" s="77"/>
      <c r="AO815" s="77"/>
      <c r="AP815" s="76"/>
      <c r="AQ815" s="76"/>
      <c r="AR815" s="77"/>
      <c r="AS815" s="77"/>
      <c r="AT815" s="78">
        <v>0.5</v>
      </c>
    </row>
    <row r="816" spans="1:46" ht="12.5" x14ac:dyDescent="0.25">
      <c r="A816" s="79">
        <v>44850.322044444445</v>
      </c>
      <c r="B816" s="80" t="s">
        <v>168</v>
      </c>
      <c r="C816" s="80" t="str">
        <f>INDEX(TBL_Name,MATCH(Table2[[#This Row],[Athlete Name]],listNames,0),2)</f>
        <v>Athlete 26</v>
      </c>
      <c r="D816" s="80" t="s">
        <v>130</v>
      </c>
      <c r="E816" s="80">
        <v>7</v>
      </c>
      <c r="F816" s="80">
        <v>5</v>
      </c>
      <c r="G816" s="80">
        <v>6</v>
      </c>
      <c r="H816" s="80"/>
      <c r="I816" s="80">
        <v>8</v>
      </c>
      <c r="J816" s="80"/>
      <c r="K816" s="80"/>
      <c r="L816" s="80"/>
      <c r="M816" s="1" t="s">
        <v>1176</v>
      </c>
      <c r="N816" s="1">
        <v>43</v>
      </c>
      <c r="O816" s="1">
        <v>11</v>
      </c>
      <c r="P816" s="13">
        <v>44850</v>
      </c>
      <c r="Q816" s="1" t="s">
        <v>133</v>
      </c>
      <c r="R816" s="1" t="s">
        <v>64</v>
      </c>
      <c r="S816" s="1">
        <v>1</v>
      </c>
      <c r="T816" s="1" t="s">
        <v>942</v>
      </c>
      <c r="U816" s="1" t="s">
        <v>942</v>
      </c>
      <c r="V816" s="76">
        <v>6.75</v>
      </c>
      <c r="W816" s="76">
        <v>1.0897247358851683</v>
      </c>
      <c r="X816" s="77">
        <v>0.2294157338705618</v>
      </c>
      <c r="Y816" s="77">
        <v>3</v>
      </c>
      <c r="Z816" s="76">
        <v>6.75</v>
      </c>
      <c r="AA816" s="76">
        <v>1.0897247358851685</v>
      </c>
      <c r="AB816" s="77">
        <v>-1.6059101370939322</v>
      </c>
      <c r="AC816" s="77">
        <v>1</v>
      </c>
      <c r="AD816" s="76">
        <v>7</v>
      </c>
      <c r="AE816" s="76">
        <v>0.70710678118654746</v>
      </c>
      <c r="AF816" s="77">
        <v>-1.4142135623730951</v>
      </c>
      <c r="AG816" s="77">
        <v>1</v>
      </c>
      <c r="AH816" s="76">
        <v>6.75</v>
      </c>
      <c r="AI816" s="76">
        <v>0.82915619758885006</v>
      </c>
      <c r="AJ816" s="77">
        <v>1.507556722888818</v>
      </c>
      <c r="AK816" s="77">
        <v>4</v>
      </c>
      <c r="AL816" s="76"/>
      <c r="AM816" s="76"/>
      <c r="AN816" s="77"/>
      <c r="AO816" s="77"/>
      <c r="AP816" s="76"/>
      <c r="AQ816" s="76"/>
      <c r="AR816" s="77"/>
      <c r="AS816" s="77"/>
      <c r="AT816" s="78">
        <v>0.5625</v>
      </c>
    </row>
    <row r="817" spans="1:46" ht="12.5" x14ac:dyDescent="0.25">
      <c r="A817" s="79">
        <v>44850.353792199079</v>
      </c>
      <c r="B817" s="80" t="s">
        <v>196</v>
      </c>
      <c r="C817" s="80" t="str">
        <f>INDEX(TBL_Name,MATCH(Table2[[#This Row],[Athlete Name]],listNames,0),2)</f>
        <v>Athlete 31</v>
      </c>
      <c r="D817" s="80" t="s">
        <v>143</v>
      </c>
      <c r="E817" s="80">
        <v>7</v>
      </c>
      <c r="F817" s="80">
        <v>10</v>
      </c>
      <c r="G817" s="80">
        <v>7</v>
      </c>
      <c r="H817" s="80" t="s">
        <v>73</v>
      </c>
      <c r="I817" s="80">
        <v>7</v>
      </c>
      <c r="J817" s="80"/>
      <c r="K817" s="80"/>
      <c r="L817" s="80"/>
      <c r="M817" s="1" t="s">
        <v>1177</v>
      </c>
      <c r="N817" s="1">
        <v>43</v>
      </c>
      <c r="O817" s="1">
        <v>11</v>
      </c>
      <c r="P817" s="13">
        <v>44850</v>
      </c>
      <c r="Q817" s="1" t="s">
        <v>133</v>
      </c>
      <c r="R817" s="1" t="s">
        <v>64</v>
      </c>
      <c r="S817" s="1">
        <v>2</v>
      </c>
      <c r="T817" s="1" t="s">
        <v>942</v>
      </c>
      <c r="U817" s="1" t="s">
        <v>942</v>
      </c>
      <c r="V817" s="76">
        <v>6.2</v>
      </c>
      <c r="W817" s="76">
        <v>0.39999999999999997</v>
      </c>
      <c r="X817" s="77">
        <v>1.9999999999999998</v>
      </c>
      <c r="Y817" s="77">
        <v>4</v>
      </c>
      <c r="Z817" s="76">
        <v>8.6</v>
      </c>
      <c r="AA817" s="76">
        <v>1.019803902718557</v>
      </c>
      <c r="AB817" s="77">
        <v>1.3728129459672884</v>
      </c>
      <c r="AC817" s="77">
        <v>4</v>
      </c>
      <c r="AD817" s="76">
        <v>8.6</v>
      </c>
      <c r="AE817" s="76">
        <v>0.79999999999999993</v>
      </c>
      <c r="AF817" s="77">
        <v>-1.9999999999999998</v>
      </c>
      <c r="AG817" s="77">
        <v>1</v>
      </c>
      <c r="AH817" s="76">
        <v>9</v>
      </c>
      <c r="AI817" s="76">
        <v>1.2649110640673518</v>
      </c>
      <c r="AJ817" s="77">
        <v>-1.5811388300841895</v>
      </c>
      <c r="AK817" s="77">
        <v>1</v>
      </c>
      <c r="AL817" s="76"/>
      <c r="AM817" s="76"/>
      <c r="AN817" s="77"/>
      <c r="AO817" s="77"/>
      <c r="AP817" s="76"/>
      <c r="AQ817" s="76"/>
      <c r="AR817" s="77"/>
      <c r="AS817" s="77"/>
      <c r="AT817" s="78">
        <v>0.625</v>
      </c>
    </row>
    <row r="818" spans="1:46" ht="12.5" x14ac:dyDescent="0.25">
      <c r="A818" s="79">
        <v>44850.417243668984</v>
      </c>
      <c r="B818" s="80" t="s">
        <v>21</v>
      </c>
      <c r="C818" s="80" t="str">
        <f>INDEX(TBL_Name,MATCH(Table2[[#This Row],[Athlete Name]],listNames,0),2)</f>
        <v>Athlete 13</v>
      </c>
      <c r="D818" s="80" t="s">
        <v>130</v>
      </c>
      <c r="E818" s="80">
        <v>9</v>
      </c>
      <c r="F818" s="80">
        <v>9</v>
      </c>
      <c r="G818" s="80">
        <v>8</v>
      </c>
      <c r="H818" s="80" t="s">
        <v>1178</v>
      </c>
      <c r="I818" s="80">
        <v>7</v>
      </c>
      <c r="J818" s="80"/>
      <c r="K818" s="80"/>
      <c r="L818" s="80"/>
      <c r="M818" s="1" t="s">
        <v>1179</v>
      </c>
      <c r="N818" s="1">
        <v>43</v>
      </c>
      <c r="O818" s="1">
        <v>11</v>
      </c>
      <c r="P818" s="13">
        <v>44850</v>
      </c>
      <c r="Q818" s="1" t="s">
        <v>133</v>
      </c>
      <c r="R818" s="1" t="s">
        <v>64</v>
      </c>
      <c r="S818" s="1">
        <v>1</v>
      </c>
      <c r="T818" s="1" t="s">
        <v>18</v>
      </c>
      <c r="U818" s="1" t="s">
        <v>18</v>
      </c>
      <c r="V818" s="76">
        <v>8.2857142857142865</v>
      </c>
      <c r="W818" s="76">
        <v>0.6998542122237652</v>
      </c>
      <c r="X818" s="77">
        <v>1.0206207261596565</v>
      </c>
      <c r="Y818" s="77">
        <v>4</v>
      </c>
      <c r="Z818" s="76">
        <v>8</v>
      </c>
      <c r="AA818" s="76">
        <v>1.3093073414159544</v>
      </c>
      <c r="AB818" s="77">
        <v>0.76376261582597327</v>
      </c>
      <c r="AC818" s="77">
        <v>3</v>
      </c>
      <c r="AD818" s="76">
        <v>7.7142857142857144</v>
      </c>
      <c r="AE818" s="76">
        <v>1.1605769149479943</v>
      </c>
      <c r="AF818" s="77">
        <v>0.24618298195866536</v>
      </c>
      <c r="AG818" s="77">
        <v>3</v>
      </c>
      <c r="AH818" s="76">
        <v>6.8571428571428568</v>
      </c>
      <c r="AI818" s="76">
        <v>0.63887656499993994</v>
      </c>
      <c r="AJ818" s="77">
        <v>0.22360679774997955</v>
      </c>
      <c r="AK818" s="77">
        <v>3</v>
      </c>
      <c r="AL818" s="76"/>
      <c r="AM818" s="76"/>
      <c r="AN818" s="77"/>
      <c r="AO818" s="77"/>
      <c r="AP818" s="76"/>
      <c r="AQ818" s="76"/>
      <c r="AR818" s="77"/>
      <c r="AS818" s="77"/>
      <c r="AT818" s="78">
        <v>0.8125</v>
      </c>
    </row>
    <row r="819" spans="1:46" ht="12.5" x14ac:dyDescent="0.25">
      <c r="A819" s="79">
        <v>44851.323706724535</v>
      </c>
      <c r="B819" s="80" t="s">
        <v>21</v>
      </c>
      <c r="C819" s="80" t="str">
        <f>INDEX(TBL_Name,MATCH(Table2[[#This Row],[Athlete Name]],listNames,0),2)</f>
        <v>Athlete 13</v>
      </c>
      <c r="D819" s="80" t="s">
        <v>130</v>
      </c>
      <c r="E819" s="80">
        <v>8</v>
      </c>
      <c r="F819" s="80">
        <v>8</v>
      </c>
      <c r="G819" s="80">
        <v>8</v>
      </c>
      <c r="H819" s="80" t="s">
        <v>1180</v>
      </c>
      <c r="I819" s="80">
        <v>8</v>
      </c>
      <c r="J819" s="80"/>
      <c r="K819" s="80"/>
      <c r="L819" s="80"/>
      <c r="M819" s="1" t="s">
        <v>1181</v>
      </c>
      <c r="N819" s="1">
        <v>43</v>
      </c>
      <c r="O819" s="1">
        <v>11</v>
      </c>
      <c r="P819" s="13">
        <v>44851</v>
      </c>
      <c r="Q819" s="1" t="s">
        <v>133</v>
      </c>
      <c r="R819" s="1" t="s">
        <v>64</v>
      </c>
      <c r="S819" s="1">
        <v>1</v>
      </c>
      <c r="T819" s="1" t="s">
        <v>18</v>
      </c>
      <c r="U819" s="1" t="s">
        <v>18</v>
      </c>
      <c r="V819" s="76">
        <v>8.1428571428571423</v>
      </c>
      <c r="W819" s="76">
        <v>0.63887656499994006</v>
      </c>
      <c r="X819" s="77">
        <v>-0.22360679774997813</v>
      </c>
      <c r="Y819" s="77">
        <v>2</v>
      </c>
      <c r="Z819" s="76">
        <v>8.4285714285714288</v>
      </c>
      <c r="AA819" s="76">
        <v>0.49487165930539345</v>
      </c>
      <c r="AB819" s="77">
        <v>-0.86602540378443926</v>
      </c>
      <c r="AC819" s="77">
        <v>2</v>
      </c>
      <c r="AD819" s="76">
        <v>8.1428571428571423</v>
      </c>
      <c r="AE819" s="76">
        <v>0.34992710611188244</v>
      </c>
      <c r="AF819" s="77">
        <v>-0.40824829046386174</v>
      </c>
      <c r="AG819" s="77">
        <v>2</v>
      </c>
      <c r="AH819" s="76">
        <v>7</v>
      </c>
      <c r="AI819" s="76">
        <v>0.7559289460184544</v>
      </c>
      <c r="AJ819" s="77">
        <v>1.3228756555322954</v>
      </c>
      <c r="AK819" s="77">
        <v>4</v>
      </c>
      <c r="AL819" s="76"/>
      <c r="AM819" s="76"/>
      <c r="AN819" s="77"/>
      <c r="AO819" s="77"/>
      <c r="AP819" s="76"/>
      <c r="AQ819" s="76"/>
      <c r="AR819" s="77"/>
      <c r="AS819" s="77"/>
      <c r="AT819" s="78">
        <v>0.625</v>
      </c>
    </row>
    <row r="820" spans="1:46" ht="12.5" x14ac:dyDescent="0.25">
      <c r="A820" s="79">
        <v>44851.373142268523</v>
      </c>
      <c r="B820" s="80" t="s">
        <v>6</v>
      </c>
      <c r="C820" s="80" t="str">
        <f>INDEX(TBL_Name,MATCH(Table2[[#This Row],[Athlete Name]],listNames,0),2)</f>
        <v>Athlete 2</v>
      </c>
      <c r="D820" s="80" t="s">
        <v>130</v>
      </c>
      <c r="E820" s="80">
        <v>8</v>
      </c>
      <c r="F820" s="80">
        <v>8</v>
      </c>
      <c r="G820" s="80">
        <v>7</v>
      </c>
      <c r="H820" s="80" t="s">
        <v>73</v>
      </c>
      <c r="I820" s="80">
        <v>8</v>
      </c>
      <c r="J820" s="80"/>
      <c r="K820" s="80"/>
      <c r="L820" s="80"/>
      <c r="M820" s="1" t="s">
        <v>1182</v>
      </c>
      <c r="N820" s="1">
        <v>43</v>
      </c>
      <c r="O820" s="1">
        <v>11</v>
      </c>
      <c r="P820" s="13">
        <v>44851</v>
      </c>
      <c r="Q820" s="1" t="s">
        <v>133</v>
      </c>
      <c r="R820" s="1" t="s">
        <v>64</v>
      </c>
      <c r="S820" s="1">
        <v>1</v>
      </c>
      <c r="T820" s="1" t="s">
        <v>5</v>
      </c>
      <c r="U820" s="1" t="s">
        <v>5</v>
      </c>
      <c r="V820" s="76">
        <v>8.1428571428571423</v>
      </c>
      <c r="W820" s="76">
        <v>0.63887656499993994</v>
      </c>
      <c r="X820" s="77">
        <v>-0.22360679774997816</v>
      </c>
      <c r="Y820" s="77">
        <v>2</v>
      </c>
      <c r="Z820" s="76">
        <v>7.8571428571428568</v>
      </c>
      <c r="AA820" s="76">
        <v>1.1248582677159731</v>
      </c>
      <c r="AB820" s="77">
        <v>0.12700012700019084</v>
      </c>
      <c r="AC820" s="77">
        <v>3</v>
      </c>
      <c r="AD820" s="76">
        <v>7.5714285714285712</v>
      </c>
      <c r="AE820" s="76">
        <v>1.498298354528788</v>
      </c>
      <c r="AF820" s="77">
        <v>-0.38138503569823673</v>
      </c>
      <c r="AG820" s="77">
        <v>2</v>
      </c>
      <c r="AH820" s="76">
        <v>7.4285714285714288</v>
      </c>
      <c r="AI820" s="76">
        <v>0.72843135908468348</v>
      </c>
      <c r="AJ820" s="77">
        <v>0.78446454055273585</v>
      </c>
      <c r="AK820" s="77">
        <v>3</v>
      </c>
      <c r="AL820" s="76"/>
      <c r="AM820" s="76"/>
      <c r="AN820" s="77"/>
      <c r="AO820" s="77"/>
      <c r="AP820" s="76"/>
      <c r="AQ820" s="76"/>
      <c r="AR820" s="77"/>
      <c r="AS820" s="77"/>
      <c r="AT820" s="78">
        <v>0.625</v>
      </c>
    </row>
    <row r="821" spans="1:46" ht="12.5" x14ac:dyDescent="0.25">
      <c r="A821" s="79">
        <v>44851.507502743058</v>
      </c>
      <c r="B821" s="80" t="s">
        <v>10</v>
      </c>
      <c r="C821" s="80" t="str">
        <f>INDEX(TBL_Name,MATCH(Table2[[#This Row],[Athlete Name]],listNames,0),2)</f>
        <v>Athlete 5</v>
      </c>
      <c r="D821" s="80" t="s">
        <v>130</v>
      </c>
      <c r="E821" s="80">
        <v>8</v>
      </c>
      <c r="F821" s="80">
        <v>9</v>
      </c>
      <c r="G821" s="80">
        <v>9</v>
      </c>
      <c r="H821" s="80" t="s">
        <v>69</v>
      </c>
      <c r="I821" s="80">
        <v>9</v>
      </c>
      <c r="J821" s="80"/>
      <c r="K821" s="80"/>
      <c r="L821" s="80"/>
      <c r="M821" s="1" t="s">
        <v>1183</v>
      </c>
      <c r="N821" s="1">
        <v>43</v>
      </c>
      <c r="O821" s="1">
        <v>11</v>
      </c>
      <c r="P821" s="13">
        <v>44851</v>
      </c>
      <c r="Q821" s="1" t="s">
        <v>133</v>
      </c>
      <c r="R821" s="1" t="s">
        <v>64</v>
      </c>
      <c r="S821" s="1">
        <v>1</v>
      </c>
      <c r="T821" s="1" t="s">
        <v>11</v>
      </c>
      <c r="U821" s="1" t="s">
        <v>11</v>
      </c>
      <c r="V821" s="76">
        <v>8.6</v>
      </c>
      <c r="W821" s="76">
        <v>0.48989794855663565</v>
      </c>
      <c r="X821" s="77">
        <v>-1.2247448713915883</v>
      </c>
      <c r="Y821" s="77">
        <v>1</v>
      </c>
      <c r="Z821" s="76">
        <v>7.8</v>
      </c>
      <c r="AA821" s="76">
        <v>0.74833147735478833</v>
      </c>
      <c r="AB821" s="77">
        <v>1.6035674514745464</v>
      </c>
      <c r="AC821" s="77">
        <v>4</v>
      </c>
      <c r="AD821" s="76">
        <v>7.8</v>
      </c>
      <c r="AE821" s="76">
        <v>0.74833147735478833</v>
      </c>
      <c r="AF821" s="77">
        <v>1.6035674514745464</v>
      </c>
      <c r="AG821" s="77">
        <v>4</v>
      </c>
      <c r="AH821" s="76">
        <v>8.8000000000000007</v>
      </c>
      <c r="AI821" s="76">
        <v>0.40000000000000008</v>
      </c>
      <c r="AJ821" s="77">
        <v>0.49999999999999811</v>
      </c>
      <c r="AK821" s="77">
        <v>3</v>
      </c>
      <c r="AL821" s="76"/>
      <c r="AM821" s="76"/>
      <c r="AN821" s="77"/>
      <c r="AO821" s="77"/>
      <c r="AP821" s="76"/>
      <c r="AQ821" s="76"/>
      <c r="AR821" s="77"/>
      <c r="AS821" s="77"/>
      <c r="AT821" s="78">
        <v>0.75</v>
      </c>
    </row>
    <row r="822" spans="1:46" ht="12.5" x14ac:dyDescent="0.25">
      <c r="A822" s="79">
        <v>44851.589450428241</v>
      </c>
      <c r="B822" s="80" t="s">
        <v>17</v>
      </c>
      <c r="C822" s="80" t="str">
        <f>INDEX(TBL_Name,MATCH(Table2[[#This Row],[Athlete Name]],listNames,0),2)</f>
        <v>Athlete 10</v>
      </c>
      <c r="D822" s="80" t="s">
        <v>130</v>
      </c>
      <c r="E822" s="80">
        <v>6</v>
      </c>
      <c r="F822" s="80">
        <v>7</v>
      </c>
      <c r="G822" s="80">
        <v>6</v>
      </c>
      <c r="H822" s="80" t="s">
        <v>228</v>
      </c>
      <c r="I822" s="80">
        <v>7</v>
      </c>
      <c r="J822" s="80"/>
      <c r="K822" s="80"/>
      <c r="L822" s="80"/>
      <c r="M822" s="1" t="s">
        <v>1184</v>
      </c>
      <c r="N822" s="1">
        <v>43</v>
      </c>
      <c r="O822" s="1">
        <v>11</v>
      </c>
      <c r="P822" s="13">
        <v>44851</v>
      </c>
      <c r="Q822" s="1" t="s">
        <v>133</v>
      </c>
      <c r="R822" s="1" t="s">
        <v>64</v>
      </c>
      <c r="S822" s="1">
        <v>1</v>
      </c>
      <c r="T822" s="1" t="s">
        <v>18</v>
      </c>
      <c r="U822" s="1" t="s">
        <v>18</v>
      </c>
      <c r="V822" s="76">
        <v>7.4285714285714288</v>
      </c>
      <c r="W822" s="76">
        <v>1.0497813183356479</v>
      </c>
      <c r="X822" s="77">
        <v>-1.3608276348795434</v>
      </c>
      <c r="Y822" s="77">
        <v>1</v>
      </c>
      <c r="Z822" s="76">
        <v>7.4285714285714288</v>
      </c>
      <c r="AA822" s="76">
        <v>0.72843135908468359</v>
      </c>
      <c r="AB822" s="77">
        <v>-0.58834840541455236</v>
      </c>
      <c r="AC822" s="77">
        <v>2</v>
      </c>
      <c r="AD822" s="76">
        <v>8.1428571428571423</v>
      </c>
      <c r="AE822" s="76">
        <v>1.6413036132965795</v>
      </c>
      <c r="AF822" s="77">
        <v>-1.3055824196677337</v>
      </c>
      <c r="AG822" s="77">
        <v>1</v>
      </c>
      <c r="AH822" s="76">
        <v>7.4285714285714288</v>
      </c>
      <c r="AI822" s="76">
        <v>1.1780301787479031</v>
      </c>
      <c r="AJ822" s="77">
        <v>-0.36380343755449968</v>
      </c>
      <c r="AK822" s="77">
        <v>2</v>
      </c>
      <c r="AL822" s="76"/>
      <c r="AM822" s="76"/>
      <c r="AN822" s="77"/>
      <c r="AO822" s="77"/>
      <c r="AP822" s="76"/>
      <c r="AQ822" s="76"/>
      <c r="AR822" s="77"/>
      <c r="AS822" s="77"/>
      <c r="AT822" s="78">
        <v>0.375</v>
      </c>
    </row>
    <row r="823" spans="1:46" ht="12.5" x14ac:dyDescent="0.25">
      <c r="A823" s="79">
        <v>44852.411597442129</v>
      </c>
      <c r="B823" s="80" t="s">
        <v>10</v>
      </c>
      <c r="C823" s="80" t="str">
        <f>INDEX(TBL_Name,MATCH(Table2[[#This Row],[Athlete Name]],listNames,0),2)</f>
        <v>Athlete 5</v>
      </c>
      <c r="D823" s="80" t="s">
        <v>130</v>
      </c>
      <c r="E823" s="80">
        <v>9</v>
      </c>
      <c r="F823" s="80">
        <v>8</v>
      </c>
      <c r="G823" s="80">
        <v>8</v>
      </c>
      <c r="H823" s="80" t="s">
        <v>69</v>
      </c>
      <c r="I823" s="80">
        <v>9</v>
      </c>
      <c r="J823" s="80"/>
      <c r="K823" s="80"/>
      <c r="L823" s="80"/>
      <c r="M823" s="1" t="s">
        <v>1185</v>
      </c>
      <c r="N823" s="1">
        <v>43</v>
      </c>
      <c r="O823" s="1">
        <v>11</v>
      </c>
      <c r="P823" s="13">
        <v>44852</v>
      </c>
      <c r="Q823" s="1" t="s">
        <v>133</v>
      </c>
      <c r="R823" s="1" t="s">
        <v>64</v>
      </c>
      <c r="S823" s="1">
        <v>1</v>
      </c>
      <c r="T823" s="1" t="s">
        <v>11</v>
      </c>
      <c r="U823" s="1" t="s">
        <v>11</v>
      </c>
      <c r="V823" s="76">
        <v>8.6666666666666661</v>
      </c>
      <c r="W823" s="76">
        <v>0.47140452079103179</v>
      </c>
      <c r="X823" s="77">
        <v>0.70710678118654857</v>
      </c>
      <c r="Y823" s="77">
        <v>3</v>
      </c>
      <c r="Z823" s="76">
        <v>7.833333333333333</v>
      </c>
      <c r="AA823" s="76">
        <v>0.68718427093627676</v>
      </c>
      <c r="AB823" s="77">
        <v>0.24253562503633341</v>
      </c>
      <c r="AC823" s="77">
        <v>3</v>
      </c>
      <c r="AD823" s="76">
        <v>7.833333333333333</v>
      </c>
      <c r="AE823" s="76">
        <v>0.68718427093627676</v>
      </c>
      <c r="AF823" s="77">
        <v>0.24253562503633341</v>
      </c>
      <c r="AG823" s="77">
        <v>3</v>
      </c>
      <c r="AH823" s="76">
        <v>8.8333333333333339</v>
      </c>
      <c r="AI823" s="76">
        <v>0.37267799624996495</v>
      </c>
      <c r="AJ823" s="77">
        <v>0.44721359549995637</v>
      </c>
      <c r="AK823" s="77">
        <v>3</v>
      </c>
      <c r="AL823" s="76"/>
      <c r="AM823" s="76"/>
      <c r="AN823" s="77"/>
      <c r="AO823" s="77"/>
      <c r="AP823" s="76"/>
      <c r="AQ823" s="76"/>
      <c r="AR823" s="77"/>
      <c r="AS823" s="77"/>
      <c r="AT823" s="78">
        <v>0.75</v>
      </c>
    </row>
    <row r="824" spans="1:46" ht="12.5" x14ac:dyDescent="0.25">
      <c r="A824" s="79">
        <v>44852.456640358796</v>
      </c>
      <c r="B824" s="80" t="s">
        <v>196</v>
      </c>
      <c r="C824" s="80" t="str">
        <f>INDEX(TBL_Name,MATCH(Table2[[#This Row],[Athlete Name]],listNames,0),2)</f>
        <v>Athlete 31</v>
      </c>
      <c r="D824" s="80" t="s">
        <v>130</v>
      </c>
      <c r="E824" s="80">
        <v>6</v>
      </c>
      <c r="F824" s="80">
        <v>9</v>
      </c>
      <c r="G824" s="80">
        <v>8</v>
      </c>
      <c r="H824" s="80" t="s">
        <v>432</v>
      </c>
      <c r="I824" s="80">
        <v>8</v>
      </c>
      <c r="J824" s="80"/>
      <c r="K824" s="80"/>
      <c r="L824" s="80"/>
      <c r="M824" s="1" t="s">
        <v>1186</v>
      </c>
      <c r="N824" s="1">
        <v>43</v>
      </c>
      <c r="O824" s="1">
        <v>11</v>
      </c>
      <c r="P824" s="13">
        <v>44852</v>
      </c>
      <c r="Q824" s="1" t="s">
        <v>133</v>
      </c>
      <c r="R824" s="1" t="s">
        <v>64</v>
      </c>
      <c r="S824" s="1">
        <v>1</v>
      </c>
      <c r="T824" s="1" t="s">
        <v>942</v>
      </c>
      <c r="U824" s="1" t="s">
        <v>942</v>
      </c>
      <c r="V824" s="76">
        <v>6.2</v>
      </c>
      <c r="W824" s="76">
        <v>0.4</v>
      </c>
      <c r="X824" s="77">
        <v>-0.50000000000000044</v>
      </c>
      <c r="Y824" s="77">
        <v>2</v>
      </c>
      <c r="Z824" s="76">
        <v>9</v>
      </c>
      <c r="AA824" s="76">
        <v>0.63245553203367599</v>
      </c>
      <c r="AB824" s="77">
        <v>0</v>
      </c>
      <c r="AC824" s="77">
        <v>3</v>
      </c>
      <c r="AD824" s="76">
        <v>8.4</v>
      </c>
      <c r="AE824" s="76">
        <v>0.8</v>
      </c>
      <c r="AF824" s="77">
        <v>-0.50000000000000044</v>
      </c>
      <c r="AG824" s="77">
        <v>2</v>
      </c>
      <c r="AH824" s="76">
        <v>9</v>
      </c>
      <c r="AI824" s="76">
        <v>1.2649110640673518</v>
      </c>
      <c r="AJ824" s="77">
        <v>-0.79056941504209477</v>
      </c>
      <c r="AK824" s="77">
        <v>2</v>
      </c>
      <c r="AL824" s="76"/>
      <c r="AM824" s="76"/>
      <c r="AN824" s="77"/>
      <c r="AO824" s="77"/>
      <c r="AP824" s="76"/>
      <c r="AQ824" s="76"/>
      <c r="AR824" s="77"/>
      <c r="AS824" s="77"/>
      <c r="AT824" s="78">
        <v>0.5625</v>
      </c>
    </row>
    <row r="825" spans="1:46" ht="12.5" x14ac:dyDescent="0.25">
      <c r="A825" s="79">
        <v>44852.585943900463</v>
      </c>
      <c r="B825" s="80" t="s">
        <v>17</v>
      </c>
      <c r="C825" s="80" t="str">
        <f>INDEX(TBL_Name,MATCH(Table2[[#This Row],[Athlete Name]],listNames,0),2)</f>
        <v>Athlete 10</v>
      </c>
      <c r="D825" s="80" t="s">
        <v>130</v>
      </c>
      <c r="E825" s="80">
        <v>7</v>
      </c>
      <c r="F825" s="80">
        <v>6</v>
      </c>
      <c r="G825" s="80">
        <v>8</v>
      </c>
      <c r="H825" s="80" t="s">
        <v>228</v>
      </c>
      <c r="I825" s="80">
        <v>7</v>
      </c>
      <c r="J825" s="80"/>
      <c r="K825" s="80"/>
      <c r="L825" s="80"/>
      <c r="M825" s="1" t="s">
        <v>1187</v>
      </c>
      <c r="N825" s="1">
        <v>43</v>
      </c>
      <c r="O825" s="1">
        <v>11</v>
      </c>
      <c r="P825" s="13">
        <v>44852</v>
      </c>
      <c r="Q825" s="1" t="s">
        <v>133</v>
      </c>
      <c r="R825" s="1" t="s">
        <v>64</v>
      </c>
      <c r="S825" s="1">
        <v>1</v>
      </c>
      <c r="T825" s="1" t="s">
        <v>18</v>
      </c>
      <c r="U825" s="1" t="s">
        <v>18</v>
      </c>
      <c r="V825" s="76">
        <v>7.2857142857142856</v>
      </c>
      <c r="W825" s="76">
        <v>1.0301575072754254</v>
      </c>
      <c r="X825" s="77">
        <v>-0.27735009811261446</v>
      </c>
      <c r="Y825" s="77">
        <v>2</v>
      </c>
      <c r="Z825" s="76">
        <v>7.2857142857142856</v>
      </c>
      <c r="AA825" s="76">
        <v>0.88063057185271088</v>
      </c>
      <c r="AB825" s="77">
        <v>-1.4599927901768628</v>
      </c>
      <c r="AC825" s="77">
        <v>1</v>
      </c>
      <c r="AD825" s="76">
        <v>7.8571428571428568</v>
      </c>
      <c r="AE825" s="76">
        <v>1.456862718169367</v>
      </c>
      <c r="AF825" s="77">
        <v>9.8058067569092286E-2</v>
      </c>
      <c r="AG825" s="77">
        <v>3</v>
      </c>
      <c r="AH825" s="76">
        <v>7.2857142857142856</v>
      </c>
      <c r="AI825" s="76">
        <v>1.1605769149479943</v>
      </c>
      <c r="AJ825" s="77">
        <v>-0.24618298195866536</v>
      </c>
      <c r="AK825" s="77">
        <v>2</v>
      </c>
      <c r="AL825" s="76"/>
      <c r="AM825" s="76"/>
      <c r="AN825" s="77"/>
      <c r="AO825" s="77"/>
      <c r="AP825" s="76"/>
      <c r="AQ825" s="76"/>
      <c r="AR825" s="77"/>
      <c r="AS825" s="77"/>
      <c r="AT825" s="78">
        <v>0.5</v>
      </c>
    </row>
    <row r="826" spans="1:46" ht="12.5" x14ac:dyDescent="0.25">
      <c r="A826" s="79">
        <v>44853.412320046293</v>
      </c>
      <c r="B826" s="80" t="s">
        <v>6</v>
      </c>
      <c r="C826" s="80" t="str">
        <f>INDEX(TBL_Name,MATCH(Table2[[#This Row],[Athlete Name]],listNames,0),2)</f>
        <v>Athlete 2</v>
      </c>
      <c r="D826" s="80" t="s">
        <v>130</v>
      </c>
      <c r="E826" s="80">
        <v>9</v>
      </c>
      <c r="F826" s="80">
        <v>7</v>
      </c>
      <c r="G826" s="80">
        <v>8</v>
      </c>
      <c r="H826" s="80" t="s">
        <v>73</v>
      </c>
      <c r="I826" s="80">
        <v>8</v>
      </c>
      <c r="J826" s="80"/>
      <c r="K826" s="80"/>
      <c r="L826" s="80"/>
      <c r="M826" s="1" t="s">
        <v>1188</v>
      </c>
      <c r="N826" s="1">
        <v>43</v>
      </c>
      <c r="O826" s="1">
        <v>11</v>
      </c>
      <c r="P826" s="13">
        <v>44853</v>
      </c>
      <c r="Q826" s="1" t="s">
        <v>133</v>
      </c>
      <c r="R826" s="1" t="s">
        <v>64</v>
      </c>
      <c r="S826" s="1">
        <v>1</v>
      </c>
      <c r="T826" s="1" t="s">
        <v>5</v>
      </c>
      <c r="U826" s="1" t="s">
        <v>5</v>
      </c>
      <c r="V826" s="76">
        <v>8.5</v>
      </c>
      <c r="W826" s="76">
        <v>0.5</v>
      </c>
      <c r="X826" s="77">
        <v>1</v>
      </c>
      <c r="Y826" s="77">
        <v>4</v>
      </c>
      <c r="Z826" s="76">
        <v>7.833333333333333</v>
      </c>
      <c r="AA826" s="76">
        <v>0.89752746785575055</v>
      </c>
      <c r="AB826" s="77">
        <v>-0.92847669088525908</v>
      </c>
      <c r="AC826" s="77">
        <v>2</v>
      </c>
      <c r="AD826" s="76">
        <v>7.833333333333333</v>
      </c>
      <c r="AE826" s="76">
        <v>1.0671873729054746</v>
      </c>
      <c r="AF826" s="77">
        <v>0.15617376188860638</v>
      </c>
      <c r="AG826" s="77">
        <v>3</v>
      </c>
      <c r="AH826" s="76">
        <v>7.5</v>
      </c>
      <c r="AI826" s="76">
        <v>0.76376261582597327</v>
      </c>
      <c r="AJ826" s="77">
        <v>0.6546536707079772</v>
      </c>
      <c r="AK826" s="77">
        <v>3</v>
      </c>
      <c r="AL826" s="76"/>
      <c r="AM826" s="76"/>
      <c r="AN826" s="77"/>
      <c r="AO826" s="77"/>
      <c r="AP826" s="76"/>
      <c r="AQ826" s="76"/>
      <c r="AR826" s="77"/>
      <c r="AS826" s="77"/>
      <c r="AT826" s="78">
        <v>0.75</v>
      </c>
    </row>
    <row r="827" spans="1:46" ht="12.5" x14ac:dyDescent="0.25">
      <c r="A827" s="79">
        <v>44853.416831608796</v>
      </c>
      <c r="B827" s="80" t="s">
        <v>21</v>
      </c>
      <c r="C827" s="80" t="str">
        <f>INDEX(TBL_Name,MATCH(Table2[[#This Row],[Athlete Name]],listNames,0),2)</f>
        <v>Athlete 13</v>
      </c>
      <c r="D827" s="80" t="s">
        <v>130</v>
      </c>
      <c r="E827" s="80">
        <v>8</v>
      </c>
      <c r="F827" s="80">
        <v>10</v>
      </c>
      <c r="G827" s="80">
        <v>8</v>
      </c>
      <c r="H827" s="80" t="s">
        <v>971</v>
      </c>
      <c r="I827" s="80">
        <v>8</v>
      </c>
      <c r="J827" s="80"/>
      <c r="K827" s="80"/>
      <c r="L827" s="80"/>
      <c r="M827" s="1" t="s">
        <v>1189</v>
      </c>
      <c r="N827" s="1">
        <v>43</v>
      </c>
      <c r="O827" s="1">
        <v>11</v>
      </c>
      <c r="P827" s="13">
        <v>44853</v>
      </c>
      <c r="Q827" s="1" t="s">
        <v>133</v>
      </c>
      <c r="R827" s="1" t="s">
        <v>64</v>
      </c>
      <c r="S827" s="1">
        <v>1</v>
      </c>
      <c r="T827" s="1" t="s">
        <v>18</v>
      </c>
      <c r="U827" s="1" t="s">
        <v>18</v>
      </c>
      <c r="V827" s="76">
        <v>8</v>
      </c>
      <c r="W827" s="76">
        <v>0.57735026918962573</v>
      </c>
      <c r="X827" s="77">
        <v>0</v>
      </c>
      <c r="Y827" s="77">
        <v>3</v>
      </c>
      <c r="Z827" s="76">
        <v>8.8333333333333339</v>
      </c>
      <c r="AA827" s="76">
        <v>0.68718427093627699</v>
      </c>
      <c r="AB827" s="77">
        <v>1.6977493752543293</v>
      </c>
      <c r="AC827" s="77">
        <v>4</v>
      </c>
      <c r="AD827" s="76">
        <v>8.1666666666666661</v>
      </c>
      <c r="AE827" s="76">
        <v>0.37267799624996495</v>
      </c>
      <c r="AF827" s="77">
        <v>-0.44721359549995637</v>
      </c>
      <c r="AG827" s="77">
        <v>2</v>
      </c>
      <c r="AH827" s="76">
        <v>7.333333333333333</v>
      </c>
      <c r="AI827" s="76">
        <v>0.74535599249992979</v>
      </c>
      <c r="AJ827" s="77">
        <v>0.89442719099991641</v>
      </c>
      <c r="AK827" s="77">
        <v>3</v>
      </c>
      <c r="AL827" s="76"/>
      <c r="AM827" s="76"/>
      <c r="AN827" s="77"/>
      <c r="AO827" s="77"/>
      <c r="AP827" s="76"/>
      <c r="AQ827" s="76"/>
      <c r="AR827" s="77"/>
      <c r="AS827" s="77"/>
      <c r="AT827" s="78">
        <v>0.75</v>
      </c>
    </row>
    <row r="828" spans="1:46" ht="12.5" x14ac:dyDescent="0.25">
      <c r="A828" s="79">
        <v>44853.889526030092</v>
      </c>
      <c r="B828" s="80" t="s">
        <v>10</v>
      </c>
      <c r="C828" s="80" t="str">
        <f>INDEX(TBL_Name,MATCH(Table2[[#This Row],[Athlete Name]],listNames,0),2)</f>
        <v>Athlete 5</v>
      </c>
      <c r="D828" s="80" t="s">
        <v>130</v>
      </c>
      <c r="E828" s="80">
        <v>9</v>
      </c>
      <c r="F828" s="80">
        <v>10</v>
      </c>
      <c r="G828" s="80">
        <v>10</v>
      </c>
      <c r="H828" s="80" t="s">
        <v>69</v>
      </c>
      <c r="I828" s="80">
        <v>9</v>
      </c>
      <c r="J828" s="80"/>
      <c r="K828" s="80"/>
      <c r="L828" s="80"/>
      <c r="M828" s="1" t="s">
        <v>1190</v>
      </c>
      <c r="N828" s="1">
        <v>43</v>
      </c>
      <c r="O828" s="1">
        <v>11</v>
      </c>
      <c r="P828" s="13">
        <v>44853</v>
      </c>
      <c r="Q828" s="1" t="s">
        <v>133</v>
      </c>
      <c r="R828" s="1" t="s">
        <v>64</v>
      </c>
      <c r="S828" s="1">
        <v>1</v>
      </c>
      <c r="T828" s="1" t="s">
        <v>11</v>
      </c>
      <c r="U828" s="1" t="s">
        <v>11</v>
      </c>
      <c r="V828" s="76">
        <v>8.8333333333333339</v>
      </c>
      <c r="W828" s="76">
        <v>0.37267799624996484</v>
      </c>
      <c r="X828" s="77">
        <v>0.44721359549995648</v>
      </c>
      <c r="Y828" s="77">
        <v>3</v>
      </c>
      <c r="Z828" s="76">
        <v>8.1666666666666661</v>
      </c>
      <c r="AA828" s="76">
        <v>1.0671873729054751</v>
      </c>
      <c r="AB828" s="77">
        <v>1.7179113807746669</v>
      </c>
      <c r="AC828" s="77">
        <v>4</v>
      </c>
      <c r="AD828" s="76">
        <v>8.1666666666666661</v>
      </c>
      <c r="AE828" s="76">
        <v>1.0671873729054751</v>
      </c>
      <c r="AF828" s="77">
        <v>1.7179113807746669</v>
      </c>
      <c r="AG828" s="77">
        <v>4</v>
      </c>
      <c r="AH828" s="76">
        <v>9</v>
      </c>
      <c r="AI828" s="76">
        <v>0</v>
      </c>
      <c r="AJ828" s="77">
        <v>0</v>
      </c>
      <c r="AK828" s="77">
        <v>3</v>
      </c>
      <c r="AL828" s="76"/>
      <c r="AM828" s="76"/>
      <c r="AN828" s="77"/>
      <c r="AO828" s="77"/>
      <c r="AP828" s="76"/>
      <c r="AQ828" s="76"/>
      <c r="AR828" s="77"/>
      <c r="AS828" s="77"/>
      <c r="AT828" s="78">
        <v>0.875</v>
      </c>
    </row>
    <row r="829" spans="1:46" ht="12.5" x14ac:dyDescent="0.25">
      <c r="A829" s="79">
        <v>44854.339231840277</v>
      </c>
      <c r="B829" s="80" t="s">
        <v>168</v>
      </c>
      <c r="C829" s="80" t="str">
        <f>INDEX(TBL_Name,MATCH(Table2[[#This Row],[Athlete Name]],listNames,0),2)</f>
        <v>Athlete 26</v>
      </c>
      <c r="D829" s="80" t="s">
        <v>130</v>
      </c>
      <c r="E829" s="80">
        <v>5</v>
      </c>
      <c r="F829" s="80">
        <v>6</v>
      </c>
      <c r="G829" s="80">
        <v>6</v>
      </c>
      <c r="H829" s="80" t="s">
        <v>362</v>
      </c>
      <c r="I829" s="80">
        <v>5</v>
      </c>
      <c r="J829" s="80"/>
      <c r="K829" s="80"/>
      <c r="L829" s="80"/>
      <c r="M829" s="1" t="s">
        <v>1191</v>
      </c>
      <c r="N829" s="1">
        <v>43</v>
      </c>
      <c r="O829" s="1">
        <v>11</v>
      </c>
      <c r="P829" s="13">
        <v>44854</v>
      </c>
      <c r="Q829" s="1" t="s">
        <v>133</v>
      </c>
      <c r="R829" s="1" t="s">
        <v>64</v>
      </c>
      <c r="S829" s="1">
        <v>1</v>
      </c>
      <c r="T829" s="1" t="s">
        <v>942</v>
      </c>
      <c r="U829" s="1" t="s">
        <v>942</v>
      </c>
      <c r="V829" s="76">
        <v>6</v>
      </c>
      <c r="W829" s="76">
        <v>1</v>
      </c>
      <c r="X829" s="77">
        <v>-1</v>
      </c>
      <c r="Y829" s="77">
        <v>1</v>
      </c>
      <c r="Z829" s="76">
        <v>5.5</v>
      </c>
      <c r="AA829" s="76">
        <v>0.5</v>
      </c>
      <c r="AB829" s="77">
        <v>1</v>
      </c>
      <c r="AC829" s="77">
        <v>4</v>
      </c>
      <c r="AD829" s="76">
        <v>6</v>
      </c>
      <c r="AE829" s="76">
        <v>0</v>
      </c>
      <c r="AF829" s="77">
        <v>0</v>
      </c>
      <c r="AG829" s="77">
        <v>3</v>
      </c>
      <c r="AH829" s="76">
        <v>6.5</v>
      </c>
      <c r="AI829" s="76">
        <v>1.5</v>
      </c>
      <c r="AJ829" s="77">
        <v>-1</v>
      </c>
      <c r="AK829" s="77">
        <v>1</v>
      </c>
      <c r="AL829" s="76"/>
      <c r="AM829" s="76"/>
      <c r="AN829" s="77"/>
      <c r="AO829" s="77"/>
      <c r="AP829" s="76"/>
      <c r="AQ829" s="76"/>
      <c r="AR829" s="77"/>
      <c r="AS829" s="77"/>
      <c r="AT829" s="78">
        <v>0.5625</v>
      </c>
    </row>
    <row r="830" spans="1:46" ht="12.5" x14ac:dyDescent="0.25">
      <c r="A830" s="79">
        <v>44854.339956041666</v>
      </c>
      <c r="B830" s="80" t="s">
        <v>21</v>
      </c>
      <c r="C830" s="80" t="str">
        <f>INDEX(TBL_Name,MATCH(Table2[[#This Row],[Athlete Name]],listNames,0),2)</f>
        <v>Athlete 13</v>
      </c>
      <c r="D830" s="80" t="s">
        <v>130</v>
      </c>
      <c r="E830" s="80">
        <v>8</v>
      </c>
      <c r="F830" s="80">
        <v>8</v>
      </c>
      <c r="G830" s="80">
        <v>8</v>
      </c>
      <c r="H830" s="80" t="s">
        <v>715</v>
      </c>
      <c r="I830" s="80">
        <v>6</v>
      </c>
      <c r="J830" s="80"/>
      <c r="K830" s="80"/>
      <c r="L830" s="80"/>
      <c r="M830" s="1" t="s">
        <v>1192</v>
      </c>
      <c r="N830" s="1">
        <v>43</v>
      </c>
      <c r="O830" s="1">
        <v>11</v>
      </c>
      <c r="P830" s="13">
        <v>44854</v>
      </c>
      <c r="Q830" s="1" t="s">
        <v>133</v>
      </c>
      <c r="R830" s="1" t="s">
        <v>64</v>
      </c>
      <c r="S830" s="1">
        <v>1</v>
      </c>
      <c r="T830" s="1" t="s">
        <v>18</v>
      </c>
      <c r="U830" s="1" t="s">
        <v>18</v>
      </c>
      <c r="V830" s="76">
        <v>8</v>
      </c>
      <c r="W830" s="76">
        <v>0.57735026918962573</v>
      </c>
      <c r="X830" s="77">
        <v>0</v>
      </c>
      <c r="Y830" s="77">
        <v>3</v>
      </c>
      <c r="Z830" s="76">
        <v>8.8333333333333339</v>
      </c>
      <c r="AA830" s="76">
        <v>0.68718427093627688</v>
      </c>
      <c r="AB830" s="77">
        <v>-1.2126781251816656</v>
      </c>
      <c r="AC830" s="77">
        <v>1</v>
      </c>
      <c r="AD830" s="76">
        <v>8.1666666666666661</v>
      </c>
      <c r="AE830" s="76">
        <v>0.37267799624996495</v>
      </c>
      <c r="AF830" s="77">
        <v>-0.44721359549995637</v>
      </c>
      <c r="AG830" s="77">
        <v>2</v>
      </c>
      <c r="AH830" s="76">
        <v>7.166666666666667</v>
      </c>
      <c r="AI830" s="76">
        <v>0.89752746785575077</v>
      </c>
      <c r="AJ830" s="77">
        <v>-1.2998673672393632</v>
      </c>
      <c r="AK830" s="77">
        <v>1</v>
      </c>
      <c r="AL830" s="76"/>
      <c r="AM830" s="76"/>
      <c r="AN830" s="77"/>
      <c r="AO830" s="77"/>
      <c r="AP830" s="76"/>
      <c r="AQ830" s="76"/>
      <c r="AR830" s="77"/>
      <c r="AS830" s="77"/>
      <c r="AT830" s="78">
        <v>0.4375</v>
      </c>
    </row>
    <row r="831" spans="1:46" ht="12.5" x14ac:dyDescent="0.25">
      <c r="A831" s="79">
        <v>44854.340168634255</v>
      </c>
      <c r="B831" s="80" t="s">
        <v>148</v>
      </c>
      <c r="C831" s="80" t="str">
        <f>INDEX(TBL_Name,MATCH(Table2[[#This Row],[Athlete Name]],listNames,0),2)</f>
        <v>Athlete 22</v>
      </c>
      <c r="D831" s="80" t="s">
        <v>130</v>
      </c>
      <c r="E831" s="80">
        <v>10</v>
      </c>
      <c r="F831" s="80">
        <v>8</v>
      </c>
      <c r="G831" s="80">
        <v>8</v>
      </c>
      <c r="H831" s="80"/>
      <c r="I831" s="80">
        <v>10</v>
      </c>
      <c r="J831" s="80"/>
      <c r="K831" s="80"/>
      <c r="L831" s="80"/>
      <c r="M831" s="1" t="s">
        <v>1193</v>
      </c>
      <c r="N831" s="1">
        <v>43</v>
      </c>
      <c r="O831" s="1">
        <v>11</v>
      </c>
      <c r="P831" s="13">
        <v>44854</v>
      </c>
      <c r="Q831" s="1" t="s">
        <v>133</v>
      </c>
      <c r="R831" s="1" t="s">
        <v>64</v>
      </c>
      <c r="S831" s="1">
        <v>1</v>
      </c>
      <c r="T831" s="1" t="s">
        <v>942</v>
      </c>
      <c r="U831" s="1" t="s">
        <v>942</v>
      </c>
      <c r="V831" s="76">
        <v>10</v>
      </c>
      <c r="W831" s="76">
        <v>0</v>
      </c>
      <c r="X831" s="77">
        <v>0</v>
      </c>
      <c r="Y831" s="77">
        <v>3</v>
      </c>
      <c r="Z831" s="76">
        <v>8</v>
      </c>
      <c r="AA831" s="76">
        <v>0</v>
      </c>
      <c r="AB831" s="77">
        <v>0</v>
      </c>
      <c r="AC831" s="77">
        <v>3</v>
      </c>
      <c r="AD831" s="76">
        <v>8</v>
      </c>
      <c r="AE831" s="76">
        <v>0</v>
      </c>
      <c r="AF831" s="77">
        <v>0</v>
      </c>
      <c r="AG831" s="77">
        <v>3</v>
      </c>
      <c r="AH831" s="76">
        <v>10</v>
      </c>
      <c r="AI831" s="76">
        <v>0</v>
      </c>
      <c r="AJ831" s="77">
        <v>0</v>
      </c>
      <c r="AK831" s="77">
        <v>3</v>
      </c>
      <c r="AL831" s="76"/>
      <c r="AM831" s="76"/>
      <c r="AN831" s="77"/>
      <c r="AO831" s="77"/>
      <c r="AP831" s="76"/>
      <c r="AQ831" s="76"/>
      <c r="AR831" s="77"/>
      <c r="AS831" s="77"/>
      <c r="AT831" s="78">
        <v>0.75</v>
      </c>
    </row>
    <row r="832" spans="1:46" ht="12.5" x14ac:dyDescent="0.25">
      <c r="A832" s="79">
        <v>44855.337115231479</v>
      </c>
      <c r="B832" s="80" t="s">
        <v>21</v>
      </c>
      <c r="C832" s="80" t="str">
        <f>INDEX(TBL_Name,MATCH(Table2[[#This Row],[Athlete Name]],listNames,0),2)</f>
        <v>Athlete 13</v>
      </c>
      <c r="D832" s="80" t="s">
        <v>130</v>
      </c>
      <c r="E832" s="80">
        <v>8</v>
      </c>
      <c r="F832" s="80">
        <v>9</v>
      </c>
      <c r="G832" s="80">
        <v>8</v>
      </c>
      <c r="H832" s="80" t="s">
        <v>1194</v>
      </c>
      <c r="I832" s="80">
        <v>7</v>
      </c>
      <c r="J832" s="80"/>
      <c r="K832" s="80"/>
      <c r="L832" s="80"/>
      <c r="M832" s="1" t="s">
        <v>1195</v>
      </c>
      <c r="N832" s="1">
        <v>43</v>
      </c>
      <c r="O832" s="1">
        <v>11</v>
      </c>
      <c r="P832" s="13">
        <v>44855</v>
      </c>
      <c r="Q832" s="1" t="s">
        <v>133</v>
      </c>
      <c r="R832" s="1" t="s">
        <v>64</v>
      </c>
      <c r="S832" s="1">
        <v>1</v>
      </c>
      <c r="T832" s="1" t="s">
        <v>18</v>
      </c>
      <c r="U832" s="1" t="s">
        <v>18</v>
      </c>
      <c r="V832" s="76">
        <v>8</v>
      </c>
      <c r="W832" s="76">
        <v>0.57735026918962573</v>
      </c>
      <c r="X832" s="77">
        <v>0</v>
      </c>
      <c r="Y832" s="77">
        <v>3</v>
      </c>
      <c r="Z832" s="76">
        <v>8.8333333333333339</v>
      </c>
      <c r="AA832" s="76">
        <v>0.68718427093627688</v>
      </c>
      <c r="AB832" s="77">
        <v>0.24253562503633208</v>
      </c>
      <c r="AC832" s="77">
        <v>3</v>
      </c>
      <c r="AD832" s="76">
        <v>8</v>
      </c>
      <c r="AE832" s="76">
        <v>0</v>
      </c>
      <c r="AF832" s="77">
        <v>0</v>
      </c>
      <c r="AG832" s="77">
        <v>3</v>
      </c>
      <c r="AH832" s="76">
        <v>7.333333333333333</v>
      </c>
      <c r="AI832" s="76">
        <v>0.74535599249993001</v>
      </c>
      <c r="AJ832" s="77">
        <v>-0.44721359549995748</v>
      </c>
      <c r="AK832" s="77">
        <v>2</v>
      </c>
      <c r="AL832" s="76"/>
      <c r="AM832" s="76"/>
      <c r="AN832" s="77"/>
      <c r="AO832" s="77"/>
      <c r="AP832" s="76"/>
      <c r="AQ832" s="76"/>
      <c r="AR832" s="77"/>
      <c r="AS832" s="77"/>
      <c r="AT832" s="78">
        <v>0.6875</v>
      </c>
    </row>
    <row r="833" spans="1:46" ht="12.5" x14ac:dyDescent="0.25">
      <c r="A833" s="79">
        <v>44855.448671817125</v>
      </c>
      <c r="B833" s="80" t="s">
        <v>6</v>
      </c>
      <c r="C833" s="80" t="str">
        <f>INDEX(TBL_Name,MATCH(Table2[[#This Row],[Athlete Name]],listNames,0),2)</f>
        <v>Athlete 2</v>
      </c>
      <c r="D833" s="80" t="s">
        <v>130</v>
      </c>
      <c r="E833" s="80">
        <v>9</v>
      </c>
      <c r="F833" s="80">
        <v>9</v>
      </c>
      <c r="G833" s="80">
        <v>9</v>
      </c>
      <c r="H833" s="80"/>
      <c r="I833" s="80">
        <v>8</v>
      </c>
      <c r="J833" s="80"/>
      <c r="K833" s="80"/>
      <c r="L833" s="80"/>
      <c r="M833" s="1" t="s">
        <v>1196</v>
      </c>
      <c r="N833" s="1">
        <v>43</v>
      </c>
      <c r="O833" s="1">
        <v>11</v>
      </c>
      <c r="P833" s="13">
        <v>44855</v>
      </c>
      <c r="Q833" s="1" t="s">
        <v>133</v>
      </c>
      <c r="R833" s="1" t="s">
        <v>64</v>
      </c>
      <c r="S833" s="1">
        <v>1</v>
      </c>
      <c r="T833" s="1" t="s">
        <v>5</v>
      </c>
      <c r="U833" s="1" t="s">
        <v>5</v>
      </c>
      <c r="V833" s="76">
        <v>8.6</v>
      </c>
      <c r="W833" s="76">
        <v>0.48989794855663565</v>
      </c>
      <c r="X833" s="77">
        <v>0.8164965809277267</v>
      </c>
      <c r="Y833" s="77">
        <v>3</v>
      </c>
      <c r="Z833" s="76">
        <v>8.4</v>
      </c>
      <c r="AA833" s="76">
        <v>0.79999999999999982</v>
      </c>
      <c r="AB833" s="77">
        <v>0.74999999999999967</v>
      </c>
      <c r="AC833" s="77">
        <v>3</v>
      </c>
      <c r="AD833" s="76">
        <v>7.8</v>
      </c>
      <c r="AE833" s="76">
        <v>1.1661903789690602</v>
      </c>
      <c r="AF833" s="77">
        <v>1.0289915108550531</v>
      </c>
      <c r="AG833" s="77">
        <v>4</v>
      </c>
      <c r="AH833" s="76">
        <v>7.8</v>
      </c>
      <c r="AI833" s="76">
        <v>0.39999999999999997</v>
      </c>
      <c r="AJ833" s="77">
        <v>0.50000000000000044</v>
      </c>
      <c r="AK833" s="77">
        <v>3</v>
      </c>
      <c r="AL833" s="76"/>
      <c r="AM833" s="76"/>
      <c r="AN833" s="77"/>
      <c r="AO833" s="77"/>
      <c r="AP833" s="76"/>
      <c r="AQ833" s="76"/>
      <c r="AR833" s="77"/>
      <c r="AS833" s="77"/>
      <c r="AT833" s="78">
        <v>0.8125</v>
      </c>
    </row>
    <row r="834" spans="1:46" ht="12.5" x14ac:dyDescent="0.25">
      <c r="A834" s="79">
        <v>44855.500050150462</v>
      </c>
      <c r="B834" s="80" t="s">
        <v>10</v>
      </c>
      <c r="C834" s="80" t="str">
        <f>INDEX(TBL_Name,MATCH(Table2[[#This Row],[Athlete Name]],listNames,0),2)</f>
        <v>Athlete 5</v>
      </c>
      <c r="D834" s="80" t="s">
        <v>130</v>
      </c>
      <c r="E834" s="80">
        <v>9</v>
      </c>
      <c r="F834" s="80">
        <v>8</v>
      </c>
      <c r="G834" s="80">
        <v>8</v>
      </c>
      <c r="H834" s="80" t="s">
        <v>362</v>
      </c>
      <c r="I834" s="80">
        <v>8</v>
      </c>
      <c r="J834" s="80"/>
      <c r="K834" s="80"/>
      <c r="L834" s="80"/>
      <c r="M834" s="1" t="s">
        <v>1197</v>
      </c>
      <c r="N834" s="1">
        <v>43</v>
      </c>
      <c r="O834" s="1">
        <v>11</v>
      </c>
      <c r="P834" s="13">
        <v>44855</v>
      </c>
      <c r="Q834" s="1" t="s">
        <v>133</v>
      </c>
      <c r="R834" s="1" t="s">
        <v>64</v>
      </c>
      <c r="S834" s="1">
        <v>1</v>
      </c>
      <c r="T834" s="1" t="s">
        <v>11</v>
      </c>
      <c r="U834" s="1" t="s">
        <v>11</v>
      </c>
      <c r="V834" s="76">
        <v>8.8000000000000007</v>
      </c>
      <c r="W834" s="76">
        <v>0.40000000000000008</v>
      </c>
      <c r="X834" s="77">
        <v>0.49999999999999811</v>
      </c>
      <c r="Y834" s="77">
        <v>3</v>
      </c>
      <c r="Z834" s="76">
        <v>8.4</v>
      </c>
      <c r="AA834" s="76">
        <v>1.019803902718557</v>
      </c>
      <c r="AB834" s="77">
        <v>-0.39223227027636837</v>
      </c>
      <c r="AC834" s="77">
        <v>2</v>
      </c>
      <c r="AD834" s="76">
        <v>8.4</v>
      </c>
      <c r="AE834" s="76">
        <v>1.019803902718557</v>
      </c>
      <c r="AF834" s="77">
        <v>-0.39223227027636837</v>
      </c>
      <c r="AG834" s="77">
        <v>2</v>
      </c>
      <c r="AH834" s="76">
        <v>8.8000000000000007</v>
      </c>
      <c r="AI834" s="76">
        <v>0.40000000000000019</v>
      </c>
      <c r="AJ834" s="77">
        <v>-2.0000000000000009</v>
      </c>
      <c r="AK834" s="77">
        <v>1</v>
      </c>
      <c r="AL834" s="76"/>
      <c r="AM834" s="76"/>
      <c r="AN834" s="77"/>
      <c r="AO834" s="77"/>
      <c r="AP834" s="76"/>
      <c r="AQ834" s="76"/>
      <c r="AR834" s="77"/>
      <c r="AS834" s="77"/>
      <c r="AT834" s="78">
        <v>0.5</v>
      </c>
    </row>
    <row r="835" spans="1:46" ht="12.5" x14ac:dyDescent="0.25">
      <c r="A835" s="79">
        <v>44856.529281377312</v>
      </c>
      <c r="B835" s="80" t="s">
        <v>6</v>
      </c>
      <c r="C835" s="80" t="str">
        <f>INDEX(TBL_Name,MATCH(Table2[[#This Row],[Athlete Name]],listNames,0),2)</f>
        <v>Athlete 2</v>
      </c>
      <c r="D835" s="80" t="s">
        <v>130</v>
      </c>
      <c r="E835" s="80">
        <v>8</v>
      </c>
      <c r="F835" s="80">
        <v>9</v>
      </c>
      <c r="G835" s="80">
        <v>9</v>
      </c>
      <c r="H835" s="80"/>
      <c r="I835" s="80">
        <v>9</v>
      </c>
      <c r="J835" s="80"/>
      <c r="K835" s="80"/>
      <c r="L835" s="80"/>
      <c r="M835" s="1" t="s">
        <v>1198</v>
      </c>
      <c r="N835" s="1">
        <v>43</v>
      </c>
      <c r="O835" s="1">
        <v>11</v>
      </c>
      <c r="P835" s="13">
        <v>44856</v>
      </c>
      <c r="Q835" s="1" t="s">
        <v>133</v>
      </c>
      <c r="R835" s="1" t="s">
        <v>64</v>
      </c>
      <c r="S835" s="1">
        <v>1</v>
      </c>
      <c r="T835" s="1" t="s">
        <v>5</v>
      </c>
      <c r="U835" s="1" t="s">
        <v>5</v>
      </c>
      <c r="V835" s="76">
        <v>8.4</v>
      </c>
      <c r="W835" s="76">
        <v>0.48989794855663549</v>
      </c>
      <c r="X835" s="77">
        <v>-0.81649658092772703</v>
      </c>
      <c r="Y835" s="77">
        <v>2</v>
      </c>
      <c r="Z835" s="76">
        <v>8.4</v>
      </c>
      <c r="AA835" s="76">
        <v>0.79999999999999993</v>
      </c>
      <c r="AB835" s="77">
        <v>0.74999999999999967</v>
      </c>
      <c r="AC835" s="77">
        <v>3</v>
      </c>
      <c r="AD835" s="76">
        <v>7.8</v>
      </c>
      <c r="AE835" s="76">
        <v>1.1661903789690602</v>
      </c>
      <c r="AF835" s="77">
        <v>1.0289915108550531</v>
      </c>
      <c r="AG835" s="77">
        <v>4</v>
      </c>
      <c r="AH835" s="76">
        <v>8.1999999999999993</v>
      </c>
      <c r="AI835" s="76">
        <v>0.40000000000000019</v>
      </c>
      <c r="AJ835" s="77">
        <v>2.0000000000000009</v>
      </c>
      <c r="AK835" s="77">
        <v>4</v>
      </c>
      <c r="AL835" s="76"/>
      <c r="AM835" s="76"/>
      <c r="AN835" s="77"/>
      <c r="AO835" s="77"/>
      <c r="AP835" s="76"/>
      <c r="AQ835" s="76"/>
      <c r="AR835" s="77"/>
      <c r="AS835" s="77"/>
      <c r="AT835" s="78">
        <v>0.8125</v>
      </c>
    </row>
    <row r="836" spans="1:46" ht="12.5" x14ac:dyDescent="0.25">
      <c r="A836" s="79">
        <v>44857.408457754631</v>
      </c>
      <c r="B836" s="80" t="s">
        <v>6</v>
      </c>
      <c r="C836" s="80" t="str">
        <f>INDEX(TBL_Name,MATCH(Table2[[#This Row],[Athlete Name]],listNames,0),2)</f>
        <v>Athlete 2</v>
      </c>
      <c r="D836" s="80" t="s">
        <v>130</v>
      </c>
      <c r="E836" s="80">
        <v>9</v>
      </c>
      <c r="F836" s="80">
        <v>7</v>
      </c>
      <c r="G836" s="80">
        <v>7</v>
      </c>
      <c r="H836" s="80" t="s">
        <v>67</v>
      </c>
      <c r="I836" s="80">
        <v>9</v>
      </c>
      <c r="J836" s="80"/>
      <c r="K836" s="80"/>
      <c r="L836" s="80"/>
      <c r="M836" s="1" t="s">
        <v>1199</v>
      </c>
      <c r="N836" s="1">
        <v>44</v>
      </c>
      <c r="O836" s="1">
        <v>12</v>
      </c>
      <c r="P836" s="13">
        <v>44857</v>
      </c>
      <c r="Q836" s="1" t="s">
        <v>133</v>
      </c>
      <c r="R836" s="1" t="s">
        <v>64</v>
      </c>
      <c r="S836" s="1">
        <v>1</v>
      </c>
      <c r="T836" s="1" t="s">
        <v>5</v>
      </c>
      <c r="U836" s="1" t="s">
        <v>5</v>
      </c>
      <c r="V836" s="76">
        <v>8.6</v>
      </c>
      <c r="W836" s="76">
        <v>0.48989794855663565</v>
      </c>
      <c r="X836" s="77">
        <v>0.8164965809277267</v>
      </c>
      <c r="Y836" s="77">
        <v>3</v>
      </c>
      <c r="Z836" s="76">
        <v>8</v>
      </c>
      <c r="AA836" s="76">
        <v>0.89442719099991586</v>
      </c>
      <c r="AB836" s="77">
        <v>-1.1180339887498949</v>
      </c>
      <c r="AC836" s="77">
        <v>1</v>
      </c>
      <c r="AD836" s="76">
        <v>8</v>
      </c>
      <c r="AE836" s="76">
        <v>0.89442719099991586</v>
      </c>
      <c r="AF836" s="77">
        <v>-1.1180339887498949</v>
      </c>
      <c r="AG836" s="77">
        <v>1</v>
      </c>
      <c r="AH836" s="76">
        <v>8.4</v>
      </c>
      <c r="AI836" s="76">
        <v>0.48989794855663554</v>
      </c>
      <c r="AJ836" s="77">
        <v>1.2247448713915885</v>
      </c>
      <c r="AK836" s="77">
        <v>4</v>
      </c>
      <c r="AL836" s="76"/>
      <c r="AM836" s="76"/>
      <c r="AN836" s="77"/>
      <c r="AO836" s="77"/>
      <c r="AP836" s="76"/>
      <c r="AQ836" s="76"/>
      <c r="AR836" s="77"/>
      <c r="AS836" s="77"/>
      <c r="AT836" s="78">
        <v>0.5625</v>
      </c>
    </row>
    <row r="837" spans="1:46" ht="12.5" x14ac:dyDescent="0.25">
      <c r="A837" s="79">
        <v>44858.334270243053</v>
      </c>
      <c r="B837" s="80" t="s">
        <v>148</v>
      </c>
      <c r="C837" s="80" t="str">
        <f>INDEX(TBL_Name,MATCH(Table2[[#This Row],[Athlete Name]],listNames,0),2)</f>
        <v>Athlete 22</v>
      </c>
      <c r="D837" s="80" t="s">
        <v>130</v>
      </c>
      <c r="E837" s="80">
        <v>9</v>
      </c>
      <c r="F837" s="80">
        <v>9</v>
      </c>
      <c r="G837" s="80">
        <v>7</v>
      </c>
      <c r="H837" s="80" t="s">
        <v>1200</v>
      </c>
      <c r="I837" s="80">
        <v>5</v>
      </c>
      <c r="J837" s="80"/>
      <c r="K837" s="80"/>
      <c r="L837" s="80"/>
      <c r="M837" s="1" t="s">
        <v>1201</v>
      </c>
      <c r="N837" s="1">
        <v>44</v>
      </c>
      <c r="O837" s="1">
        <v>12</v>
      </c>
      <c r="P837" s="13">
        <v>44858</v>
      </c>
      <c r="Q837" s="1" t="s">
        <v>133</v>
      </c>
      <c r="R837" s="1" t="s">
        <v>64</v>
      </c>
      <c r="S837" s="1">
        <v>1</v>
      </c>
      <c r="T837" s="1" t="s">
        <v>942</v>
      </c>
      <c r="U837" s="1" t="s">
        <v>942</v>
      </c>
      <c r="V837" s="76">
        <v>9.5</v>
      </c>
      <c r="W837" s="76">
        <v>0.5</v>
      </c>
      <c r="X837" s="77">
        <v>-1</v>
      </c>
      <c r="Y837" s="77">
        <v>1</v>
      </c>
      <c r="Z837" s="76">
        <v>8.5</v>
      </c>
      <c r="AA837" s="76">
        <v>0.5</v>
      </c>
      <c r="AB837" s="77">
        <v>1</v>
      </c>
      <c r="AC837" s="77">
        <v>4</v>
      </c>
      <c r="AD837" s="76">
        <v>7.5</v>
      </c>
      <c r="AE837" s="76">
        <v>0.5</v>
      </c>
      <c r="AF837" s="77">
        <v>-1</v>
      </c>
      <c r="AG837" s="77">
        <v>1</v>
      </c>
      <c r="AH837" s="76">
        <v>7.5</v>
      </c>
      <c r="AI837" s="76">
        <v>2.5</v>
      </c>
      <c r="AJ837" s="77">
        <v>-1</v>
      </c>
      <c r="AK837" s="77">
        <v>1</v>
      </c>
      <c r="AL837" s="76"/>
      <c r="AM837" s="76"/>
      <c r="AN837" s="77"/>
      <c r="AO837" s="77"/>
      <c r="AP837" s="76"/>
      <c r="AQ837" s="76"/>
      <c r="AR837" s="77"/>
      <c r="AS837" s="77"/>
      <c r="AT837" s="78">
        <v>0.4375</v>
      </c>
    </row>
    <row r="838" spans="1:46" ht="12.5" x14ac:dyDescent="0.25">
      <c r="A838" s="79">
        <v>44858.373630092596</v>
      </c>
      <c r="B838" s="80" t="s">
        <v>10</v>
      </c>
      <c r="C838" s="80" t="str">
        <f>INDEX(TBL_Name,MATCH(Table2[[#This Row],[Athlete Name]],listNames,0),2)</f>
        <v>Athlete 5</v>
      </c>
      <c r="D838" s="80" t="s">
        <v>130</v>
      </c>
      <c r="E838" s="80">
        <v>9</v>
      </c>
      <c r="F838" s="80">
        <v>9</v>
      </c>
      <c r="G838" s="80">
        <v>9</v>
      </c>
      <c r="H838" s="80" t="s">
        <v>226</v>
      </c>
      <c r="I838" s="80">
        <v>8</v>
      </c>
      <c r="J838" s="80"/>
      <c r="K838" s="80"/>
      <c r="L838" s="80"/>
      <c r="M838" s="1" t="s">
        <v>1202</v>
      </c>
      <c r="N838" s="1">
        <v>44</v>
      </c>
      <c r="O838" s="1">
        <v>12</v>
      </c>
      <c r="P838" s="13">
        <v>44858</v>
      </c>
      <c r="Q838" s="1" t="s">
        <v>133</v>
      </c>
      <c r="R838" s="1" t="s">
        <v>64</v>
      </c>
      <c r="S838" s="1">
        <v>1</v>
      </c>
      <c r="T838" s="1" t="s">
        <v>11</v>
      </c>
      <c r="U838" s="1" t="s">
        <v>11</v>
      </c>
      <c r="V838" s="76">
        <v>9</v>
      </c>
      <c r="W838" s="76">
        <v>0</v>
      </c>
      <c r="X838" s="77">
        <v>0</v>
      </c>
      <c r="Y838" s="77">
        <v>3</v>
      </c>
      <c r="Z838" s="76">
        <v>8.75</v>
      </c>
      <c r="AA838" s="76">
        <v>0.82915619758884984</v>
      </c>
      <c r="AB838" s="77">
        <v>0.30151134457776368</v>
      </c>
      <c r="AC838" s="77">
        <v>3</v>
      </c>
      <c r="AD838" s="76">
        <v>8.75</v>
      </c>
      <c r="AE838" s="76">
        <v>0.82915619758884984</v>
      </c>
      <c r="AF838" s="77">
        <v>0.30151134457776368</v>
      </c>
      <c r="AG838" s="77">
        <v>3</v>
      </c>
      <c r="AH838" s="76">
        <v>8.5</v>
      </c>
      <c r="AI838" s="76">
        <v>0.49999999999999978</v>
      </c>
      <c r="AJ838" s="77">
        <v>-1.0000000000000004</v>
      </c>
      <c r="AK838" s="77">
        <v>1</v>
      </c>
      <c r="AL838" s="76"/>
      <c r="AM838" s="76"/>
      <c r="AN838" s="77"/>
      <c r="AO838" s="77"/>
      <c r="AP838" s="76"/>
      <c r="AQ838" s="76"/>
      <c r="AR838" s="77"/>
      <c r="AS838" s="77"/>
      <c r="AT838" s="78">
        <v>0.625</v>
      </c>
    </row>
    <row r="839" spans="1:46" ht="12.5" x14ac:dyDescent="0.25">
      <c r="A839" s="79">
        <v>44859.320038402773</v>
      </c>
      <c r="B839" s="80" t="s">
        <v>10</v>
      </c>
      <c r="C839" s="80" t="str">
        <f>INDEX(TBL_Name,MATCH(Table2[[#This Row],[Athlete Name]],listNames,0),2)</f>
        <v>Athlete 5</v>
      </c>
      <c r="D839" s="80" t="s">
        <v>130</v>
      </c>
      <c r="E839" s="80">
        <v>8</v>
      </c>
      <c r="F839" s="80">
        <v>7</v>
      </c>
      <c r="G839" s="80">
        <v>7</v>
      </c>
      <c r="H839" s="80" t="s">
        <v>226</v>
      </c>
      <c r="I839" s="80">
        <v>8</v>
      </c>
      <c r="J839" s="80"/>
      <c r="K839" s="80"/>
      <c r="L839" s="80"/>
      <c r="M839" s="1" t="s">
        <v>1203</v>
      </c>
      <c r="N839" s="1">
        <v>44</v>
      </c>
      <c r="O839" s="1">
        <v>12</v>
      </c>
      <c r="P839" s="13">
        <v>44859</v>
      </c>
      <c r="Q839" s="1" t="s">
        <v>133</v>
      </c>
      <c r="R839" s="1" t="s">
        <v>64</v>
      </c>
      <c r="S839" s="1">
        <v>1</v>
      </c>
      <c r="T839" s="1" t="s">
        <v>11</v>
      </c>
      <c r="U839" s="1" t="s">
        <v>11</v>
      </c>
      <c r="V839" s="76">
        <v>8.75</v>
      </c>
      <c r="W839" s="76">
        <v>0.4330127018922193</v>
      </c>
      <c r="X839" s="77">
        <v>-1.7320508075688774</v>
      </c>
      <c r="Y839" s="77">
        <v>1</v>
      </c>
      <c r="Z839" s="76">
        <v>8.5</v>
      </c>
      <c r="AA839" s="76">
        <v>1.1180339887498949</v>
      </c>
      <c r="AB839" s="77">
        <v>-1.3416407864998738</v>
      </c>
      <c r="AC839" s="77">
        <v>1</v>
      </c>
      <c r="AD839" s="76">
        <v>8.5</v>
      </c>
      <c r="AE839" s="76">
        <v>1.1180339887498949</v>
      </c>
      <c r="AF839" s="77">
        <v>-1.3416407864998738</v>
      </c>
      <c r="AG839" s="77">
        <v>1</v>
      </c>
      <c r="AH839" s="76">
        <v>8.25</v>
      </c>
      <c r="AI839" s="76">
        <v>0.43301270189221946</v>
      </c>
      <c r="AJ839" s="77">
        <v>-0.57735026918962562</v>
      </c>
      <c r="AK839" s="77">
        <v>2</v>
      </c>
      <c r="AL839" s="76"/>
      <c r="AM839" s="76"/>
      <c r="AN839" s="77"/>
      <c r="AO839" s="77"/>
      <c r="AP839" s="76"/>
      <c r="AQ839" s="76"/>
      <c r="AR839" s="77"/>
      <c r="AS839" s="77"/>
      <c r="AT839" s="78">
        <v>0.3125</v>
      </c>
    </row>
    <row r="840" spans="1:46" ht="12.5" x14ac:dyDescent="0.25">
      <c r="A840" s="79">
        <v>44859.335173738422</v>
      </c>
      <c r="B840" s="80" t="s">
        <v>21</v>
      </c>
      <c r="C840" s="80" t="str">
        <f>INDEX(TBL_Name,MATCH(Table2[[#This Row],[Athlete Name]],listNames,0),2)</f>
        <v>Athlete 13</v>
      </c>
      <c r="D840" s="80" t="s">
        <v>150</v>
      </c>
      <c r="E840" s="80">
        <v>8</v>
      </c>
      <c r="F840" s="80">
        <v>7</v>
      </c>
      <c r="G840" s="80">
        <v>7</v>
      </c>
      <c r="H840" s="80" t="s">
        <v>364</v>
      </c>
      <c r="I840" s="80">
        <v>6</v>
      </c>
      <c r="J840" s="80"/>
      <c r="K840" s="80"/>
      <c r="L840" s="80"/>
      <c r="M840" s="1" t="s">
        <v>1204</v>
      </c>
      <c r="N840" s="1">
        <v>44</v>
      </c>
      <c r="O840" s="1">
        <v>12</v>
      </c>
      <c r="P840" s="13">
        <v>44859</v>
      </c>
      <c r="Q840" s="1" t="s">
        <v>133</v>
      </c>
      <c r="R840" s="1" t="s">
        <v>64</v>
      </c>
      <c r="S840" s="1">
        <v>3</v>
      </c>
      <c r="T840" s="1" t="s">
        <v>18</v>
      </c>
      <c r="U840" s="1" t="s">
        <v>18</v>
      </c>
      <c r="V840" s="76">
        <v>8</v>
      </c>
      <c r="W840" s="76">
        <v>0</v>
      </c>
      <c r="X840" s="77">
        <v>0</v>
      </c>
      <c r="Y840" s="77">
        <v>3</v>
      </c>
      <c r="Z840" s="76">
        <v>8.5</v>
      </c>
      <c r="AA840" s="76">
        <v>1.1180339887498949</v>
      </c>
      <c r="AB840" s="77">
        <v>-1.3416407864998738</v>
      </c>
      <c r="AC840" s="77">
        <v>1</v>
      </c>
      <c r="AD840" s="76">
        <v>7.75</v>
      </c>
      <c r="AE840" s="76">
        <v>0.4330127018922193</v>
      </c>
      <c r="AF840" s="77">
        <v>-1.7320508075688774</v>
      </c>
      <c r="AG840" s="77">
        <v>1</v>
      </c>
      <c r="AH840" s="76">
        <v>6.75</v>
      </c>
      <c r="AI840" s="76">
        <v>0.82915619758884995</v>
      </c>
      <c r="AJ840" s="77">
        <v>-0.90453403373329089</v>
      </c>
      <c r="AK840" s="77">
        <v>2</v>
      </c>
      <c r="AL840" s="76"/>
      <c r="AM840" s="76"/>
      <c r="AN840" s="77"/>
      <c r="AO840" s="77"/>
      <c r="AP840" s="76"/>
      <c r="AQ840" s="76"/>
      <c r="AR840" s="77"/>
      <c r="AS840" s="77"/>
      <c r="AT840" s="78">
        <v>0.4375</v>
      </c>
    </row>
    <row r="841" spans="1:46" ht="12.5" x14ac:dyDescent="0.25">
      <c r="A841" s="79">
        <v>44859.350794942133</v>
      </c>
      <c r="B841" s="80" t="s">
        <v>6</v>
      </c>
      <c r="C841" s="80" t="str">
        <f>INDEX(TBL_Name,MATCH(Table2[[#This Row],[Athlete Name]],listNames,0),2)</f>
        <v>Athlete 2</v>
      </c>
      <c r="D841" s="80" t="s">
        <v>130</v>
      </c>
      <c r="E841" s="80">
        <v>8</v>
      </c>
      <c r="F841" s="80">
        <v>6</v>
      </c>
      <c r="G841" s="80">
        <v>9</v>
      </c>
      <c r="H841" s="80" t="s">
        <v>67</v>
      </c>
      <c r="I841" s="80">
        <v>8</v>
      </c>
      <c r="J841" s="80"/>
      <c r="K841" s="80"/>
      <c r="L841" s="80"/>
      <c r="M841" s="1" t="s">
        <v>1205</v>
      </c>
      <c r="N841" s="1">
        <v>44</v>
      </c>
      <c r="O841" s="1">
        <v>12</v>
      </c>
      <c r="P841" s="13">
        <v>44859</v>
      </c>
      <c r="Q841" s="1" t="s">
        <v>133</v>
      </c>
      <c r="R841" s="1" t="s">
        <v>64</v>
      </c>
      <c r="S841" s="1">
        <v>1</v>
      </c>
      <c r="T841" s="1" t="s">
        <v>5</v>
      </c>
      <c r="U841" s="1" t="s">
        <v>5</v>
      </c>
      <c r="V841" s="76">
        <v>8.6</v>
      </c>
      <c r="W841" s="76">
        <v>0.48989794855663549</v>
      </c>
      <c r="X841" s="77">
        <v>-1.2247448713915887</v>
      </c>
      <c r="Y841" s="77">
        <v>1</v>
      </c>
      <c r="Z841" s="76">
        <v>7.6</v>
      </c>
      <c r="AA841" s="76">
        <v>1.2</v>
      </c>
      <c r="AB841" s="77">
        <v>-1.333333333333333</v>
      </c>
      <c r="AC841" s="77">
        <v>1</v>
      </c>
      <c r="AD841" s="76">
        <v>8.4</v>
      </c>
      <c r="AE841" s="76">
        <v>0.79999999999999993</v>
      </c>
      <c r="AF841" s="77">
        <v>0.74999999999999967</v>
      </c>
      <c r="AG841" s="77">
        <v>3</v>
      </c>
      <c r="AH841" s="76">
        <v>8.4</v>
      </c>
      <c r="AI841" s="76">
        <v>0.48989794855663549</v>
      </c>
      <c r="AJ841" s="77">
        <v>-0.81649658092772703</v>
      </c>
      <c r="AK841" s="77">
        <v>2</v>
      </c>
      <c r="AL841" s="76"/>
      <c r="AM841" s="76"/>
      <c r="AN841" s="77"/>
      <c r="AO841" s="77"/>
      <c r="AP841" s="76"/>
      <c r="AQ841" s="76"/>
      <c r="AR841" s="77"/>
      <c r="AS841" s="77"/>
      <c r="AT841" s="78">
        <v>0.4375</v>
      </c>
    </row>
    <row r="842" spans="1:46" ht="12.5" x14ac:dyDescent="0.25">
      <c r="A842" s="79">
        <v>44860.344722187496</v>
      </c>
      <c r="B842" s="80" t="s">
        <v>21</v>
      </c>
      <c r="C842" s="80" t="str">
        <f>INDEX(TBL_Name,MATCH(Table2[[#This Row],[Athlete Name]],listNames,0),2)</f>
        <v>Athlete 13</v>
      </c>
      <c r="D842" s="80" t="s">
        <v>150</v>
      </c>
      <c r="E842" s="80">
        <v>8</v>
      </c>
      <c r="F842" s="80">
        <v>8</v>
      </c>
      <c r="G842" s="80">
        <v>8</v>
      </c>
      <c r="H842" s="80"/>
      <c r="I842" s="80">
        <v>9</v>
      </c>
      <c r="J842" s="80"/>
      <c r="K842" s="80"/>
      <c r="L842" s="80"/>
      <c r="M842" s="1" t="s">
        <v>1206</v>
      </c>
      <c r="N842" s="1">
        <v>44</v>
      </c>
      <c r="O842" s="1">
        <v>12</v>
      </c>
      <c r="P842" s="13">
        <v>44860</v>
      </c>
      <c r="Q842" s="1" t="s">
        <v>133</v>
      </c>
      <c r="R842" s="1" t="s">
        <v>64</v>
      </c>
      <c r="S842" s="1">
        <v>3</v>
      </c>
      <c r="T842" s="1" t="s">
        <v>18</v>
      </c>
      <c r="U842" s="1" t="s">
        <v>18</v>
      </c>
      <c r="V842" s="76">
        <v>8</v>
      </c>
      <c r="W842" s="76">
        <v>0</v>
      </c>
      <c r="X842" s="77">
        <v>0</v>
      </c>
      <c r="Y842" s="77">
        <v>3</v>
      </c>
      <c r="Z842" s="76">
        <v>8</v>
      </c>
      <c r="AA842" s="76">
        <v>0.70710678118654757</v>
      </c>
      <c r="AB842" s="77">
        <v>0</v>
      </c>
      <c r="AC842" s="77">
        <v>3</v>
      </c>
      <c r="AD842" s="76">
        <v>7.75</v>
      </c>
      <c r="AE842" s="76">
        <v>0.43301270189221941</v>
      </c>
      <c r="AF842" s="77">
        <v>0.57735026918962562</v>
      </c>
      <c r="AG842" s="77">
        <v>3</v>
      </c>
      <c r="AH842" s="76">
        <v>7</v>
      </c>
      <c r="AI842" s="76">
        <v>1.2247448713915889</v>
      </c>
      <c r="AJ842" s="77">
        <v>1.6329931618554523</v>
      </c>
      <c r="AK842" s="77">
        <v>4</v>
      </c>
      <c r="AL842" s="76"/>
      <c r="AM842" s="76"/>
      <c r="AN842" s="77"/>
      <c r="AO842" s="77"/>
      <c r="AP842" s="76"/>
      <c r="AQ842" s="76"/>
      <c r="AR842" s="77"/>
      <c r="AS842" s="77"/>
      <c r="AT842" s="78">
        <v>0.8125</v>
      </c>
    </row>
    <row r="843" spans="1:46" ht="12.5" x14ac:dyDescent="0.25">
      <c r="A843" s="79">
        <v>44860.372058553243</v>
      </c>
      <c r="B843" s="80" t="s">
        <v>6</v>
      </c>
      <c r="C843" s="80" t="str">
        <f>INDEX(TBL_Name,MATCH(Table2[[#This Row],[Athlete Name]],listNames,0),2)</f>
        <v>Athlete 2</v>
      </c>
      <c r="D843" s="80" t="s">
        <v>130</v>
      </c>
      <c r="E843" s="80">
        <v>9</v>
      </c>
      <c r="F843" s="80">
        <v>9</v>
      </c>
      <c r="G843" s="80">
        <v>8</v>
      </c>
      <c r="H843" s="80"/>
      <c r="I843" s="80">
        <v>8</v>
      </c>
      <c r="J843" s="80"/>
      <c r="K843" s="80"/>
      <c r="L843" s="80"/>
      <c r="M843" s="1" t="s">
        <v>1207</v>
      </c>
      <c r="N843" s="1">
        <v>44</v>
      </c>
      <c r="O843" s="1">
        <v>12</v>
      </c>
      <c r="P843" s="13">
        <v>44860</v>
      </c>
      <c r="Q843" s="1" t="s">
        <v>133</v>
      </c>
      <c r="R843" s="1" t="s">
        <v>64</v>
      </c>
      <c r="S843" s="1">
        <v>1</v>
      </c>
      <c r="T843" s="1" t="s">
        <v>5</v>
      </c>
      <c r="U843" s="1" t="s">
        <v>5</v>
      </c>
      <c r="V843" s="76">
        <v>8.6</v>
      </c>
      <c r="W843" s="76">
        <v>0.48989794855663565</v>
      </c>
      <c r="X843" s="77">
        <v>0.8164965809277267</v>
      </c>
      <c r="Y843" s="77">
        <v>3</v>
      </c>
      <c r="Z843" s="76">
        <v>8</v>
      </c>
      <c r="AA843" s="76">
        <v>1.2649110640673518</v>
      </c>
      <c r="AB843" s="77">
        <v>0.79056941504209477</v>
      </c>
      <c r="AC843" s="77">
        <v>3</v>
      </c>
      <c r="AD843" s="76">
        <v>8.4</v>
      </c>
      <c r="AE843" s="76">
        <v>0.80000000000000016</v>
      </c>
      <c r="AF843" s="77">
        <v>-0.50000000000000033</v>
      </c>
      <c r="AG843" s="77">
        <v>2</v>
      </c>
      <c r="AH843" s="76">
        <v>8.4</v>
      </c>
      <c r="AI843" s="76">
        <v>0.48989794855663565</v>
      </c>
      <c r="AJ843" s="77">
        <v>-0.8164965809277267</v>
      </c>
      <c r="AK843" s="77">
        <v>2</v>
      </c>
      <c r="AL843" s="76"/>
      <c r="AM843" s="76"/>
      <c r="AN843" s="77"/>
      <c r="AO843" s="77"/>
      <c r="AP843" s="76"/>
      <c r="AQ843" s="76"/>
      <c r="AR843" s="77"/>
      <c r="AS843" s="77"/>
      <c r="AT843" s="78">
        <v>0.625</v>
      </c>
    </row>
    <row r="844" spans="1:46" ht="12.5" x14ac:dyDescent="0.25">
      <c r="A844" s="79">
        <v>44860.382850092588</v>
      </c>
      <c r="B844" s="80" t="s">
        <v>10</v>
      </c>
      <c r="C844" s="80" t="str">
        <f>INDEX(TBL_Name,MATCH(Table2[[#This Row],[Athlete Name]],listNames,0),2)</f>
        <v>Athlete 5</v>
      </c>
      <c r="D844" s="80" t="s">
        <v>130</v>
      </c>
      <c r="E844" s="80">
        <v>9</v>
      </c>
      <c r="F844" s="80">
        <v>8</v>
      </c>
      <c r="G844" s="80">
        <v>8</v>
      </c>
      <c r="H844" s="80" t="s">
        <v>226</v>
      </c>
      <c r="I844" s="80">
        <v>8</v>
      </c>
      <c r="J844" s="80"/>
      <c r="K844" s="80"/>
      <c r="L844" s="80"/>
      <c r="M844" s="1" t="s">
        <v>1208</v>
      </c>
      <c r="N844" s="1">
        <v>44</v>
      </c>
      <c r="O844" s="1">
        <v>12</v>
      </c>
      <c r="P844" s="13">
        <v>44860</v>
      </c>
      <c r="Q844" s="1" t="s">
        <v>133</v>
      </c>
      <c r="R844" s="1" t="s">
        <v>64</v>
      </c>
      <c r="S844" s="1">
        <v>1</v>
      </c>
      <c r="T844" s="1" t="s">
        <v>11</v>
      </c>
      <c r="U844" s="1" t="s">
        <v>11</v>
      </c>
      <c r="V844" s="76">
        <v>8.75</v>
      </c>
      <c r="W844" s="76">
        <v>0.43301270189221919</v>
      </c>
      <c r="X844" s="77">
        <v>0.57735026918962595</v>
      </c>
      <c r="Y844" s="77">
        <v>3</v>
      </c>
      <c r="Z844" s="76">
        <v>8</v>
      </c>
      <c r="AA844" s="76">
        <v>0.70710678118654757</v>
      </c>
      <c r="AB844" s="77">
        <v>0</v>
      </c>
      <c r="AC844" s="77">
        <v>3</v>
      </c>
      <c r="AD844" s="76">
        <v>8</v>
      </c>
      <c r="AE844" s="76">
        <v>0.70710678118654757</v>
      </c>
      <c r="AF844" s="77">
        <v>0</v>
      </c>
      <c r="AG844" s="77">
        <v>3</v>
      </c>
      <c r="AH844" s="76">
        <v>8</v>
      </c>
      <c r="AI844" s="76">
        <v>0</v>
      </c>
      <c r="AJ844" s="77">
        <v>0</v>
      </c>
      <c r="AK844" s="77">
        <v>3</v>
      </c>
      <c r="AL844" s="76"/>
      <c r="AM844" s="76"/>
      <c r="AN844" s="77"/>
      <c r="AO844" s="77"/>
      <c r="AP844" s="76"/>
      <c r="AQ844" s="76"/>
      <c r="AR844" s="77"/>
      <c r="AS844" s="77"/>
      <c r="AT844" s="78">
        <v>0.75</v>
      </c>
    </row>
    <row r="845" spans="1:46" ht="12.5" x14ac:dyDescent="0.25">
      <c r="A845" s="79">
        <v>44861.333972175926</v>
      </c>
      <c r="B845" s="80" t="s">
        <v>21</v>
      </c>
      <c r="C845" s="80" t="str">
        <f>INDEX(TBL_Name,MATCH(Table2[[#This Row],[Athlete Name]],listNames,0),2)</f>
        <v>Athlete 13</v>
      </c>
      <c r="D845" s="80" t="s">
        <v>150</v>
      </c>
      <c r="E845" s="80">
        <v>5</v>
      </c>
      <c r="F845" s="80">
        <v>9</v>
      </c>
      <c r="G845" s="80">
        <v>8</v>
      </c>
      <c r="H845" s="80"/>
      <c r="I845" s="80">
        <v>8</v>
      </c>
      <c r="J845" s="80"/>
      <c r="K845" s="80"/>
      <c r="L845" s="80"/>
      <c r="M845" s="1" t="s">
        <v>1209</v>
      </c>
      <c r="N845" s="1">
        <v>44</v>
      </c>
      <c r="O845" s="1">
        <v>12</v>
      </c>
      <c r="P845" s="13">
        <v>44861</v>
      </c>
      <c r="Q845" s="1" t="s">
        <v>133</v>
      </c>
      <c r="R845" s="1" t="s">
        <v>64</v>
      </c>
      <c r="S845" s="1">
        <v>3</v>
      </c>
      <c r="T845" s="1" t="s">
        <v>18</v>
      </c>
      <c r="U845" s="1" t="s">
        <v>18</v>
      </c>
      <c r="V845" s="76">
        <v>7.25</v>
      </c>
      <c r="W845" s="76">
        <v>1.299038105676658</v>
      </c>
      <c r="X845" s="77">
        <v>-1.7320508075688772</v>
      </c>
      <c r="Y845" s="77">
        <v>1</v>
      </c>
      <c r="Z845" s="76">
        <v>8.25</v>
      </c>
      <c r="AA845" s="76">
        <v>0.82915619758884995</v>
      </c>
      <c r="AB845" s="77">
        <v>0.90453403373329089</v>
      </c>
      <c r="AC845" s="77">
        <v>3</v>
      </c>
      <c r="AD845" s="76">
        <v>7.75</v>
      </c>
      <c r="AE845" s="76">
        <v>0.43301270189221924</v>
      </c>
      <c r="AF845" s="77">
        <v>0.57735026918962584</v>
      </c>
      <c r="AG845" s="77">
        <v>3</v>
      </c>
      <c r="AH845" s="76">
        <v>7.5</v>
      </c>
      <c r="AI845" s="76">
        <v>1.1180339887498951</v>
      </c>
      <c r="AJ845" s="77">
        <v>0.44721359549995782</v>
      </c>
      <c r="AK845" s="77">
        <v>3</v>
      </c>
      <c r="AL845" s="76"/>
      <c r="AM845" s="76"/>
      <c r="AN845" s="77"/>
      <c r="AO845" s="77"/>
      <c r="AP845" s="76"/>
      <c r="AQ845" s="76"/>
      <c r="AR845" s="77"/>
      <c r="AS845" s="77"/>
      <c r="AT845" s="78">
        <v>0.625</v>
      </c>
    </row>
    <row r="846" spans="1:46" ht="12.5" x14ac:dyDescent="0.25">
      <c r="A846" s="79">
        <v>44861.359705312498</v>
      </c>
      <c r="B846" s="80" t="s">
        <v>17</v>
      </c>
      <c r="C846" s="80" t="str">
        <f>INDEX(TBL_Name,MATCH(Table2[[#This Row],[Athlete Name]],listNames,0),2)</f>
        <v>Athlete 10</v>
      </c>
      <c r="D846" s="80" t="s">
        <v>143</v>
      </c>
      <c r="E846" s="80">
        <v>8</v>
      </c>
      <c r="F846" s="80">
        <v>8</v>
      </c>
      <c r="G846" s="80">
        <v>9</v>
      </c>
      <c r="H846" s="80"/>
      <c r="I846" s="80">
        <v>8</v>
      </c>
      <c r="J846" s="80"/>
      <c r="K846" s="80"/>
      <c r="L846" s="80"/>
      <c r="M846" s="1" t="s">
        <v>1210</v>
      </c>
      <c r="N846" s="1">
        <v>44</v>
      </c>
      <c r="O846" s="1">
        <v>12</v>
      </c>
      <c r="P846" s="13">
        <v>44861</v>
      </c>
      <c r="Q846" s="1" t="s">
        <v>133</v>
      </c>
      <c r="R846" s="1" t="s">
        <v>64</v>
      </c>
      <c r="S846" s="1">
        <v>2</v>
      </c>
      <c r="T846" s="1" t="s">
        <v>18</v>
      </c>
      <c r="U846" s="1" t="s">
        <v>18</v>
      </c>
      <c r="V846" s="76">
        <v>8</v>
      </c>
      <c r="W846" s="76">
        <v>0</v>
      </c>
      <c r="X846" s="77">
        <v>0</v>
      </c>
      <c r="Y846" s="77">
        <v>3</v>
      </c>
      <c r="Z846" s="76">
        <v>8</v>
      </c>
      <c r="AA846" s="76">
        <v>0</v>
      </c>
      <c r="AB846" s="77">
        <v>0</v>
      </c>
      <c r="AC846" s="77">
        <v>3</v>
      </c>
      <c r="AD846" s="76">
        <v>9</v>
      </c>
      <c r="AE846" s="76">
        <v>0</v>
      </c>
      <c r="AF846" s="77">
        <v>0</v>
      </c>
      <c r="AG846" s="77">
        <v>3</v>
      </c>
      <c r="AH846" s="76">
        <v>8</v>
      </c>
      <c r="AI846" s="76">
        <v>0</v>
      </c>
      <c r="AJ846" s="77">
        <v>0</v>
      </c>
      <c r="AK846" s="77">
        <v>3</v>
      </c>
      <c r="AL846" s="76"/>
      <c r="AM846" s="76"/>
      <c r="AN846" s="77"/>
      <c r="AO846" s="77"/>
      <c r="AP846" s="76"/>
      <c r="AQ846" s="76"/>
      <c r="AR846" s="77"/>
      <c r="AS846" s="77"/>
      <c r="AT846" s="78">
        <v>0.75</v>
      </c>
    </row>
    <row r="847" spans="1:46" ht="12.5" x14ac:dyDescent="0.25">
      <c r="A847" s="79">
        <v>44861.384028182874</v>
      </c>
      <c r="B847" s="80" t="s">
        <v>6</v>
      </c>
      <c r="C847" s="80" t="str">
        <f>INDEX(TBL_Name,MATCH(Table2[[#This Row],[Athlete Name]],listNames,0),2)</f>
        <v>Athlete 2</v>
      </c>
      <c r="D847" s="80" t="s">
        <v>143</v>
      </c>
      <c r="E847" s="80">
        <v>8</v>
      </c>
      <c r="F847" s="80">
        <v>9</v>
      </c>
      <c r="G847" s="80">
        <v>8</v>
      </c>
      <c r="H847" s="80" t="s">
        <v>287</v>
      </c>
      <c r="I847" s="80">
        <v>8</v>
      </c>
      <c r="J847" s="80"/>
      <c r="K847" s="80"/>
      <c r="L847" s="80"/>
      <c r="M847" s="1" t="s">
        <v>1211</v>
      </c>
      <c r="N847" s="1">
        <v>44</v>
      </c>
      <c r="O847" s="1">
        <v>12</v>
      </c>
      <c r="P847" s="13">
        <v>44861</v>
      </c>
      <c r="Q847" s="1" t="s">
        <v>133</v>
      </c>
      <c r="R847" s="1" t="s">
        <v>64</v>
      </c>
      <c r="S847" s="1">
        <v>2</v>
      </c>
      <c r="T847" s="1" t="s">
        <v>5</v>
      </c>
      <c r="U847" s="1" t="s">
        <v>5</v>
      </c>
      <c r="V847" s="76">
        <v>8.5</v>
      </c>
      <c r="W847" s="76">
        <v>0.5</v>
      </c>
      <c r="X847" s="77">
        <v>-1</v>
      </c>
      <c r="Y847" s="77">
        <v>1</v>
      </c>
      <c r="Z847" s="76">
        <v>8.1666666666666661</v>
      </c>
      <c r="AA847" s="76">
        <v>1.2133516482134199</v>
      </c>
      <c r="AB847" s="77">
        <v>0.68680281974344548</v>
      </c>
      <c r="AC847" s="77">
        <v>3</v>
      </c>
      <c r="AD847" s="76">
        <v>8.3333333333333339</v>
      </c>
      <c r="AE847" s="76">
        <v>0.74535599249993001</v>
      </c>
      <c r="AF847" s="77">
        <v>-0.44721359549995865</v>
      </c>
      <c r="AG847" s="77">
        <v>2</v>
      </c>
      <c r="AH847" s="76">
        <v>8.3333333333333339</v>
      </c>
      <c r="AI847" s="76">
        <v>0.47140452079103179</v>
      </c>
      <c r="AJ847" s="77">
        <v>-0.70710678118654857</v>
      </c>
      <c r="AK847" s="77">
        <v>2</v>
      </c>
      <c r="AL847" s="76"/>
      <c r="AM847" s="76"/>
      <c r="AN847" s="77"/>
      <c r="AO847" s="77"/>
      <c r="AP847" s="76"/>
      <c r="AQ847" s="76"/>
      <c r="AR847" s="77"/>
      <c r="AS847" s="77"/>
      <c r="AT847" s="78">
        <v>0.5</v>
      </c>
    </row>
    <row r="848" spans="1:46" ht="12.5" x14ac:dyDescent="0.25">
      <c r="A848" s="79">
        <v>44862.326714675924</v>
      </c>
      <c r="B848" s="80" t="s">
        <v>17</v>
      </c>
      <c r="C848" s="80" t="str">
        <f>INDEX(TBL_Name,MATCH(Table2[[#This Row],[Athlete Name]],listNames,0),2)</f>
        <v>Athlete 10</v>
      </c>
      <c r="D848" s="80" t="s">
        <v>130</v>
      </c>
      <c r="E848" s="80">
        <v>7</v>
      </c>
      <c r="F848" s="80">
        <v>8</v>
      </c>
      <c r="G848" s="80">
        <v>7</v>
      </c>
      <c r="H848" s="80" t="s">
        <v>228</v>
      </c>
      <c r="I848" s="80">
        <v>8</v>
      </c>
      <c r="J848" s="80"/>
      <c r="K848" s="80"/>
      <c r="L848" s="80"/>
      <c r="M848" s="1" t="s">
        <v>1212</v>
      </c>
      <c r="N848" s="1">
        <v>44</v>
      </c>
      <c r="O848" s="1">
        <v>12</v>
      </c>
      <c r="P848" s="13">
        <v>44862</v>
      </c>
      <c r="Q848" s="1" t="s">
        <v>133</v>
      </c>
      <c r="R848" s="1" t="s">
        <v>64</v>
      </c>
      <c r="S848" s="1">
        <v>1</v>
      </c>
      <c r="T848" s="1" t="s">
        <v>18</v>
      </c>
      <c r="U848" s="1" t="s">
        <v>18</v>
      </c>
      <c r="V848" s="76">
        <v>7.5</v>
      </c>
      <c r="W848" s="76">
        <v>0.5</v>
      </c>
      <c r="X848" s="77">
        <v>-1</v>
      </c>
      <c r="Y848" s="77">
        <v>1</v>
      </c>
      <c r="Z848" s="76">
        <v>8</v>
      </c>
      <c r="AA848" s="76">
        <v>0</v>
      </c>
      <c r="AB848" s="77">
        <v>0</v>
      </c>
      <c r="AC848" s="77">
        <v>3</v>
      </c>
      <c r="AD848" s="76">
        <v>8</v>
      </c>
      <c r="AE848" s="76">
        <v>1</v>
      </c>
      <c r="AF848" s="77">
        <v>-1</v>
      </c>
      <c r="AG848" s="77">
        <v>1</v>
      </c>
      <c r="AH848" s="76">
        <v>8</v>
      </c>
      <c r="AI848" s="76">
        <v>0</v>
      </c>
      <c r="AJ848" s="77">
        <v>0</v>
      </c>
      <c r="AK848" s="77">
        <v>3</v>
      </c>
      <c r="AL848" s="76"/>
      <c r="AM848" s="76"/>
      <c r="AN848" s="77"/>
      <c r="AO848" s="77"/>
      <c r="AP848" s="76"/>
      <c r="AQ848" s="76"/>
      <c r="AR848" s="77"/>
      <c r="AS848" s="77"/>
      <c r="AT848" s="78">
        <v>0.5</v>
      </c>
    </row>
    <row r="849" spans="1:46" ht="12.5" x14ac:dyDescent="0.25">
      <c r="A849" s="79">
        <v>44862.42505943287</v>
      </c>
      <c r="B849" s="80" t="s">
        <v>10</v>
      </c>
      <c r="C849" s="80" t="str">
        <f>INDEX(TBL_Name,MATCH(Table2[[#This Row],[Athlete Name]],listNames,0),2)</f>
        <v>Athlete 5</v>
      </c>
      <c r="D849" s="80" t="s">
        <v>130</v>
      </c>
      <c r="E849" s="80">
        <v>9</v>
      </c>
      <c r="F849" s="80">
        <v>8</v>
      </c>
      <c r="G849" s="80">
        <v>8</v>
      </c>
      <c r="H849" s="80" t="s">
        <v>1213</v>
      </c>
      <c r="I849" s="80">
        <v>8</v>
      </c>
      <c r="J849" s="80"/>
      <c r="K849" s="80"/>
      <c r="L849" s="80"/>
      <c r="M849" s="1" t="s">
        <v>1214</v>
      </c>
      <c r="N849" s="1">
        <v>44</v>
      </c>
      <c r="O849" s="1">
        <v>12</v>
      </c>
      <c r="P849" s="13">
        <v>44862</v>
      </c>
      <c r="Q849" s="1" t="s">
        <v>133</v>
      </c>
      <c r="R849" s="1" t="s">
        <v>64</v>
      </c>
      <c r="S849" s="1">
        <v>1</v>
      </c>
      <c r="T849" s="1" t="s">
        <v>11</v>
      </c>
      <c r="U849" s="1" t="s">
        <v>11</v>
      </c>
      <c r="V849" s="76">
        <v>8.75</v>
      </c>
      <c r="W849" s="76">
        <v>0.43301270189221946</v>
      </c>
      <c r="X849" s="77">
        <v>0.57735026918962562</v>
      </c>
      <c r="Y849" s="77">
        <v>3</v>
      </c>
      <c r="Z849" s="76">
        <v>8</v>
      </c>
      <c r="AA849" s="76">
        <v>0.70710678118654757</v>
      </c>
      <c r="AB849" s="77">
        <v>0</v>
      </c>
      <c r="AC849" s="77">
        <v>3</v>
      </c>
      <c r="AD849" s="76">
        <v>8</v>
      </c>
      <c r="AE849" s="76">
        <v>0.70710678118654757</v>
      </c>
      <c r="AF849" s="77">
        <v>0</v>
      </c>
      <c r="AG849" s="77">
        <v>3</v>
      </c>
      <c r="AH849" s="76">
        <v>8</v>
      </c>
      <c r="AI849" s="76">
        <v>0</v>
      </c>
      <c r="AJ849" s="77">
        <v>0</v>
      </c>
      <c r="AK849" s="77">
        <v>3</v>
      </c>
      <c r="AL849" s="76"/>
      <c r="AM849" s="76"/>
      <c r="AN849" s="77"/>
      <c r="AO849" s="77"/>
      <c r="AP849" s="76"/>
      <c r="AQ849" s="76"/>
      <c r="AR849" s="77"/>
      <c r="AS849" s="77"/>
      <c r="AT849" s="78">
        <v>0.75</v>
      </c>
    </row>
    <row r="850" spans="1:46" ht="12.5" x14ac:dyDescent="0.25">
      <c r="A850" s="79">
        <v>44862.468066770831</v>
      </c>
      <c r="B850" s="80" t="s">
        <v>6</v>
      </c>
      <c r="C850" s="80" t="str">
        <f>INDEX(TBL_Name,MATCH(Table2[[#This Row],[Athlete Name]],listNames,0),2)</f>
        <v>Athlete 2</v>
      </c>
      <c r="D850" s="80" t="s">
        <v>130</v>
      </c>
      <c r="E850" s="80">
        <v>9</v>
      </c>
      <c r="F850" s="80">
        <v>8</v>
      </c>
      <c r="G850" s="80">
        <v>9</v>
      </c>
      <c r="H850" s="80" t="s">
        <v>1215</v>
      </c>
      <c r="I850" s="80">
        <v>6</v>
      </c>
      <c r="J850" s="80"/>
      <c r="K850" s="80"/>
      <c r="L850" s="80"/>
      <c r="M850" s="1" t="s">
        <v>1216</v>
      </c>
      <c r="N850" s="1">
        <v>44</v>
      </c>
      <c r="O850" s="1">
        <v>12</v>
      </c>
      <c r="P850" s="13">
        <v>44862</v>
      </c>
      <c r="Q850" s="1" t="s">
        <v>133</v>
      </c>
      <c r="R850" s="1" t="s">
        <v>64</v>
      </c>
      <c r="S850" s="1">
        <v>1</v>
      </c>
      <c r="T850" s="1" t="s">
        <v>5</v>
      </c>
      <c r="U850" s="1" t="s">
        <v>5</v>
      </c>
      <c r="V850" s="76">
        <v>8.5</v>
      </c>
      <c r="W850" s="76">
        <v>0.5</v>
      </c>
      <c r="X850" s="77">
        <v>1</v>
      </c>
      <c r="Y850" s="77">
        <v>4</v>
      </c>
      <c r="Z850" s="76">
        <v>8</v>
      </c>
      <c r="AA850" s="76">
        <v>1.1547005383792515</v>
      </c>
      <c r="AB850" s="77">
        <v>0</v>
      </c>
      <c r="AC850" s="77">
        <v>3</v>
      </c>
      <c r="AD850" s="76">
        <v>8.3333333333333339</v>
      </c>
      <c r="AE850" s="76">
        <v>0.74535599249993001</v>
      </c>
      <c r="AF850" s="77">
        <v>0.89442719099991497</v>
      </c>
      <c r="AG850" s="77">
        <v>3</v>
      </c>
      <c r="AH850" s="76">
        <v>8</v>
      </c>
      <c r="AI850" s="76">
        <v>1</v>
      </c>
      <c r="AJ850" s="77">
        <v>-2</v>
      </c>
      <c r="AK850" s="77">
        <v>1</v>
      </c>
      <c r="AL850" s="76"/>
      <c r="AM850" s="76"/>
      <c r="AN850" s="77"/>
      <c r="AO850" s="77"/>
      <c r="AP850" s="76"/>
      <c r="AQ850" s="76"/>
      <c r="AR850" s="77"/>
      <c r="AS850" s="77"/>
      <c r="AT850" s="78">
        <v>0.6875</v>
      </c>
    </row>
    <row r="851" spans="1:46" ht="12.5" x14ac:dyDescent="0.25">
      <c r="A851" s="79">
        <v>44864.433321064818</v>
      </c>
      <c r="B851" s="80" t="s">
        <v>10</v>
      </c>
      <c r="C851" s="80" t="str">
        <f>INDEX(TBL_Name,MATCH(Table2[[#This Row],[Athlete Name]],listNames,0),2)</f>
        <v>Athlete 5</v>
      </c>
      <c r="D851" s="80" t="s">
        <v>130</v>
      </c>
      <c r="E851" s="80">
        <v>9</v>
      </c>
      <c r="F851" s="80">
        <v>9</v>
      </c>
      <c r="G851" s="80">
        <v>9</v>
      </c>
      <c r="H851" s="80" t="s">
        <v>226</v>
      </c>
      <c r="I851" s="80">
        <v>6</v>
      </c>
      <c r="J851" s="80"/>
      <c r="K851" s="80"/>
      <c r="L851" s="80"/>
      <c r="M851" s="1" t="s">
        <v>1217</v>
      </c>
      <c r="N851" s="1">
        <v>45</v>
      </c>
      <c r="O851" s="1">
        <v>13</v>
      </c>
      <c r="P851" s="13">
        <v>44864</v>
      </c>
      <c r="Q851" s="1" t="s">
        <v>133</v>
      </c>
      <c r="R851" s="1" t="s">
        <v>64</v>
      </c>
      <c r="S851" s="1">
        <v>1</v>
      </c>
      <c r="T851" s="1" t="s">
        <v>11</v>
      </c>
      <c r="U851" s="1" t="s">
        <v>11</v>
      </c>
      <c r="V851" s="76">
        <v>8.8000000000000007</v>
      </c>
      <c r="W851" s="76">
        <v>0.40000000000000008</v>
      </c>
      <c r="X851" s="77">
        <v>0.49999999999999811</v>
      </c>
      <c r="Y851" s="77">
        <v>3</v>
      </c>
      <c r="Z851" s="76">
        <v>8.1999999999999993</v>
      </c>
      <c r="AA851" s="76">
        <v>0.74833147735478833</v>
      </c>
      <c r="AB851" s="77">
        <v>1.0690449676496985</v>
      </c>
      <c r="AC851" s="77">
        <v>4</v>
      </c>
      <c r="AD851" s="76">
        <v>8.1999999999999993</v>
      </c>
      <c r="AE851" s="76">
        <v>0.74833147735478833</v>
      </c>
      <c r="AF851" s="77">
        <v>1.0690449676496985</v>
      </c>
      <c r="AG851" s="77">
        <v>4</v>
      </c>
      <c r="AH851" s="76">
        <v>7.6</v>
      </c>
      <c r="AI851" s="76">
        <v>0.79999999999999993</v>
      </c>
      <c r="AJ851" s="77">
        <v>-1.9999999999999998</v>
      </c>
      <c r="AK851" s="77">
        <v>1</v>
      </c>
      <c r="AL851" s="76"/>
      <c r="AM851" s="76"/>
      <c r="AN851" s="77"/>
      <c r="AO851" s="77"/>
      <c r="AP851" s="76"/>
      <c r="AQ851" s="76"/>
      <c r="AR851" s="77"/>
      <c r="AS851" s="77"/>
      <c r="AT851" s="78">
        <v>0.75</v>
      </c>
    </row>
    <row r="852" spans="1:46" ht="12.5" x14ac:dyDescent="0.25">
      <c r="A852" s="79">
        <v>44865.376882164353</v>
      </c>
      <c r="B852" s="80" t="s">
        <v>17</v>
      </c>
      <c r="C852" s="80" t="str">
        <f>INDEX(TBL_Name,MATCH(Table2[[#This Row],[Athlete Name]],listNames,0),2)</f>
        <v>Athlete 10</v>
      </c>
      <c r="D852" s="80" t="s">
        <v>130</v>
      </c>
      <c r="E852" s="80">
        <v>7</v>
      </c>
      <c r="F852" s="80">
        <v>7</v>
      </c>
      <c r="G852" s="80">
        <v>7</v>
      </c>
      <c r="H852" s="80" t="s">
        <v>287</v>
      </c>
      <c r="I852" s="80">
        <v>7</v>
      </c>
      <c r="J852" s="80"/>
      <c r="K852" s="80"/>
      <c r="L852" s="80"/>
      <c r="M852" s="1" t="s">
        <v>1218</v>
      </c>
      <c r="N852" s="1">
        <v>45</v>
      </c>
      <c r="O852" s="1">
        <v>13</v>
      </c>
      <c r="P852" s="13">
        <v>44865</v>
      </c>
      <c r="Q852" s="1" t="s">
        <v>133</v>
      </c>
      <c r="R852" s="1" t="s">
        <v>64</v>
      </c>
      <c r="S852" s="1">
        <v>1</v>
      </c>
      <c r="T852" s="1" t="s">
        <v>18</v>
      </c>
      <c r="U852" s="1" t="s">
        <v>18</v>
      </c>
      <c r="V852" s="76">
        <v>7.333333333333333</v>
      </c>
      <c r="W852" s="76">
        <v>0.47140452079103162</v>
      </c>
      <c r="X852" s="77">
        <v>-0.70710678118654702</v>
      </c>
      <c r="Y852" s="77">
        <v>2</v>
      </c>
      <c r="Z852" s="76">
        <v>7.666666666666667</v>
      </c>
      <c r="AA852" s="76">
        <v>0.47140452079103179</v>
      </c>
      <c r="AB852" s="77">
        <v>-1.4142135623730954</v>
      </c>
      <c r="AC852" s="77">
        <v>1</v>
      </c>
      <c r="AD852" s="76">
        <v>7.666666666666667</v>
      </c>
      <c r="AE852" s="76">
        <v>0.94280904158206336</v>
      </c>
      <c r="AF852" s="77">
        <v>-0.70710678118654779</v>
      </c>
      <c r="AG852" s="77">
        <v>2</v>
      </c>
      <c r="AH852" s="76">
        <v>7.666666666666667</v>
      </c>
      <c r="AI852" s="76">
        <v>0.47140452079103179</v>
      </c>
      <c r="AJ852" s="77">
        <v>-1.4142135623730954</v>
      </c>
      <c r="AK852" s="77">
        <v>1</v>
      </c>
      <c r="AL852" s="76"/>
      <c r="AM852" s="76"/>
      <c r="AN852" s="77"/>
      <c r="AO852" s="77"/>
      <c r="AP852" s="76"/>
      <c r="AQ852" s="76"/>
      <c r="AR852" s="77"/>
      <c r="AS852" s="77"/>
      <c r="AT852" s="78">
        <v>0.375</v>
      </c>
    </row>
    <row r="853" spans="1:46" ht="12.5" x14ac:dyDescent="0.25">
      <c r="A853" s="79">
        <v>44866.726198969904</v>
      </c>
      <c r="B853" s="80" t="s">
        <v>10</v>
      </c>
      <c r="C853" s="80" t="str">
        <f>INDEX(TBL_Name,MATCH(Table2[[#This Row],[Athlete Name]],listNames,0),2)</f>
        <v>Athlete 5</v>
      </c>
      <c r="D853" s="80" t="s">
        <v>130</v>
      </c>
      <c r="E853" s="80">
        <v>9</v>
      </c>
      <c r="F853" s="80">
        <v>7</v>
      </c>
      <c r="G853" s="80">
        <v>7</v>
      </c>
      <c r="H853" s="80" t="s">
        <v>71</v>
      </c>
      <c r="I853" s="80">
        <v>8</v>
      </c>
      <c r="J853" s="80"/>
      <c r="K853" s="80"/>
      <c r="L853" s="80"/>
      <c r="M853" s="1" t="s">
        <v>1219</v>
      </c>
      <c r="N853" s="1">
        <v>45</v>
      </c>
      <c r="O853" s="1">
        <v>13</v>
      </c>
      <c r="P853" s="13">
        <v>44866</v>
      </c>
      <c r="Q853" s="1" t="s">
        <v>133</v>
      </c>
      <c r="R853" s="1" t="s">
        <v>64</v>
      </c>
      <c r="S853" s="1">
        <v>1</v>
      </c>
      <c r="T853" s="1" t="s">
        <v>11</v>
      </c>
      <c r="U853" s="1" t="s">
        <v>11</v>
      </c>
      <c r="V853" s="76">
        <v>9</v>
      </c>
      <c r="W853" s="76">
        <v>0</v>
      </c>
      <c r="X853" s="77">
        <v>0</v>
      </c>
      <c r="Y853" s="77">
        <v>3</v>
      </c>
      <c r="Z853" s="76">
        <v>8</v>
      </c>
      <c r="AA853" s="76">
        <v>0.70710678118654757</v>
      </c>
      <c r="AB853" s="77">
        <v>-1.4142135623730949</v>
      </c>
      <c r="AC853" s="77">
        <v>1</v>
      </c>
      <c r="AD853" s="76">
        <v>8</v>
      </c>
      <c r="AE853" s="76">
        <v>0.70710678118654757</v>
      </c>
      <c r="AF853" s="77">
        <v>-1.4142135623730949</v>
      </c>
      <c r="AG853" s="77">
        <v>1</v>
      </c>
      <c r="AH853" s="76">
        <v>7.5</v>
      </c>
      <c r="AI853" s="76">
        <v>0.8660254037844386</v>
      </c>
      <c r="AJ853" s="77">
        <v>0.57735026918962584</v>
      </c>
      <c r="AK853" s="77">
        <v>3</v>
      </c>
      <c r="AL853" s="76"/>
      <c r="AM853" s="76"/>
      <c r="AN853" s="77"/>
      <c r="AO853" s="77"/>
      <c r="AP853" s="76"/>
      <c r="AQ853" s="76"/>
      <c r="AR853" s="77"/>
      <c r="AS853" s="77"/>
      <c r="AT853" s="78">
        <v>0.5</v>
      </c>
    </row>
    <row r="854" spans="1:46" ht="12.5" x14ac:dyDescent="0.25">
      <c r="A854" s="79">
        <v>44867.342914050925</v>
      </c>
      <c r="B854" s="80" t="s">
        <v>10</v>
      </c>
      <c r="C854" s="80" t="str">
        <f>INDEX(TBL_Name,MATCH(Table2[[#This Row],[Athlete Name]],listNames,0),2)</f>
        <v>Athlete 5</v>
      </c>
      <c r="D854" s="80" t="s">
        <v>130</v>
      </c>
      <c r="E854" s="80">
        <v>9</v>
      </c>
      <c r="F854" s="80">
        <v>9</v>
      </c>
      <c r="G854" s="80">
        <v>9.5</v>
      </c>
      <c r="H854" s="80" t="s">
        <v>71</v>
      </c>
      <c r="I854" s="80">
        <v>8</v>
      </c>
      <c r="J854" s="80"/>
      <c r="K854" s="80"/>
      <c r="L854" s="80"/>
      <c r="M854" s="1" t="s">
        <v>1220</v>
      </c>
      <c r="N854" s="1">
        <v>45</v>
      </c>
      <c r="O854" s="1">
        <v>13</v>
      </c>
      <c r="P854" s="13">
        <v>44867</v>
      </c>
      <c r="Q854" s="1" t="s">
        <v>133</v>
      </c>
      <c r="R854" s="1" t="s">
        <v>64</v>
      </c>
      <c r="S854" s="1">
        <v>1</v>
      </c>
      <c r="T854" s="1" t="s">
        <v>11</v>
      </c>
      <c r="U854" s="1" t="s">
        <v>11</v>
      </c>
      <c r="V854" s="76">
        <v>9</v>
      </c>
      <c r="W854" s="76">
        <v>0</v>
      </c>
      <c r="X854" s="77">
        <v>0</v>
      </c>
      <c r="Y854" s="77">
        <v>3</v>
      </c>
      <c r="Z854" s="76">
        <v>8.25</v>
      </c>
      <c r="AA854" s="76">
        <v>0.82915619758884995</v>
      </c>
      <c r="AB854" s="77">
        <v>0.90453403373329089</v>
      </c>
      <c r="AC854" s="77">
        <v>3</v>
      </c>
      <c r="AD854" s="76">
        <v>8.375</v>
      </c>
      <c r="AE854" s="76">
        <v>0.96014321848357598</v>
      </c>
      <c r="AF854" s="77">
        <v>1.1717001988274149</v>
      </c>
      <c r="AG854" s="77">
        <v>4</v>
      </c>
      <c r="AH854" s="76">
        <v>7.5</v>
      </c>
      <c r="AI854" s="76">
        <v>0.86602540378443871</v>
      </c>
      <c r="AJ854" s="77">
        <v>0.57735026918962573</v>
      </c>
      <c r="AK854" s="77">
        <v>3</v>
      </c>
      <c r="AL854" s="76"/>
      <c r="AM854" s="76"/>
      <c r="AN854" s="77"/>
      <c r="AO854" s="77"/>
      <c r="AP854" s="76"/>
      <c r="AQ854" s="76"/>
      <c r="AR854" s="77"/>
      <c r="AS854" s="77"/>
      <c r="AT854" s="78">
        <v>0.8125</v>
      </c>
    </row>
    <row r="855" spans="1:46" ht="12.5" x14ac:dyDescent="0.25">
      <c r="A855" s="79">
        <v>44868.587766898148</v>
      </c>
      <c r="B855" s="80" t="s">
        <v>10</v>
      </c>
      <c r="C855" s="80" t="str">
        <f>INDEX(TBL_Name,MATCH(Table2[[#This Row],[Athlete Name]],listNames,0),2)</f>
        <v>Athlete 5</v>
      </c>
      <c r="D855" s="80" t="s">
        <v>130</v>
      </c>
      <c r="E855" s="80">
        <v>6</v>
      </c>
      <c r="F855" s="80">
        <v>6</v>
      </c>
      <c r="G855" s="80">
        <v>6</v>
      </c>
      <c r="H855" s="80" t="s">
        <v>342</v>
      </c>
      <c r="I855" s="80">
        <v>7</v>
      </c>
      <c r="J855" s="80"/>
      <c r="K855" s="80"/>
      <c r="L855" s="80"/>
      <c r="M855" s="1" t="s">
        <v>1221</v>
      </c>
      <c r="N855" s="1">
        <v>45</v>
      </c>
      <c r="O855" s="1">
        <v>13</v>
      </c>
      <c r="P855" s="13">
        <v>44868</v>
      </c>
      <c r="Q855" s="1" t="s">
        <v>133</v>
      </c>
      <c r="R855" s="1" t="s">
        <v>64</v>
      </c>
      <c r="S855" s="1">
        <v>1</v>
      </c>
      <c r="T855" s="1" t="s">
        <v>11</v>
      </c>
      <c r="U855" s="1" t="s">
        <v>11</v>
      </c>
      <c r="V855" s="76">
        <v>8.4</v>
      </c>
      <c r="W855" s="76">
        <v>1.2000000000000002</v>
      </c>
      <c r="X855" s="77">
        <v>-2</v>
      </c>
      <c r="Y855" s="77">
        <v>1</v>
      </c>
      <c r="Z855" s="76">
        <v>7.8</v>
      </c>
      <c r="AA855" s="76">
        <v>1.16619037896906</v>
      </c>
      <c r="AB855" s="77">
        <v>-1.5434872662825796</v>
      </c>
      <c r="AC855" s="77">
        <v>1</v>
      </c>
      <c r="AD855" s="76">
        <v>7.9</v>
      </c>
      <c r="AE855" s="76">
        <v>1.2806248474865698</v>
      </c>
      <c r="AF855" s="77">
        <v>-1.4836507379417578</v>
      </c>
      <c r="AG855" s="77">
        <v>1</v>
      </c>
      <c r="AH855" s="76">
        <v>7.4</v>
      </c>
      <c r="AI855" s="76">
        <v>0.8</v>
      </c>
      <c r="AJ855" s="77">
        <v>-0.50000000000000044</v>
      </c>
      <c r="AK855" s="77">
        <v>2</v>
      </c>
      <c r="AL855" s="76"/>
      <c r="AM855" s="76"/>
      <c r="AN855" s="77"/>
      <c r="AO855" s="77"/>
      <c r="AP855" s="76"/>
      <c r="AQ855" s="76"/>
      <c r="AR855" s="77"/>
      <c r="AS855" s="77"/>
      <c r="AT855" s="78">
        <v>0.3125</v>
      </c>
    </row>
    <row r="856" spans="1:46" ht="12.5" x14ac:dyDescent="0.25">
      <c r="A856" s="79">
        <v>44869.336488715278</v>
      </c>
      <c r="B856" s="80" t="s">
        <v>17</v>
      </c>
      <c r="C856" s="80" t="str">
        <f>INDEX(TBL_Name,MATCH(Table2[[#This Row],[Athlete Name]],listNames,0),2)</f>
        <v>Athlete 10</v>
      </c>
      <c r="D856" s="80" t="s">
        <v>130</v>
      </c>
      <c r="E856" s="80">
        <v>6</v>
      </c>
      <c r="F856" s="80">
        <v>7</v>
      </c>
      <c r="G856" s="80">
        <v>7</v>
      </c>
      <c r="H856" s="80" t="s">
        <v>508</v>
      </c>
      <c r="I856" s="80">
        <v>7</v>
      </c>
      <c r="J856" s="80"/>
      <c r="K856" s="80"/>
      <c r="L856" s="80"/>
      <c r="M856" s="1" t="s">
        <v>1222</v>
      </c>
      <c r="N856" s="1">
        <v>45</v>
      </c>
      <c r="O856" s="1">
        <v>13</v>
      </c>
      <c r="P856" s="13">
        <v>44869</v>
      </c>
      <c r="Q856" s="1" t="s">
        <v>133</v>
      </c>
      <c r="R856" s="1" t="s">
        <v>64</v>
      </c>
      <c r="S856" s="1">
        <v>1</v>
      </c>
      <c r="T856" s="1" t="s">
        <v>18</v>
      </c>
      <c r="U856" s="1" t="s">
        <v>18</v>
      </c>
      <c r="V856" s="76">
        <v>6.5</v>
      </c>
      <c r="W856" s="76">
        <v>0.5</v>
      </c>
      <c r="X856" s="77">
        <v>-1</v>
      </c>
      <c r="Y856" s="77">
        <v>1</v>
      </c>
      <c r="Z856" s="76">
        <v>7</v>
      </c>
      <c r="AA856" s="76">
        <v>0</v>
      </c>
      <c r="AB856" s="77">
        <v>0</v>
      </c>
      <c r="AC856" s="77">
        <v>3</v>
      </c>
      <c r="AD856" s="76">
        <v>7</v>
      </c>
      <c r="AE856" s="76">
        <v>0</v>
      </c>
      <c r="AF856" s="77">
        <v>0</v>
      </c>
      <c r="AG856" s="77">
        <v>3</v>
      </c>
      <c r="AH856" s="76">
        <v>7</v>
      </c>
      <c r="AI856" s="76">
        <v>0</v>
      </c>
      <c r="AJ856" s="77">
        <v>0</v>
      </c>
      <c r="AK856" s="77">
        <v>3</v>
      </c>
      <c r="AL856" s="76"/>
      <c r="AM856" s="76"/>
      <c r="AN856" s="77"/>
      <c r="AO856" s="77"/>
      <c r="AP856" s="76"/>
      <c r="AQ856" s="76"/>
      <c r="AR856" s="77"/>
      <c r="AS856" s="77"/>
      <c r="AT856" s="78">
        <v>0.625</v>
      </c>
    </row>
    <row r="857" spans="1:46" ht="12.5" x14ac:dyDescent="0.25">
      <c r="A857" s="79">
        <v>44870.408153634256</v>
      </c>
      <c r="B857" s="80" t="s">
        <v>10</v>
      </c>
      <c r="C857" s="80" t="str">
        <f>INDEX(TBL_Name,MATCH(Table2[[#This Row],[Athlete Name]],listNames,0),2)</f>
        <v>Athlete 5</v>
      </c>
      <c r="D857" s="80" t="s">
        <v>130</v>
      </c>
      <c r="E857" s="80">
        <v>9</v>
      </c>
      <c r="F857" s="80">
        <v>8</v>
      </c>
      <c r="G857" s="80">
        <v>8</v>
      </c>
      <c r="H857" s="80" t="s">
        <v>342</v>
      </c>
      <c r="I857" s="80">
        <v>8</v>
      </c>
      <c r="J857" s="80"/>
      <c r="K857" s="80"/>
      <c r="L857" s="80"/>
      <c r="M857" s="1" t="s">
        <v>1223</v>
      </c>
      <c r="N857" s="1">
        <v>45</v>
      </c>
      <c r="O857" s="1">
        <v>13</v>
      </c>
      <c r="P857" s="13">
        <v>44870</v>
      </c>
      <c r="Q857" s="1" t="s">
        <v>133</v>
      </c>
      <c r="R857" s="1" t="s">
        <v>64</v>
      </c>
      <c r="S857" s="1">
        <v>1</v>
      </c>
      <c r="T857" s="1" t="s">
        <v>11</v>
      </c>
      <c r="U857" s="1" t="s">
        <v>11</v>
      </c>
      <c r="V857" s="76">
        <v>8.4</v>
      </c>
      <c r="W857" s="76">
        <v>1.2</v>
      </c>
      <c r="X857" s="77">
        <v>0.49999999999999972</v>
      </c>
      <c r="Y857" s="77">
        <v>3</v>
      </c>
      <c r="Z857" s="76">
        <v>7.8</v>
      </c>
      <c r="AA857" s="76">
        <v>1.16619037896906</v>
      </c>
      <c r="AB857" s="77">
        <v>0.17149858514250901</v>
      </c>
      <c r="AC857" s="77">
        <v>3</v>
      </c>
      <c r="AD857" s="76">
        <v>7.9</v>
      </c>
      <c r="AE857" s="76">
        <v>1.2806248474865698</v>
      </c>
      <c r="AF857" s="77">
        <v>7.8086880944302758E-2</v>
      </c>
      <c r="AG857" s="77">
        <v>3</v>
      </c>
      <c r="AH857" s="76">
        <v>7.4</v>
      </c>
      <c r="AI857" s="76">
        <v>0.79999999999999993</v>
      </c>
      <c r="AJ857" s="77">
        <v>0.74999999999999967</v>
      </c>
      <c r="AK857" s="77">
        <v>3</v>
      </c>
      <c r="AL857" s="76"/>
      <c r="AM857" s="76"/>
      <c r="AN857" s="77"/>
      <c r="AO857" s="77"/>
      <c r="AP857" s="76"/>
      <c r="AQ857" s="76"/>
      <c r="AR857" s="77"/>
      <c r="AS857" s="77"/>
      <c r="AT857" s="78">
        <v>0.75</v>
      </c>
    </row>
    <row r="858" spans="1:46" ht="12.5" x14ac:dyDescent="0.25">
      <c r="A858" s="79">
        <v>44873.379162280093</v>
      </c>
      <c r="B858" s="80" t="s">
        <v>10</v>
      </c>
      <c r="C858" s="80" t="str">
        <f>INDEX(TBL_Name,MATCH(Table2[[#This Row],[Athlete Name]],listNames,0),2)</f>
        <v>Athlete 5</v>
      </c>
      <c r="D858" s="80" t="s">
        <v>130</v>
      </c>
      <c r="E858" s="80">
        <v>9</v>
      </c>
      <c r="F858" s="80">
        <v>8</v>
      </c>
      <c r="G858" s="80">
        <v>8</v>
      </c>
      <c r="H858" s="80" t="s">
        <v>71</v>
      </c>
      <c r="I858" s="80">
        <v>9</v>
      </c>
      <c r="J858" s="80"/>
      <c r="K858" s="80"/>
      <c r="L858" s="80"/>
      <c r="M858" s="1" t="s">
        <v>1224</v>
      </c>
      <c r="N858" s="1">
        <v>46</v>
      </c>
      <c r="O858" s="1">
        <v>14</v>
      </c>
      <c r="P858" s="13">
        <v>44873</v>
      </c>
      <c r="Q858" s="1" t="s">
        <v>133</v>
      </c>
      <c r="R858" s="1" t="s">
        <v>64</v>
      </c>
      <c r="S858" s="1">
        <v>1</v>
      </c>
      <c r="T858" s="1" t="s">
        <v>11</v>
      </c>
      <c r="U858" s="1" t="s">
        <v>11</v>
      </c>
      <c r="V858" s="76">
        <v>8.25</v>
      </c>
      <c r="W858" s="76">
        <v>1.299038105676658</v>
      </c>
      <c r="X858" s="77">
        <v>0.57735026918962573</v>
      </c>
      <c r="Y858" s="77">
        <v>3</v>
      </c>
      <c r="Z858" s="76">
        <v>7.75</v>
      </c>
      <c r="AA858" s="76">
        <v>1.0897247358851683</v>
      </c>
      <c r="AB858" s="77">
        <v>0.2294157338705618</v>
      </c>
      <c r="AC858" s="77">
        <v>3</v>
      </c>
      <c r="AD858" s="76">
        <v>7.875</v>
      </c>
      <c r="AE858" s="76">
        <v>1.2437342963832749</v>
      </c>
      <c r="AF858" s="77">
        <v>0.10050378152592121</v>
      </c>
      <c r="AG858" s="77">
        <v>3</v>
      </c>
      <c r="AH858" s="76">
        <v>8</v>
      </c>
      <c r="AI858" s="76">
        <v>0.70710678118654746</v>
      </c>
      <c r="AJ858" s="77">
        <v>1.4142135623730951</v>
      </c>
      <c r="AK858" s="77">
        <v>4</v>
      </c>
      <c r="AL858" s="76"/>
      <c r="AM858" s="76"/>
      <c r="AN858" s="77"/>
      <c r="AO858" s="77"/>
      <c r="AP858" s="76"/>
      <c r="AQ858" s="76"/>
      <c r="AR858" s="77"/>
      <c r="AS858" s="77"/>
      <c r="AT858" s="78">
        <v>0.8125</v>
      </c>
    </row>
    <row r="859" spans="1:46" ht="12.5" x14ac:dyDescent="0.25">
      <c r="A859" s="79">
        <v>44874.338765960652</v>
      </c>
      <c r="B859" s="80" t="s">
        <v>17</v>
      </c>
      <c r="C859" s="80" t="str">
        <f>INDEX(TBL_Name,MATCH(Table2[[#This Row],[Athlete Name]],listNames,0),2)</f>
        <v>Athlete 10</v>
      </c>
      <c r="D859" s="80" t="s">
        <v>130</v>
      </c>
      <c r="E859" s="80">
        <v>8</v>
      </c>
      <c r="F859" s="80">
        <v>7</v>
      </c>
      <c r="G859" s="80">
        <v>7</v>
      </c>
      <c r="H859" s="80" t="s">
        <v>71</v>
      </c>
      <c r="I859" s="80">
        <v>7</v>
      </c>
      <c r="J859" s="80"/>
      <c r="K859" s="80"/>
      <c r="L859" s="80"/>
      <c r="M859" s="1" t="s">
        <v>1225</v>
      </c>
      <c r="N859" s="1">
        <v>46</v>
      </c>
      <c r="O859" s="1">
        <v>14</v>
      </c>
      <c r="P859" s="13">
        <v>44874</v>
      </c>
      <c r="Q859" s="1" t="s">
        <v>133</v>
      </c>
      <c r="R859" s="1" t="s">
        <v>64</v>
      </c>
      <c r="S859" s="1">
        <v>1</v>
      </c>
      <c r="T859" s="1" t="s">
        <v>18</v>
      </c>
      <c r="U859" s="1" t="s">
        <v>18</v>
      </c>
      <c r="V859" s="76">
        <v>7</v>
      </c>
      <c r="W859" s="76">
        <v>1</v>
      </c>
      <c r="X859" s="77">
        <v>1</v>
      </c>
      <c r="Y859" s="77">
        <v>4</v>
      </c>
      <c r="Z859" s="76">
        <v>7</v>
      </c>
      <c r="AA859" s="76">
        <v>0</v>
      </c>
      <c r="AB859" s="77">
        <v>0</v>
      </c>
      <c r="AC859" s="77">
        <v>3</v>
      </c>
      <c r="AD859" s="76">
        <v>7</v>
      </c>
      <c r="AE859" s="76">
        <v>0</v>
      </c>
      <c r="AF859" s="77">
        <v>0</v>
      </c>
      <c r="AG859" s="77">
        <v>3</v>
      </c>
      <c r="AH859" s="76">
        <v>7</v>
      </c>
      <c r="AI859" s="76">
        <v>0</v>
      </c>
      <c r="AJ859" s="77">
        <v>0</v>
      </c>
      <c r="AK859" s="77">
        <v>3</v>
      </c>
      <c r="AL859" s="76"/>
      <c r="AM859" s="76"/>
      <c r="AN859" s="77"/>
      <c r="AO859" s="77"/>
      <c r="AP859" s="76"/>
      <c r="AQ859" s="76"/>
      <c r="AR859" s="77"/>
      <c r="AS859" s="77"/>
      <c r="AT859" s="78">
        <v>0.8125</v>
      </c>
    </row>
    <row r="860" spans="1:46" ht="12.5" x14ac:dyDescent="0.25">
      <c r="A860" s="79">
        <v>44875.382093414351</v>
      </c>
      <c r="B860" s="80" t="s">
        <v>10</v>
      </c>
      <c r="C860" s="80" t="str">
        <f>INDEX(TBL_Name,MATCH(Table2[[#This Row],[Athlete Name]],listNames,0),2)</f>
        <v>Athlete 5</v>
      </c>
      <c r="D860" s="80" t="s">
        <v>130</v>
      </c>
      <c r="E860" s="80">
        <v>9</v>
      </c>
      <c r="F860" s="80">
        <v>8</v>
      </c>
      <c r="G860" s="80">
        <v>8</v>
      </c>
      <c r="H860" s="80" t="s">
        <v>1226</v>
      </c>
      <c r="I860" s="80">
        <v>8</v>
      </c>
      <c r="J860" s="80"/>
      <c r="K860" s="80"/>
      <c r="L860" s="80"/>
      <c r="M860" s="1" t="s">
        <v>1227</v>
      </c>
      <c r="N860" s="1">
        <v>46</v>
      </c>
      <c r="O860" s="1">
        <v>14</v>
      </c>
      <c r="P860" s="13">
        <v>44875</v>
      </c>
      <c r="Q860" s="1" t="s">
        <v>133</v>
      </c>
      <c r="R860" s="1" t="s">
        <v>64</v>
      </c>
      <c r="S860" s="1">
        <v>1</v>
      </c>
      <c r="T860" s="1" t="s">
        <v>11</v>
      </c>
      <c r="U860" s="1" t="s">
        <v>11</v>
      </c>
      <c r="V860" s="76">
        <v>9</v>
      </c>
      <c r="W860" s="76">
        <v>0</v>
      </c>
      <c r="X860" s="77">
        <v>0</v>
      </c>
      <c r="Y860" s="77">
        <v>3</v>
      </c>
      <c r="Z860" s="76">
        <v>8</v>
      </c>
      <c r="AA860" s="76">
        <v>0</v>
      </c>
      <c r="AB860" s="77">
        <v>0</v>
      </c>
      <c r="AC860" s="77">
        <v>3</v>
      </c>
      <c r="AD860" s="76">
        <v>8</v>
      </c>
      <c r="AE860" s="76">
        <v>0</v>
      </c>
      <c r="AF860" s="77">
        <v>0</v>
      </c>
      <c r="AG860" s="77">
        <v>3</v>
      </c>
      <c r="AH860" s="76">
        <v>8.3333333333333339</v>
      </c>
      <c r="AI860" s="76">
        <v>0.47140452079103179</v>
      </c>
      <c r="AJ860" s="77">
        <v>-0.70710678118654857</v>
      </c>
      <c r="AK860" s="77">
        <v>2</v>
      </c>
      <c r="AL860" s="76"/>
      <c r="AM860" s="76"/>
      <c r="AN860" s="77"/>
      <c r="AO860" s="77"/>
      <c r="AP860" s="76"/>
      <c r="AQ860" s="76"/>
      <c r="AR860" s="77"/>
      <c r="AS860" s="77"/>
      <c r="AT860" s="78">
        <v>0.6875</v>
      </c>
    </row>
    <row r="861" spans="1:46" ht="12.5" x14ac:dyDescent="0.25">
      <c r="A861" s="79">
        <v>44875.396915636578</v>
      </c>
      <c r="B861" s="80" t="s">
        <v>17</v>
      </c>
      <c r="C861" s="80" t="str">
        <f>INDEX(TBL_Name,MATCH(Table2[[#This Row],[Athlete Name]],listNames,0),2)</f>
        <v>Athlete 10</v>
      </c>
      <c r="D861" s="80" t="s">
        <v>130</v>
      </c>
      <c r="E861" s="80">
        <v>7</v>
      </c>
      <c r="F861" s="80">
        <v>5</v>
      </c>
      <c r="G861" s="80">
        <v>5</v>
      </c>
      <c r="H861" s="80" t="s">
        <v>71</v>
      </c>
      <c r="I861" s="80">
        <v>7</v>
      </c>
      <c r="J861" s="80"/>
      <c r="K861" s="80"/>
      <c r="L861" s="80"/>
      <c r="M861" s="1" t="s">
        <v>1228</v>
      </c>
      <c r="N861" s="1">
        <v>46</v>
      </c>
      <c r="O861" s="1">
        <v>14</v>
      </c>
      <c r="P861" s="13">
        <v>44875</v>
      </c>
      <c r="Q861" s="1" t="s">
        <v>133</v>
      </c>
      <c r="R861" s="1" t="s">
        <v>64</v>
      </c>
      <c r="S861" s="1">
        <v>1</v>
      </c>
      <c r="T861" s="1" t="s">
        <v>18</v>
      </c>
      <c r="U861" s="1" t="s">
        <v>18</v>
      </c>
      <c r="V861" s="76">
        <v>7</v>
      </c>
      <c r="W861" s="76">
        <v>0.81649658092772603</v>
      </c>
      <c r="X861" s="77">
        <v>0</v>
      </c>
      <c r="Y861" s="77">
        <v>3</v>
      </c>
      <c r="Z861" s="76">
        <v>6.333333333333333</v>
      </c>
      <c r="AA861" s="76">
        <v>0.94280904158206325</v>
      </c>
      <c r="AB861" s="77">
        <v>-1.4142135623730949</v>
      </c>
      <c r="AC861" s="77">
        <v>1</v>
      </c>
      <c r="AD861" s="76">
        <v>6.333333333333333</v>
      </c>
      <c r="AE861" s="76">
        <v>0.94280904158206325</v>
      </c>
      <c r="AF861" s="77">
        <v>-1.4142135623730949</v>
      </c>
      <c r="AG861" s="77">
        <v>1</v>
      </c>
      <c r="AH861" s="76">
        <v>7</v>
      </c>
      <c r="AI861" s="76">
        <v>0</v>
      </c>
      <c r="AJ861" s="77">
        <v>0</v>
      </c>
      <c r="AK861" s="77">
        <v>3</v>
      </c>
      <c r="AL861" s="76"/>
      <c r="AM861" s="76"/>
      <c r="AN861" s="77"/>
      <c r="AO861" s="77"/>
      <c r="AP861" s="76"/>
      <c r="AQ861" s="76"/>
      <c r="AR861" s="77"/>
      <c r="AS861" s="77"/>
      <c r="AT861" s="78">
        <v>0.5</v>
      </c>
    </row>
    <row r="862" spans="1:46" ht="12.5" x14ac:dyDescent="0.25">
      <c r="A862" s="79">
        <v>44877.450892233799</v>
      </c>
      <c r="B862" s="80" t="s">
        <v>10</v>
      </c>
      <c r="C862" s="80" t="str">
        <f>INDEX(TBL_Name,MATCH(Table2[[#This Row],[Athlete Name]],listNames,0),2)</f>
        <v>Athlete 5</v>
      </c>
      <c r="D862" s="80" t="s">
        <v>130</v>
      </c>
      <c r="E862" s="80">
        <v>6</v>
      </c>
      <c r="F862" s="80">
        <v>8</v>
      </c>
      <c r="G862" s="80">
        <v>8</v>
      </c>
      <c r="H862" s="80" t="s">
        <v>226</v>
      </c>
      <c r="I862" s="80">
        <v>8</v>
      </c>
      <c r="J862" s="80"/>
      <c r="K862" s="80"/>
      <c r="L862" s="80"/>
      <c r="M862" s="1" t="s">
        <v>1229</v>
      </c>
      <c r="N862" s="1">
        <v>46</v>
      </c>
      <c r="O862" s="1">
        <v>14</v>
      </c>
      <c r="P862" s="13">
        <v>44877</v>
      </c>
      <c r="Q862" s="1" t="s">
        <v>133</v>
      </c>
      <c r="R862" s="1" t="s">
        <v>64</v>
      </c>
      <c r="S862" s="1">
        <v>1</v>
      </c>
      <c r="T862" s="1" t="s">
        <v>11</v>
      </c>
      <c r="U862" s="1" t="s">
        <v>11</v>
      </c>
      <c r="V862" s="76">
        <v>8</v>
      </c>
      <c r="W862" s="76">
        <v>1.4142135623730951</v>
      </c>
      <c r="X862" s="77">
        <v>-1.4142135623730949</v>
      </c>
      <c r="Y862" s="77">
        <v>1</v>
      </c>
      <c r="Z862" s="76">
        <v>8</v>
      </c>
      <c r="AA862" s="76">
        <v>0</v>
      </c>
      <c r="AB862" s="77">
        <v>0</v>
      </c>
      <c r="AC862" s="77">
        <v>3</v>
      </c>
      <c r="AD862" s="76">
        <v>8</v>
      </c>
      <c r="AE862" s="76">
        <v>0</v>
      </c>
      <c r="AF862" s="77">
        <v>0</v>
      </c>
      <c r="AG862" s="77">
        <v>3</v>
      </c>
      <c r="AH862" s="76">
        <v>8.3333333333333339</v>
      </c>
      <c r="AI862" s="76">
        <v>0.47140452079103179</v>
      </c>
      <c r="AJ862" s="77">
        <v>-0.70710678118654857</v>
      </c>
      <c r="AK862" s="77">
        <v>2</v>
      </c>
      <c r="AL862" s="76"/>
      <c r="AM862" s="76"/>
      <c r="AN862" s="77"/>
      <c r="AO862" s="77"/>
      <c r="AP862" s="76"/>
      <c r="AQ862" s="76"/>
      <c r="AR862" s="77"/>
      <c r="AS862" s="77"/>
      <c r="AT862" s="78">
        <v>0.5625</v>
      </c>
    </row>
    <row r="863" spans="1:46" ht="12.5" x14ac:dyDescent="0.25">
      <c r="A863" s="79">
        <v>44878.356544537033</v>
      </c>
      <c r="B863" s="80" t="s">
        <v>10</v>
      </c>
      <c r="C863" s="80" t="str">
        <f>INDEX(TBL_Name,MATCH(Table2[[#This Row],[Athlete Name]],listNames,0),2)</f>
        <v>Athlete 5</v>
      </c>
      <c r="D863" s="80" t="s">
        <v>130</v>
      </c>
      <c r="E863" s="80">
        <v>4</v>
      </c>
      <c r="F863" s="80">
        <v>7</v>
      </c>
      <c r="G863" s="80">
        <v>7</v>
      </c>
      <c r="H863" s="80" t="s">
        <v>151</v>
      </c>
      <c r="I863" s="80">
        <v>6</v>
      </c>
      <c r="J863" s="80"/>
      <c r="K863" s="80"/>
      <c r="L863" s="80"/>
      <c r="M863" s="1" t="s">
        <v>1230</v>
      </c>
      <c r="N863" s="1">
        <v>47</v>
      </c>
      <c r="O863" s="1">
        <v>15</v>
      </c>
      <c r="P863" s="13">
        <v>44878</v>
      </c>
      <c r="Q863" s="1" t="s">
        <v>133</v>
      </c>
      <c r="R863" s="1" t="s">
        <v>64</v>
      </c>
      <c r="S863" s="1">
        <v>1</v>
      </c>
      <c r="T863" s="1" t="s">
        <v>11</v>
      </c>
      <c r="U863" s="1" t="s">
        <v>11</v>
      </c>
      <c r="V863" s="76">
        <v>7</v>
      </c>
      <c r="W863" s="76">
        <v>2.1213203435596424</v>
      </c>
      <c r="X863" s="77">
        <v>-1.4142135623730951</v>
      </c>
      <c r="Y863" s="77">
        <v>1</v>
      </c>
      <c r="Z863" s="76">
        <v>7.75</v>
      </c>
      <c r="AA863" s="76">
        <v>0.4330127018922193</v>
      </c>
      <c r="AB863" s="77">
        <v>-1.7320508075688774</v>
      </c>
      <c r="AC863" s="77">
        <v>1</v>
      </c>
      <c r="AD863" s="76">
        <v>7.75</v>
      </c>
      <c r="AE863" s="76">
        <v>0.4330127018922193</v>
      </c>
      <c r="AF863" s="77">
        <v>-1.7320508075688774</v>
      </c>
      <c r="AG863" s="77">
        <v>1</v>
      </c>
      <c r="AH863" s="76">
        <v>7.75</v>
      </c>
      <c r="AI863" s="76">
        <v>1.0897247358851685</v>
      </c>
      <c r="AJ863" s="77">
        <v>-1.6059101370939322</v>
      </c>
      <c r="AK863" s="77">
        <v>1</v>
      </c>
      <c r="AL863" s="76"/>
      <c r="AM863" s="76"/>
      <c r="AN863" s="77"/>
      <c r="AO863" s="77"/>
      <c r="AP863" s="76"/>
      <c r="AQ863" s="76"/>
      <c r="AR863" s="77"/>
      <c r="AS863" s="77"/>
      <c r="AT863" s="78">
        <v>0.25</v>
      </c>
    </row>
    <row r="864" spans="1:46" ht="12.5" x14ac:dyDescent="0.25">
      <c r="A864" s="79">
        <v>44878.583670254629</v>
      </c>
      <c r="B864" s="80" t="s">
        <v>17</v>
      </c>
      <c r="C864" s="80" t="str">
        <f>INDEX(TBL_Name,MATCH(Table2[[#This Row],[Athlete Name]],listNames,0),2)</f>
        <v>Athlete 10</v>
      </c>
      <c r="D864" s="80" t="s">
        <v>130</v>
      </c>
      <c r="E864" s="80">
        <v>7</v>
      </c>
      <c r="F864" s="80">
        <v>9</v>
      </c>
      <c r="G864" s="80">
        <v>10</v>
      </c>
      <c r="H864" s="80" t="s">
        <v>71</v>
      </c>
      <c r="I864" s="80">
        <v>7</v>
      </c>
      <c r="J864" s="80"/>
      <c r="K864" s="80"/>
      <c r="L864" s="80"/>
      <c r="M864" s="1" t="s">
        <v>1231</v>
      </c>
      <c r="N864" s="1">
        <v>47</v>
      </c>
      <c r="O864" s="1">
        <v>15</v>
      </c>
      <c r="P864" s="13">
        <v>44878</v>
      </c>
      <c r="Q864" s="1" t="s">
        <v>133</v>
      </c>
      <c r="R864" s="1" t="s">
        <v>64</v>
      </c>
      <c r="S864" s="1">
        <v>1</v>
      </c>
      <c r="T864" s="1" t="s">
        <v>18</v>
      </c>
      <c r="U864" s="1" t="s">
        <v>18</v>
      </c>
      <c r="V864" s="76">
        <v>7.333333333333333</v>
      </c>
      <c r="W864" s="76">
        <v>0.47140452079103162</v>
      </c>
      <c r="X864" s="77">
        <v>-0.70710678118654702</v>
      </c>
      <c r="Y864" s="77">
        <v>2</v>
      </c>
      <c r="Z864" s="76">
        <v>7</v>
      </c>
      <c r="AA864" s="76">
        <v>1.6329931618554521</v>
      </c>
      <c r="AB864" s="77">
        <v>1.2247448713915889</v>
      </c>
      <c r="AC864" s="77">
        <v>4</v>
      </c>
      <c r="AD864" s="76">
        <v>7.333333333333333</v>
      </c>
      <c r="AE864" s="76">
        <v>2.0548046676563256</v>
      </c>
      <c r="AF864" s="77">
        <v>1.2977713690461004</v>
      </c>
      <c r="AG864" s="77">
        <v>4</v>
      </c>
      <c r="AH864" s="76">
        <v>7</v>
      </c>
      <c r="AI864" s="76">
        <v>0</v>
      </c>
      <c r="AJ864" s="77">
        <v>0</v>
      </c>
      <c r="AK864" s="77">
        <v>3</v>
      </c>
      <c r="AL864" s="76"/>
      <c r="AM864" s="76"/>
      <c r="AN864" s="77"/>
      <c r="AO864" s="77"/>
      <c r="AP864" s="76"/>
      <c r="AQ864" s="76"/>
      <c r="AR864" s="77"/>
      <c r="AS864" s="77"/>
      <c r="AT864" s="78">
        <v>0.8125</v>
      </c>
    </row>
    <row r="865" spans="1:46" ht="12.5" x14ac:dyDescent="0.25">
      <c r="A865" s="79">
        <v>44879.384975277775</v>
      </c>
      <c r="B865" s="80" t="s">
        <v>10</v>
      </c>
      <c r="C865" s="80" t="str">
        <f>INDEX(TBL_Name,MATCH(Table2[[#This Row],[Athlete Name]],listNames,0),2)</f>
        <v>Athlete 5</v>
      </c>
      <c r="D865" s="80" t="s">
        <v>130</v>
      </c>
      <c r="E865" s="80">
        <v>7</v>
      </c>
      <c r="F865" s="80">
        <v>8</v>
      </c>
      <c r="G865" s="80">
        <v>8</v>
      </c>
      <c r="H865" s="80" t="s">
        <v>151</v>
      </c>
      <c r="I865" s="80">
        <v>7</v>
      </c>
      <c r="J865" s="80"/>
      <c r="K865" s="80"/>
      <c r="L865" s="80"/>
      <c r="M865" s="1" t="s">
        <v>1232</v>
      </c>
      <c r="N865" s="1">
        <v>47</v>
      </c>
      <c r="O865" s="1">
        <v>15</v>
      </c>
      <c r="P865" s="13">
        <v>44879</v>
      </c>
      <c r="Q865" s="1" t="s">
        <v>133</v>
      </c>
      <c r="R865" s="1" t="s">
        <v>64</v>
      </c>
      <c r="S865" s="1">
        <v>1</v>
      </c>
      <c r="T865" s="1" t="s">
        <v>11</v>
      </c>
      <c r="U865" s="1" t="s">
        <v>11</v>
      </c>
      <c r="V865" s="76">
        <v>7</v>
      </c>
      <c r="W865" s="76">
        <v>1.7320508075688772</v>
      </c>
      <c r="X865" s="77">
        <v>0</v>
      </c>
      <c r="Y865" s="77">
        <v>3</v>
      </c>
      <c r="Z865" s="76">
        <v>7.833333333333333</v>
      </c>
      <c r="AA865" s="76">
        <v>0.372677996249965</v>
      </c>
      <c r="AB865" s="77">
        <v>0.44721359549995865</v>
      </c>
      <c r="AC865" s="77">
        <v>3</v>
      </c>
      <c r="AD865" s="76">
        <v>7.833333333333333</v>
      </c>
      <c r="AE865" s="76">
        <v>0.372677996249965</v>
      </c>
      <c r="AF865" s="77">
        <v>0.44721359549995865</v>
      </c>
      <c r="AG865" s="77">
        <v>3</v>
      </c>
      <c r="AH865" s="76">
        <v>7.5</v>
      </c>
      <c r="AI865" s="76">
        <v>0.95742710775633821</v>
      </c>
      <c r="AJ865" s="77">
        <v>-0.5222329678670935</v>
      </c>
      <c r="AK865" s="77">
        <v>2</v>
      </c>
      <c r="AL865" s="76"/>
      <c r="AM865" s="76"/>
      <c r="AN865" s="77"/>
      <c r="AO865" s="77"/>
      <c r="AP865" s="76"/>
      <c r="AQ865" s="76"/>
      <c r="AR865" s="77"/>
      <c r="AS865" s="77"/>
      <c r="AT865" s="78">
        <v>0.6875</v>
      </c>
    </row>
    <row r="866" spans="1:46" ht="12.5" x14ac:dyDescent="0.25">
      <c r="A866" s="79">
        <v>44879.481522615737</v>
      </c>
      <c r="B866" s="80" t="s">
        <v>17</v>
      </c>
      <c r="C866" s="80" t="str">
        <f>INDEX(TBL_Name,MATCH(Table2[[#This Row],[Athlete Name]],listNames,0),2)</f>
        <v>Athlete 10</v>
      </c>
      <c r="D866" s="80" t="s">
        <v>130</v>
      </c>
      <c r="E866" s="80">
        <v>8</v>
      </c>
      <c r="F866" s="80">
        <v>7</v>
      </c>
      <c r="G866" s="80">
        <v>7</v>
      </c>
      <c r="H866" s="80" t="s">
        <v>71</v>
      </c>
      <c r="I866" s="80">
        <v>9</v>
      </c>
      <c r="J866" s="80"/>
      <c r="K866" s="80"/>
      <c r="L866" s="80"/>
      <c r="M866" s="1" t="s">
        <v>1233</v>
      </c>
      <c r="N866" s="1">
        <v>47</v>
      </c>
      <c r="O866" s="1">
        <v>15</v>
      </c>
      <c r="P866" s="13">
        <v>44879</v>
      </c>
      <c r="Q866" s="1" t="s">
        <v>133</v>
      </c>
      <c r="R866" s="1" t="s">
        <v>64</v>
      </c>
      <c r="S866" s="1">
        <v>1</v>
      </c>
      <c r="T866" s="1" t="s">
        <v>18</v>
      </c>
      <c r="U866" s="1" t="s">
        <v>18</v>
      </c>
      <c r="V866" s="76">
        <v>7.5</v>
      </c>
      <c r="W866" s="76">
        <v>0.5</v>
      </c>
      <c r="X866" s="77">
        <v>1</v>
      </c>
      <c r="Y866" s="77">
        <v>4</v>
      </c>
      <c r="Z866" s="76">
        <v>7</v>
      </c>
      <c r="AA866" s="76">
        <v>1.4142135623730951</v>
      </c>
      <c r="AB866" s="77">
        <v>0</v>
      </c>
      <c r="AC866" s="77">
        <v>3</v>
      </c>
      <c r="AD866" s="76">
        <v>7.25</v>
      </c>
      <c r="AE866" s="76">
        <v>1.7853571071357126</v>
      </c>
      <c r="AF866" s="77">
        <v>-0.14002800840280097</v>
      </c>
      <c r="AG866" s="77">
        <v>2</v>
      </c>
      <c r="AH866" s="76">
        <v>7.5</v>
      </c>
      <c r="AI866" s="76">
        <v>0.8660254037844386</v>
      </c>
      <c r="AJ866" s="77">
        <v>1.7320508075688774</v>
      </c>
      <c r="AK866" s="77">
        <v>4</v>
      </c>
      <c r="AL866" s="76"/>
      <c r="AM866" s="76"/>
      <c r="AN866" s="77"/>
      <c r="AO866" s="77"/>
      <c r="AP866" s="76"/>
      <c r="AQ866" s="76"/>
      <c r="AR866" s="77"/>
      <c r="AS866" s="77"/>
      <c r="AT866" s="78">
        <v>0.8125</v>
      </c>
    </row>
    <row r="867" spans="1:46" ht="12.5" x14ac:dyDescent="0.25">
      <c r="A867" s="79">
        <v>44879.58515431713</v>
      </c>
      <c r="B867" s="80" t="s">
        <v>10</v>
      </c>
      <c r="C867" s="80" t="str">
        <f>INDEX(TBL_Name,MATCH(Table2[[#This Row],[Athlete Name]],listNames,0),2)</f>
        <v>Athlete 5</v>
      </c>
      <c r="D867" s="80" t="s">
        <v>130</v>
      </c>
      <c r="E867" s="80">
        <v>7</v>
      </c>
      <c r="F867" s="80">
        <v>8</v>
      </c>
      <c r="G867" s="80">
        <v>8</v>
      </c>
      <c r="H867" s="80" t="s">
        <v>151</v>
      </c>
      <c r="I867" s="80">
        <v>7</v>
      </c>
      <c r="J867" s="80"/>
      <c r="K867" s="80"/>
      <c r="L867" s="80"/>
      <c r="M867" s="1" t="s">
        <v>1232</v>
      </c>
      <c r="N867" s="1">
        <v>47</v>
      </c>
      <c r="O867" s="1">
        <v>15</v>
      </c>
      <c r="P867" s="13">
        <v>44879</v>
      </c>
      <c r="Q867" s="1" t="s">
        <v>133</v>
      </c>
      <c r="R867" s="1" t="s">
        <v>64</v>
      </c>
      <c r="S867" s="1">
        <v>1</v>
      </c>
      <c r="T867" s="1" t="s">
        <v>11</v>
      </c>
      <c r="U867" s="1" t="s">
        <v>11</v>
      </c>
      <c r="V867" s="76">
        <v>7</v>
      </c>
      <c r="W867" s="76">
        <v>1.7320508075688772</v>
      </c>
      <c r="X867" s="77">
        <v>0</v>
      </c>
      <c r="Y867" s="77">
        <v>3</v>
      </c>
      <c r="Z867" s="76">
        <v>7.833333333333333</v>
      </c>
      <c r="AA867" s="76">
        <v>0.372677996249965</v>
      </c>
      <c r="AB867" s="77">
        <v>0.44721359549995865</v>
      </c>
      <c r="AC867" s="77">
        <v>3</v>
      </c>
      <c r="AD867" s="76">
        <v>7.833333333333333</v>
      </c>
      <c r="AE867" s="76">
        <v>0.372677996249965</v>
      </c>
      <c r="AF867" s="77">
        <v>0.44721359549995865</v>
      </c>
      <c r="AG867" s="77">
        <v>3</v>
      </c>
      <c r="AH867" s="76">
        <v>7.5</v>
      </c>
      <c r="AI867" s="76">
        <v>0.95742710775633821</v>
      </c>
      <c r="AJ867" s="77">
        <v>-0.5222329678670935</v>
      </c>
      <c r="AK867" s="77">
        <v>2</v>
      </c>
      <c r="AL867" s="76"/>
      <c r="AM867" s="76"/>
      <c r="AN867" s="77"/>
      <c r="AO867" s="77"/>
      <c r="AP867" s="76"/>
      <c r="AQ867" s="76"/>
      <c r="AR867" s="77"/>
      <c r="AS867" s="77"/>
      <c r="AT867" s="78">
        <v>0.6875</v>
      </c>
    </row>
    <row r="868" spans="1:46" ht="12.5" x14ac:dyDescent="0.25">
      <c r="A868" s="79">
        <v>44880.338388067132</v>
      </c>
      <c r="B868" s="80" t="s">
        <v>10</v>
      </c>
      <c r="C868" s="80" t="str">
        <f>INDEX(TBL_Name,MATCH(Table2[[#This Row],[Athlete Name]],listNames,0),2)</f>
        <v>Athlete 5</v>
      </c>
      <c r="D868" s="80" t="s">
        <v>130</v>
      </c>
      <c r="E868" s="80">
        <v>9</v>
      </c>
      <c r="F868" s="80">
        <v>6</v>
      </c>
      <c r="G868" s="80">
        <v>6</v>
      </c>
      <c r="H868" s="80" t="s">
        <v>226</v>
      </c>
      <c r="I868" s="80">
        <v>7</v>
      </c>
      <c r="J868" s="80"/>
      <c r="K868" s="80"/>
      <c r="L868" s="80"/>
      <c r="M868" s="1" t="s">
        <v>1234</v>
      </c>
      <c r="N868" s="1">
        <v>47</v>
      </c>
      <c r="O868" s="1">
        <v>15</v>
      </c>
      <c r="P868" s="13">
        <v>44880</v>
      </c>
      <c r="Q868" s="1" t="s">
        <v>133</v>
      </c>
      <c r="R868" s="1" t="s">
        <v>64</v>
      </c>
      <c r="S868" s="1">
        <v>1</v>
      </c>
      <c r="T868" s="1" t="s">
        <v>11</v>
      </c>
      <c r="U868" s="1" t="s">
        <v>11</v>
      </c>
      <c r="V868" s="76">
        <v>7</v>
      </c>
      <c r="W868" s="76">
        <v>1.7320508075688772</v>
      </c>
      <c r="X868" s="77">
        <v>1.1547005383792517</v>
      </c>
      <c r="Y868" s="77">
        <v>4</v>
      </c>
      <c r="Z868" s="76">
        <v>7.5</v>
      </c>
      <c r="AA868" s="76">
        <v>0.76376261582597338</v>
      </c>
      <c r="AB868" s="77">
        <v>-1.9639610121239313</v>
      </c>
      <c r="AC868" s="77">
        <v>1</v>
      </c>
      <c r="AD868" s="76">
        <v>7.5</v>
      </c>
      <c r="AE868" s="76">
        <v>0.76376261582597338</v>
      </c>
      <c r="AF868" s="77">
        <v>-1.9639610121239313</v>
      </c>
      <c r="AG868" s="77">
        <v>1</v>
      </c>
      <c r="AH868" s="76">
        <v>7.166666666666667</v>
      </c>
      <c r="AI868" s="76">
        <v>0.68718427093627665</v>
      </c>
      <c r="AJ868" s="77">
        <v>-0.24253562503633344</v>
      </c>
      <c r="AK868" s="77">
        <v>2</v>
      </c>
      <c r="AL868" s="76"/>
      <c r="AM868" s="76"/>
      <c r="AN868" s="77"/>
      <c r="AO868" s="77"/>
      <c r="AP868" s="76"/>
      <c r="AQ868" s="76"/>
      <c r="AR868" s="77"/>
      <c r="AS868" s="77"/>
      <c r="AT868" s="78">
        <v>0.5</v>
      </c>
    </row>
    <row r="869" spans="1:46" ht="12.5" x14ac:dyDescent="0.25">
      <c r="A869" s="79">
        <v>44882.402348807867</v>
      </c>
      <c r="B869" s="80" t="s">
        <v>10</v>
      </c>
      <c r="C869" s="80" t="str">
        <f>INDEX(TBL_Name,MATCH(Table2[[#This Row],[Athlete Name]],listNames,0),2)</f>
        <v>Athlete 5</v>
      </c>
      <c r="D869" s="80" t="s">
        <v>130</v>
      </c>
      <c r="E869" s="80">
        <v>7</v>
      </c>
      <c r="F869" s="80">
        <v>8</v>
      </c>
      <c r="G869" s="80">
        <v>8</v>
      </c>
      <c r="H869" s="80" t="s">
        <v>151</v>
      </c>
      <c r="I869" s="80">
        <v>6</v>
      </c>
      <c r="J869" s="80"/>
      <c r="K869" s="80"/>
      <c r="L869" s="80"/>
      <c r="M869" s="1" t="s">
        <v>1235</v>
      </c>
      <c r="N869" s="1">
        <v>47</v>
      </c>
      <c r="O869" s="1">
        <v>15</v>
      </c>
      <c r="P869" s="13">
        <v>44882</v>
      </c>
      <c r="Q869" s="1" t="s">
        <v>133</v>
      </c>
      <c r="R869" s="1" t="s">
        <v>64</v>
      </c>
      <c r="S869" s="1">
        <v>1</v>
      </c>
      <c r="T869" s="1" t="s">
        <v>11</v>
      </c>
      <c r="U869" s="1" t="s">
        <v>11</v>
      </c>
      <c r="V869" s="76">
        <v>6.666666666666667</v>
      </c>
      <c r="W869" s="76">
        <v>1.4907119849998596</v>
      </c>
      <c r="X869" s="77">
        <v>0.2236067977499788</v>
      </c>
      <c r="Y869" s="77">
        <v>3</v>
      </c>
      <c r="Z869" s="76">
        <v>7.5</v>
      </c>
      <c r="AA869" s="76">
        <v>0.76376261582597338</v>
      </c>
      <c r="AB869" s="77">
        <v>0.65465367070797709</v>
      </c>
      <c r="AC869" s="77">
        <v>3</v>
      </c>
      <c r="AD869" s="76">
        <v>7.5</v>
      </c>
      <c r="AE869" s="76">
        <v>0.76376261582597338</v>
      </c>
      <c r="AF869" s="77">
        <v>0.65465367070797709</v>
      </c>
      <c r="AG869" s="77">
        <v>3</v>
      </c>
      <c r="AH869" s="76">
        <v>6.833333333333333</v>
      </c>
      <c r="AI869" s="76">
        <v>0.68718427093627676</v>
      </c>
      <c r="AJ869" s="77">
        <v>-1.2126781251816645</v>
      </c>
      <c r="AK869" s="77">
        <v>1</v>
      </c>
      <c r="AL869" s="76"/>
      <c r="AM869" s="76"/>
      <c r="AN869" s="77"/>
      <c r="AO869" s="77"/>
      <c r="AP869" s="76"/>
      <c r="AQ869" s="76"/>
      <c r="AR869" s="77"/>
      <c r="AS869" s="77"/>
      <c r="AT869" s="78">
        <v>0.625</v>
      </c>
    </row>
    <row r="870" spans="1:46" ht="12.5" x14ac:dyDescent="0.25">
      <c r="A870" s="79">
        <v>44883.334051493061</v>
      </c>
      <c r="B870" s="80" t="s">
        <v>10</v>
      </c>
      <c r="C870" s="80" t="str">
        <f>INDEX(TBL_Name,MATCH(Table2[[#This Row],[Athlete Name]],listNames,0),2)</f>
        <v>Athlete 5</v>
      </c>
      <c r="D870" s="80" t="s">
        <v>130</v>
      </c>
      <c r="E870" s="80">
        <v>6</v>
      </c>
      <c r="F870" s="80">
        <v>6</v>
      </c>
      <c r="G870" s="80">
        <v>6</v>
      </c>
      <c r="H870" s="80" t="s">
        <v>569</v>
      </c>
      <c r="I870" s="80">
        <v>6</v>
      </c>
      <c r="J870" s="80"/>
      <c r="K870" s="80"/>
      <c r="L870" s="80"/>
      <c r="M870" s="1" t="s">
        <v>1236</v>
      </c>
      <c r="N870" s="1">
        <v>47</v>
      </c>
      <c r="O870" s="1">
        <v>15</v>
      </c>
      <c r="P870" s="13">
        <v>44883</v>
      </c>
      <c r="Q870" s="1" t="s">
        <v>133</v>
      </c>
      <c r="R870" s="1" t="s">
        <v>64</v>
      </c>
      <c r="S870" s="1">
        <v>1</v>
      </c>
      <c r="T870" s="1" t="s">
        <v>11</v>
      </c>
      <c r="U870" s="1" t="s">
        <v>11</v>
      </c>
      <c r="V870" s="76">
        <v>6.5714285714285712</v>
      </c>
      <c r="W870" s="76">
        <v>1.3997084244475302</v>
      </c>
      <c r="X870" s="77">
        <v>-0.40824829046386291</v>
      </c>
      <c r="Y870" s="77">
        <v>2</v>
      </c>
      <c r="Z870" s="76">
        <v>7.2857142857142856</v>
      </c>
      <c r="AA870" s="76">
        <v>0.88063057185271099</v>
      </c>
      <c r="AB870" s="77">
        <v>-1.4599927901768626</v>
      </c>
      <c r="AC870" s="77">
        <v>1</v>
      </c>
      <c r="AD870" s="76">
        <v>7.2857142857142856</v>
      </c>
      <c r="AE870" s="76">
        <v>0.88063057185271099</v>
      </c>
      <c r="AF870" s="77">
        <v>-1.4599927901768626</v>
      </c>
      <c r="AG870" s="77">
        <v>1</v>
      </c>
      <c r="AH870" s="76">
        <v>6.7142857142857144</v>
      </c>
      <c r="AI870" s="76">
        <v>0.69985421222376509</v>
      </c>
      <c r="AJ870" s="77">
        <v>-1.0206207261596578</v>
      </c>
      <c r="AK870" s="77">
        <v>1</v>
      </c>
      <c r="AL870" s="76"/>
      <c r="AM870" s="76"/>
      <c r="AN870" s="77"/>
      <c r="AO870" s="77"/>
      <c r="AP870" s="76"/>
      <c r="AQ870" s="76"/>
      <c r="AR870" s="77"/>
      <c r="AS870" s="77"/>
      <c r="AT870" s="78">
        <v>0.3125</v>
      </c>
    </row>
    <row r="871" spans="1:46" ht="12.5" x14ac:dyDescent="0.25">
      <c r="A871" s="79">
        <v>44885.647455983795</v>
      </c>
      <c r="B871" s="80" t="s">
        <v>10</v>
      </c>
      <c r="C871" s="80" t="str">
        <f>INDEX(TBL_Name,MATCH(Table2[[#This Row],[Athlete Name]],listNames,0),2)</f>
        <v>Athlete 5</v>
      </c>
      <c r="D871" s="80" t="s">
        <v>130</v>
      </c>
      <c r="E871" s="80">
        <v>5</v>
      </c>
      <c r="F871" s="80">
        <v>7</v>
      </c>
      <c r="G871" s="80">
        <v>7</v>
      </c>
      <c r="H871" s="80" t="s">
        <v>69</v>
      </c>
      <c r="I871" s="80">
        <v>6</v>
      </c>
      <c r="J871" s="80"/>
      <c r="K871" s="80"/>
      <c r="L871" s="80"/>
      <c r="M871" s="1" t="s">
        <v>1237</v>
      </c>
      <c r="N871" s="1">
        <v>48</v>
      </c>
      <c r="O871" s="1">
        <v>16</v>
      </c>
      <c r="P871" s="13">
        <v>44885</v>
      </c>
      <c r="Q871" s="1" t="s">
        <v>133</v>
      </c>
      <c r="R871" s="1" t="s">
        <v>64</v>
      </c>
      <c r="S871" s="1">
        <v>1</v>
      </c>
      <c r="T871" s="1" t="s">
        <v>11</v>
      </c>
      <c r="U871" s="1" t="s">
        <v>11</v>
      </c>
      <c r="V871" s="76">
        <v>6.833333333333333</v>
      </c>
      <c r="W871" s="76">
        <v>1.2133516482134199</v>
      </c>
      <c r="X871" s="77">
        <v>-1.5109662034355789</v>
      </c>
      <c r="Y871" s="77">
        <v>1</v>
      </c>
      <c r="Z871" s="76">
        <v>7.166666666666667</v>
      </c>
      <c r="AA871" s="76">
        <v>0.89752746785575066</v>
      </c>
      <c r="AB871" s="77">
        <v>-0.18569533817705219</v>
      </c>
      <c r="AC871" s="77">
        <v>2</v>
      </c>
      <c r="AD871" s="76">
        <v>7.166666666666667</v>
      </c>
      <c r="AE871" s="76">
        <v>0.89752746785575066</v>
      </c>
      <c r="AF871" s="77">
        <v>-0.18569533817705219</v>
      </c>
      <c r="AG871" s="77">
        <v>2</v>
      </c>
      <c r="AH871" s="76">
        <v>6.5</v>
      </c>
      <c r="AI871" s="76">
        <v>0.49999999999999989</v>
      </c>
      <c r="AJ871" s="77">
        <v>-1.0000000000000002</v>
      </c>
      <c r="AK871" s="77">
        <v>1</v>
      </c>
      <c r="AL871" s="76"/>
      <c r="AM871" s="76"/>
      <c r="AN871" s="77"/>
      <c r="AO871" s="77"/>
      <c r="AP871" s="76"/>
      <c r="AQ871" s="76"/>
      <c r="AR871" s="77"/>
      <c r="AS871" s="77"/>
      <c r="AT871" s="78">
        <v>0.375</v>
      </c>
    </row>
    <row r="872" spans="1:46" ht="12.5" x14ac:dyDescent="0.25">
      <c r="A872" s="79">
        <v>44887.369340648147</v>
      </c>
      <c r="B872" s="80" t="s">
        <v>10</v>
      </c>
      <c r="C872" s="80" t="str">
        <f>INDEX(TBL_Name,MATCH(Table2[[#This Row],[Athlete Name]],listNames,0),2)</f>
        <v>Athlete 5</v>
      </c>
      <c r="D872" s="80" t="s">
        <v>130</v>
      </c>
      <c r="E872" s="80">
        <v>6</v>
      </c>
      <c r="F872" s="80">
        <v>7</v>
      </c>
      <c r="G872" s="80">
        <v>7</v>
      </c>
      <c r="H872" s="80" t="s">
        <v>69</v>
      </c>
      <c r="I872" s="80">
        <v>6</v>
      </c>
      <c r="J872" s="80"/>
      <c r="K872" s="80"/>
      <c r="L872" s="80"/>
      <c r="M872" s="1" t="s">
        <v>1238</v>
      </c>
      <c r="N872" s="1">
        <v>48</v>
      </c>
      <c r="O872" s="1">
        <v>16</v>
      </c>
      <c r="P872" s="13">
        <v>44887</v>
      </c>
      <c r="Q872" s="1" t="s">
        <v>133</v>
      </c>
      <c r="R872" s="1" t="s">
        <v>64</v>
      </c>
      <c r="S872" s="1">
        <v>1</v>
      </c>
      <c r="T872" s="1" t="s">
        <v>11</v>
      </c>
      <c r="U872" s="1" t="s">
        <v>11</v>
      </c>
      <c r="V872" s="76">
        <v>6</v>
      </c>
      <c r="W872" s="76">
        <v>0.70710678118654757</v>
      </c>
      <c r="X872" s="77">
        <v>0</v>
      </c>
      <c r="Y872" s="77">
        <v>3</v>
      </c>
      <c r="Z872" s="76">
        <v>7</v>
      </c>
      <c r="AA872" s="76">
        <v>0.70710678118654757</v>
      </c>
      <c r="AB872" s="77">
        <v>0</v>
      </c>
      <c r="AC872" s="77">
        <v>3</v>
      </c>
      <c r="AD872" s="76">
        <v>7</v>
      </c>
      <c r="AE872" s="76">
        <v>0.70710678118654757</v>
      </c>
      <c r="AF872" s="77">
        <v>0</v>
      </c>
      <c r="AG872" s="77">
        <v>3</v>
      </c>
      <c r="AH872" s="76">
        <v>6</v>
      </c>
      <c r="AI872" s="76">
        <v>0</v>
      </c>
      <c r="AJ872" s="77">
        <v>0</v>
      </c>
      <c r="AK872" s="77">
        <v>3</v>
      </c>
      <c r="AL872" s="76"/>
      <c r="AM872" s="76"/>
      <c r="AN872" s="77"/>
      <c r="AO872" s="77"/>
      <c r="AP872" s="76"/>
      <c r="AQ872" s="76"/>
      <c r="AR872" s="77"/>
      <c r="AS872" s="77"/>
      <c r="AT872" s="78">
        <v>0.75</v>
      </c>
    </row>
    <row r="873" spans="1:46" ht="12.5" x14ac:dyDescent="0.25">
      <c r="A873" s="79">
        <v>44888.335779259258</v>
      </c>
      <c r="B873" s="80" t="s">
        <v>10</v>
      </c>
      <c r="C873" s="80" t="str">
        <f>INDEX(TBL_Name,MATCH(Table2[[#This Row],[Athlete Name]],listNames,0),2)</f>
        <v>Athlete 5</v>
      </c>
      <c r="D873" s="80" t="s">
        <v>130</v>
      </c>
      <c r="E873" s="80">
        <v>5</v>
      </c>
      <c r="F873" s="80">
        <v>5</v>
      </c>
      <c r="G873" s="80">
        <v>5</v>
      </c>
      <c r="H873" s="80" t="s">
        <v>69</v>
      </c>
      <c r="I873" s="80">
        <v>4</v>
      </c>
      <c r="J873" s="80"/>
      <c r="K873" s="80"/>
      <c r="L873" s="80"/>
      <c r="M873" s="1" t="s">
        <v>1239</v>
      </c>
      <c r="N873" s="1">
        <v>48</v>
      </c>
      <c r="O873" s="1">
        <v>16</v>
      </c>
      <c r="P873" s="13">
        <v>44888</v>
      </c>
      <c r="Q873" s="1" t="s">
        <v>133</v>
      </c>
      <c r="R873" s="1" t="s">
        <v>64</v>
      </c>
      <c r="S873" s="1">
        <v>1</v>
      </c>
      <c r="T873" s="1" t="s">
        <v>11</v>
      </c>
      <c r="U873" s="1" t="s">
        <v>11</v>
      </c>
      <c r="V873" s="76">
        <v>5.8</v>
      </c>
      <c r="W873" s="76">
        <v>0.74833147735478822</v>
      </c>
      <c r="X873" s="77">
        <v>-1.0690449676496974</v>
      </c>
      <c r="Y873" s="77">
        <v>1</v>
      </c>
      <c r="Z873" s="76">
        <v>6.6</v>
      </c>
      <c r="AA873" s="76">
        <v>1.0198039027185568</v>
      </c>
      <c r="AB873" s="77">
        <v>-1.5689290811054721</v>
      </c>
      <c r="AC873" s="77">
        <v>1</v>
      </c>
      <c r="AD873" s="76">
        <v>6.6</v>
      </c>
      <c r="AE873" s="76">
        <v>1.0198039027185568</v>
      </c>
      <c r="AF873" s="77">
        <v>-1.5689290811054721</v>
      </c>
      <c r="AG873" s="77">
        <v>1</v>
      </c>
      <c r="AH873" s="76">
        <v>5.6</v>
      </c>
      <c r="AI873" s="76">
        <v>0.79999999999999993</v>
      </c>
      <c r="AJ873" s="77">
        <v>-1.9999999999999998</v>
      </c>
      <c r="AK873" s="77">
        <v>1</v>
      </c>
      <c r="AL873" s="76"/>
      <c r="AM873" s="76"/>
      <c r="AN873" s="77"/>
      <c r="AO873" s="77"/>
      <c r="AP873" s="76"/>
      <c r="AQ873" s="76"/>
      <c r="AR873" s="77"/>
      <c r="AS873" s="77"/>
      <c r="AT873" s="78">
        <v>0.25</v>
      </c>
    </row>
    <row r="874" spans="1:46" ht="12.5" x14ac:dyDescent="0.25">
      <c r="A874" s="79">
        <v>44889.350784386574</v>
      </c>
      <c r="B874" s="80" t="s">
        <v>10</v>
      </c>
      <c r="C874" s="80" t="str">
        <f>INDEX(TBL_Name,MATCH(Table2[[#This Row],[Athlete Name]],listNames,0),2)</f>
        <v>Athlete 5</v>
      </c>
      <c r="D874" s="80" t="s">
        <v>130</v>
      </c>
      <c r="E874" s="80">
        <v>3</v>
      </c>
      <c r="F874" s="80">
        <v>8</v>
      </c>
      <c r="G874" s="80">
        <v>8</v>
      </c>
      <c r="H874" s="80" t="s">
        <v>342</v>
      </c>
      <c r="I874" s="80">
        <v>6</v>
      </c>
      <c r="J874" s="80"/>
      <c r="K874" s="80"/>
      <c r="L874" s="80"/>
      <c r="M874" s="1" t="s">
        <v>1240</v>
      </c>
      <c r="N874" s="1">
        <v>48</v>
      </c>
      <c r="O874" s="1">
        <v>16</v>
      </c>
      <c r="P874" s="13">
        <v>44889</v>
      </c>
      <c r="Q874" s="1" t="s">
        <v>133</v>
      </c>
      <c r="R874" s="1" t="s">
        <v>64</v>
      </c>
      <c r="S874" s="1">
        <v>1</v>
      </c>
      <c r="T874" s="1" t="s">
        <v>11</v>
      </c>
      <c r="U874" s="1" t="s">
        <v>11</v>
      </c>
      <c r="V874" s="76">
        <v>5</v>
      </c>
      <c r="W874" s="76">
        <v>1.0954451150103321</v>
      </c>
      <c r="X874" s="77">
        <v>-1.8257418583505538</v>
      </c>
      <c r="Y874" s="77">
        <v>1</v>
      </c>
      <c r="Z874" s="76">
        <v>6.6</v>
      </c>
      <c r="AA874" s="76">
        <v>1.019803902718557</v>
      </c>
      <c r="AB874" s="77">
        <v>1.3728129459672884</v>
      </c>
      <c r="AC874" s="77">
        <v>4</v>
      </c>
      <c r="AD874" s="76">
        <v>6.6</v>
      </c>
      <c r="AE874" s="76">
        <v>1.019803902718557</v>
      </c>
      <c r="AF874" s="77">
        <v>1.3728129459672884</v>
      </c>
      <c r="AG874" s="77">
        <v>4</v>
      </c>
      <c r="AH874" s="76">
        <v>5.6</v>
      </c>
      <c r="AI874" s="76">
        <v>0.8</v>
      </c>
      <c r="AJ874" s="77">
        <v>0.50000000000000044</v>
      </c>
      <c r="AK874" s="77">
        <v>3</v>
      </c>
      <c r="AL874" s="76"/>
      <c r="AM874" s="76"/>
      <c r="AN874" s="77"/>
      <c r="AO874" s="77"/>
      <c r="AP874" s="76"/>
      <c r="AQ874" s="76"/>
      <c r="AR874" s="77"/>
      <c r="AS874" s="77"/>
      <c r="AT874" s="78">
        <v>0.75</v>
      </c>
    </row>
    <row r="875" spans="1:46" ht="12.5" x14ac:dyDescent="0.25">
      <c r="A875" s="79">
        <v>44893.521851099533</v>
      </c>
      <c r="B875" s="80" t="s">
        <v>10</v>
      </c>
      <c r="C875" s="80" t="str">
        <f>INDEX(TBL_Name,MATCH(Table2[[#This Row],[Athlete Name]],listNames,0),2)</f>
        <v>Athlete 5</v>
      </c>
      <c r="D875" s="80" t="s">
        <v>130</v>
      </c>
      <c r="E875" s="80">
        <v>6</v>
      </c>
      <c r="F875" s="80">
        <v>8</v>
      </c>
      <c r="G875" s="80">
        <v>8</v>
      </c>
      <c r="H875" s="80" t="s">
        <v>151</v>
      </c>
      <c r="I875" s="80">
        <v>5</v>
      </c>
      <c r="J875" s="80"/>
      <c r="K875" s="80"/>
      <c r="L875" s="80"/>
      <c r="M875" s="1" t="s">
        <v>1241</v>
      </c>
      <c r="N875" s="1">
        <v>49</v>
      </c>
      <c r="O875" s="1">
        <v>17</v>
      </c>
      <c r="P875" s="13">
        <v>44893</v>
      </c>
      <c r="Q875" s="1" t="s">
        <v>133</v>
      </c>
      <c r="R875" s="1" t="s">
        <v>64</v>
      </c>
      <c r="S875" s="1">
        <v>1</v>
      </c>
      <c r="T875" s="1" t="s">
        <v>11</v>
      </c>
      <c r="U875" s="1" t="s">
        <v>11</v>
      </c>
      <c r="V875" s="76">
        <v>5</v>
      </c>
      <c r="W875" s="76">
        <v>1.2247448713915892</v>
      </c>
      <c r="X875" s="77">
        <v>0.81649658092772592</v>
      </c>
      <c r="Y875" s="77">
        <v>3</v>
      </c>
      <c r="Z875" s="76">
        <v>7</v>
      </c>
      <c r="AA875" s="76">
        <v>1.2247448713915889</v>
      </c>
      <c r="AB875" s="77">
        <v>0.81649658092772615</v>
      </c>
      <c r="AC875" s="77">
        <v>3</v>
      </c>
      <c r="AD875" s="76">
        <v>7</v>
      </c>
      <c r="AE875" s="76">
        <v>1.2247448713915889</v>
      </c>
      <c r="AF875" s="77">
        <v>0.81649658092772615</v>
      </c>
      <c r="AG875" s="77">
        <v>3</v>
      </c>
      <c r="AH875" s="76">
        <v>5.25</v>
      </c>
      <c r="AI875" s="76">
        <v>0.82915619758884995</v>
      </c>
      <c r="AJ875" s="77">
        <v>-0.30151134457776363</v>
      </c>
      <c r="AK875" s="77">
        <v>2</v>
      </c>
      <c r="AL875" s="76"/>
      <c r="AM875" s="76"/>
      <c r="AN875" s="77"/>
      <c r="AO875" s="77"/>
      <c r="AP875" s="76"/>
      <c r="AQ875" s="76"/>
      <c r="AR875" s="77"/>
      <c r="AS875" s="77"/>
      <c r="AT875" s="78">
        <v>0.6875</v>
      </c>
    </row>
    <row r="876" spans="1:46" ht="12.5" x14ac:dyDescent="0.25">
      <c r="A876" s="79">
        <v>44897.337471423612</v>
      </c>
      <c r="B876" s="80" t="s">
        <v>10</v>
      </c>
      <c r="C876" s="80" t="str">
        <f>INDEX(TBL_Name,MATCH(Table2[[#This Row],[Athlete Name]],listNames,0),2)</f>
        <v>Athlete 5</v>
      </c>
      <c r="D876" s="80" t="s">
        <v>130</v>
      </c>
      <c r="E876" s="80">
        <v>4</v>
      </c>
      <c r="F876" s="80">
        <v>6</v>
      </c>
      <c r="G876" s="80">
        <v>6</v>
      </c>
      <c r="H876" s="80" t="s">
        <v>131</v>
      </c>
      <c r="I876" s="80">
        <v>6</v>
      </c>
      <c r="J876" s="80"/>
      <c r="K876" s="80"/>
      <c r="L876" s="80"/>
      <c r="M876" s="1" t="s">
        <v>1242</v>
      </c>
      <c r="N876" s="1">
        <v>49</v>
      </c>
      <c r="O876" s="1">
        <v>48</v>
      </c>
      <c r="P876" s="13">
        <v>44897</v>
      </c>
      <c r="Q876" s="1" t="s">
        <v>133</v>
      </c>
      <c r="R876" s="1" t="s">
        <v>31</v>
      </c>
      <c r="S876" s="1">
        <v>1</v>
      </c>
      <c r="T876" s="1" t="s">
        <v>11</v>
      </c>
      <c r="U876" s="1" t="s">
        <v>11</v>
      </c>
      <c r="V876" s="76">
        <v>5</v>
      </c>
      <c r="W876" s="76">
        <v>1</v>
      </c>
      <c r="X876" s="77">
        <v>-1</v>
      </c>
      <c r="Y876" s="77">
        <v>1</v>
      </c>
      <c r="Z876" s="76">
        <v>7</v>
      </c>
      <c r="AA876" s="76">
        <v>1</v>
      </c>
      <c r="AB876" s="77">
        <v>-1</v>
      </c>
      <c r="AC876" s="77">
        <v>1</v>
      </c>
      <c r="AD876" s="76">
        <v>7</v>
      </c>
      <c r="AE876" s="76">
        <v>1</v>
      </c>
      <c r="AF876" s="77">
        <v>-1</v>
      </c>
      <c r="AG876" s="77">
        <v>1</v>
      </c>
      <c r="AH876" s="76">
        <v>5.5</v>
      </c>
      <c r="AI876" s="76">
        <v>0.5</v>
      </c>
      <c r="AJ876" s="77">
        <v>1</v>
      </c>
      <c r="AK876" s="77">
        <v>4</v>
      </c>
      <c r="AL876" s="76"/>
      <c r="AM876" s="76"/>
      <c r="AN876" s="77"/>
      <c r="AO876" s="77"/>
      <c r="AP876" s="76"/>
      <c r="AQ876" s="76"/>
      <c r="AR876" s="77"/>
      <c r="AS876" s="77"/>
      <c r="AT876" s="78">
        <v>0.4375</v>
      </c>
    </row>
    <row r="877" spans="1:46" ht="12.5" x14ac:dyDescent="0.25">
      <c r="A877" s="79">
        <v>44935.315380324071</v>
      </c>
      <c r="B877" s="80" t="s">
        <v>10</v>
      </c>
      <c r="C877" s="80" t="str">
        <f>INDEX(TBL_Name,MATCH(Table2[[#This Row],[Athlete Name]],listNames,0),2)</f>
        <v>Athlete 5</v>
      </c>
      <c r="D877" s="80" t="s">
        <v>130</v>
      </c>
      <c r="E877" s="80">
        <v>6</v>
      </c>
      <c r="F877" s="80">
        <v>7</v>
      </c>
      <c r="G877" s="80">
        <v>7</v>
      </c>
      <c r="H877" s="80" t="s">
        <v>362</v>
      </c>
      <c r="I877" s="80">
        <v>8</v>
      </c>
      <c r="J877" s="80"/>
      <c r="K877" s="80"/>
      <c r="L877" s="80"/>
      <c r="M877" s="1" t="s">
        <v>1243</v>
      </c>
      <c r="N877" s="1">
        <v>2</v>
      </c>
      <c r="O877" s="1">
        <v>1</v>
      </c>
      <c r="P877" s="13">
        <v>44935</v>
      </c>
      <c r="Q877" s="1" t="s">
        <v>133</v>
      </c>
      <c r="R877" s="1" t="s">
        <v>31</v>
      </c>
      <c r="S877" s="1">
        <v>1</v>
      </c>
      <c r="T877" s="1" t="s">
        <v>11</v>
      </c>
      <c r="U877" s="1" t="s">
        <v>11</v>
      </c>
      <c r="V877" s="76">
        <v>6</v>
      </c>
      <c r="W877" s="76">
        <v>0</v>
      </c>
      <c r="X877" s="77">
        <v>0</v>
      </c>
      <c r="Y877" s="77">
        <v>3</v>
      </c>
      <c r="Z877" s="76">
        <v>7</v>
      </c>
      <c r="AA877" s="76">
        <v>0</v>
      </c>
      <c r="AB877" s="77">
        <v>0</v>
      </c>
      <c r="AC877" s="77">
        <v>3</v>
      </c>
      <c r="AD877" s="76">
        <v>7</v>
      </c>
      <c r="AE877" s="76">
        <v>0</v>
      </c>
      <c r="AF877" s="77">
        <v>0</v>
      </c>
      <c r="AG877" s="77">
        <v>3</v>
      </c>
      <c r="AH877" s="76">
        <v>8</v>
      </c>
      <c r="AI877" s="76">
        <v>0</v>
      </c>
      <c r="AJ877" s="77">
        <v>0</v>
      </c>
      <c r="AK877" s="77">
        <v>3</v>
      </c>
      <c r="AL877" s="76"/>
      <c r="AM877" s="76"/>
      <c r="AN877" s="77"/>
      <c r="AO877" s="77"/>
      <c r="AP877" s="76"/>
      <c r="AQ877" s="76"/>
      <c r="AR877" s="77"/>
      <c r="AS877" s="77"/>
      <c r="AT877" s="78">
        <v>0.75</v>
      </c>
    </row>
    <row r="878" spans="1:46" ht="12.5" x14ac:dyDescent="0.25">
      <c r="A878" s="79">
        <v>44938.333102812496</v>
      </c>
      <c r="B878" s="80" t="s">
        <v>10</v>
      </c>
      <c r="C878" s="80" t="str">
        <f>INDEX(TBL_Name,MATCH(Table2[[#This Row],[Athlete Name]],listNames,0),2)</f>
        <v>Athlete 5</v>
      </c>
      <c r="D878" s="80" t="s">
        <v>130</v>
      </c>
      <c r="E878" s="80">
        <v>4</v>
      </c>
      <c r="F878" s="80">
        <v>8</v>
      </c>
      <c r="G878" s="80">
        <v>8</v>
      </c>
      <c r="H878" s="80" t="s">
        <v>71</v>
      </c>
      <c r="I878" s="80">
        <v>8</v>
      </c>
      <c r="J878" s="80"/>
      <c r="K878" s="80"/>
      <c r="L878" s="80"/>
      <c r="M878" s="1" t="s">
        <v>1244</v>
      </c>
      <c r="N878" s="1">
        <v>2</v>
      </c>
      <c r="O878" s="1">
        <v>1</v>
      </c>
      <c r="P878" s="13">
        <v>44938</v>
      </c>
      <c r="Q878" s="1" t="s">
        <v>133</v>
      </c>
      <c r="R878" s="1" t="s">
        <v>31</v>
      </c>
      <c r="S878" s="1">
        <v>1</v>
      </c>
      <c r="T878" s="1" t="s">
        <v>11</v>
      </c>
      <c r="U878" s="1" t="s">
        <v>11</v>
      </c>
      <c r="V878" s="76">
        <v>5</v>
      </c>
      <c r="W878" s="76">
        <v>1</v>
      </c>
      <c r="X878" s="77">
        <v>-1</v>
      </c>
      <c r="Y878" s="77">
        <v>1</v>
      </c>
      <c r="Z878" s="76">
        <v>7.5</v>
      </c>
      <c r="AA878" s="76">
        <v>0.5</v>
      </c>
      <c r="AB878" s="77">
        <v>1</v>
      </c>
      <c r="AC878" s="77">
        <v>4</v>
      </c>
      <c r="AD878" s="76">
        <v>7.5</v>
      </c>
      <c r="AE878" s="76">
        <v>0.5</v>
      </c>
      <c r="AF878" s="77">
        <v>1</v>
      </c>
      <c r="AG878" s="77">
        <v>4</v>
      </c>
      <c r="AH878" s="76">
        <v>8</v>
      </c>
      <c r="AI878" s="76">
        <v>0</v>
      </c>
      <c r="AJ878" s="77">
        <v>0</v>
      </c>
      <c r="AK878" s="77">
        <v>3</v>
      </c>
      <c r="AL878" s="76"/>
      <c r="AM878" s="76"/>
      <c r="AN878" s="77"/>
      <c r="AO878" s="77"/>
      <c r="AP878" s="76"/>
      <c r="AQ878" s="76"/>
      <c r="AR878" s="77"/>
      <c r="AS878" s="77"/>
      <c r="AT878" s="78">
        <v>0.75</v>
      </c>
    </row>
    <row r="879" spans="1:46" ht="12.5" x14ac:dyDescent="0.25">
      <c r="A879" s="79">
        <v>44938.395897476847</v>
      </c>
      <c r="B879" s="80" t="s">
        <v>27</v>
      </c>
      <c r="C879" s="80" t="str">
        <f>INDEX(TBL_Name,MATCH(Table2[[#This Row],[Athlete Name]],listNames,0),2)</f>
        <v>Athlete 17</v>
      </c>
      <c r="D879" s="80" t="s">
        <v>150</v>
      </c>
      <c r="E879" s="80">
        <v>7</v>
      </c>
      <c r="F879" s="80">
        <v>6</v>
      </c>
      <c r="G879" s="80">
        <v>7</v>
      </c>
      <c r="H879" s="80" t="s">
        <v>151</v>
      </c>
      <c r="I879" s="80">
        <v>4</v>
      </c>
      <c r="J879" s="80"/>
      <c r="K879" s="80"/>
      <c r="L879" s="80"/>
      <c r="M879" s="1" t="s">
        <v>1245</v>
      </c>
      <c r="N879" s="1">
        <v>2</v>
      </c>
      <c r="O879" s="1">
        <v>1</v>
      </c>
      <c r="P879" s="13">
        <v>44938</v>
      </c>
      <c r="Q879" s="1" t="s">
        <v>133</v>
      </c>
      <c r="R879" s="1" t="s">
        <v>31</v>
      </c>
      <c r="S879" s="1">
        <v>3</v>
      </c>
      <c r="T879" s="1" t="s">
        <v>28</v>
      </c>
      <c r="U879" s="1" t="s">
        <v>28</v>
      </c>
      <c r="V879" s="76">
        <v>7</v>
      </c>
      <c r="W879" s="76">
        <v>0</v>
      </c>
      <c r="X879" s="77">
        <v>0</v>
      </c>
      <c r="Y879" s="77">
        <v>3</v>
      </c>
      <c r="Z879" s="76">
        <v>6</v>
      </c>
      <c r="AA879" s="76">
        <v>0</v>
      </c>
      <c r="AB879" s="77">
        <v>0</v>
      </c>
      <c r="AC879" s="77">
        <v>3</v>
      </c>
      <c r="AD879" s="76">
        <v>7</v>
      </c>
      <c r="AE879" s="76">
        <v>0</v>
      </c>
      <c r="AF879" s="77">
        <v>0</v>
      </c>
      <c r="AG879" s="77">
        <v>3</v>
      </c>
      <c r="AH879" s="76">
        <v>4</v>
      </c>
      <c r="AI879" s="76">
        <v>0</v>
      </c>
      <c r="AJ879" s="77">
        <v>0</v>
      </c>
      <c r="AK879" s="77">
        <v>3</v>
      </c>
      <c r="AL879" s="76"/>
      <c r="AM879" s="76"/>
      <c r="AN879" s="77"/>
      <c r="AO879" s="77"/>
      <c r="AP879" s="76"/>
      <c r="AQ879" s="76"/>
      <c r="AR879" s="77"/>
      <c r="AS879" s="77"/>
      <c r="AT879" s="78">
        <v>0.75</v>
      </c>
    </row>
    <row r="880" spans="1:46" ht="12.5" x14ac:dyDescent="0.25">
      <c r="A880" s="79">
        <v>44938.395907893515</v>
      </c>
      <c r="B880" s="80" t="s">
        <v>13</v>
      </c>
      <c r="C880" s="80" t="str">
        <f>INDEX(TBL_Name,MATCH(Table2[[#This Row],[Athlete Name]],listNames,0),2)</f>
        <v>Athlete 7</v>
      </c>
      <c r="D880" s="80" t="s">
        <v>130</v>
      </c>
      <c r="E880" s="80">
        <v>3</v>
      </c>
      <c r="F880" s="80">
        <v>7</v>
      </c>
      <c r="G880" s="80">
        <v>7</v>
      </c>
      <c r="H880" s="80" t="s">
        <v>131</v>
      </c>
      <c r="I880" s="80">
        <v>8</v>
      </c>
      <c r="J880" s="80"/>
      <c r="K880" s="80"/>
      <c r="L880" s="80"/>
      <c r="M880" s="1" t="s">
        <v>1246</v>
      </c>
      <c r="N880" s="1">
        <v>2</v>
      </c>
      <c r="O880" s="1">
        <v>1</v>
      </c>
      <c r="P880" s="13">
        <v>44938</v>
      </c>
      <c r="Q880" s="1" t="s">
        <v>133</v>
      </c>
      <c r="R880" s="1" t="s">
        <v>31</v>
      </c>
      <c r="S880" s="1">
        <v>1</v>
      </c>
      <c r="T880" s="1" t="s">
        <v>14</v>
      </c>
      <c r="U880" s="1" t="s">
        <v>14</v>
      </c>
      <c r="V880" s="76">
        <v>3</v>
      </c>
      <c r="W880" s="76">
        <v>0</v>
      </c>
      <c r="X880" s="77">
        <v>0</v>
      </c>
      <c r="Y880" s="77">
        <v>3</v>
      </c>
      <c r="Z880" s="76">
        <v>7</v>
      </c>
      <c r="AA880" s="76">
        <v>0</v>
      </c>
      <c r="AB880" s="77">
        <v>0</v>
      </c>
      <c r="AC880" s="77">
        <v>3</v>
      </c>
      <c r="AD880" s="76">
        <v>7</v>
      </c>
      <c r="AE880" s="76">
        <v>0</v>
      </c>
      <c r="AF880" s="77">
        <v>0</v>
      </c>
      <c r="AG880" s="77">
        <v>3</v>
      </c>
      <c r="AH880" s="76">
        <v>8</v>
      </c>
      <c r="AI880" s="76">
        <v>0</v>
      </c>
      <c r="AJ880" s="77">
        <v>0</v>
      </c>
      <c r="AK880" s="77">
        <v>3</v>
      </c>
      <c r="AL880" s="76"/>
      <c r="AM880" s="76"/>
      <c r="AN880" s="77"/>
      <c r="AO880" s="77"/>
      <c r="AP880" s="76"/>
      <c r="AQ880" s="76"/>
      <c r="AR880" s="77"/>
      <c r="AS880" s="77"/>
      <c r="AT880" s="78">
        <v>0.75</v>
      </c>
    </row>
    <row r="881" spans="1:46" ht="12.5" x14ac:dyDescent="0.25">
      <c r="A881" s="79">
        <v>44938.395977731481</v>
      </c>
      <c r="B881" s="80" t="s">
        <v>21</v>
      </c>
      <c r="C881" s="80" t="str">
        <f>INDEX(TBL_Name,MATCH(Table2[[#This Row],[Athlete Name]],listNames,0),2)</f>
        <v>Athlete 13</v>
      </c>
      <c r="D881" s="80" t="s">
        <v>143</v>
      </c>
      <c r="E881" s="80">
        <v>7</v>
      </c>
      <c r="F881" s="80">
        <v>7</v>
      </c>
      <c r="G881" s="80">
        <v>8</v>
      </c>
      <c r="H881" s="80" t="s">
        <v>1247</v>
      </c>
      <c r="I881" s="80">
        <v>5</v>
      </c>
      <c r="J881" s="80"/>
      <c r="K881" s="80"/>
      <c r="L881" s="80"/>
      <c r="M881" s="1" t="s">
        <v>1248</v>
      </c>
      <c r="N881" s="1">
        <v>2</v>
      </c>
      <c r="O881" s="1">
        <v>1</v>
      </c>
      <c r="P881" s="13">
        <v>44938</v>
      </c>
      <c r="Q881" s="1" t="s">
        <v>133</v>
      </c>
      <c r="R881" s="1" t="s">
        <v>31</v>
      </c>
      <c r="S881" s="1">
        <v>2</v>
      </c>
      <c r="T881" s="1" t="s">
        <v>18</v>
      </c>
      <c r="U881" s="1" t="s">
        <v>18</v>
      </c>
      <c r="V881" s="76">
        <v>7</v>
      </c>
      <c r="W881" s="76">
        <v>0</v>
      </c>
      <c r="X881" s="77">
        <v>0</v>
      </c>
      <c r="Y881" s="77">
        <v>3</v>
      </c>
      <c r="Z881" s="76">
        <v>7</v>
      </c>
      <c r="AA881" s="76">
        <v>0</v>
      </c>
      <c r="AB881" s="77">
        <v>0</v>
      </c>
      <c r="AC881" s="77">
        <v>3</v>
      </c>
      <c r="AD881" s="76">
        <v>8</v>
      </c>
      <c r="AE881" s="76">
        <v>0</v>
      </c>
      <c r="AF881" s="77">
        <v>0</v>
      </c>
      <c r="AG881" s="77">
        <v>3</v>
      </c>
      <c r="AH881" s="76">
        <v>5</v>
      </c>
      <c r="AI881" s="76">
        <v>0</v>
      </c>
      <c r="AJ881" s="77">
        <v>0</v>
      </c>
      <c r="AK881" s="77">
        <v>3</v>
      </c>
      <c r="AL881" s="76"/>
      <c r="AM881" s="76"/>
      <c r="AN881" s="77"/>
      <c r="AO881" s="77"/>
      <c r="AP881" s="76"/>
      <c r="AQ881" s="76"/>
      <c r="AR881" s="77"/>
      <c r="AS881" s="77"/>
      <c r="AT881" s="78">
        <v>0.75</v>
      </c>
    </row>
    <row r="882" spans="1:46" ht="12.5" x14ac:dyDescent="0.25">
      <c r="A882" s="79">
        <v>44938.4571587963</v>
      </c>
      <c r="B882" s="80" t="s">
        <v>6</v>
      </c>
      <c r="C882" s="80" t="str">
        <f>INDEX(TBL_Name,MATCH(Table2[[#This Row],[Athlete Name]],listNames,0),2)</f>
        <v>Athlete 2</v>
      </c>
      <c r="D882" s="80" t="s">
        <v>130</v>
      </c>
      <c r="E882" s="80">
        <v>9</v>
      </c>
      <c r="F882" s="80">
        <v>8</v>
      </c>
      <c r="G882" s="80">
        <v>8</v>
      </c>
      <c r="H882" s="80" t="s">
        <v>1249</v>
      </c>
      <c r="I882" s="80">
        <v>5</v>
      </c>
      <c r="J882" s="80"/>
      <c r="K882" s="80"/>
      <c r="L882" s="80"/>
      <c r="M882" s="1" t="s">
        <v>1250</v>
      </c>
      <c r="N882" s="1">
        <v>2</v>
      </c>
      <c r="O882" s="1">
        <v>1</v>
      </c>
      <c r="P882" s="13">
        <v>44938</v>
      </c>
      <c r="Q882" s="1" t="s">
        <v>133</v>
      </c>
      <c r="R882" s="1" t="s">
        <v>31</v>
      </c>
      <c r="S882" s="1">
        <v>1</v>
      </c>
      <c r="T882" s="1" t="s">
        <v>5</v>
      </c>
      <c r="U882" s="1" t="s">
        <v>5</v>
      </c>
      <c r="V882" s="76">
        <v>9</v>
      </c>
      <c r="W882" s="76">
        <v>0</v>
      </c>
      <c r="X882" s="77">
        <v>0</v>
      </c>
      <c r="Y882" s="77">
        <v>3</v>
      </c>
      <c r="Z882" s="76">
        <v>8</v>
      </c>
      <c r="AA882" s="76">
        <v>0</v>
      </c>
      <c r="AB882" s="77">
        <v>0</v>
      </c>
      <c r="AC882" s="77">
        <v>3</v>
      </c>
      <c r="AD882" s="76">
        <v>8</v>
      </c>
      <c r="AE882" s="76">
        <v>0</v>
      </c>
      <c r="AF882" s="77">
        <v>0</v>
      </c>
      <c r="AG882" s="77">
        <v>3</v>
      </c>
      <c r="AH882" s="76">
        <v>5</v>
      </c>
      <c r="AI882" s="76">
        <v>0</v>
      </c>
      <c r="AJ882" s="77">
        <v>0</v>
      </c>
      <c r="AK882" s="77">
        <v>3</v>
      </c>
      <c r="AL882" s="76"/>
      <c r="AM882" s="76"/>
      <c r="AN882" s="77"/>
      <c r="AO882" s="77"/>
      <c r="AP882" s="76"/>
      <c r="AQ882" s="76"/>
      <c r="AR882" s="77"/>
      <c r="AS882" s="77"/>
      <c r="AT882" s="78">
        <v>0.75</v>
      </c>
    </row>
    <row r="883" spans="1:46" ht="12.5" x14ac:dyDescent="0.25">
      <c r="A883" s="79">
        <v>44938.474621643516</v>
      </c>
      <c r="B883" s="80" t="s">
        <v>22</v>
      </c>
      <c r="C883" s="80" t="str">
        <f>INDEX(TBL_Name,MATCH(Table2[[#This Row],[Athlete Name]],listNames,0),2)</f>
        <v>Athlete 14</v>
      </c>
      <c r="D883" s="80" t="s">
        <v>130</v>
      </c>
      <c r="E883" s="80">
        <v>7</v>
      </c>
      <c r="F883" s="80">
        <v>8</v>
      </c>
      <c r="G883" s="80">
        <v>10</v>
      </c>
      <c r="H883" s="80" t="s">
        <v>674</v>
      </c>
      <c r="I883" s="80">
        <v>5</v>
      </c>
      <c r="J883" s="80"/>
      <c r="K883" s="80"/>
      <c r="L883" s="80"/>
      <c r="M883" s="1" t="s">
        <v>1251</v>
      </c>
      <c r="N883" s="1">
        <v>2</v>
      </c>
      <c r="O883" s="1">
        <v>1</v>
      </c>
      <c r="P883" s="13">
        <v>44938</v>
      </c>
      <c r="Q883" s="1" t="s">
        <v>133</v>
      </c>
      <c r="R883" s="1" t="s">
        <v>31</v>
      </c>
      <c r="S883" s="1">
        <v>1</v>
      </c>
      <c r="T883" s="1" t="s">
        <v>18</v>
      </c>
      <c r="U883" s="1" t="s">
        <v>18</v>
      </c>
      <c r="V883" s="76">
        <v>7</v>
      </c>
      <c r="W883" s="76">
        <v>0</v>
      </c>
      <c r="X883" s="77">
        <v>0</v>
      </c>
      <c r="Y883" s="77">
        <v>3</v>
      </c>
      <c r="Z883" s="76">
        <v>8</v>
      </c>
      <c r="AA883" s="76">
        <v>0</v>
      </c>
      <c r="AB883" s="77">
        <v>0</v>
      </c>
      <c r="AC883" s="77">
        <v>3</v>
      </c>
      <c r="AD883" s="76">
        <v>10</v>
      </c>
      <c r="AE883" s="76">
        <v>0</v>
      </c>
      <c r="AF883" s="77">
        <v>0</v>
      </c>
      <c r="AG883" s="77">
        <v>3</v>
      </c>
      <c r="AH883" s="76">
        <v>5</v>
      </c>
      <c r="AI883" s="76">
        <v>0</v>
      </c>
      <c r="AJ883" s="77">
        <v>0</v>
      </c>
      <c r="AK883" s="77">
        <v>3</v>
      </c>
      <c r="AL883" s="76"/>
      <c r="AM883" s="76"/>
      <c r="AN883" s="77"/>
      <c r="AO883" s="77"/>
      <c r="AP883" s="76"/>
      <c r="AQ883" s="76"/>
      <c r="AR883" s="77"/>
      <c r="AS883" s="77"/>
      <c r="AT883" s="78">
        <v>0.75</v>
      </c>
    </row>
    <row r="884" spans="1:46" ht="12.5" x14ac:dyDescent="0.25">
      <c r="A884" s="79">
        <v>44938.482802534723</v>
      </c>
      <c r="B884" s="80" t="s">
        <v>19</v>
      </c>
      <c r="C884" s="80" t="str">
        <f>INDEX(TBL_Name,MATCH(Table2[[#This Row],[Athlete Name]],listNames,0),2)</f>
        <v>Athlete 11</v>
      </c>
      <c r="D884" s="80" t="s">
        <v>130</v>
      </c>
      <c r="E884" s="80">
        <v>3</v>
      </c>
      <c r="F884" s="80">
        <v>7</v>
      </c>
      <c r="G884" s="80">
        <v>8</v>
      </c>
      <c r="H884" s="80" t="s">
        <v>1252</v>
      </c>
      <c r="I884" s="80">
        <v>5</v>
      </c>
      <c r="J884" s="80"/>
      <c r="K884" s="80"/>
      <c r="L884" s="80"/>
      <c r="M884" s="1" t="s">
        <v>1253</v>
      </c>
      <c r="N884" s="1">
        <v>2</v>
      </c>
      <c r="O884" s="1">
        <v>1</v>
      </c>
      <c r="P884" s="13">
        <v>44938</v>
      </c>
      <c r="Q884" s="1" t="s">
        <v>133</v>
      </c>
      <c r="R884" s="1" t="s">
        <v>31</v>
      </c>
      <c r="S884" s="1">
        <v>1</v>
      </c>
      <c r="T884" s="1" t="s">
        <v>18</v>
      </c>
      <c r="U884" s="1" t="s">
        <v>18</v>
      </c>
      <c r="V884" s="76">
        <v>3</v>
      </c>
      <c r="W884" s="76">
        <v>0</v>
      </c>
      <c r="X884" s="77">
        <v>0</v>
      </c>
      <c r="Y884" s="77">
        <v>3</v>
      </c>
      <c r="Z884" s="76">
        <v>7</v>
      </c>
      <c r="AA884" s="76">
        <v>0</v>
      </c>
      <c r="AB884" s="77">
        <v>0</v>
      </c>
      <c r="AC884" s="77">
        <v>3</v>
      </c>
      <c r="AD884" s="76">
        <v>8</v>
      </c>
      <c r="AE884" s="76">
        <v>0</v>
      </c>
      <c r="AF884" s="77">
        <v>0</v>
      </c>
      <c r="AG884" s="77">
        <v>3</v>
      </c>
      <c r="AH884" s="76">
        <v>5</v>
      </c>
      <c r="AI884" s="76">
        <v>0</v>
      </c>
      <c r="AJ884" s="77">
        <v>0</v>
      </c>
      <c r="AK884" s="77">
        <v>3</v>
      </c>
      <c r="AL884" s="76"/>
      <c r="AM884" s="76"/>
      <c r="AN884" s="77"/>
      <c r="AO884" s="77"/>
      <c r="AP884" s="76"/>
      <c r="AQ884" s="76"/>
      <c r="AR884" s="77"/>
      <c r="AS884" s="77"/>
      <c r="AT884" s="78">
        <v>0.75</v>
      </c>
    </row>
    <row r="885" spans="1:46" ht="12.5" x14ac:dyDescent="0.25">
      <c r="A885" s="79">
        <v>44939.321596516209</v>
      </c>
      <c r="B885" s="80" t="s">
        <v>24</v>
      </c>
      <c r="C885" s="80" t="str">
        <f>INDEX(TBL_Name,MATCH(Table2[[#This Row],[Athlete Name]],listNames,0),2)</f>
        <v>Athlete 16</v>
      </c>
      <c r="D885" s="80" t="s">
        <v>130</v>
      </c>
      <c r="E885" s="80">
        <v>8</v>
      </c>
      <c r="F885" s="80">
        <v>8</v>
      </c>
      <c r="G885" s="80">
        <v>7</v>
      </c>
      <c r="H885" s="80" t="s">
        <v>362</v>
      </c>
      <c r="I885" s="80">
        <v>4</v>
      </c>
      <c r="J885" s="80"/>
      <c r="K885" s="80"/>
      <c r="L885" s="80"/>
      <c r="M885" s="1" t="s">
        <v>1254</v>
      </c>
      <c r="N885" s="1">
        <v>2</v>
      </c>
      <c r="O885" s="1">
        <v>1</v>
      </c>
      <c r="P885" s="13">
        <v>44939</v>
      </c>
      <c r="Q885" s="1" t="s">
        <v>133</v>
      </c>
      <c r="R885" s="1" t="s">
        <v>31</v>
      </c>
      <c r="S885" s="1">
        <v>1</v>
      </c>
      <c r="T885" s="1" t="s">
        <v>18</v>
      </c>
      <c r="U885" s="1" t="s">
        <v>18</v>
      </c>
      <c r="V885" s="76">
        <v>8</v>
      </c>
      <c r="W885" s="76">
        <v>0</v>
      </c>
      <c r="X885" s="77">
        <v>0</v>
      </c>
      <c r="Y885" s="77">
        <v>3</v>
      </c>
      <c r="Z885" s="76">
        <v>8</v>
      </c>
      <c r="AA885" s="76">
        <v>0</v>
      </c>
      <c r="AB885" s="77">
        <v>0</v>
      </c>
      <c r="AC885" s="77">
        <v>3</v>
      </c>
      <c r="AD885" s="76">
        <v>7</v>
      </c>
      <c r="AE885" s="76">
        <v>0</v>
      </c>
      <c r="AF885" s="77">
        <v>0</v>
      </c>
      <c r="AG885" s="77">
        <v>3</v>
      </c>
      <c r="AH885" s="76">
        <v>4</v>
      </c>
      <c r="AI885" s="76">
        <v>0</v>
      </c>
      <c r="AJ885" s="77">
        <v>0</v>
      </c>
      <c r="AK885" s="77">
        <v>3</v>
      </c>
      <c r="AL885" s="76"/>
      <c r="AM885" s="76"/>
      <c r="AN885" s="77"/>
      <c r="AO885" s="77"/>
      <c r="AP885" s="76"/>
      <c r="AQ885" s="76"/>
      <c r="AR885" s="77"/>
      <c r="AS885" s="77"/>
      <c r="AT885" s="78">
        <v>0.75</v>
      </c>
    </row>
    <row r="886" spans="1:46" ht="12.5" x14ac:dyDescent="0.25">
      <c r="A886" s="79">
        <v>44939.346370046296</v>
      </c>
      <c r="B886" s="80" t="s">
        <v>10</v>
      </c>
      <c r="C886" s="80" t="str">
        <f>INDEX(TBL_Name,MATCH(Table2[[#This Row],[Athlete Name]],listNames,0),2)</f>
        <v>Athlete 5</v>
      </c>
      <c r="D886" s="80" t="s">
        <v>130</v>
      </c>
      <c r="E886" s="80">
        <v>6</v>
      </c>
      <c r="F886" s="80">
        <v>8</v>
      </c>
      <c r="G886" s="80">
        <v>8</v>
      </c>
      <c r="H886" s="80" t="s">
        <v>131</v>
      </c>
      <c r="I886" s="80">
        <v>6</v>
      </c>
      <c r="J886" s="80"/>
      <c r="K886" s="80"/>
      <c r="L886" s="80"/>
      <c r="M886" s="1" t="s">
        <v>1255</v>
      </c>
      <c r="N886" s="1">
        <v>2</v>
      </c>
      <c r="O886" s="1">
        <v>1</v>
      </c>
      <c r="P886" s="13">
        <v>44939</v>
      </c>
      <c r="Q886" s="1" t="s">
        <v>133</v>
      </c>
      <c r="R886" s="1" t="s">
        <v>31</v>
      </c>
      <c r="S886" s="1">
        <v>1</v>
      </c>
      <c r="T886" s="1" t="s">
        <v>11</v>
      </c>
      <c r="U886" s="1" t="s">
        <v>11</v>
      </c>
      <c r="V886" s="76">
        <v>5.333333333333333</v>
      </c>
      <c r="W886" s="76">
        <v>0.94280904158206336</v>
      </c>
      <c r="X886" s="77">
        <v>0.70710678118654779</v>
      </c>
      <c r="Y886" s="77">
        <v>3</v>
      </c>
      <c r="Z886" s="76">
        <v>7.666666666666667</v>
      </c>
      <c r="AA886" s="76">
        <v>0.47140452079103162</v>
      </c>
      <c r="AB886" s="77">
        <v>0.70710678118654702</v>
      </c>
      <c r="AC886" s="77">
        <v>3</v>
      </c>
      <c r="AD886" s="76">
        <v>7.666666666666667</v>
      </c>
      <c r="AE886" s="76">
        <v>0.47140452079103162</v>
      </c>
      <c r="AF886" s="77">
        <v>0.70710678118654702</v>
      </c>
      <c r="AG886" s="77">
        <v>3</v>
      </c>
      <c r="AH886" s="76">
        <v>7.333333333333333</v>
      </c>
      <c r="AI886" s="76">
        <v>0.94280904158206325</v>
      </c>
      <c r="AJ886" s="77">
        <v>-1.4142135623730949</v>
      </c>
      <c r="AK886" s="77">
        <v>1</v>
      </c>
      <c r="AL886" s="76"/>
      <c r="AM886" s="76"/>
      <c r="AN886" s="77"/>
      <c r="AO886" s="77"/>
      <c r="AP886" s="76"/>
      <c r="AQ886" s="76"/>
      <c r="AR886" s="77"/>
      <c r="AS886" s="77"/>
      <c r="AT886" s="78">
        <v>0.625</v>
      </c>
    </row>
    <row r="887" spans="1:46" ht="12.5" x14ac:dyDescent="0.25">
      <c r="A887" s="79">
        <v>44939.421603541668</v>
      </c>
      <c r="B887" s="80" t="s">
        <v>6</v>
      </c>
      <c r="C887" s="80" t="str">
        <f>INDEX(TBL_Name,MATCH(Table2[[#This Row],[Athlete Name]],listNames,0),2)</f>
        <v>Athlete 2</v>
      </c>
      <c r="D887" s="80" t="s">
        <v>130</v>
      </c>
      <c r="E887" s="80">
        <v>7</v>
      </c>
      <c r="F887" s="80">
        <v>8</v>
      </c>
      <c r="G887" s="80">
        <v>10</v>
      </c>
      <c r="H887" s="80" t="s">
        <v>203</v>
      </c>
      <c r="I887" s="80">
        <v>6</v>
      </c>
      <c r="J887" s="80"/>
      <c r="K887" s="80"/>
      <c r="L887" s="80"/>
      <c r="M887" s="1" t="s">
        <v>1256</v>
      </c>
      <c r="N887" s="1">
        <v>2</v>
      </c>
      <c r="O887" s="1">
        <v>1</v>
      </c>
      <c r="P887" s="13">
        <v>44939</v>
      </c>
      <c r="Q887" s="1" t="s">
        <v>133</v>
      </c>
      <c r="R887" s="1" t="s">
        <v>31</v>
      </c>
      <c r="S887" s="1">
        <v>1</v>
      </c>
      <c r="T887" s="1" t="s">
        <v>5</v>
      </c>
      <c r="U887" s="1" t="s">
        <v>5</v>
      </c>
      <c r="V887" s="76">
        <v>8</v>
      </c>
      <c r="W887" s="76">
        <v>1</v>
      </c>
      <c r="X887" s="77">
        <v>-1</v>
      </c>
      <c r="Y887" s="77">
        <v>1</v>
      </c>
      <c r="Z887" s="76">
        <v>8</v>
      </c>
      <c r="AA887" s="76">
        <v>0</v>
      </c>
      <c r="AB887" s="77">
        <v>0</v>
      </c>
      <c r="AC887" s="77">
        <v>3</v>
      </c>
      <c r="AD887" s="76">
        <v>9</v>
      </c>
      <c r="AE887" s="76">
        <v>1</v>
      </c>
      <c r="AF887" s="77">
        <v>1</v>
      </c>
      <c r="AG887" s="77">
        <v>4</v>
      </c>
      <c r="AH887" s="76">
        <v>5.5</v>
      </c>
      <c r="AI887" s="76">
        <v>0.5</v>
      </c>
      <c r="AJ887" s="77">
        <v>1</v>
      </c>
      <c r="AK887" s="77">
        <v>4</v>
      </c>
      <c r="AL887" s="76"/>
      <c r="AM887" s="76"/>
      <c r="AN887" s="77"/>
      <c r="AO887" s="77"/>
      <c r="AP887" s="76"/>
      <c r="AQ887" s="76"/>
      <c r="AR887" s="77"/>
      <c r="AS887" s="77"/>
      <c r="AT887" s="78">
        <v>0.75</v>
      </c>
    </row>
    <row r="888" spans="1:46" ht="12.5" x14ac:dyDescent="0.25">
      <c r="A888" s="79">
        <v>44939.559072025462</v>
      </c>
      <c r="B888" s="80" t="s">
        <v>19</v>
      </c>
      <c r="C888" s="80" t="str">
        <f>INDEX(TBL_Name,MATCH(Table2[[#This Row],[Athlete Name]],listNames,0),2)</f>
        <v>Athlete 11</v>
      </c>
      <c r="D888" s="80" t="s">
        <v>130</v>
      </c>
      <c r="E888" s="80">
        <v>2</v>
      </c>
      <c r="F888" s="80">
        <v>8</v>
      </c>
      <c r="G888" s="80">
        <v>8</v>
      </c>
      <c r="H888" s="80" t="s">
        <v>1252</v>
      </c>
      <c r="I888" s="80">
        <v>6</v>
      </c>
      <c r="J888" s="80"/>
      <c r="K888" s="80"/>
      <c r="L888" s="80"/>
      <c r="M888" s="1" t="s">
        <v>1257</v>
      </c>
      <c r="N888" s="1">
        <v>2</v>
      </c>
      <c r="O888" s="1">
        <v>1</v>
      </c>
      <c r="P888" s="13">
        <v>44939</v>
      </c>
      <c r="Q888" s="1" t="s">
        <v>133</v>
      </c>
      <c r="R888" s="1" t="s">
        <v>31</v>
      </c>
      <c r="S888" s="1">
        <v>1</v>
      </c>
      <c r="T888" s="1" t="s">
        <v>18</v>
      </c>
      <c r="U888" s="1" t="s">
        <v>18</v>
      </c>
      <c r="V888" s="76">
        <v>2.5</v>
      </c>
      <c r="W888" s="76">
        <v>0.5</v>
      </c>
      <c r="X888" s="77">
        <v>-1</v>
      </c>
      <c r="Y888" s="77">
        <v>1</v>
      </c>
      <c r="Z888" s="76">
        <v>7.5</v>
      </c>
      <c r="AA888" s="76">
        <v>0.5</v>
      </c>
      <c r="AB888" s="77">
        <v>1</v>
      </c>
      <c r="AC888" s="77">
        <v>4</v>
      </c>
      <c r="AD888" s="76">
        <v>8</v>
      </c>
      <c r="AE888" s="76">
        <v>0</v>
      </c>
      <c r="AF888" s="77">
        <v>0</v>
      </c>
      <c r="AG888" s="77">
        <v>3</v>
      </c>
      <c r="AH888" s="76">
        <v>5.5</v>
      </c>
      <c r="AI888" s="76">
        <v>0.5</v>
      </c>
      <c r="AJ888" s="77">
        <v>1</v>
      </c>
      <c r="AK888" s="77">
        <v>4</v>
      </c>
      <c r="AL888" s="76"/>
      <c r="AM888" s="76"/>
      <c r="AN888" s="77"/>
      <c r="AO888" s="77"/>
      <c r="AP888" s="76"/>
      <c r="AQ888" s="76"/>
      <c r="AR888" s="77"/>
      <c r="AS888" s="77"/>
      <c r="AT888" s="78">
        <v>0.75</v>
      </c>
    </row>
    <row r="889" spans="1:46" ht="12.5" x14ac:dyDescent="0.25">
      <c r="A889" s="79">
        <v>44939.570618865742</v>
      </c>
      <c r="B889" s="80" t="s">
        <v>21</v>
      </c>
      <c r="C889" s="80" t="str">
        <f>INDEX(TBL_Name,MATCH(Table2[[#This Row],[Athlete Name]],listNames,0),2)</f>
        <v>Athlete 13</v>
      </c>
      <c r="D889" s="80" t="s">
        <v>143</v>
      </c>
      <c r="E889" s="80">
        <v>5</v>
      </c>
      <c r="F889" s="80">
        <v>7</v>
      </c>
      <c r="G889" s="80">
        <v>8</v>
      </c>
      <c r="H889" s="80" t="s">
        <v>1258</v>
      </c>
      <c r="I889" s="80">
        <v>6</v>
      </c>
      <c r="J889" s="80"/>
      <c r="K889" s="80"/>
      <c r="L889" s="80"/>
      <c r="M889" s="1" t="s">
        <v>1259</v>
      </c>
      <c r="N889" s="1">
        <v>2</v>
      </c>
      <c r="O889" s="1">
        <v>1</v>
      </c>
      <c r="P889" s="13">
        <v>44939</v>
      </c>
      <c r="Q889" s="1" t="s">
        <v>133</v>
      </c>
      <c r="R889" s="1" t="s">
        <v>31</v>
      </c>
      <c r="S889" s="1">
        <v>2</v>
      </c>
      <c r="T889" s="1" t="s">
        <v>18</v>
      </c>
      <c r="U889" s="1" t="s">
        <v>18</v>
      </c>
      <c r="V889" s="76">
        <v>6</v>
      </c>
      <c r="W889" s="76">
        <v>1</v>
      </c>
      <c r="X889" s="77">
        <v>-1</v>
      </c>
      <c r="Y889" s="77">
        <v>1</v>
      </c>
      <c r="Z889" s="76">
        <v>7</v>
      </c>
      <c r="AA889" s="76">
        <v>0</v>
      </c>
      <c r="AB889" s="77">
        <v>0</v>
      </c>
      <c r="AC889" s="77">
        <v>3</v>
      </c>
      <c r="AD889" s="76">
        <v>8</v>
      </c>
      <c r="AE889" s="76">
        <v>0</v>
      </c>
      <c r="AF889" s="77">
        <v>0</v>
      </c>
      <c r="AG889" s="77">
        <v>3</v>
      </c>
      <c r="AH889" s="76">
        <v>5.5</v>
      </c>
      <c r="AI889" s="76">
        <v>0.5</v>
      </c>
      <c r="AJ889" s="77">
        <v>1</v>
      </c>
      <c r="AK889" s="77">
        <v>4</v>
      </c>
      <c r="AL889" s="76"/>
      <c r="AM889" s="76"/>
      <c r="AN889" s="77"/>
      <c r="AO889" s="77"/>
      <c r="AP889" s="76"/>
      <c r="AQ889" s="76"/>
      <c r="AR889" s="77"/>
      <c r="AS889" s="77"/>
      <c r="AT889" s="78">
        <v>0.6875</v>
      </c>
    </row>
    <row r="890" spans="1:46" ht="12.5" x14ac:dyDescent="0.25">
      <c r="A890" s="79">
        <v>44940.445521724541</v>
      </c>
      <c r="B890" s="80" t="s">
        <v>27</v>
      </c>
      <c r="C890" s="80" t="str">
        <f>INDEX(TBL_Name,MATCH(Table2[[#This Row],[Athlete Name]],listNames,0),2)</f>
        <v>Athlete 17</v>
      </c>
      <c r="D890" s="80" t="s">
        <v>150</v>
      </c>
      <c r="E890" s="80">
        <v>7</v>
      </c>
      <c r="F890" s="80">
        <v>5</v>
      </c>
      <c r="G890" s="80">
        <v>8</v>
      </c>
      <c r="H890" s="80" t="s">
        <v>69</v>
      </c>
      <c r="I890" s="80">
        <v>4</v>
      </c>
      <c r="J890" s="80"/>
      <c r="K890" s="80"/>
      <c r="L890" s="80"/>
      <c r="M890" s="1" t="s">
        <v>1260</v>
      </c>
      <c r="N890" s="1">
        <v>2</v>
      </c>
      <c r="O890" s="1">
        <v>1</v>
      </c>
      <c r="P890" s="13">
        <v>44940</v>
      </c>
      <c r="Q890" s="1" t="s">
        <v>133</v>
      </c>
      <c r="R890" s="1" t="s">
        <v>31</v>
      </c>
      <c r="S890" s="1">
        <v>3</v>
      </c>
      <c r="T890" s="1" t="s">
        <v>28</v>
      </c>
      <c r="U890" s="1" t="s">
        <v>28</v>
      </c>
      <c r="V890" s="76">
        <v>7</v>
      </c>
      <c r="W890" s="76">
        <v>0</v>
      </c>
      <c r="X890" s="77">
        <v>0</v>
      </c>
      <c r="Y890" s="77">
        <v>3</v>
      </c>
      <c r="Z890" s="76">
        <v>5.5</v>
      </c>
      <c r="AA890" s="76">
        <v>0.5</v>
      </c>
      <c r="AB890" s="77">
        <v>-1</v>
      </c>
      <c r="AC890" s="77">
        <v>1</v>
      </c>
      <c r="AD890" s="76">
        <v>7.5</v>
      </c>
      <c r="AE890" s="76">
        <v>0.5</v>
      </c>
      <c r="AF890" s="77">
        <v>1</v>
      </c>
      <c r="AG890" s="77">
        <v>4</v>
      </c>
      <c r="AH890" s="76">
        <v>4</v>
      </c>
      <c r="AI890" s="76">
        <v>0</v>
      </c>
      <c r="AJ890" s="77">
        <v>0</v>
      </c>
      <c r="AK890" s="77">
        <v>3</v>
      </c>
      <c r="AL890" s="76"/>
      <c r="AM890" s="76"/>
      <c r="AN890" s="77"/>
      <c r="AO890" s="77"/>
      <c r="AP890" s="76"/>
      <c r="AQ890" s="76"/>
      <c r="AR890" s="77"/>
      <c r="AS890" s="77"/>
      <c r="AT890" s="78">
        <v>0.6875</v>
      </c>
    </row>
    <row r="891" spans="1:46" ht="12.5" x14ac:dyDescent="0.25">
      <c r="A891" s="79">
        <v>44940.664167442126</v>
      </c>
      <c r="B891" s="80" t="s">
        <v>21</v>
      </c>
      <c r="C891" s="80" t="str">
        <f>INDEX(TBL_Name,MATCH(Table2[[#This Row],[Athlete Name]],listNames,0),2)</f>
        <v>Athlete 13</v>
      </c>
      <c r="D891" s="80" t="s">
        <v>143</v>
      </c>
      <c r="E891" s="80">
        <v>8</v>
      </c>
      <c r="F891" s="80">
        <v>6</v>
      </c>
      <c r="G891" s="80">
        <v>8</v>
      </c>
      <c r="H891" s="80" t="s">
        <v>1261</v>
      </c>
      <c r="I891" s="80">
        <v>5</v>
      </c>
      <c r="J891" s="80"/>
      <c r="K891" s="80"/>
      <c r="L891" s="80"/>
      <c r="M891" s="1" t="s">
        <v>1262</v>
      </c>
      <c r="N891" s="1">
        <v>2</v>
      </c>
      <c r="O891" s="1">
        <v>1</v>
      </c>
      <c r="P891" s="13">
        <v>44940</v>
      </c>
      <c r="Q891" s="1" t="s">
        <v>133</v>
      </c>
      <c r="R891" s="1" t="s">
        <v>31</v>
      </c>
      <c r="S891" s="1">
        <v>2</v>
      </c>
      <c r="T891" s="1" t="s">
        <v>18</v>
      </c>
      <c r="U891" s="1" t="s">
        <v>18</v>
      </c>
      <c r="V891" s="76">
        <v>6.666666666666667</v>
      </c>
      <c r="W891" s="76">
        <v>1.247219128924647</v>
      </c>
      <c r="X891" s="77">
        <v>1.0690449676496974</v>
      </c>
      <c r="Y891" s="77">
        <v>4</v>
      </c>
      <c r="Z891" s="76">
        <v>6.666666666666667</v>
      </c>
      <c r="AA891" s="76">
        <v>0.47140452079103179</v>
      </c>
      <c r="AB891" s="77">
        <v>-1.4142135623730954</v>
      </c>
      <c r="AC891" s="77">
        <v>1</v>
      </c>
      <c r="AD891" s="76">
        <v>8</v>
      </c>
      <c r="AE891" s="76">
        <v>0</v>
      </c>
      <c r="AF891" s="77">
        <v>0</v>
      </c>
      <c r="AG891" s="77">
        <v>3</v>
      </c>
      <c r="AH891" s="76">
        <v>5.333333333333333</v>
      </c>
      <c r="AI891" s="76">
        <v>0.47140452079103162</v>
      </c>
      <c r="AJ891" s="77">
        <v>-0.70710678118654702</v>
      </c>
      <c r="AK891" s="77">
        <v>2</v>
      </c>
      <c r="AL891" s="76"/>
      <c r="AM891" s="76"/>
      <c r="AN891" s="77"/>
      <c r="AO891" s="77"/>
      <c r="AP891" s="76"/>
      <c r="AQ891" s="76"/>
      <c r="AR891" s="77"/>
      <c r="AS891" s="77"/>
      <c r="AT891" s="78">
        <v>0.625</v>
      </c>
    </row>
    <row r="892" spans="1:46" ht="12.5" x14ac:dyDescent="0.25">
      <c r="A892" s="79">
        <v>44941.769899236111</v>
      </c>
      <c r="B892" s="80" t="s">
        <v>21</v>
      </c>
      <c r="C892" s="80" t="str">
        <f>INDEX(TBL_Name,MATCH(Table2[[#This Row],[Athlete Name]],listNames,0),2)</f>
        <v>Athlete 13</v>
      </c>
      <c r="D892" s="80" t="s">
        <v>143</v>
      </c>
      <c r="E892" s="80">
        <v>6</v>
      </c>
      <c r="F892" s="80">
        <v>7</v>
      </c>
      <c r="G892" s="80">
        <v>8</v>
      </c>
      <c r="H892" s="80" t="s">
        <v>525</v>
      </c>
      <c r="I892" s="80">
        <v>8</v>
      </c>
      <c r="J892" s="80"/>
      <c r="K892" s="80"/>
      <c r="L892" s="80"/>
      <c r="M892" s="1" t="s">
        <v>1263</v>
      </c>
      <c r="N892" s="1">
        <v>3</v>
      </c>
      <c r="O892" s="1">
        <v>2</v>
      </c>
      <c r="P892" s="13">
        <v>44941</v>
      </c>
      <c r="Q892" s="1" t="s">
        <v>133</v>
      </c>
      <c r="R892" s="1" t="s">
        <v>31</v>
      </c>
      <c r="S892" s="1">
        <v>2</v>
      </c>
      <c r="T892" s="1" t="s">
        <v>18</v>
      </c>
      <c r="U892" s="1" t="s">
        <v>18</v>
      </c>
      <c r="V892" s="76">
        <v>6.5</v>
      </c>
      <c r="W892" s="76">
        <v>1.1180339887498949</v>
      </c>
      <c r="X892" s="77">
        <v>-0.44721359549995793</v>
      </c>
      <c r="Y892" s="77">
        <v>2</v>
      </c>
      <c r="Z892" s="76">
        <v>6.75</v>
      </c>
      <c r="AA892" s="76">
        <v>0.43301270189221941</v>
      </c>
      <c r="AB892" s="77">
        <v>0.57735026918962562</v>
      </c>
      <c r="AC892" s="77">
        <v>3</v>
      </c>
      <c r="AD892" s="76">
        <v>8</v>
      </c>
      <c r="AE892" s="76">
        <v>0</v>
      </c>
      <c r="AF892" s="77">
        <v>0</v>
      </c>
      <c r="AG892" s="77">
        <v>3</v>
      </c>
      <c r="AH892" s="76">
        <v>6</v>
      </c>
      <c r="AI892" s="76">
        <v>1.2247448713915889</v>
      </c>
      <c r="AJ892" s="77">
        <v>1.6329931618554523</v>
      </c>
      <c r="AK892" s="77">
        <v>4</v>
      </c>
      <c r="AL892" s="76"/>
      <c r="AM892" s="76"/>
      <c r="AN892" s="77"/>
      <c r="AO892" s="77"/>
      <c r="AP892" s="76"/>
      <c r="AQ892" s="76"/>
      <c r="AR892" s="77"/>
      <c r="AS892" s="77"/>
      <c r="AT892" s="78">
        <v>0.75</v>
      </c>
    </row>
    <row r="893" spans="1:46" ht="12.5" x14ac:dyDescent="0.25">
      <c r="A893" s="79">
        <v>44942.396078333331</v>
      </c>
      <c r="B893" s="80" t="s">
        <v>21</v>
      </c>
      <c r="C893" s="80" t="str">
        <f>INDEX(TBL_Name,MATCH(Table2[[#This Row],[Athlete Name]],listNames,0),2)</f>
        <v>Athlete 13</v>
      </c>
      <c r="D893" s="80" t="s">
        <v>143</v>
      </c>
      <c r="E893" s="80">
        <v>5</v>
      </c>
      <c r="F893" s="80">
        <v>6</v>
      </c>
      <c r="G893" s="80">
        <v>7</v>
      </c>
      <c r="H893" s="80"/>
      <c r="I893" s="80">
        <v>8</v>
      </c>
      <c r="J893" s="80"/>
      <c r="K893" s="80"/>
      <c r="L893" s="80"/>
      <c r="M893" s="1" t="s">
        <v>1264</v>
      </c>
      <c r="N893" s="1">
        <v>3</v>
      </c>
      <c r="O893" s="1">
        <v>2</v>
      </c>
      <c r="P893" s="13">
        <v>44942</v>
      </c>
      <c r="Q893" s="1" t="s">
        <v>133</v>
      </c>
      <c r="R893" s="1" t="s">
        <v>31</v>
      </c>
      <c r="S893" s="1">
        <v>2</v>
      </c>
      <c r="T893" s="1" t="s">
        <v>18</v>
      </c>
      <c r="U893" s="1" t="s">
        <v>18</v>
      </c>
      <c r="V893" s="76">
        <v>6.2</v>
      </c>
      <c r="W893" s="76">
        <v>1.1661903789690602</v>
      </c>
      <c r="X893" s="77">
        <v>-1.0289915108550531</v>
      </c>
      <c r="Y893" s="77">
        <v>1</v>
      </c>
      <c r="Z893" s="76">
        <v>6.6</v>
      </c>
      <c r="AA893" s="76">
        <v>0.4898979485566356</v>
      </c>
      <c r="AB893" s="77">
        <v>-1.2247448713915883</v>
      </c>
      <c r="AC893" s="77">
        <v>1</v>
      </c>
      <c r="AD893" s="76">
        <v>7.8</v>
      </c>
      <c r="AE893" s="76">
        <v>0.39999999999999997</v>
      </c>
      <c r="AF893" s="77">
        <v>-1.9999999999999998</v>
      </c>
      <c r="AG893" s="77">
        <v>1</v>
      </c>
      <c r="AH893" s="76">
        <v>6.4</v>
      </c>
      <c r="AI893" s="76">
        <v>1.3564659966250536</v>
      </c>
      <c r="AJ893" s="77">
        <v>1.1795356492391769</v>
      </c>
      <c r="AK893" s="77">
        <v>4</v>
      </c>
      <c r="AL893" s="76"/>
      <c r="AM893" s="76"/>
      <c r="AN893" s="77"/>
      <c r="AO893" s="77"/>
      <c r="AP893" s="76"/>
      <c r="AQ893" s="76"/>
      <c r="AR893" s="77"/>
      <c r="AS893" s="77"/>
      <c r="AT893" s="78">
        <v>0.4375</v>
      </c>
    </row>
    <row r="894" spans="1:46" ht="12.5" x14ac:dyDescent="0.25">
      <c r="A894" s="79">
        <v>44942.436056620369</v>
      </c>
      <c r="B894" s="80" t="s">
        <v>10</v>
      </c>
      <c r="C894" s="80" t="str">
        <f>INDEX(TBL_Name,MATCH(Table2[[#This Row],[Athlete Name]],listNames,0),2)</f>
        <v>Athlete 5</v>
      </c>
      <c r="D894" s="80" t="s">
        <v>130</v>
      </c>
      <c r="E894" s="80">
        <v>9</v>
      </c>
      <c r="F894" s="80">
        <v>9</v>
      </c>
      <c r="G894" s="80">
        <v>9</v>
      </c>
      <c r="H894" s="80" t="s">
        <v>226</v>
      </c>
      <c r="I894" s="80">
        <v>9</v>
      </c>
      <c r="J894" s="80"/>
      <c r="K894" s="80"/>
      <c r="L894" s="80"/>
      <c r="M894" s="1" t="s">
        <v>1265</v>
      </c>
      <c r="N894" s="1">
        <v>3</v>
      </c>
      <c r="O894" s="1">
        <v>2</v>
      </c>
      <c r="P894" s="13">
        <v>44942</v>
      </c>
      <c r="Q894" s="1" t="s">
        <v>133</v>
      </c>
      <c r="R894" s="1" t="s">
        <v>31</v>
      </c>
      <c r="S894" s="1">
        <v>1</v>
      </c>
      <c r="T894" s="1" t="s">
        <v>11</v>
      </c>
      <c r="U894" s="1" t="s">
        <v>11</v>
      </c>
      <c r="V894" s="76">
        <v>6.333333333333333</v>
      </c>
      <c r="W894" s="76">
        <v>2.0548046676563256</v>
      </c>
      <c r="X894" s="77">
        <v>1.2977713690461004</v>
      </c>
      <c r="Y894" s="77">
        <v>4</v>
      </c>
      <c r="Z894" s="76">
        <v>8.3333333333333339</v>
      </c>
      <c r="AA894" s="76">
        <v>0.47140452079103146</v>
      </c>
      <c r="AB894" s="77">
        <v>1.4142135623730945</v>
      </c>
      <c r="AC894" s="77">
        <v>4</v>
      </c>
      <c r="AD894" s="76">
        <v>8.3333333333333339</v>
      </c>
      <c r="AE894" s="76">
        <v>0.47140452079103146</v>
      </c>
      <c r="AF894" s="77">
        <v>1.4142135623730945</v>
      </c>
      <c r="AG894" s="77">
        <v>4</v>
      </c>
      <c r="AH894" s="76">
        <v>7.666666666666667</v>
      </c>
      <c r="AI894" s="76">
        <v>1.247219128924647</v>
      </c>
      <c r="AJ894" s="77">
        <v>1.0690449676496974</v>
      </c>
      <c r="AK894" s="77">
        <v>4</v>
      </c>
      <c r="AL894" s="76"/>
      <c r="AM894" s="76"/>
      <c r="AN894" s="77"/>
      <c r="AO894" s="77"/>
      <c r="AP894" s="76"/>
      <c r="AQ894" s="76"/>
      <c r="AR894" s="77"/>
      <c r="AS894" s="77"/>
      <c r="AT894" s="78">
        <v>1</v>
      </c>
    </row>
    <row r="895" spans="1:46" ht="12.5" x14ac:dyDescent="0.25">
      <c r="A895" s="79">
        <v>44943.327317465279</v>
      </c>
      <c r="B895" s="80" t="s">
        <v>27</v>
      </c>
      <c r="C895" s="80" t="str">
        <f>INDEX(TBL_Name,MATCH(Table2[[#This Row],[Athlete Name]],listNames,0),2)</f>
        <v>Athlete 17</v>
      </c>
      <c r="D895" s="80" t="s">
        <v>150</v>
      </c>
      <c r="E895" s="80">
        <v>6</v>
      </c>
      <c r="F895" s="80">
        <v>6</v>
      </c>
      <c r="G895" s="80">
        <v>7</v>
      </c>
      <c r="H895" s="80" t="s">
        <v>151</v>
      </c>
      <c r="I895" s="80">
        <v>3</v>
      </c>
      <c r="J895" s="80"/>
      <c r="K895" s="80"/>
      <c r="L895" s="80"/>
      <c r="M895" s="1" t="s">
        <v>1266</v>
      </c>
      <c r="N895" s="1">
        <v>3</v>
      </c>
      <c r="O895" s="1">
        <v>2</v>
      </c>
      <c r="P895" s="13">
        <v>44943</v>
      </c>
      <c r="Q895" s="1" t="s">
        <v>133</v>
      </c>
      <c r="R895" s="1" t="s">
        <v>31</v>
      </c>
      <c r="S895" s="1">
        <v>3</v>
      </c>
      <c r="T895" s="1" t="s">
        <v>28</v>
      </c>
      <c r="U895" s="1" t="s">
        <v>28</v>
      </c>
      <c r="V895" s="76">
        <v>6.666666666666667</v>
      </c>
      <c r="W895" s="76">
        <v>0.47140452079103179</v>
      </c>
      <c r="X895" s="77">
        <v>-1.4142135623730954</v>
      </c>
      <c r="Y895" s="77">
        <v>1</v>
      </c>
      <c r="Z895" s="76">
        <v>5.666666666666667</v>
      </c>
      <c r="AA895" s="76">
        <v>0.47140452079103162</v>
      </c>
      <c r="AB895" s="77">
        <v>0.70710678118654702</v>
      </c>
      <c r="AC895" s="77">
        <v>3</v>
      </c>
      <c r="AD895" s="76">
        <v>7.333333333333333</v>
      </c>
      <c r="AE895" s="76">
        <v>0.47140452079103162</v>
      </c>
      <c r="AF895" s="77">
        <v>-0.70710678118654702</v>
      </c>
      <c r="AG895" s="77">
        <v>2</v>
      </c>
      <c r="AH895" s="76">
        <v>3.6666666666666665</v>
      </c>
      <c r="AI895" s="76">
        <v>0.47140452079103162</v>
      </c>
      <c r="AJ895" s="77">
        <v>-1.4142135623730949</v>
      </c>
      <c r="AK895" s="77">
        <v>1</v>
      </c>
      <c r="AL895" s="76"/>
      <c r="AM895" s="76"/>
      <c r="AN895" s="77"/>
      <c r="AO895" s="77"/>
      <c r="AP895" s="76"/>
      <c r="AQ895" s="76"/>
      <c r="AR895" s="77"/>
      <c r="AS895" s="77"/>
      <c r="AT895" s="78">
        <v>0.4375</v>
      </c>
    </row>
    <row r="896" spans="1:46" ht="12.5" x14ac:dyDescent="0.25">
      <c r="A896" s="79">
        <v>44943.341084375003</v>
      </c>
      <c r="B896" s="80" t="s">
        <v>19</v>
      </c>
      <c r="C896" s="80" t="str">
        <f>INDEX(TBL_Name,MATCH(Table2[[#This Row],[Athlete Name]],listNames,0),2)</f>
        <v>Athlete 11</v>
      </c>
      <c r="D896" s="80" t="s">
        <v>130</v>
      </c>
      <c r="E896" s="80">
        <v>7</v>
      </c>
      <c r="F896" s="80">
        <v>7</v>
      </c>
      <c r="G896" s="80">
        <v>7</v>
      </c>
      <c r="H896" s="80" t="s">
        <v>228</v>
      </c>
      <c r="I896" s="80">
        <v>7</v>
      </c>
      <c r="J896" s="80"/>
      <c r="K896" s="80"/>
      <c r="L896" s="80"/>
      <c r="M896" s="1" t="s">
        <v>1267</v>
      </c>
      <c r="N896" s="1">
        <v>3</v>
      </c>
      <c r="O896" s="1">
        <v>2</v>
      </c>
      <c r="P896" s="13">
        <v>44943</v>
      </c>
      <c r="Q896" s="1" t="s">
        <v>133</v>
      </c>
      <c r="R896" s="1" t="s">
        <v>31</v>
      </c>
      <c r="S896" s="1">
        <v>1</v>
      </c>
      <c r="T896" s="1" t="s">
        <v>18</v>
      </c>
      <c r="U896" s="1" t="s">
        <v>18</v>
      </c>
      <c r="V896" s="76">
        <v>4</v>
      </c>
      <c r="W896" s="76">
        <v>2.1602468994692869</v>
      </c>
      <c r="X896" s="77">
        <v>1.3887301496588271</v>
      </c>
      <c r="Y896" s="77">
        <v>4</v>
      </c>
      <c r="Z896" s="76">
        <v>7.333333333333333</v>
      </c>
      <c r="AA896" s="76">
        <v>0.47140452079103162</v>
      </c>
      <c r="AB896" s="77">
        <v>-0.70710678118654702</v>
      </c>
      <c r="AC896" s="77">
        <v>2</v>
      </c>
      <c r="AD896" s="76">
        <v>7.666666666666667</v>
      </c>
      <c r="AE896" s="76">
        <v>0.47140452079103179</v>
      </c>
      <c r="AF896" s="77">
        <v>-1.4142135623730954</v>
      </c>
      <c r="AG896" s="77">
        <v>1</v>
      </c>
      <c r="AH896" s="76">
        <v>6</v>
      </c>
      <c r="AI896" s="76">
        <v>0.81649658092772603</v>
      </c>
      <c r="AJ896" s="77">
        <v>1.2247448713915889</v>
      </c>
      <c r="AK896" s="77">
        <v>4</v>
      </c>
      <c r="AL896" s="76"/>
      <c r="AM896" s="76"/>
      <c r="AN896" s="77"/>
      <c r="AO896" s="77"/>
      <c r="AP896" s="76"/>
      <c r="AQ896" s="76"/>
      <c r="AR896" s="77"/>
      <c r="AS896" s="77"/>
      <c r="AT896" s="78">
        <v>0.6875</v>
      </c>
    </row>
    <row r="897" spans="1:46" ht="12.5" x14ac:dyDescent="0.25">
      <c r="A897" s="79">
        <v>44943.346995416665</v>
      </c>
      <c r="B897" s="80" t="s">
        <v>17</v>
      </c>
      <c r="C897" s="80" t="str">
        <f>INDEX(TBL_Name,MATCH(Table2[[#This Row],[Athlete Name]],listNames,0),2)</f>
        <v>Athlete 10</v>
      </c>
      <c r="D897" s="80" t="s">
        <v>130</v>
      </c>
      <c r="E897" s="80">
        <v>9</v>
      </c>
      <c r="F897" s="80">
        <v>6</v>
      </c>
      <c r="G897" s="80">
        <v>8</v>
      </c>
      <c r="H897" s="80" t="s">
        <v>1213</v>
      </c>
      <c r="I897" s="80">
        <v>5</v>
      </c>
      <c r="J897" s="80"/>
      <c r="K897" s="80"/>
      <c r="L897" s="80"/>
      <c r="M897" s="1" t="s">
        <v>1268</v>
      </c>
      <c r="N897" s="1">
        <v>3</v>
      </c>
      <c r="O897" s="1">
        <v>2</v>
      </c>
      <c r="P897" s="13">
        <v>44943</v>
      </c>
      <c r="Q897" s="1" t="s">
        <v>133</v>
      </c>
      <c r="R897" s="1" t="s">
        <v>31</v>
      </c>
      <c r="S897" s="1">
        <v>1</v>
      </c>
      <c r="T897" s="1" t="s">
        <v>18</v>
      </c>
      <c r="U897" s="1" t="s">
        <v>18</v>
      </c>
      <c r="V897" s="76">
        <v>9</v>
      </c>
      <c r="W897" s="76">
        <v>0</v>
      </c>
      <c r="X897" s="77">
        <v>0</v>
      </c>
      <c r="Y897" s="77">
        <v>3</v>
      </c>
      <c r="Z897" s="76">
        <v>6</v>
      </c>
      <c r="AA897" s="76">
        <v>0</v>
      </c>
      <c r="AB897" s="77">
        <v>0</v>
      </c>
      <c r="AC897" s="77">
        <v>3</v>
      </c>
      <c r="AD897" s="76">
        <v>8</v>
      </c>
      <c r="AE897" s="76">
        <v>0</v>
      </c>
      <c r="AF897" s="77">
        <v>0</v>
      </c>
      <c r="AG897" s="77">
        <v>3</v>
      </c>
      <c r="AH897" s="76">
        <v>5</v>
      </c>
      <c r="AI897" s="76">
        <v>0</v>
      </c>
      <c r="AJ897" s="77">
        <v>0</v>
      </c>
      <c r="AK897" s="77">
        <v>3</v>
      </c>
      <c r="AL897" s="76"/>
      <c r="AM897" s="76"/>
      <c r="AN897" s="77"/>
      <c r="AO897" s="77"/>
      <c r="AP897" s="76"/>
      <c r="AQ897" s="76"/>
      <c r="AR897" s="77"/>
      <c r="AS897" s="77"/>
      <c r="AT897" s="78">
        <v>0.75</v>
      </c>
    </row>
    <row r="898" spans="1:46" ht="12.5" x14ac:dyDescent="0.25">
      <c r="A898" s="79">
        <v>44943.396736898147</v>
      </c>
      <c r="B898" s="80" t="s">
        <v>24</v>
      </c>
      <c r="C898" s="80" t="str">
        <f>INDEX(TBL_Name,MATCH(Table2[[#This Row],[Athlete Name]],listNames,0),2)</f>
        <v>Athlete 16</v>
      </c>
      <c r="D898" s="80" t="s">
        <v>130</v>
      </c>
      <c r="E898" s="80">
        <v>7</v>
      </c>
      <c r="F898" s="80">
        <v>6</v>
      </c>
      <c r="G898" s="80">
        <v>6</v>
      </c>
      <c r="H898" s="80" t="s">
        <v>226</v>
      </c>
      <c r="I898" s="80">
        <v>9</v>
      </c>
      <c r="J898" s="80"/>
      <c r="K898" s="80"/>
      <c r="L898" s="80"/>
      <c r="M898" s="1" t="s">
        <v>1269</v>
      </c>
      <c r="N898" s="1">
        <v>3</v>
      </c>
      <c r="O898" s="1">
        <v>2</v>
      </c>
      <c r="P898" s="13">
        <v>44943</v>
      </c>
      <c r="Q898" s="1" t="s">
        <v>133</v>
      </c>
      <c r="R898" s="1" t="s">
        <v>31</v>
      </c>
      <c r="S898" s="1">
        <v>1</v>
      </c>
      <c r="T898" s="1" t="s">
        <v>18</v>
      </c>
      <c r="U898" s="1" t="s">
        <v>18</v>
      </c>
      <c r="V898" s="76">
        <v>7.5</v>
      </c>
      <c r="W898" s="76">
        <v>0.5</v>
      </c>
      <c r="X898" s="77">
        <v>-1</v>
      </c>
      <c r="Y898" s="77">
        <v>1</v>
      </c>
      <c r="Z898" s="76">
        <v>7</v>
      </c>
      <c r="AA898" s="76">
        <v>1</v>
      </c>
      <c r="AB898" s="77">
        <v>-1</v>
      </c>
      <c r="AC898" s="77">
        <v>1</v>
      </c>
      <c r="AD898" s="76">
        <v>6.5</v>
      </c>
      <c r="AE898" s="76">
        <v>0.5</v>
      </c>
      <c r="AF898" s="77">
        <v>-1</v>
      </c>
      <c r="AG898" s="77">
        <v>1</v>
      </c>
      <c r="AH898" s="76">
        <v>6.5</v>
      </c>
      <c r="AI898" s="76">
        <v>2.5</v>
      </c>
      <c r="AJ898" s="77">
        <v>1</v>
      </c>
      <c r="AK898" s="77">
        <v>4</v>
      </c>
      <c r="AL898" s="76"/>
      <c r="AM898" s="76"/>
      <c r="AN898" s="77"/>
      <c r="AO898" s="77"/>
      <c r="AP898" s="76"/>
      <c r="AQ898" s="76"/>
      <c r="AR898" s="77"/>
      <c r="AS898" s="77"/>
      <c r="AT898" s="78">
        <v>0.4375</v>
      </c>
    </row>
    <row r="899" spans="1:46" ht="12.5" x14ac:dyDescent="0.25">
      <c r="A899" s="79">
        <v>44943.397969166668</v>
      </c>
      <c r="B899" s="80" t="s">
        <v>10</v>
      </c>
      <c r="C899" s="80" t="str">
        <f>INDEX(TBL_Name,MATCH(Table2[[#This Row],[Athlete Name]],listNames,0),2)</f>
        <v>Athlete 5</v>
      </c>
      <c r="D899" s="80" t="s">
        <v>130</v>
      </c>
      <c r="E899" s="80">
        <v>8</v>
      </c>
      <c r="F899" s="80">
        <v>8</v>
      </c>
      <c r="G899" s="80">
        <v>8</v>
      </c>
      <c r="H899" s="80" t="s">
        <v>226</v>
      </c>
      <c r="I899" s="80">
        <v>7</v>
      </c>
      <c r="J899" s="80"/>
      <c r="K899" s="80"/>
      <c r="L899" s="80"/>
      <c r="M899" s="1" t="s">
        <v>1270</v>
      </c>
      <c r="N899" s="1">
        <v>3</v>
      </c>
      <c r="O899" s="1">
        <v>2</v>
      </c>
      <c r="P899" s="13">
        <v>44943</v>
      </c>
      <c r="Q899" s="1" t="s">
        <v>133</v>
      </c>
      <c r="R899" s="1" t="s">
        <v>31</v>
      </c>
      <c r="S899" s="1">
        <v>1</v>
      </c>
      <c r="T899" s="1" t="s">
        <v>11</v>
      </c>
      <c r="U899" s="1" t="s">
        <v>11</v>
      </c>
      <c r="V899" s="76">
        <v>6.75</v>
      </c>
      <c r="W899" s="76">
        <v>1.9202864369671522</v>
      </c>
      <c r="X899" s="77">
        <v>0.65094455490411929</v>
      </c>
      <c r="Y899" s="77">
        <v>3</v>
      </c>
      <c r="Z899" s="76">
        <v>8.25</v>
      </c>
      <c r="AA899" s="76">
        <v>0.43301270189221919</v>
      </c>
      <c r="AB899" s="77">
        <v>-0.57735026918962595</v>
      </c>
      <c r="AC899" s="77">
        <v>2</v>
      </c>
      <c r="AD899" s="76">
        <v>8.25</v>
      </c>
      <c r="AE899" s="76">
        <v>0.43301270189221919</v>
      </c>
      <c r="AF899" s="77">
        <v>-0.57735026918962595</v>
      </c>
      <c r="AG899" s="77">
        <v>2</v>
      </c>
      <c r="AH899" s="76">
        <v>7.5</v>
      </c>
      <c r="AI899" s="76">
        <v>1.1180339887498949</v>
      </c>
      <c r="AJ899" s="77">
        <v>-0.44721359549995793</v>
      </c>
      <c r="AK899" s="77">
        <v>2</v>
      </c>
      <c r="AL899" s="76"/>
      <c r="AM899" s="76"/>
      <c r="AN899" s="77"/>
      <c r="AO899" s="77"/>
      <c r="AP899" s="76"/>
      <c r="AQ899" s="76"/>
      <c r="AR899" s="77"/>
      <c r="AS899" s="77"/>
      <c r="AT899" s="78">
        <v>0.5625</v>
      </c>
    </row>
    <row r="900" spans="1:46" ht="12.5" x14ac:dyDescent="0.25">
      <c r="A900" s="79">
        <v>44943.406478159726</v>
      </c>
      <c r="B900" s="80" t="s">
        <v>21</v>
      </c>
      <c r="C900" s="80" t="str">
        <f>INDEX(TBL_Name,MATCH(Table2[[#This Row],[Athlete Name]],listNames,0),2)</f>
        <v>Athlete 13</v>
      </c>
      <c r="D900" s="80" t="s">
        <v>143</v>
      </c>
      <c r="E900" s="80">
        <v>6</v>
      </c>
      <c r="F900" s="80">
        <v>8</v>
      </c>
      <c r="G900" s="80">
        <v>9</v>
      </c>
      <c r="H900" s="80" t="s">
        <v>1271</v>
      </c>
      <c r="I900" s="80">
        <v>8</v>
      </c>
      <c r="J900" s="80"/>
      <c r="K900" s="80"/>
      <c r="L900" s="80"/>
      <c r="M900" s="1" t="s">
        <v>1272</v>
      </c>
      <c r="N900" s="1">
        <v>3</v>
      </c>
      <c r="O900" s="1">
        <v>2</v>
      </c>
      <c r="P900" s="13">
        <v>44943</v>
      </c>
      <c r="Q900" s="1" t="s">
        <v>133</v>
      </c>
      <c r="R900" s="1" t="s">
        <v>31</v>
      </c>
      <c r="S900" s="1">
        <v>2</v>
      </c>
      <c r="T900" s="1" t="s">
        <v>18</v>
      </c>
      <c r="U900" s="1" t="s">
        <v>18</v>
      </c>
      <c r="V900" s="76">
        <v>6.2857142857142856</v>
      </c>
      <c r="W900" s="76">
        <v>1.0301575072754257</v>
      </c>
      <c r="X900" s="77">
        <v>-0.27735009811261441</v>
      </c>
      <c r="Y900" s="77">
        <v>2</v>
      </c>
      <c r="Z900" s="76">
        <v>6.8571428571428568</v>
      </c>
      <c r="AA900" s="76">
        <v>0.63887656499993994</v>
      </c>
      <c r="AB900" s="77">
        <v>1.7888543819998324</v>
      </c>
      <c r="AC900" s="77">
        <v>4</v>
      </c>
      <c r="AD900" s="76">
        <v>8.1428571428571423</v>
      </c>
      <c r="AE900" s="76">
        <v>0.63887656499993994</v>
      </c>
      <c r="AF900" s="77">
        <v>1.3416407864998745</v>
      </c>
      <c r="AG900" s="77">
        <v>4</v>
      </c>
      <c r="AH900" s="76">
        <v>6.8571428571428568</v>
      </c>
      <c r="AI900" s="76">
        <v>1.3552618543578767</v>
      </c>
      <c r="AJ900" s="77">
        <v>0.84327404271156814</v>
      </c>
      <c r="AK900" s="77">
        <v>3</v>
      </c>
      <c r="AL900" s="76"/>
      <c r="AM900" s="76"/>
      <c r="AN900" s="77"/>
      <c r="AO900" s="77"/>
      <c r="AP900" s="76"/>
      <c r="AQ900" s="76"/>
      <c r="AR900" s="77"/>
      <c r="AS900" s="77"/>
      <c r="AT900" s="78">
        <v>0.8125</v>
      </c>
    </row>
    <row r="901" spans="1:46" ht="12.5" x14ac:dyDescent="0.25">
      <c r="A901" s="79">
        <v>44943.687309756948</v>
      </c>
      <c r="B901" s="80" t="s">
        <v>6</v>
      </c>
      <c r="C901" s="80" t="str">
        <f>INDEX(TBL_Name,MATCH(Table2[[#This Row],[Athlete Name]],listNames,0),2)</f>
        <v>Athlete 2</v>
      </c>
      <c r="D901" s="80" t="s">
        <v>130</v>
      </c>
      <c r="E901" s="80">
        <v>9</v>
      </c>
      <c r="F901" s="80">
        <v>9</v>
      </c>
      <c r="G901" s="80">
        <v>8</v>
      </c>
      <c r="H901" s="80" t="s">
        <v>226</v>
      </c>
      <c r="I901" s="80">
        <v>8</v>
      </c>
      <c r="J901" s="80"/>
      <c r="K901" s="80"/>
      <c r="L901" s="80"/>
      <c r="M901" s="1" t="s">
        <v>1273</v>
      </c>
      <c r="N901" s="1">
        <v>3</v>
      </c>
      <c r="O901" s="1">
        <v>2</v>
      </c>
      <c r="P901" s="13">
        <v>44943</v>
      </c>
      <c r="Q901" s="1" t="s">
        <v>133</v>
      </c>
      <c r="R901" s="1" t="s">
        <v>31</v>
      </c>
      <c r="S901" s="1">
        <v>1</v>
      </c>
      <c r="T901" s="1" t="s">
        <v>5</v>
      </c>
      <c r="U901" s="1" t="s">
        <v>5</v>
      </c>
      <c r="V901" s="76">
        <v>8.3333333333333339</v>
      </c>
      <c r="W901" s="76">
        <v>0.94280904158206325</v>
      </c>
      <c r="X901" s="77">
        <v>0.70710678118654702</v>
      </c>
      <c r="Y901" s="77">
        <v>3</v>
      </c>
      <c r="Z901" s="76">
        <v>8.3333333333333339</v>
      </c>
      <c r="AA901" s="76">
        <v>0.47140452079103146</v>
      </c>
      <c r="AB901" s="77">
        <v>1.4142135623730945</v>
      </c>
      <c r="AC901" s="77">
        <v>4</v>
      </c>
      <c r="AD901" s="76">
        <v>8.6666666666666661</v>
      </c>
      <c r="AE901" s="76">
        <v>0.94280904158206325</v>
      </c>
      <c r="AF901" s="77">
        <v>-0.70710678118654702</v>
      </c>
      <c r="AG901" s="77">
        <v>2</v>
      </c>
      <c r="AH901" s="76">
        <v>6.333333333333333</v>
      </c>
      <c r="AI901" s="76">
        <v>1.2472191289246473</v>
      </c>
      <c r="AJ901" s="77">
        <v>1.3363062095621221</v>
      </c>
      <c r="AK901" s="77">
        <v>4</v>
      </c>
      <c r="AL901" s="76"/>
      <c r="AM901" s="76"/>
      <c r="AN901" s="77"/>
      <c r="AO901" s="77"/>
      <c r="AP901" s="76"/>
      <c r="AQ901" s="76"/>
      <c r="AR901" s="77"/>
      <c r="AS901" s="77"/>
      <c r="AT901" s="78">
        <v>0.8125</v>
      </c>
    </row>
    <row r="902" spans="1:46" ht="12.5" x14ac:dyDescent="0.25">
      <c r="A902" s="79">
        <v>44943.687434664353</v>
      </c>
      <c r="B902" s="80" t="s">
        <v>21</v>
      </c>
      <c r="C902" s="80" t="str">
        <f>INDEX(TBL_Name,MATCH(Table2[[#This Row],[Athlete Name]],listNames,0),2)</f>
        <v>Athlete 13</v>
      </c>
      <c r="D902" s="80" t="s">
        <v>143</v>
      </c>
      <c r="E902" s="80">
        <v>7</v>
      </c>
      <c r="F902" s="80">
        <v>7</v>
      </c>
      <c r="G902" s="80">
        <v>9</v>
      </c>
      <c r="H902" s="80" t="s">
        <v>66</v>
      </c>
      <c r="I902" s="80">
        <v>8</v>
      </c>
      <c r="J902" s="80"/>
      <c r="K902" s="80"/>
      <c r="L902" s="80"/>
      <c r="M902" s="1" t="s">
        <v>1272</v>
      </c>
      <c r="N902" s="1">
        <v>3</v>
      </c>
      <c r="O902" s="1">
        <v>2</v>
      </c>
      <c r="P902" s="13">
        <v>44943</v>
      </c>
      <c r="Q902" s="1" t="s">
        <v>133</v>
      </c>
      <c r="R902" s="1" t="s">
        <v>31</v>
      </c>
      <c r="S902" s="1">
        <v>2</v>
      </c>
      <c r="T902" s="1" t="s">
        <v>18</v>
      </c>
      <c r="U902" s="1" t="s">
        <v>18</v>
      </c>
      <c r="V902" s="76">
        <v>6.2857142857142856</v>
      </c>
      <c r="W902" s="76">
        <v>1.0301575072754257</v>
      </c>
      <c r="X902" s="77">
        <v>0.69337524528153638</v>
      </c>
      <c r="Y902" s="77">
        <v>3</v>
      </c>
      <c r="Z902" s="76">
        <v>6.8571428571428568</v>
      </c>
      <c r="AA902" s="76">
        <v>0.63887656499993994</v>
      </c>
      <c r="AB902" s="77">
        <v>0.22360679774997955</v>
      </c>
      <c r="AC902" s="77">
        <v>3</v>
      </c>
      <c r="AD902" s="76">
        <v>8.1428571428571423</v>
      </c>
      <c r="AE902" s="76">
        <v>0.63887656499993994</v>
      </c>
      <c r="AF902" s="77">
        <v>1.3416407864998745</v>
      </c>
      <c r="AG902" s="77">
        <v>4</v>
      </c>
      <c r="AH902" s="76">
        <v>6.8571428571428568</v>
      </c>
      <c r="AI902" s="76">
        <v>1.3552618543578767</v>
      </c>
      <c r="AJ902" s="77">
        <v>0.84327404271156814</v>
      </c>
      <c r="AK902" s="77">
        <v>3</v>
      </c>
      <c r="AL902" s="76"/>
      <c r="AM902" s="76"/>
      <c r="AN902" s="77"/>
      <c r="AO902" s="77"/>
      <c r="AP902" s="76"/>
      <c r="AQ902" s="76"/>
      <c r="AR902" s="77"/>
      <c r="AS902" s="77"/>
      <c r="AT902" s="78">
        <v>0.8125</v>
      </c>
    </row>
    <row r="903" spans="1:46" ht="12.5" x14ac:dyDescent="0.25">
      <c r="A903" s="79">
        <v>44944.354890127317</v>
      </c>
      <c r="B903" s="80" t="s">
        <v>22</v>
      </c>
      <c r="C903" s="80" t="str">
        <f>INDEX(TBL_Name,MATCH(Table2[[#This Row],[Athlete Name]],listNames,0),2)</f>
        <v>Athlete 14</v>
      </c>
      <c r="D903" s="80" t="s">
        <v>130</v>
      </c>
      <c r="E903" s="80">
        <v>8</v>
      </c>
      <c r="F903" s="80">
        <v>4</v>
      </c>
      <c r="G903" s="80">
        <v>6</v>
      </c>
      <c r="H903" s="80" t="s">
        <v>498</v>
      </c>
      <c r="I903" s="80">
        <v>6</v>
      </c>
      <c r="J903" s="80"/>
      <c r="K903" s="80"/>
      <c r="L903" s="80"/>
      <c r="M903" s="1" t="s">
        <v>1274</v>
      </c>
      <c r="N903" s="1">
        <v>3</v>
      </c>
      <c r="O903" s="1">
        <v>2</v>
      </c>
      <c r="P903" s="13">
        <v>44944</v>
      </c>
      <c r="Q903" s="1" t="s">
        <v>133</v>
      </c>
      <c r="R903" s="1" t="s">
        <v>31</v>
      </c>
      <c r="S903" s="1">
        <v>1</v>
      </c>
      <c r="T903" s="1" t="s">
        <v>18</v>
      </c>
      <c r="U903" s="1" t="s">
        <v>18</v>
      </c>
      <c r="V903" s="76">
        <v>7.5</v>
      </c>
      <c r="W903" s="76">
        <v>0.5</v>
      </c>
      <c r="X903" s="77">
        <v>1</v>
      </c>
      <c r="Y903" s="77">
        <v>4</v>
      </c>
      <c r="Z903" s="76">
        <v>6</v>
      </c>
      <c r="AA903" s="76">
        <v>2</v>
      </c>
      <c r="AB903" s="77">
        <v>-1</v>
      </c>
      <c r="AC903" s="77">
        <v>1</v>
      </c>
      <c r="AD903" s="76">
        <v>8</v>
      </c>
      <c r="AE903" s="76">
        <v>2</v>
      </c>
      <c r="AF903" s="77">
        <v>-1</v>
      </c>
      <c r="AG903" s="77">
        <v>1</v>
      </c>
      <c r="AH903" s="76">
        <v>5.5</v>
      </c>
      <c r="AI903" s="76">
        <v>0.5</v>
      </c>
      <c r="AJ903" s="77">
        <v>1</v>
      </c>
      <c r="AK903" s="77">
        <v>4</v>
      </c>
      <c r="AL903" s="76"/>
      <c r="AM903" s="76"/>
      <c r="AN903" s="77"/>
      <c r="AO903" s="77"/>
      <c r="AP903" s="76"/>
      <c r="AQ903" s="76"/>
      <c r="AR903" s="77"/>
      <c r="AS903" s="77"/>
      <c r="AT903" s="78">
        <v>0.625</v>
      </c>
    </row>
    <row r="904" spans="1:46" ht="12.5" x14ac:dyDescent="0.25">
      <c r="A904" s="79">
        <v>44944.354893321761</v>
      </c>
      <c r="B904" s="80" t="s">
        <v>19</v>
      </c>
      <c r="C904" s="80" t="str">
        <f>INDEX(TBL_Name,MATCH(Table2[[#This Row],[Athlete Name]],listNames,0),2)</f>
        <v>Athlete 11</v>
      </c>
      <c r="D904" s="80" t="s">
        <v>130</v>
      </c>
      <c r="E904" s="80">
        <v>8</v>
      </c>
      <c r="F904" s="80">
        <v>8</v>
      </c>
      <c r="G904" s="80">
        <v>8</v>
      </c>
      <c r="H904" s="80" t="s">
        <v>193</v>
      </c>
      <c r="I904" s="80">
        <v>5</v>
      </c>
      <c r="J904" s="80"/>
      <c r="K904" s="80"/>
      <c r="L904" s="80"/>
      <c r="M904" s="1" t="s">
        <v>1275</v>
      </c>
      <c r="N904" s="1">
        <v>3</v>
      </c>
      <c r="O904" s="1">
        <v>2</v>
      </c>
      <c r="P904" s="13">
        <v>44944</v>
      </c>
      <c r="Q904" s="1" t="s">
        <v>133</v>
      </c>
      <c r="R904" s="1" t="s">
        <v>31</v>
      </c>
      <c r="S904" s="1">
        <v>1</v>
      </c>
      <c r="T904" s="1" t="s">
        <v>18</v>
      </c>
      <c r="U904" s="1" t="s">
        <v>18</v>
      </c>
      <c r="V904" s="76">
        <v>5</v>
      </c>
      <c r="W904" s="76">
        <v>2.5495097567963922</v>
      </c>
      <c r="X904" s="77">
        <v>1.1766968108291043</v>
      </c>
      <c r="Y904" s="77">
        <v>4</v>
      </c>
      <c r="Z904" s="76">
        <v>7.5</v>
      </c>
      <c r="AA904" s="76">
        <v>0.5</v>
      </c>
      <c r="AB904" s="77">
        <v>1</v>
      </c>
      <c r="AC904" s="77">
        <v>4</v>
      </c>
      <c r="AD904" s="76">
        <v>7.75</v>
      </c>
      <c r="AE904" s="76">
        <v>0.43301270189221941</v>
      </c>
      <c r="AF904" s="77">
        <v>0.57735026918962562</v>
      </c>
      <c r="AG904" s="77">
        <v>3</v>
      </c>
      <c r="AH904" s="76">
        <v>5.75</v>
      </c>
      <c r="AI904" s="76">
        <v>0.82915619758884995</v>
      </c>
      <c r="AJ904" s="77">
        <v>-0.90453403373329089</v>
      </c>
      <c r="AK904" s="77">
        <v>2</v>
      </c>
      <c r="AL904" s="76"/>
      <c r="AM904" s="76"/>
      <c r="AN904" s="77"/>
      <c r="AO904" s="77"/>
      <c r="AP904" s="76"/>
      <c r="AQ904" s="76"/>
      <c r="AR904" s="77"/>
      <c r="AS904" s="77"/>
      <c r="AT904" s="78">
        <v>0.8125</v>
      </c>
    </row>
    <row r="905" spans="1:46" ht="12.5" x14ac:dyDescent="0.25">
      <c r="A905" s="79">
        <v>44944.35490121528</v>
      </c>
      <c r="B905" s="80" t="s">
        <v>27</v>
      </c>
      <c r="C905" s="80" t="str">
        <f>INDEX(TBL_Name,MATCH(Table2[[#This Row],[Athlete Name]],listNames,0),2)</f>
        <v>Athlete 17</v>
      </c>
      <c r="D905" s="80" t="s">
        <v>150</v>
      </c>
      <c r="E905" s="80">
        <v>4</v>
      </c>
      <c r="F905" s="80">
        <v>7</v>
      </c>
      <c r="G905" s="80">
        <v>7</v>
      </c>
      <c r="H905" s="80" t="s">
        <v>151</v>
      </c>
      <c r="I905" s="80">
        <v>5</v>
      </c>
      <c r="J905" s="80"/>
      <c r="K905" s="80"/>
      <c r="L905" s="80"/>
      <c r="M905" s="1" t="s">
        <v>1276</v>
      </c>
      <c r="N905" s="1">
        <v>3</v>
      </c>
      <c r="O905" s="1">
        <v>2</v>
      </c>
      <c r="P905" s="13">
        <v>44944</v>
      </c>
      <c r="Q905" s="1" t="s">
        <v>133</v>
      </c>
      <c r="R905" s="1" t="s">
        <v>31</v>
      </c>
      <c r="S905" s="1">
        <v>3</v>
      </c>
      <c r="T905" s="1" t="s">
        <v>28</v>
      </c>
      <c r="U905" s="1" t="s">
        <v>28</v>
      </c>
      <c r="V905" s="76">
        <v>6</v>
      </c>
      <c r="W905" s="76">
        <v>1.2247448713915892</v>
      </c>
      <c r="X905" s="77">
        <v>-1.6329931618554518</v>
      </c>
      <c r="Y905" s="77">
        <v>1</v>
      </c>
      <c r="Z905" s="76">
        <v>6</v>
      </c>
      <c r="AA905" s="76">
        <v>0.70710678118654746</v>
      </c>
      <c r="AB905" s="77">
        <v>1.4142135623730951</v>
      </c>
      <c r="AC905" s="77">
        <v>4</v>
      </c>
      <c r="AD905" s="76">
        <v>7.25</v>
      </c>
      <c r="AE905" s="76">
        <v>0.43301270189221924</v>
      </c>
      <c r="AF905" s="77">
        <v>-0.57735026918962584</v>
      </c>
      <c r="AG905" s="77">
        <v>2</v>
      </c>
      <c r="AH905" s="76">
        <v>4</v>
      </c>
      <c r="AI905" s="76">
        <v>0.70710678118654757</v>
      </c>
      <c r="AJ905" s="77">
        <v>1.4142135623730949</v>
      </c>
      <c r="AK905" s="77">
        <v>4</v>
      </c>
      <c r="AL905" s="76"/>
      <c r="AM905" s="76"/>
      <c r="AN905" s="77"/>
      <c r="AO905" s="77"/>
      <c r="AP905" s="76"/>
      <c r="AQ905" s="76"/>
      <c r="AR905" s="77"/>
      <c r="AS905" s="77"/>
      <c r="AT905" s="78">
        <v>0.6875</v>
      </c>
    </row>
    <row r="906" spans="1:46" ht="12.5" x14ac:dyDescent="0.25">
      <c r="A906" s="79">
        <v>44944.356489259255</v>
      </c>
      <c r="B906" s="80" t="s">
        <v>16</v>
      </c>
      <c r="C906" s="80" t="str">
        <f>INDEX(TBL_Name,MATCH(Table2[[#This Row],[Athlete Name]],listNames,0),2)</f>
        <v>Athlete 9</v>
      </c>
      <c r="D906" s="80" t="s">
        <v>130</v>
      </c>
      <c r="E906" s="80">
        <v>8</v>
      </c>
      <c r="F906" s="80">
        <v>7</v>
      </c>
      <c r="G906" s="80">
        <v>8</v>
      </c>
      <c r="H906" s="80" t="s">
        <v>151</v>
      </c>
      <c r="I906" s="80">
        <v>7</v>
      </c>
      <c r="J906" s="80"/>
      <c r="K906" s="80"/>
      <c r="L906" s="80"/>
      <c r="M906" s="1" t="s">
        <v>1277</v>
      </c>
      <c r="N906" s="1">
        <v>3</v>
      </c>
      <c r="O906" s="1">
        <v>2</v>
      </c>
      <c r="P906" s="13">
        <v>44944</v>
      </c>
      <c r="Q906" s="1" t="s">
        <v>133</v>
      </c>
      <c r="R906" s="1" t="s">
        <v>31</v>
      </c>
      <c r="S906" s="1">
        <v>1</v>
      </c>
      <c r="T906" s="1" t="s">
        <v>14</v>
      </c>
      <c r="U906" s="1" t="s">
        <v>14</v>
      </c>
      <c r="V906" s="76">
        <v>8</v>
      </c>
      <c r="W906" s="76">
        <v>0</v>
      </c>
      <c r="X906" s="77">
        <v>0</v>
      </c>
      <c r="Y906" s="77">
        <v>3</v>
      </c>
      <c r="Z906" s="76">
        <v>7</v>
      </c>
      <c r="AA906" s="76">
        <v>0</v>
      </c>
      <c r="AB906" s="77">
        <v>0</v>
      </c>
      <c r="AC906" s="77">
        <v>3</v>
      </c>
      <c r="AD906" s="76">
        <v>8</v>
      </c>
      <c r="AE906" s="76">
        <v>0</v>
      </c>
      <c r="AF906" s="77">
        <v>0</v>
      </c>
      <c r="AG906" s="77">
        <v>3</v>
      </c>
      <c r="AH906" s="76">
        <v>7</v>
      </c>
      <c r="AI906" s="76">
        <v>0</v>
      </c>
      <c r="AJ906" s="77">
        <v>0</v>
      </c>
      <c r="AK906" s="77">
        <v>3</v>
      </c>
      <c r="AL906" s="76"/>
      <c r="AM906" s="76"/>
      <c r="AN906" s="77"/>
      <c r="AO906" s="77"/>
      <c r="AP906" s="76"/>
      <c r="AQ906" s="76"/>
      <c r="AR906" s="77"/>
      <c r="AS906" s="77"/>
      <c r="AT906" s="78">
        <v>0.75</v>
      </c>
    </row>
    <row r="907" spans="1:46" ht="12.5" x14ac:dyDescent="0.25">
      <c r="A907" s="79">
        <v>44944.361186504626</v>
      </c>
      <c r="B907" s="80" t="s">
        <v>10</v>
      </c>
      <c r="C907" s="80" t="str">
        <f>INDEX(TBL_Name,MATCH(Table2[[#This Row],[Athlete Name]],listNames,0),2)</f>
        <v>Athlete 5</v>
      </c>
      <c r="D907" s="80" t="s">
        <v>130</v>
      </c>
      <c r="E907" s="80">
        <v>9</v>
      </c>
      <c r="F907" s="80">
        <v>7</v>
      </c>
      <c r="G907" s="80">
        <v>7</v>
      </c>
      <c r="H907" s="80" t="s">
        <v>226</v>
      </c>
      <c r="I907" s="80">
        <v>6</v>
      </c>
      <c r="J907" s="80"/>
      <c r="K907" s="80"/>
      <c r="L907" s="80"/>
      <c r="M907" s="1" t="s">
        <v>1278</v>
      </c>
      <c r="N907" s="1">
        <v>3</v>
      </c>
      <c r="O907" s="1">
        <v>2</v>
      </c>
      <c r="P907" s="13">
        <v>44944</v>
      </c>
      <c r="Q907" s="1" t="s">
        <v>133</v>
      </c>
      <c r="R907" s="1" t="s">
        <v>31</v>
      </c>
      <c r="S907" s="1">
        <v>1</v>
      </c>
      <c r="T907" s="1" t="s">
        <v>11</v>
      </c>
      <c r="U907" s="1" t="s">
        <v>11</v>
      </c>
      <c r="V907" s="76">
        <v>7.2</v>
      </c>
      <c r="W907" s="76">
        <v>1.9390719429665317</v>
      </c>
      <c r="X907" s="77">
        <v>0.92827912163291393</v>
      </c>
      <c r="Y907" s="77">
        <v>3</v>
      </c>
      <c r="Z907" s="76">
        <v>8</v>
      </c>
      <c r="AA907" s="76">
        <v>0.63245553203367577</v>
      </c>
      <c r="AB907" s="77">
        <v>-1.58113883008419</v>
      </c>
      <c r="AC907" s="77">
        <v>1</v>
      </c>
      <c r="AD907" s="76">
        <v>8</v>
      </c>
      <c r="AE907" s="76">
        <v>0.63245553203367577</v>
      </c>
      <c r="AF907" s="77">
        <v>-1.58113883008419</v>
      </c>
      <c r="AG907" s="77">
        <v>1</v>
      </c>
      <c r="AH907" s="76">
        <v>7.2</v>
      </c>
      <c r="AI907" s="76">
        <v>1.1661903789690602</v>
      </c>
      <c r="AJ907" s="77">
        <v>-1.0289915108550531</v>
      </c>
      <c r="AK907" s="77">
        <v>1</v>
      </c>
      <c r="AL907" s="76"/>
      <c r="AM907" s="76"/>
      <c r="AN907" s="77"/>
      <c r="AO907" s="77"/>
      <c r="AP907" s="76"/>
      <c r="AQ907" s="76"/>
      <c r="AR907" s="77"/>
      <c r="AS907" s="77"/>
      <c r="AT907" s="78">
        <v>0.375</v>
      </c>
    </row>
    <row r="908" spans="1:46" ht="12.5" x14ac:dyDescent="0.25">
      <c r="A908" s="79">
        <v>44944.3621909375</v>
      </c>
      <c r="B908" s="80" t="s">
        <v>21</v>
      </c>
      <c r="C908" s="80" t="str">
        <f>INDEX(TBL_Name,MATCH(Table2[[#This Row],[Athlete Name]],listNames,0),2)</f>
        <v>Athlete 13</v>
      </c>
      <c r="D908" s="80" t="s">
        <v>143</v>
      </c>
      <c r="E908" s="80">
        <v>7</v>
      </c>
      <c r="F908" s="80">
        <v>7</v>
      </c>
      <c r="G908" s="80">
        <v>8</v>
      </c>
      <c r="H908" s="80" t="s">
        <v>1279</v>
      </c>
      <c r="I908" s="80">
        <v>5</v>
      </c>
      <c r="J908" s="80"/>
      <c r="K908" s="80"/>
      <c r="L908" s="80"/>
      <c r="M908" s="1" t="s">
        <v>1280</v>
      </c>
      <c r="N908" s="1">
        <v>3</v>
      </c>
      <c r="O908" s="1">
        <v>2</v>
      </c>
      <c r="P908" s="13">
        <v>44944</v>
      </c>
      <c r="Q908" s="1" t="s">
        <v>133</v>
      </c>
      <c r="R908" s="1" t="s">
        <v>31</v>
      </c>
      <c r="S908" s="1">
        <v>2</v>
      </c>
      <c r="T908" s="1" t="s">
        <v>18</v>
      </c>
      <c r="U908" s="1" t="s">
        <v>18</v>
      </c>
      <c r="V908" s="76">
        <v>6.375</v>
      </c>
      <c r="W908" s="76">
        <v>0.99215674164922152</v>
      </c>
      <c r="X908" s="77">
        <v>0.62994078834871203</v>
      </c>
      <c r="Y908" s="77">
        <v>3</v>
      </c>
      <c r="Z908" s="76">
        <v>6.875</v>
      </c>
      <c r="AA908" s="76">
        <v>0.59947894041409</v>
      </c>
      <c r="AB908" s="77">
        <v>0.20851441405707474</v>
      </c>
      <c r="AC908" s="77">
        <v>3</v>
      </c>
      <c r="AD908" s="76">
        <v>8.125</v>
      </c>
      <c r="AE908" s="76">
        <v>0.59947894041409</v>
      </c>
      <c r="AF908" s="77">
        <v>-0.20851441405707474</v>
      </c>
      <c r="AG908" s="77">
        <v>2</v>
      </c>
      <c r="AH908" s="76">
        <v>6.625</v>
      </c>
      <c r="AI908" s="76">
        <v>1.4086784586980805</v>
      </c>
      <c r="AJ908" s="77">
        <v>-1.1535634622409481</v>
      </c>
      <c r="AK908" s="77">
        <v>1</v>
      </c>
      <c r="AL908" s="76"/>
      <c r="AM908" s="76"/>
      <c r="AN908" s="77"/>
      <c r="AO908" s="77"/>
      <c r="AP908" s="76"/>
      <c r="AQ908" s="76"/>
      <c r="AR908" s="77"/>
      <c r="AS908" s="77"/>
      <c r="AT908" s="78">
        <v>0.5625</v>
      </c>
    </row>
    <row r="909" spans="1:46" ht="12.5" x14ac:dyDescent="0.25">
      <c r="A909" s="79">
        <v>44944.372748993061</v>
      </c>
      <c r="B909" s="80" t="s">
        <v>24</v>
      </c>
      <c r="C909" s="80" t="str">
        <f>INDEX(TBL_Name,MATCH(Table2[[#This Row],[Athlete Name]],listNames,0),2)</f>
        <v>Athlete 16</v>
      </c>
      <c r="D909" s="80" t="s">
        <v>130</v>
      </c>
      <c r="E909" s="80">
        <v>8</v>
      </c>
      <c r="F909" s="80">
        <v>9</v>
      </c>
      <c r="G909" s="80">
        <v>5</v>
      </c>
      <c r="H909" s="80" t="s">
        <v>1281</v>
      </c>
      <c r="I909" s="80">
        <v>4</v>
      </c>
      <c r="J909" s="80"/>
      <c r="K909" s="80"/>
      <c r="L909" s="80"/>
      <c r="M909" s="1" t="s">
        <v>1282</v>
      </c>
      <c r="N909" s="1">
        <v>3</v>
      </c>
      <c r="O909" s="1">
        <v>2</v>
      </c>
      <c r="P909" s="13">
        <v>44944</v>
      </c>
      <c r="Q909" s="1" t="s">
        <v>133</v>
      </c>
      <c r="R909" s="1" t="s">
        <v>31</v>
      </c>
      <c r="S909" s="1">
        <v>1</v>
      </c>
      <c r="T909" s="1" t="s">
        <v>18</v>
      </c>
      <c r="U909" s="1" t="s">
        <v>18</v>
      </c>
      <c r="V909" s="76">
        <v>7.666666666666667</v>
      </c>
      <c r="W909" s="76">
        <v>0.47140452079103162</v>
      </c>
      <c r="X909" s="77">
        <v>0.70710678118654702</v>
      </c>
      <c r="Y909" s="77">
        <v>3</v>
      </c>
      <c r="Z909" s="76">
        <v>7.666666666666667</v>
      </c>
      <c r="AA909" s="76">
        <v>1.247219128924647</v>
      </c>
      <c r="AB909" s="77">
        <v>1.0690449676496974</v>
      </c>
      <c r="AC909" s="77">
        <v>4</v>
      </c>
      <c r="AD909" s="76">
        <v>6</v>
      </c>
      <c r="AE909" s="76">
        <v>0.81649658092772603</v>
      </c>
      <c r="AF909" s="77">
        <v>-1.2247448713915889</v>
      </c>
      <c r="AG909" s="77">
        <v>1</v>
      </c>
      <c r="AH909" s="76">
        <v>5.666666666666667</v>
      </c>
      <c r="AI909" s="76">
        <v>2.3570226039551585</v>
      </c>
      <c r="AJ909" s="77">
        <v>-0.70710678118654757</v>
      </c>
      <c r="AK909" s="77">
        <v>2</v>
      </c>
      <c r="AL909" s="76"/>
      <c r="AM909" s="76"/>
      <c r="AN909" s="77"/>
      <c r="AO909" s="77"/>
      <c r="AP909" s="76"/>
      <c r="AQ909" s="76"/>
      <c r="AR909" s="77"/>
      <c r="AS909" s="77"/>
      <c r="AT909" s="78">
        <v>0.625</v>
      </c>
    </row>
    <row r="910" spans="1:46" ht="12.5" x14ac:dyDescent="0.25">
      <c r="A910" s="79">
        <v>44944.374010439817</v>
      </c>
      <c r="B910" s="80" t="s">
        <v>6</v>
      </c>
      <c r="C910" s="80" t="str">
        <f>INDEX(TBL_Name,MATCH(Table2[[#This Row],[Athlete Name]],listNames,0),2)</f>
        <v>Athlete 2</v>
      </c>
      <c r="D910" s="80" t="s">
        <v>130</v>
      </c>
      <c r="E910" s="80">
        <v>7</v>
      </c>
      <c r="F910" s="80">
        <v>4</v>
      </c>
      <c r="G910" s="80">
        <v>5</v>
      </c>
      <c r="H910" s="80" t="s">
        <v>586</v>
      </c>
      <c r="I910" s="80">
        <v>5</v>
      </c>
      <c r="J910" s="80"/>
      <c r="K910" s="80"/>
      <c r="L910" s="80"/>
      <c r="M910" s="1" t="s">
        <v>1283</v>
      </c>
      <c r="N910" s="1">
        <v>3</v>
      </c>
      <c r="O910" s="1">
        <v>2</v>
      </c>
      <c r="P910" s="13">
        <v>44944</v>
      </c>
      <c r="Q910" s="1" t="s">
        <v>133</v>
      </c>
      <c r="R910" s="1" t="s">
        <v>31</v>
      </c>
      <c r="S910" s="1">
        <v>1</v>
      </c>
      <c r="T910" s="1" t="s">
        <v>5</v>
      </c>
      <c r="U910" s="1" t="s">
        <v>5</v>
      </c>
      <c r="V910" s="76">
        <v>8</v>
      </c>
      <c r="W910" s="76">
        <v>1</v>
      </c>
      <c r="X910" s="77">
        <v>-1</v>
      </c>
      <c r="Y910" s="77">
        <v>1</v>
      </c>
      <c r="Z910" s="76">
        <v>7.25</v>
      </c>
      <c r="AA910" s="76">
        <v>1.9202864369671522</v>
      </c>
      <c r="AB910" s="77">
        <v>-1.6924558427507101</v>
      </c>
      <c r="AC910" s="77">
        <v>1</v>
      </c>
      <c r="AD910" s="76">
        <v>7.75</v>
      </c>
      <c r="AE910" s="76">
        <v>1.7853571071357124</v>
      </c>
      <c r="AF910" s="77">
        <v>-1.5403080924308108</v>
      </c>
      <c r="AG910" s="77">
        <v>1</v>
      </c>
      <c r="AH910" s="76">
        <v>6</v>
      </c>
      <c r="AI910" s="76">
        <v>1.2247448713915892</v>
      </c>
      <c r="AJ910" s="77">
        <v>-0.81649658092772592</v>
      </c>
      <c r="AK910" s="77">
        <v>2</v>
      </c>
      <c r="AL910" s="76"/>
      <c r="AM910" s="76"/>
      <c r="AN910" s="77"/>
      <c r="AO910" s="77"/>
      <c r="AP910" s="76"/>
      <c r="AQ910" s="76"/>
      <c r="AR910" s="77"/>
      <c r="AS910" s="77"/>
      <c r="AT910" s="78">
        <v>0.3125</v>
      </c>
    </row>
    <row r="911" spans="1:46" ht="12.5" x14ac:dyDescent="0.25">
      <c r="A911" s="79">
        <v>44944.39674408565</v>
      </c>
      <c r="B911" s="80" t="s">
        <v>29</v>
      </c>
      <c r="C911" s="80" t="str">
        <f>INDEX(TBL_Name,MATCH(Table2[[#This Row],[Athlete Name]],listNames,0),2)</f>
        <v>Athlete 18</v>
      </c>
      <c r="D911" s="80" t="s">
        <v>130</v>
      </c>
      <c r="E911" s="80">
        <v>9</v>
      </c>
      <c r="F911" s="80">
        <v>10</v>
      </c>
      <c r="G911" s="80">
        <v>9</v>
      </c>
      <c r="H911" s="80" t="s">
        <v>1284</v>
      </c>
      <c r="I911" s="80">
        <v>9</v>
      </c>
      <c r="J911" s="80"/>
      <c r="K911" s="80"/>
      <c r="L911" s="80"/>
      <c r="M911" s="1" t="s">
        <v>1285</v>
      </c>
      <c r="N911" s="1">
        <v>3</v>
      </c>
      <c r="O911" s="1">
        <v>2</v>
      </c>
      <c r="P911" s="13">
        <v>44944</v>
      </c>
      <c r="Q911" s="1" t="s">
        <v>133</v>
      </c>
      <c r="R911" s="1" t="s">
        <v>31</v>
      </c>
      <c r="S911" s="1">
        <v>1</v>
      </c>
      <c r="T911" s="1" t="s">
        <v>28</v>
      </c>
      <c r="U911" s="1" t="s">
        <v>28</v>
      </c>
      <c r="V911" s="76">
        <v>9</v>
      </c>
      <c r="W911" s="76">
        <v>0</v>
      </c>
      <c r="X911" s="77">
        <v>0</v>
      </c>
      <c r="Y911" s="77">
        <v>3</v>
      </c>
      <c r="Z911" s="76">
        <v>10</v>
      </c>
      <c r="AA911" s="76">
        <v>0</v>
      </c>
      <c r="AB911" s="77">
        <v>0</v>
      </c>
      <c r="AC911" s="77">
        <v>3</v>
      </c>
      <c r="AD911" s="76">
        <v>9</v>
      </c>
      <c r="AE911" s="76">
        <v>0</v>
      </c>
      <c r="AF911" s="77">
        <v>0</v>
      </c>
      <c r="AG911" s="77">
        <v>3</v>
      </c>
      <c r="AH911" s="76">
        <v>9</v>
      </c>
      <c r="AI911" s="76">
        <v>0</v>
      </c>
      <c r="AJ911" s="77">
        <v>0</v>
      </c>
      <c r="AK911" s="77">
        <v>3</v>
      </c>
      <c r="AL911" s="76"/>
      <c r="AM911" s="76"/>
      <c r="AN911" s="77"/>
      <c r="AO911" s="77"/>
      <c r="AP911" s="76"/>
      <c r="AQ911" s="76"/>
      <c r="AR911" s="77"/>
      <c r="AS911" s="77"/>
      <c r="AT911" s="78">
        <v>0.75</v>
      </c>
    </row>
    <row r="912" spans="1:46" ht="12.5" x14ac:dyDescent="0.25">
      <c r="A912" s="79">
        <v>44944.398120219907</v>
      </c>
      <c r="B912" s="80" t="s">
        <v>13</v>
      </c>
      <c r="C912" s="80" t="str">
        <f>INDEX(TBL_Name,MATCH(Table2[[#This Row],[Athlete Name]],listNames,0),2)</f>
        <v>Athlete 7</v>
      </c>
      <c r="D912" s="80" t="s">
        <v>130</v>
      </c>
      <c r="E912" s="80">
        <v>10</v>
      </c>
      <c r="F912" s="80">
        <v>7</v>
      </c>
      <c r="G912" s="80">
        <v>8</v>
      </c>
      <c r="H912" s="80" t="s">
        <v>1286</v>
      </c>
      <c r="I912" s="80">
        <v>4</v>
      </c>
      <c r="J912" s="80"/>
      <c r="K912" s="80"/>
      <c r="L912" s="80"/>
      <c r="M912" s="1" t="s">
        <v>1287</v>
      </c>
      <c r="N912" s="1">
        <v>3</v>
      </c>
      <c r="O912" s="1">
        <v>2</v>
      </c>
      <c r="P912" s="13">
        <v>44944</v>
      </c>
      <c r="Q912" s="1" t="s">
        <v>133</v>
      </c>
      <c r="R912" s="1" t="s">
        <v>31</v>
      </c>
      <c r="S912" s="1">
        <v>1</v>
      </c>
      <c r="T912" s="1" t="s">
        <v>14</v>
      </c>
      <c r="U912" s="1" t="s">
        <v>14</v>
      </c>
      <c r="V912" s="76">
        <v>6.5</v>
      </c>
      <c r="W912" s="76">
        <v>3.5</v>
      </c>
      <c r="X912" s="77">
        <v>1</v>
      </c>
      <c r="Y912" s="77">
        <v>4</v>
      </c>
      <c r="Z912" s="76">
        <v>7</v>
      </c>
      <c r="AA912" s="76">
        <v>0</v>
      </c>
      <c r="AB912" s="77">
        <v>0</v>
      </c>
      <c r="AC912" s="77">
        <v>3</v>
      </c>
      <c r="AD912" s="76">
        <v>7.5</v>
      </c>
      <c r="AE912" s="76">
        <v>0.5</v>
      </c>
      <c r="AF912" s="77">
        <v>1</v>
      </c>
      <c r="AG912" s="77">
        <v>4</v>
      </c>
      <c r="AH912" s="76">
        <v>6</v>
      </c>
      <c r="AI912" s="76">
        <v>2</v>
      </c>
      <c r="AJ912" s="77">
        <v>-1</v>
      </c>
      <c r="AK912" s="77">
        <v>1</v>
      </c>
      <c r="AL912" s="76"/>
      <c r="AM912" s="76"/>
      <c r="AN912" s="77"/>
      <c r="AO912" s="77"/>
      <c r="AP912" s="76"/>
      <c r="AQ912" s="76"/>
      <c r="AR912" s="77"/>
      <c r="AS912" s="77"/>
      <c r="AT912" s="78">
        <v>0.75</v>
      </c>
    </row>
    <row r="913" spans="1:46" ht="12.5" x14ac:dyDescent="0.25">
      <c r="A913" s="79">
        <v>44944.403978599541</v>
      </c>
      <c r="B913" s="80" t="s">
        <v>20</v>
      </c>
      <c r="C913" s="80" t="str">
        <f>INDEX(TBL_Name,MATCH(Table2[[#This Row],[Athlete Name]],listNames,0),2)</f>
        <v>Athlete 12</v>
      </c>
      <c r="D913" s="80" t="s">
        <v>143</v>
      </c>
      <c r="E913" s="80">
        <v>6</v>
      </c>
      <c r="F913" s="80">
        <v>9</v>
      </c>
      <c r="G913" s="80">
        <v>9</v>
      </c>
      <c r="H913" s="80" t="s">
        <v>1288</v>
      </c>
      <c r="I913" s="80">
        <v>6</v>
      </c>
      <c r="J913" s="80"/>
      <c r="K913" s="80"/>
      <c r="L913" s="80"/>
      <c r="M913" s="1" t="s">
        <v>1289</v>
      </c>
      <c r="N913" s="1">
        <v>3</v>
      </c>
      <c r="O913" s="1">
        <v>2</v>
      </c>
      <c r="P913" s="13">
        <v>44944</v>
      </c>
      <c r="Q913" s="1" t="s">
        <v>133</v>
      </c>
      <c r="R913" s="1" t="s">
        <v>31</v>
      </c>
      <c r="S913" s="1">
        <v>2</v>
      </c>
      <c r="T913" s="1" t="s">
        <v>18</v>
      </c>
      <c r="U913" s="1" t="s">
        <v>18</v>
      </c>
      <c r="V913" s="76">
        <v>6</v>
      </c>
      <c r="W913" s="76">
        <v>0</v>
      </c>
      <c r="X913" s="77">
        <v>0</v>
      </c>
      <c r="Y913" s="77">
        <v>3</v>
      </c>
      <c r="Z913" s="76">
        <v>9</v>
      </c>
      <c r="AA913" s="76">
        <v>0</v>
      </c>
      <c r="AB913" s="77">
        <v>0</v>
      </c>
      <c r="AC913" s="77">
        <v>3</v>
      </c>
      <c r="AD913" s="76">
        <v>9</v>
      </c>
      <c r="AE913" s="76">
        <v>0</v>
      </c>
      <c r="AF913" s="77">
        <v>0</v>
      </c>
      <c r="AG913" s="77">
        <v>3</v>
      </c>
      <c r="AH913" s="76">
        <v>6</v>
      </c>
      <c r="AI913" s="76">
        <v>0</v>
      </c>
      <c r="AJ913" s="77">
        <v>0</v>
      </c>
      <c r="AK913" s="77">
        <v>3</v>
      </c>
      <c r="AL913" s="76"/>
      <c r="AM913" s="76"/>
      <c r="AN913" s="77"/>
      <c r="AO913" s="77"/>
      <c r="AP913" s="76"/>
      <c r="AQ913" s="76"/>
      <c r="AR913" s="77"/>
      <c r="AS913" s="77"/>
      <c r="AT913" s="78">
        <v>0.75</v>
      </c>
    </row>
    <row r="914" spans="1:46" ht="12.5" x14ac:dyDescent="0.25">
      <c r="A914" s="79">
        <v>44944.408144548608</v>
      </c>
      <c r="B914" s="80" t="s">
        <v>12</v>
      </c>
      <c r="C914" s="80" t="str">
        <f>INDEX(TBL_Name,MATCH(Table2[[#This Row],[Athlete Name]],listNames,0),2)</f>
        <v>Athlete 6</v>
      </c>
      <c r="D914" s="80" t="s">
        <v>130</v>
      </c>
      <c r="E914" s="80">
        <v>10</v>
      </c>
      <c r="F914" s="80">
        <v>8</v>
      </c>
      <c r="G914" s="80">
        <v>9</v>
      </c>
      <c r="H914" s="80" t="s">
        <v>1290</v>
      </c>
      <c r="I914" s="80">
        <v>8</v>
      </c>
      <c r="J914" s="80"/>
      <c r="K914" s="80"/>
      <c r="L914" s="80"/>
      <c r="M914" s="1" t="s">
        <v>1291</v>
      </c>
      <c r="N914" s="1">
        <v>3</v>
      </c>
      <c r="O914" s="1">
        <v>2</v>
      </c>
      <c r="P914" s="13">
        <v>44944</v>
      </c>
      <c r="Q914" s="1" t="s">
        <v>133</v>
      </c>
      <c r="R914" s="1" t="s">
        <v>31</v>
      </c>
      <c r="S914" s="1">
        <v>1</v>
      </c>
      <c r="T914" s="1" t="s">
        <v>11</v>
      </c>
      <c r="U914" s="1" t="s">
        <v>11</v>
      </c>
      <c r="V914" s="76">
        <v>10</v>
      </c>
      <c r="W914" s="76">
        <v>0</v>
      </c>
      <c r="X914" s="77">
        <v>0</v>
      </c>
      <c r="Y914" s="77">
        <v>3</v>
      </c>
      <c r="Z914" s="76">
        <v>8</v>
      </c>
      <c r="AA914" s="76">
        <v>0</v>
      </c>
      <c r="AB914" s="77">
        <v>0</v>
      </c>
      <c r="AC914" s="77">
        <v>3</v>
      </c>
      <c r="AD914" s="76">
        <v>9</v>
      </c>
      <c r="AE914" s="76">
        <v>0</v>
      </c>
      <c r="AF914" s="77">
        <v>0</v>
      </c>
      <c r="AG914" s="77">
        <v>3</v>
      </c>
      <c r="AH914" s="76">
        <v>8</v>
      </c>
      <c r="AI914" s="76">
        <v>0</v>
      </c>
      <c r="AJ914" s="77">
        <v>0</v>
      </c>
      <c r="AK914" s="77">
        <v>3</v>
      </c>
      <c r="AL914" s="76"/>
      <c r="AM914" s="76"/>
      <c r="AN914" s="77"/>
      <c r="AO914" s="77"/>
      <c r="AP914" s="76"/>
      <c r="AQ914" s="76"/>
      <c r="AR914" s="77"/>
      <c r="AS914" s="77"/>
      <c r="AT914" s="78">
        <v>0.75</v>
      </c>
    </row>
    <row r="915" spans="1:46" ht="12.5" x14ac:dyDescent="0.25">
      <c r="A915" s="79">
        <v>44944.444507199078</v>
      </c>
      <c r="B915" s="80" t="s">
        <v>17</v>
      </c>
      <c r="C915" s="80" t="str">
        <f>INDEX(TBL_Name,MATCH(Table2[[#This Row],[Athlete Name]],listNames,0),2)</f>
        <v>Athlete 10</v>
      </c>
      <c r="D915" s="80" t="s">
        <v>130</v>
      </c>
      <c r="E915" s="80">
        <v>7</v>
      </c>
      <c r="F915" s="80">
        <v>7</v>
      </c>
      <c r="G915" s="80">
        <v>7</v>
      </c>
      <c r="H915" s="80" t="s">
        <v>1292</v>
      </c>
      <c r="I915" s="80">
        <v>6</v>
      </c>
      <c r="J915" s="80"/>
      <c r="K915" s="80"/>
      <c r="L915" s="80"/>
      <c r="M915" s="1" t="s">
        <v>1293</v>
      </c>
      <c r="N915" s="1">
        <v>3</v>
      </c>
      <c r="O915" s="1">
        <v>2</v>
      </c>
      <c r="P915" s="13">
        <v>44944</v>
      </c>
      <c r="Q915" s="1" t="s">
        <v>133</v>
      </c>
      <c r="R915" s="1" t="s">
        <v>31</v>
      </c>
      <c r="S915" s="1">
        <v>1</v>
      </c>
      <c r="T915" s="1" t="s">
        <v>18</v>
      </c>
      <c r="U915" s="1" t="s">
        <v>18</v>
      </c>
      <c r="V915" s="76">
        <v>8</v>
      </c>
      <c r="W915" s="76">
        <v>1</v>
      </c>
      <c r="X915" s="77">
        <v>-1</v>
      </c>
      <c r="Y915" s="77">
        <v>1</v>
      </c>
      <c r="Z915" s="76">
        <v>6.5</v>
      </c>
      <c r="AA915" s="76">
        <v>0.5</v>
      </c>
      <c r="AB915" s="77">
        <v>1</v>
      </c>
      <c r="AC915" s="77">
        <v>4</v>
      </c>
      <c r="AD915" s="76">
        <v>7.5</v>
      </c>
      <c r="AE915" s="76">
        <v>0.5</v>
      </c>
      <c r="AF915" s="77">
        <v>-1</v>
      </c>
      <c r="AG915" s="77">
        <v>1</v>
      </c>
      <c r="AH915" s="76">
        <v>5.5</v>
      </c>
      <c r="AI915" s="76">
        <v>0.5</v>
      </c>
      <c r="AJ915" s="77">
        <v>1</v>
      </c>
      <c r="AK915" s="77">
        <v>4</v>
      </c>
      <c r="AL915" s="76"/>
      <c r="AM915" s="76"/>
      <c r="AN915" s="77"/>
      <c r="AO915" s="77"/>
      <c r="AP915" s="76"/>
      <c r="AQ915" s="76"/>
      <c r="AR915" s="77"/>
      <c r="AS915" s="77"/>
      <c r="AT915" s="78">
        <v>0.625</v>
      </c>
    </row>
    <row r="916" spans="1:46" ht="12.5" x14ac:dyDescent="0.25">
      <c r="A916" s="79">
        <v>44944.449606620372</v>
      </c>
      <c r="B916" s="80" t="s">
        <v>9</v>
      </c>
      <c r="C916" s="80" t="str">
        <f>INDEX(TBL_Name,MATCH(Table2[[#This Row],[Athlete Name]],listNames,0),2)</f>
        <v>Athlete 4</v>
      </c>
      <c r="D916" s="80" t="s">
        <v>130</v>
      </c>
      <c r="E916" s="80">
        <v>4</v>
      </c>
      <c r="F916" s="80">
        <v>6</v>
      </c>
      <c r="G916" s="80">
        <v>7</v>
      </c>
      <c r="H916" s="80" t="s">
        <v>1294</v>
      </c>
      <c r="I916" s="80">
        <v>8</v>
      </c>
      <c r="J916" s="80"/>
      <c r="K916" s="80"/>
      <c r="L916" s="80"/>
      <c r="M916" s="1" t="s">
        <v>1295</v>
      </c>
      <c r="N916" s="1">
        <v>3</v>
      </c>
      <c r="O916" s="1">
        <v>2</v>
      </c>
      <c r="P916" s="13">
        <v>44944</v>
      </c>
      <c r="Q916" s="1" t="s">
        <v>133</v>
      </c>
      <c r="R916" s="1" t="s">
        <v>31</v>
      </c>
      <c r="S916" s="1">
        <v>1</v>
      </c>
      <c r="T916" s="1" t="s">
        <v>8</v>
      </c>
      <c r="U916" s="1" t="s">
        <v>8</v>
      </c>
      <c r="V916" s="76">
        <v>4</v>
      </c>
      <c r="W916" s="76">
        <v>0</v>
      </c>
      <c r="X916" s="77">
        <v>0</v>
      </c>
      <c r="Y916" s="77">
        <v>3</v>
      </c>
      <c r="Z916" s="76">
        <v>6</v>
      </c>
      <c r="AA916" s="76">
        <v>0</v>
      </c>
      <c r="AB916" s="77">
        <v>0</v>
      </c>
      <c r="AC916" s="77">
        <v>3</v>
      </c>
      <c r="AD916" s="76">
        <v>7</v>
      </c>
      <c r="AE916" s="76">
        <v>0</v>
      </c>
      <c r="AF916" s="77">
        <v>0</v>
      </c>
      <c r="AG916" s="77">
        <v>3</v>
      </c>
      <c r="AH916" s="76">
        <v>8</v>
      </c>
      <c r="AI916" s="76">
        <v>0</v>
      </c>
      <c r="AJ916" s="77">
        <v>0</v>
      </c>
      <c r="AK916" s="77">
        <v>3</v>
      </c>
      <c r="AL916" s="76"/>
      <c r="AM916" s="76"/>
      <c r="AN916" s="77"/>
      <c r="AO916" s="77"/>
      <c r="AP916" s="76"/>
      <c r="AQ916" s="76"/>
      <c r="AR916" s="77"/>
      <c r="AS916" s="77"/>
      <c r="AT916" s="78">
        <v>0.75</v>
      </c>
    </row>
    <row r="917" spans="1:46" ht="12.5" x14ac:dyDescent="0.25">
      <c r="A917" s="79">
        <v>44945.294082245367</v>
      </c>
      <c r="B917" s="80" t="s">
        <v>29</v>
      </c>
      <c r="C917" s="80" t="str">
        <f>INDEX(TBL_Name,MATCH(Table2[[#This Row],[Athlete Name]],listNames,0),2)</f>
        <v>Athlete 18</v>
      </c>
      <c r="D917" s="80" t="s">
        <v>130</v>
      </c>
      <c r="E917" s="80">
        <v>9</v>
      </c>
      <c r="F917" s="80">
        <v>8</v>
      </c>
      <c r="G917" s="80">
        <v>7</v>
      </c>
      <c r="H917" s="80" t="s">
        <v>1284</v>
      </c>
      <c r="I917" s="80">
        <v>9</v>
      </c>
      <c r="J917" s="80"/>
      <c r="K917" s="80"/>
      <c r="L917" s="80"/>
      <c r="M917" s="1" t="s">
        <v>1296</v>
      </c>
      <c r="N917" s="1">
        <v>3</v>
      </c>
      <c r="O917" s="1">
        <v>2</v>
      </c>
      <c r="P917" s="13">
        <v>44945</v>
      </c>
      <c r="Q917" s="1" t="s">
        <v>133</v>
      </c>
      <c r="R917" s="1" t="s">
        <v>31</v>
      </c>
      <c r="S917" s="1">
        <v>1</v>
      </c>
      <c r="T917" s="1" t="s">
        <v>28</v>
      </c>
      <c r="U917" s="1" t="s">
        <v>28</v>
      </c>
      <c r="V917" s="76">
        <v>9</v>
      </c>
      <c r="W917" s="76">
        <v>0</v>
      </c>
      <c r="X917" s="77">
        <v>0</v>
      </c>
      <c r="Y917" s="77">
        <v>3</v>
      </c>
      <c r="Z917" s="76">
        <v>9</v>
      </c>
      <c r="AA917" s="76">
        <v>1</v>
      </c>
      <c r="AB917" s="77">
        <v>-1</v>
      </c>
      <c r="AC917" s="77">
        <v>1</v>
      </c>
      <c r="AD917" s="76">
        <v>8</v>
      </c>
      <c r="AE917" s="76">
        <v>1</v>
      </c>
      <c r="AF917" s="77">
        <v>-1</v>
      </c>
      <c r="AG917" s="77">
        <v>1</v>
      </c>
      <c r="AH917" s="76">
        <v>9</v>
      </c>
      <c r="AI917" s="76">
        <v>0</v>
      </c>
      <c r="AJ917" s="77">
        <v>0</v>
      </c>
      <c r="AK917" s="77">
        <v>3</v>
      </c>
      <c r="AL917" s="76"/>
      <c r="AM917" s="76"/>
      <c r="AN917" s="77"/>
      <c r="AO917" s="77"/>
      <c r="AP917" s="76"/>
      <c r="AQ917" s="76"/>
      <c r="AR917" s="77"/>
      <c r="AS917" s="77"/>
      <c r="AT917" s="78">
        <v>0.5</v>
      </c>
    </row>
    <row r="918" spans="1:46" ht="12.5" x14ac:dyDescent="0.25">
      <c r="A918" s="79">
        <v>44945.325022442128</v>
      </c>
      <c r="B918" s="80" t="s">
        <v>10</v>
      </c>
      <c r="C918" s="80" t="str">
        <f>INDEX(TBL_Name,MATCH(Table2[[#This Row],[Athlete Name]],listNames,0),2)</f>
        <v>Athlete 5</v>
      </c>
      <c r="D918" s="80" t="s">
        <v>130</v>
      </c>
      <c r="E918" s="80">
        <v>9</v>
      </c>
      <c r="F918" s="80">
        <v>8</v>
      </c>
      <c r="G918" s="80">
        <v>8</v>
      </c>
      <c r="H918" s="80" t="s">
        <v>197</v>
      </c>
      <c r="I918" s="80">
        <v>8</v>
      </c>
      <c r="J918" s="80"/>
      <c r="K918" s="80"/>
      <c r="L918" s="80"/>
      <c r="M918" s="1" t="s">
        <v>1297</v>
      </c>
      <c r="N918" s="1">
        <v>3</v>
      </c>
      <c r="O918" s="1">
        <v>2</v>
      </c>
      <c r="P918" s="13">
        <v>44945</v>
      </c>
      <c r="Q918" s="1" t="s">
        <v>133</v>
      </c>
      <c r="R918" s="1" t="s">
        <v>31</v>
      </c>
      <c r="S918" s="1">
        <v>1</v>
      </c>
      <c r="T918" s="1" t="s">
        <v>11</v>
      </c>
      <c r="U918" s="1" t="s">
        <v>11</v>
      </c>
      <c r="V918" s="76">
        <v>8.1999999999999993</v>
      </c>
      <c r="W918" s="76">
        <v>1.16619037896906</v>
      </c>
      <c r="X918" s="77">
        <v>0.68599434057003605</v>
      </c>
      <c r="Y918" s="77">
        <v>3</v>
      </c>
      <c r="Z918" s="76">
        <v>8</v>
      </c>
      <c r="AA918" s="76">
        <v>0.63245553203367599</v>
      </c>
      <c r="AB918" s="77">
        <v>0</v>
      </c>
      <c r="AC918" s="77">
        <v>3</v>
      </c>
      <c r="AD918" s="76">
        <v>8</v>
      </c>
      <c r="AE918" s="76">
        <v>0.63245553203367599</v>
      </c>
      <c r="AF918" s="77">
        <v>0</v>
      </c>
      <c r="AG918" s="77">
        <v>3</v>
      </c>
      <c r="AH918" s="76">
        <v>7.2</v>
      </c>
      <c r="AI918" s="76">
        <v>1.16619037896906</v>
      </c>
      <c r="AJ918" s="77">
        <v>0.68599434057003528</v>
      </c>
      <c r="AK918" s="77">
        <v>3</v>
      </c>
      <c r="AL918" s="76"/>
      <c r="AM918" s="76"/>
      <c r="AN918" s="77"/>
      <c r="AO918" s="77"/>
      <c r="AP918" s="76"/>
      <c r="AQ918" s="76"/>
      <c r="AR918" s="77"/>
      <c r="AS918" s="77"/>
      <c r="AT918" s="78">
        <v>0.75</v>
      </c>
    </row>
    <row r="919" spans="1:46" ht="12.5" x14ac:dyDescent="0.25">
      <c r="A919" s="79">
        <v>44945.333910543981</v>
      </c>
      <c r="B919" s="80" t="s">
        <v>19</v>
      </c>
      <c r="C919" s="80" t="str">
        <f>INDEX(TBL_Name,MATCH(Table2[[#This Row],[Athlete Name]],listNames,0),2)</f>
        <v>Athlete 11</v>
      </c>
      <c r="D919" s="80" t="s">
        <v>130</v>
      </c>
      <c r="E919" s="80">
        <v>8</v>
      </c>
      <c r="F919" s="80">
        <v>8</v>
      </c>
      <c r="G919" s="80">
        <v>8</v>
      </c>
      <c r="H919" s="80" t="s">
        <v>1298</v>
      </c>
      <c r="I919" s="80">
        <v>5</v>
      </c>
      <c r="J919" s="80"/>
      <c r="K919" s="80"/>
      <c r="L919" s="80"/>
      <c r="M919" s="1" t="s">
        <v>1299</v>
      </c>
      <c r="N919" s="1">
        <v>3</v>
      </c>
      <c r="O919" s="1">
        <v>2</v>
      </c>
      <c r="P919" s="13">
        <v>44945</v>
      </c>
      <c r="Q919" s="1" t="s">
        <v>133</v>
      </c>
      <c r="R919" s="1" t="s">
        <v>31</v>
      </c>
      <c r="S919" s="1">
        <v>1</v>
      </c>
      <c r="T919" s="1" t="s">
        <v>18</v>
      </c>
      <c r="U919" s="1" t="s">
        <v>18</v>
      </c>
      <c r="V919" s="76">
        <v>6.25</v>
      </c>
      <c r="W919" s="76">
        <v>2.4874685927665499</v>
      </c>
      <c r="X919" s="77">
        <v>0.70352647068144847</v>
      </c>
      <c r="Y919" s="77">
        <v>3</v>
      </c>
      <c r="Z919" s="76">
        <v>7.75</v>
      </c>
      <c r="AA919" s="76">
        <v>0.43301270189221924</v>
      </c>
      <c r="AB919" s="77">
        <v>0.57735026918962584</v>
      </c>
      <c r="AC919" s="77">
        <v>3</v>
      </c>
      <c r="AD919" s="76">
        <v>7.75</v>
      </c>
      <c r="AE919" s="76">
        <v>0.43301270189221924</v>
      </c>
      <c r="AF919" s="77">
        <v>0.57735026918962584</v>
      </c>
      <c r="AG919" s="77">
        <v>3</v>
      </c>
      <c r="AH919" s="76">
        <v>5.75</v>
      </c>
      <c r="AI919" s="76">
        <v>0.82915619758884995</v>
      </c>
      <c r="AJ919" s="77">
        <v>-0.90453403373329089</v>
      </c>
      <c r="AK919" s="77">
        <v>2</v>
      </c>
      <c r="AL919" s="76"/>
      <c r="AM919" s="76"/>
      <c r="AN919" s="77"/>
      <c r="AO919" s="77"/>
      <c r="AP919" s="76"/>
      <c r="AQ919" s="76"/>
      <c r="AR919" s="77"/>
      <c r="AS919" s="77"/>
      <c r="AT919" s="78">
        <v>0.6875</v>
      </c>
    </row>
    <row r="920" spans="1:46" ht="12.5" x14ac:dyDescent="0.25">
      <c r="A920" s="79">
        <v>44945.337210393518</v>
      </c>
      <c r="B920" s="80" t="s">
        <v>27</v>
      </c>
      <c r="C920" s="80" t="str">
        <f>INDEX(TBL_Name,MATCH(Table2[[#This Row],[Athlete Name]],listNames,0),2)</f>
        <v>Athlete 17</v>
      </c>
      <c r="D920" s="80" t="s">
        <v>150</v>
      </c>
      <c r="E920" s="80">
        <v>4</v>
      </c>
      <c r="F920" s="80">
        <v>3</v>
      </c>
      <c r="G920" s="80">
        <v>5</v>
      </c>
      <c r="H920" s="80" t="s">
        <v>151</v>
      </c>
      <c r="I920" s="80">
        <v>4</v>
      </c>
      <c r="J920" s="80"/>
      <c r="K920" s="80"/>
      <c r="L920" s="80"/>
      <c r="M920" s="1" t="s">
        <v>1300</v>
      </c>
      <c r="N920" s="1">
        <v>3</v>
      </c>
      <c r="O920" s="1">
        <v>2</v>
      </c>
      <c r="P920" s="13">
        <v>44945</v>
      </c>
      <c r="Q920" s="1" t="s">
        <v>133</v>
      </c>
      <c r="R920" s="1" t="s">
        <v>31</v>
      </c>
      <c r="S920" s="1">
        <v>3</v>
      </c>
      <c r="T920" s="1" t="s">
        <v>28</v>
      </c>
      <c r="U920" s="1" t="s">
        <v>28</v>
      </c>
      <c r="V920" s="76">
        <v>5.25</v>
      </c>
      <c r="W920" s="76">
        <v>1.2990381056766582</v>
      </c>
      <c r="X920" s="77">
        <v>-0.96225044864937603</v>
      </c>
      <c r="Y920" s="77">
        <v>2</v>
      </c>
      <c r="Z920" s="76">
        <v>5.25</v>
      </c>
      <c r="AA920" s="76">
        <v>1.479019945774904</v>
      </c>
      <c r="AB920" s="77">
        <v>-1.5212776585113299</v>
      </c>
      <c r="AC920" s="77">
        <v>1</v>
      </c>
      <c r="AD920" s="76">
        <v>6.75</v>
      </c>
      <c r="AE920" s="76">
        <v>1.0897247358851685</v>
      </c>
      <c r="AF920" s="77">
        <v>-1.6059101370939322</v>
      </c>
      <c r="AG920" s="77">
        <v>1</v>
      </c>
      <c r="AH920" s="76">
        <v>4</v>
      </c>
      <c r="AI920" s="76">
        <v>0.70710678118654757</v>
      </c>
      <c r="AJ920" s="77">
        <v>0</v>
      </c>
      <c r="AK920" s="77">
        <v>3</v>
      </c>
      <c r="AL920" s="76"/>
      <c r="AM920" s="76"/>
      <c r="AN920" s="77"/>
      <c r="AO920" s="77"/>
      <c r="AP920" s="76"/>
      <c r="AQ920" s="76"/>
      <c r="AR920" s="77"/>
      <c r="AS920" s="77"/>
      <c r="AT920" s="78">
        <v>0.4375</v>
      </c>
    </row>
    <row r="921" spans="1:46" ht="12.5" x14ac:dyDescent="0.25">
      <c r="A921" s="79">
        <v>44945.360017222221</v>
      </c>
      <c r="B921" s="80" t="s">
        <v>16</v>
      </c>
      <c r="C921" s="80" t="str">
        <f>INDEX(TBL_Name,MATCH(Table2[[#This Row],[Athlete Name]],listNames,0),2)</f>
        <v>Athlete 9</v>
      </c>
      <c r="D921" s="80" t="s">
        <v>130</v>
      </c>
      <c r="E921" s="80">
        <v>7</v>
      </c>
      <c r="F921" s="80">
        <v>6</v>
      </c>
      <c r="G921" s="80">
        <v>7</v>
      </c>
      <c r="H921" s="80" t="s">
        <v>1301</v>
      </c>
      <c r="I921" s="80">
        <v>6</v>
      </c>
      <c r="J921" s="80"/>
      <c r="K921" s="80"/>
      <c r="L921" s="80"/>
      <c r="M921" s="1" t="s">
        <v>1302</v>
      </c>
      <c r="N921" s="1">
        <v>3</v>
      </c>
      <c r="O921" s="1">
        <v>2</v>
      </c>
      <c r="P921" s="13">
        <v>44945</v>
      </c>
      <c r="Q921" s="1" t="s">
        <v>133</v>
      </c>
      <c r="R921" s="1" t="s">
        <v>31</v>
      </c>
      <c r="S921" s="1">
        <v>1</v>
      </c>
      <c r="T921" s="1" t="s">
        <v>14</v>
      </c>
      <c r="U921" s="1" t="s">
        <v>14</v>
      </c>
      <c r="V921" s="76">
        <v>7.5</v>
      </c>
      <c r="W921" s="76">
        <v>0.5</v>
      </c>
      <c r="X921" s="77">
        <v>-1</v>
      </c>
      <c r="Y921" s="77">
        <v>1</v>
      </c>
      <c r="Z921" s="76">
        <v>6.5</v>
      </c>
      <c r="AA921" s="76">
        <v>0.5</v>
      </c>
      <c r="AB921" s="77">
        <v>-1</v>
      </c>
      <c r="AC921" s="77">
        <v>1</v>
      </c>
      <c r="AD921" s="76">
        <v>7.5</v>
      </c>
      <c r="AE921" s="76">
        <v>0.5</v>
      </c>
      <c r="AF921" s="77">
        <v>-1</v>
      </c>
      <c r="AG921" s="77">
        <v>1</v>
      </c>
      <c r="AH921" s="76">
        <v>6.5</v>
      </c>
      <c r="AI921" s="76">
        <v>0.5</v>
      </c>
      <c r="AJ921" s="77">
        <v>-1</v>
      </c>
      <c r="AK921" s="77">
        <v>1</v>
      </c>
      <c r="AL921" s="76"/>
      <c r="AM921" s="76"/>
      <c r="AN921" s="77"/>
      <c r="AO921" s="77"/>
      <c r="AP921" s="76"/>
      <c r="AQ921" s="76"/>
      <c r="AR921" s="77"/>
      <c r="AS921" s="77"/>
      <c r="AT921" s="78">
        <v>0.25</v>
      </c>
    </row>
    <row r="922" spans="1:46" ht="12.5" x14ac:dyDescent="0.25">
      <c r="A922" s="79">
        <v>44945.371365879633</v>
      </c>
      <c r="B922" s="80" t="s">
        <v>21</v>
      </c>
      <c r="C922" s="80" t="str">
        <f>INDEX(TBL_Name,MATCH(Table2[[#This Row],[Athlete Name]],listNames,0),2)</f>
        <v>Athlete 13</v>
      </c>
      <c r="D922" s="80" t="s">
        <v>143</v>
      </c>
      <c r="E922" s="80">
        <v>8</v>
      </c>
      <c r="F922" s="80">
        <v>8</v>
      </c>
      <c r="G922" s="80">
        <v>8</v>
      </c>
      <c r="H922" s="80" t="s">
        <v>137</v>
      </c>
      <c r="I922" s="80">
        <v>3</v>
      </c>
      <c r="J922" s="80"/>
      <c r="K922" s="80"/>
      <c r="L922" s="80"/>
      <c r="M922" s="1" t="s">
        <v>1303</v>
      </c>
      <c r="N922" s="1">
        <v>3</v>
      </c>
      <c r="O922" s="1">
        <v>2</v>
      </c>
      <c r="P922" s="13">
        <v>44945</v>
      </c>
      <c r="Q922" s="1" t="s">
        <v>133</v>
      </c>
      <c r="R922" s="1" t="s">
        <v>31</v>
      </c>
      <c r="S922" s="1">
        <v>2</v>
      </c>
      <c r="T922" s="1" t="s">
        <v>18</v>
      </c>
      <c r="U922" s="1" t="s">
        <v>18</v>
      </c>
      <c r="V922" s="76">
        <v>6.5</v>
      </c>
      <c r="W922" s="76">
        <v>1.1180339887498947</v>
      </c>
      <c r="X922" s="77">
        <v>1.3416407864998741</v>
      </c>
      <c r="Y922" s="77">
        <v>4</v>
      </c>
      <c r="Z922" s="76">
        <v>7</v>
      </c>
      <c r="AA922" s="76">
        <v>0.70710678118654757</v>
      </c>
      <c r="AB922" s="77">
        <v>1.4142135623730949</v>
      </c>
      <c r="AC922" s="77">
        <v>4</v>
      </c>
      <c r="AD922" s="76">
        <v>8.125</v>
      </c>
      <c r="AE922" s="76">
        <v>0.59947894041409</v>
      </c>
      <c r="AF922" s="77">
        <v>-0.20851441405707474</v>
      </c>
      <c r="AG922" s="77">
        <v>2</v>
      </c>
      <c r="AH922" s="76">
        <v>6.375</v>
      </c>
      <c r="AI922" s="76">
        <v>1.7984368212422701</v>
      </c>
      <c r="AJ922" s="77">
        <v>-1.8766297265136727</v>
      </c>
      <c r="AK922" s="77">
        <v>1</v>
      </c>
      <c r="AL922" s="76"/>
      <c r="AM922" s="76"/>
      <c r="AN922" s="77"/>
      <c r="AO922" s="77"/>
      <c r="AP922" s="76"/>
      <c r="AQ922" s="76"/>
      <c r="AR922" s="77"/>
      <c r="AS922" s="77"/>
      <c r="AT922" s="78">
        <v>0.6875</v>
      </c>
    </row>
    <row r="923" spans="1:46" ht="12.5" x14ac:dyDescent="0.25">
      <c r="A923" s="79">
        <v>44945.381269780089</v>
      </c>
      <c r="B923" s="80" t="s">
        <v>6</v>
      </c>
      <c r="C923" s="80" t="str">
        <f>INDEX(TBL_Name,MATCH(Table2[[#This Row],[Athlete Name]],listNames,0),2)</f>
        <v>Athlete 2</v>
      </c>
      <c r="D923" s="80" t="s">
        <v>130</v>
      </c>
      <c r="E923" s="80">
        <v>8</v>
      </c>
      <c r="F923" s="80">
        <v>4</v>
      </c>
      <c r="G923" s="80">
        <v>5</v>
      </c>
      <c r="H923" s="80" t="s">
        <v>239</v>
      </c>
      <c r="I923" s="80">
        <v>7</v>
      </c>
      <c r="J923" s="80"/>
      <c r="K923" s="80"/>
      <c r="L923" s="80"/>
      <c r="M923" s="1" t="s">
        <v>1304</v>
      </c>
      <c r="N923" s="1">
        <v>3</v>
      </c>
      <c r="O923" s="1">
        <v>2</v>
      </c>
      <c r="P923" s="13">
        <v>44945</v>
      </c>
      <c r="Q923" s="1" t="s">
        <v>133</v>
      </c>
      <c r="R923" s="1" t="s">
        <v>31</v>
      </c>
      <c r="S923" s="1">
        <v>1</v>
      </c>
      <c r="T923" s="1" t="s">
        <v>5</v>
      </c>
      <c r="U923" s="1" t="s">
        <v>5</v>
      </c>
      <c r="V923" s="76">
        <v>7.75</v>
      </c>
      <c r="W923" s="76">
        <v>0.82915619758884995</v>
      </c>
      <c r="X923" s="77">
        <v>0.30151134457776363</v>
      </c>
      <c r="Y923" s="77">
        <v>3</v>
      </c>
      <c r="Z923" s="76">
        <v>6.25</v>
      </c>
      <c r="AA923" s="76">
        <v>2.2776083947860748</v>
      </c>
      <c r="AB923" s="77">
        <v>-0.98787833990721308</v>
      </c>
      <c r="AC923" s="77">
        <v>2</v>
      </c>
      <c r="AD923" s="76">
        <v>7</v>
      </c>
      <c r="AE923" s="76">
        <v>2.1213203435596424</v>
      </c>
      <c r="AF923" s="77">
        <v>-0.94280904158206347</v>
      </c>
      <c r="AG923" s="77">
        <v>2</v>
      </c>
      <c r="AH923" s="76">
        <v>6.5</v>
      </c>
      <c r="AI923" s="76">
        <v>1.1180339887498949</v>
      </c>
      <c r="AJ923" s="77">
        <v>0.44721359549995793</v>
      </c>
      <c r="AK923" s="77">
        <v>3</v>
      </c>
      <c r="AL923" s="76"/>
      <c r="AM923" s="76"/>
      <c r="AN923" s="77"/>
      <c r="AO923" s="77"/>
      <c r="AP923" s="76"/>
      <c r="AQ923" s="76"/>
      <c r="AR923" s="77"/>
      <c r="AS923" s="77"/>
      <c r="AT923" s="78">
        <v>0.625</v>
      </c>
    </row>
    <row r="924" spans="1:46" ht="12.5" x14ac:dyDescent="0.25">
      <c r="A924" s="79">
        <v>44945.391172916672</v>
      </c>
      <c r="B924" s="80" t="s">
        <v>9</v>
      </c>
      <c r="C924" s="80" t="str">
        <f>INDEX(TBL_Name,MATCH(Table2[[#This Row],[Athlete Name]],listNames,0),2)</f>
        <v>Athlete 4</v>
      </c>
      <c r="D924" s="80" t="s">
        <v>130</v>
      </c>
      <c r="E924" s="80">
        <v>4</v>
      </c>
      <c r="F924" s="80">
        <v>6</v>
      </c>
      <c r="G924" s="80">
        <v>7</v>
      </c>
      <c r="H924" s="80" t="s">
        <v>1305</v>
      </c>
      <c r="I924" s="80">
        <v>5</v>
      </c>
      <c r="J924" s="80"/>
      <c r="K924" s="80"/>
      <c r="L924" s="80"/>
      <c r="M924" s="1" t="s">
        <v>1306</v>
      </c>
      <c r="N924" s="1">
        <v>3</v>
      </c>
      <c r="O924" s="1">
        <v>2</v>
      </c>
      <c r="P924" s="13">
        <v>44945</v>
      </c>
      <c r="Q924" s="1" t="s">
        <v>133</v>
      </c>
      <c r="R924" s="1" t="s">
        <v>31</v>
      </c>
      <c r="S924" s="1">
        <v>1</v>
      </c>
      <c r="T924" s="1" t="s">
        <v>8</v>
      </c>
      <c r="U924" s="1" t="s">
        <v>8</v>
      </c>
      <c r="V924" s="76">
        <v>4</v>
      </c>
      <c r="W924" s="76">
        <v>0</v>
      </c>
      <c r="X924" s="77">
        <v>0</v>
      </c>
      <c r="Y924" s="77">
        <v>3</v>
      </c>
      <c r="Z924" s="76">
        <v>6</v>
      </c>
      <c r="AA924" s="76">
        <v>0</v>
      </c>
      <c r="AB924" s="77">
        <v>0</v>
      </c>
      <c r="AC924" s="77">
        <v>3</v>
      </c>
      <c r="AD924" s="76">
        <v>7</v>
      </c>
      <c r="AE924" s="76">
        <v>0</v>
      </c>
      <c r="AF924" s="77">
        <v>0</v>
      </c>
      <c r="AG924" s="77">
        <v>3</v>
      </c>
      <c r="AH924" s="76">
        <v>6.5</v>
      </c>
      <c r="AI924" s="76">
        <v>1.5</v>
      </c>
      <c r="AJ924" s="77">
        <v>-1</v>
      </c>
      <c r="AK924" s="77">
        <v>1</v>
      </c>
      <c r="AL924" s="76"/>
      <c r="AM924" s="76"/>
      <c r="AN924" s="77"/>
      <c r="AO924" s="77"/>
      <c r="AP924" s="76"/>
      <c r="AQ924" s="76"/>
      <c r="AR924" s="77"/>
      <c r="AS924" s="77"/>
      <c r="AT924" s="78">
        <v>0.625</v>
      </c>
    </row>
    <row r="925" spans="1:46" ht="12.5" x14ac:dyDescent="0.25">
      <c r="A925" s="79">
        <v>44945.406629884259</v>
      </c>
      <c r="B925" s="80" t="s">
        <v>24</v>
      </c>
      <c r="C925" s="80" t="str">
        <f>INDEX(TBL_Name,MATCH(Table2[[#This Row],[Athlete Name]],listNames,0),2)</f>
        <v>Athlete 16</v>
      </c>
      <c r="D925" s="80" t="s">
        <v>130</v>
      </c>
      <c r="E925" s="80">
        <v>7</v>
      </c>
      <c r="F925" s="80">
        <v>5</v>
      </c>
      <c r="G925" s="80">
        <v>5</v>
      </c>
      <c r="H925" s="80" t="s">
        <v>1307</v>
      </c>
      <c r="I925" s="80">
        <v>7</v>
      </c>
      <c r="J925" s="80"/>
      <c r="K925" s="80"/>
      <c r="L925" s="80"/>
      <c r="M925" s="1" t="s">
        <v>1308</v>
      </c>
      <c r="N925" s="1">
        <v>3</v>
      </c>
      <c r="O925" s="1">
        <v>2</v>
      </c>
      <c r="P925" s="13">
        <v>44945</v>
      </c>
      <c r="Q925" s="1" t="s">
        <v>133</v>
      </c>
      <c r="R925" s="1" t="s">
        <v>31</v>
      </c>
      <c r="S925" s="1">
        <v>1</v>
      </c>
      <c r="T925" s="1" t="s">
        <v>18</v>
      </c>
      <c r="U925" s="1" t="s">
        <v>18</v>
      </c>
      <c r="V925" s="76">
        <v>7.5</v>
      </c>
      <c r="W925" s="76">
        <v>0.5</v>
      </c>
      <c r="X925" s="77">
        <v>-1</v>
      </c>
      <c r="Y925" s="77">
        <v>1</v>
      </c>
      <c r="Z925" s="76">
        <v>7</v>
      </c>
      <c r="AA925" s="76">
        <v>1.5811388300841898</v>
      </c>
      <c r="AB925" s="77">
        <v>-1.2649110640673518</v>
      </c>
      <c r="AC925" s="77">
        <v>1</v>
      </c>
      <c r="AD925" s="76">
        <v>5.75</v>
      </c>
      <c r="AE925" s="76">
        <v>0.82915619758884995</v>
      </c>
      <c r="AF925" s="77">
        <v>-0.90453403373329089</v>
      </c>
      <c r="AG925" s="77">
        <v>2</v>
      </c>
      <c r="AH925" s="76">
        <v>6</v>
      </c>
      <c r="AI925" s="76">
        <v>2.1213203435596424</v>
      </c>
      <c r="AJ925" s="77">
        <v>0.47140452079103173</v>
      </c>
      <c r="AK925" s="77">
        <v>3</v>
      </c>
      <c r="AL925" s="76"/>
      <c r="AM925" s="76"/>
      <c r="AN925" s="77"/>
      <c r="AO925" s="77"/>
      <c r="AP925" s="76"/>
      <c r="AQ925" s="76"/>
      <c r="AR925" s="77"/>
      <c r="AS925" s="77"/>
      <c r="AT925" s="78">
        <v>0.4375</v>
      </c>
    </row>
    <row r="926" spans="1:46" ht="12.5" x14ac:dyDescent="0.25">
      <c r="A926" s="79">
        <v>44945.407161168987</v>
      </c>
      <c r="B926" s="80" t="s">
        <v>13</v>
      </c>
      <c r="C926" s="80" t="str">
        <f>INDEX(TBL_Name,MATCH(Table2[[#This Row],[Athlete Name]],listNames,0),2)</f>
        <v>Athlete 7</v>
      </c>
      <c r="D926" s="80" t="s">
        <v>130</v>
      </c>
      <c r="E926" s="80">
        <v>9</v>
      </c>
      <c r="F926" s="80">
        <v>9</v>
      </c>
      <c r="G926" s="80">
        <v>8</v>
      </c>
      <c r="H926" s="80" t="s">
        <v>326</v>
      </c>
      <c r="I926" s="80">
        <v>4</v>
      </c>
      <c r="J926" s="80"/>
      <c r="K926" s="80"/>
      <c r="L926" s="80"/>
      <c r="M926" s="1" t="s">
        <v>1309</v>
      </c>
      <c r="N926" s="1">
        <v>3</v>
      </c>
      <c r="O926" s="1">
        <v>2</v>
      </c>
      <c r="P926" s="13">
        <v>44945</v>
      </c>
      <c r="Q926" s="1" t="s">
        <v>133</v>
      </c>
      <c r="R926" s="1" t="s">
        <v>31</v>
      </c>
      <c r="S926" s="1">
        <v>1</v>
      </c>
      <c r="T926" s="1" t="s">
        <v>14</v>
      </c>
      <c r="U926" s="1" t="s">
        <v>14</v>
      </c>
      <c r="V926" s="76">
        <v>9.5</v>
      </c>
      <c r="W926" s="76">
        <v>0.5</v>
      </c>
      <c r="X926" s="77">
        <v>-1</v>
      </c>
      <c r="Y926" s="77">
        <v>1</v>
      </c>
      <c r="Z926" s="76">
        <v>8</v>
      </c>
      <c r="AA926" s="76">
        <v>1</v>
      </c>
      <c r="AB926" s="77">
        <v>1</v>
      </c>
      <c r="AC926" s="77">
        <v>4</v>
      </c>
      <c r="AD926" s="76">
        <v>8</v>
      </c>
      <c r="AE926" s="76">
        <v>0</v>
      </c>
      <c r="AF926" s="77">
        <v>0</v>
      </c>
      <c r="AG926" s="77">
        <v>3</v>
      </c>
      <c r="AH926" s="76">
        <v>4</v>
      </c>
      <c r="AI926" s="76">
        <v>0</v>
      </c>
      <c r="AJ926" s="77">
        <v>0</v>
      </c>
      <c r="AK926" s="77">
        <v>3</v>
      </c>
      <c r="AL926" s="76"/>
      <c r="AM926" s="76"/>
      <c r="AN926" s="77"/>
      <c r="AO926" s="77"/>
      <c r="AP926" s="76"/>
      <c r="AQ926" s="76"/>
      <c r="AR926" s="77"/>
      <c r="AS926" s="77"/>
      <c r="AT926" s="78">
        <v>0.6875</v>
      </c>
    </row>
    <row r="927" spans="1:46" ht="12.5" x14ac:dyDescent="0.25">
      <c r="A927" s="79">
        <v>44945.409959849538</v>
      </c>
      <c r="B927" s="80" t="s">
        <v>17</v>
      </c>
      <c r="C927" s="80" t="str">
        <f>INDEX(TBL_Name,MATCH(Table2[[#This Row],[Athlete Name]],listNames,0),2)</f>
        <v>Athlete 10</v>
      </c>
      <c r="D927" s="80" t="s">
        <v>130</v>
      </c>
      <c r="E927" s="80">
        <v>7</v>
      </c>
      <c r="F927" s="80">
        <v>7</v>
      </c>
      <c r="G927" s="80">
        <v>9</v>
      </c>
      <c r="H927" s="80" t="s">
        <v>1310</v>
      </c>
      <c r="I927" s="80">
        <v>5</v>
      </c>
      <c r="J927" s="80"/>
      <c r="K927" s="80"/>
      <c r="L927" s="80"/>
      <c r="M927" s="1" t="s">
        <v>1311</v>
      </c>
      <c r="N927" s="1">
        <v>3</v>
      </c>
      <c r="O927" s="1">
        <v>2</v>
      </c>
      <c r="P927" s="13">
        <v>44945</v>
      </c>
      <c r="Q927" s="1" t="s">
        <v>133</v>
      </c>
      <c r="R927" s="1" t="s">
        <v>31</v>
      </c>
      <c r="S927" s="1">
        <v>1</v>
      </c>
      <c r="T927" s="1" t="s">
        <v>18</v>
      </c>
      <c r="U927" s="1" t="s">
        <v>18</v>
      </c>
      <c r="V927" s="76">
        <v>7.666666666666667</v>
      </c>
      <c r="W927" s="76">
        <v>0.94280904158206336</v>
      </c>
      <c r="X927" s="77">
        <v>-0.70710678118654779</v>
      </c>
      <c r="Y927" s="77">
        <v>2</v>
      </c>
      <c r="Z927" s="76">
        <v>6.666666666666667</v>
      </c>
      <c r="AA927" s="76">
        <v>0.47140452079103162</v>
      </c>
      <c r="AB927" s="77">
        <v>0.70710678118654702</v>
      </c>
      <c r="AC927" s="77">
        <v>3</v>
      </c>
      <c r="AD927" s="76">
        <v>8</v>
      </c>
      <c r="AE927" s="76">
        <v>0.81649658092772603</v>
      </c>
      <c r="AF927" s="77">
        <v>1.2247448713915889</v>
      </c>
      <c r="AG927" s="77">
        <v>4</v>
      </c>
      <c r="AH927" s="76">
        <v>5.333333333333333</v>
      </c>
      <c r="AI927" s="76">
        <v>0.47140452079103162</v>
      </c>
      <c r="AJ927" s="77">
        <v>-0.70710678118654702</v>
      </c>
      <c r="AK927" s="77">
        <v>2</v>
      </c>
      <c r="AL927" s="76"/>
      <c r="AM927" s="76"/>
      <c r="AN927" s="77"/>
      <c r="AO927" s="77"/>
      <c r="AP927" s="76"/>
      <c r="AQ927" s="76"/>
      <c r="AR927" s="77"/>
      <c r="AS927" s="77"/>
      <c r="AT927" s="78">
        <v>0.6875</v>
      </c>
    </row>
    <row r="928" spans="1:46" ht="12.5" x14ac:dyDescent="0.25">
      <c r="A928" s="79">
        <v>44945.438119560189</v>
      </c>
      <c r="B928" s="80" t="s">
        <v>22</v>
      </c>
      <c r="C928" s="80" t="str">
        <f>INDEX(TBL_Name,MATCH(Table2[[#This Row],[Athlete Name]],listNames,0),2)</f>
        <v>Athlete 14</v>
      </c>
      <c r="D928" s="80" t="s">
        <v>130</v>
      </c>
      <c r="E928" s="80">
        <v>7</v>
      </c>
      <c r="F928" s="80">
        <v>5</v>
      </c>
      <c r="G928" s="80">
        <v>7</v>
      </c>
      <c r="H928" s="80" t="s">
        <v>1312</v>
      </c>
      <c r="I928" s="80">
        <v>5</v>
      </c>
      <c r="J928" s="80"/>
      <c r="K928" s="80"/>
      <c r="L928" s="80"/>
      <c r="M928" s="1" t="s">
        <v>1313</v>
      </c>
      <c r="N928" s="1">
        <v>3</v>
      </c>
      <c r="O928" s="1">
        <v>2</v>
      </c>
      <c r="P928" s="13">
        <v>44945</v>
      </c>
      <c r="Q928" s="1" t="s">
        <v>133</v>
      </c>
      <c r="R928" s="1" t="s">
        <v>31</v>
      </c>
      <c r="S928" s="1">
        <v>1</v>
      </c>
      <c r="T928" s="1" t="s">
        <v>18</v>
      </c>
      <c r="U928" s="1" t="s">
        <v>18</v>
      </c>
      <c r="V928" s="76">
        <v>7.5</v>
      </c>
      <c r="W928" s="76">
        <v>0.5</v>
      </c>
      <c r="X928" s="77">
        <v>-1</v>
      </c>
      <c r="Y928" s="77">
        <v>1</v>
      </c>
      <c r="Z928" s="76">
        <v>4.5</v>
      </c>
      <c r="AA928" s="76">
        <v>0.5</v>
      </c>
      <c r="AB928" s="77">
        <v>1</v>
      </c>
      <c r="AC928" s="77">
        <v>4</v>
      </c>
      <c r="AD928" s="76">
        <v>6.5</v>
      </c>
      <c r="AE928" s="76">
        <v>0.5</v>
      </c>
      <c r="AF928" s="77">
        <v>1</v>
      </c>
      <c r="AG928" s="77">
        <v>4</v>
      </c>
      <c r="AH928" s="76">
        <v>5.5</v>
      </c>
      <c r="AI928" s="76">
        <v>0.5</v>
      </c>
      <c r="AJ928" s="77">
        <v>-1</v>
      </c>
      <c r="AK928" s="77">
        <v>1</v>
      </c>
      <c r="AL928" s="76"/>
      <c r="AM928" s="76"/>
      <c r="AN928" s="77"/>
      <c r="AO928" s="77"/>
      <c r="AP928" s="76"/>
      <c r="AQ928" s="76"/>
      <c r="AR928" s="77"/>
      <c r="AS928" s="77"/>
      <c r="AT928" s="78">
        <v>0.625</v>
      </c>
    </row>
    <row r="929" spans="1:46" ht="12.5" x14ac:dyDescent="0.25">
      <c r="A929" s="79">
        <v>44946.298734594908</v>
      </c>
      <c r="B929" s="80" t="s">
        <v>17</v>
      </c>
      <c r="C929" s="80" t="str">
        <f>INDEX(TBL_Name,MATCH(Table2[[#This Row],[Athlete Name]],listNames,0),2)</f>
        <v>Athlete 10</v>
      </c>
      <c r="D929" s="80" t="s">
        <v>130</v>
      </c>
      <c r="E929" s="80">
        <v>8</v>
      </c>
      <c r="F929" s="80">
        <v>7</v>
      </c>
      <c r="G929" s="80">
        <v>7</v>
      </c>
      <c r="H929" s="80" t="s">
        <v>287</v>
      </c>
      <c r="I929" s="80">
        <v>7</v>
      </c>
      <c r="J929" s="80"/>
      <c r="K929" s="80"/>
      <c r="L929" s="80"/>
      <c r="M929" s="1" t="s">
        <v>1314</v>
      </c>
      <c r="N929" s="1">
        <v>3</v>
      </c>
      <c r="O929" s="1">
        <v>2</v>
      </c>
      <c r="P929" s="13">
        <v>44946</v>
      </c>
      <c r="Q929" s="1" t="s">
        <v>133</v>
      </c>
      <c r="R929" s="1" t="s">
        <v>31</v>
      </c>
      <c r="S929" s="1">
        <v>1</v>
      </c>
      <c r="T929" s="1" t="s">
        <v>18</v>
      </c>
      <c r="U929" s="1" t="s">
        <v>18</v>
      </c>
      <c r="V929" s="76">
        <v>7.75</v>
      </c>
      <c r="W929" s="76">
        <v>0.82915619758884995</v>
      </c>
      <c r="X929" s="77">
        <v>0.30151134457776363</v>
      </c>
      <c r="Y929" s="77">
        <v>3</v>
      </c>
      <c r="Z929" s="76">
        <v>6.75</v>
      </c>
      <c r="AA929" s="76">
        <v>0.43301270189221924</v>
      </c>
      <c r="AB929" s="77">
        <v>0.57735026918962584</v>
      </c>
      <c r="AC929" s="77">
        <v>3</v>
      </c>
      <c r="AD929" s="76">
        <v>7.75</v>
      </c>
      <c r="AE929" s="76">
        <v>0.82915619758884995</v>
      </c>
      <c r="AF929" s="77">
        <v>-0.90453403373329089</v>
      </c>
      <c r="AG929" s="77">
        <v>2</v>
      </c>
      <c r="AH929" s="76">
        <v>5.75</v>
      </c>
      <c r="AI929" s="76">
        <v>0.82915619758885006</v>
      </c>
      <c r="AJ929" s="77">
        <v>1.507556722888818</v>
      </c>
      <c r="AK929" s="77">
        <v>4</v>
      </c>
      <c r="AL929" s="76"/>
      <c r="AM929" s="76"/>
      <c r="AN929" s="77"/>
      <c r="AO929" s="77"/>
      <c r="AP929" s="76"/>
      <c r="AQ929" s="76"/>
      <c r="AR929" s="77"/>
      <c r="AS929" s="77"/>
      <c r="AT929" s="78">
        <v>0.75</v>
      </c>
    </row>
    <row r="930" spans="1:46" ht="12.5" x14ac:dyDescent="0.25">
      <c r="A930" s="79">
        <v>44946.345362384258</v>
      </c>
      <c r="B930" s="80" t="s">
        <v>19</v>
      </c>
      <c r="C930" s="80" t="str">
        <f>INDEX(TBL_Name,MATCH(Table2[[#This Row],[Athlete Name]],listNames,0),2)</f>
        <v>Athlete 11</v>
      </c>
      <c r="D930" s="80" t="s">
        <v>130</v>
      </c>
      <c r="E930" s="80">
        <v>7</v>
      </c>
      <c r="F930" s="80">
        <v>8</v>
      </c>
      <c r="G930" s="80">
        <v>8</v>
      </c>
      <c r="H930" s="80" t="s">
        <v>1315</v>
      </c>
      <c r="I930" s="80">
        <v>5</v>
      </c>
      <c r="J930" s="80"/>
      <c r="K930" s="80"/>
      <c r="L930" s="80"/>
      <c r="M930" s="1" t="s">
        <v>1316</v>
      </c>
      <c r="N930" s="1">
        <v>3</v>
      </c>
      <c r="O930" s="1">
        <v>2</v>
      </c>
      <c r="P930" s="13">
        <v>44946</v>
      </c>
      <c r="Q930" s="1" t="s">
        <v>133</v>
      </c>
      <c r="R930" s="1" t="s">
        <v>31</v>
      </c>
      <c r="S930" s="1">
        <v>1</v>
      </c>
      <c r="T930" s="1" t="s">
        <v>18</v>
      </c>
      <c r="U930" s="1" t="s">
        <v>18</v>
      </c>
      <c r="V930" s="76">
        <v>7.5</v>
      </c>
      <c r="W930" s="76">
        <v>0.5</v>
      </c>
      <c r="X930" s="77">
        <v>-1</v>
      </c>
      <c r="Y930" s="77">
        <v>1</v>
      </c>
      <c r="Z930" s="76">
        <v>7.75</v>
      </c>
      <c r="AA930" s="76">
        <v>0.43301270189221924</v>
      </c>
      <c r="AB930" s="77">
        <v>0.57735026918962584</v>
      </c>
      <c r="AC930" s="77">
        <v>3</v>
      </c>
      <c r="AD930" s="76">
        <v>7.75</v>
      </c>
      <c r="AE930" s="76">
        <v>0.43301270189221924</v>
      </c>
      <c r="AF930" s="77">
        <v>0.57735026918962584</v>
      </c>
      <c r="AG930" s="77">
        <v>3</v>
      </c>
      <c r="AH930" s="76">
        <v>5.5</v>
      </c>
      <c r="AI930" s="76">
        <v>0.86602540378443871</v>
      </c>
      <c r="AJ930" s="77">
        <v>-0.57735026918962573</v>
      </c>
      <c r="AK930" s="77">
        <v>2</v>
      </c>
      <c r="AL930" s="76"/>
      <c r="AM930" s="76"/>
      <c r="AN930" s="77"/>
      <c r="AO930" s="77"/>
      <c r="AP930" s="76"/>
      <c r="AQ930" s="76"/>
      <c r="AR930" s="77"/>
      <c r="AS930" s="77"/>
      <c r="AT930" s="78">
        <v>0.5625</v>
      </c>
    </row>
    <row r="931" spans="1:46" ht="12.5" x14ac:dyDescent="0.25">
      <c r="A931" s="79">
        <v>44946.397901365737</v>
      </c>
      <c r="B931" s="80" t="s">
        <v>29</v>
      </c>
      <c r="C931" s="80" t="str">
        <f>INDEX(TBL_Name,MATCH(Table2[[#This Row],[Athlete Name]],listNames,0),2)</f>
        <v>Athlete 18</v>
      </c>
      <c r="D931" s="80" t="s">
        <v>130</v>
      </c>
      <c r="E931" s="80">
        <v>9</v>
      </c>
      <c r="F931" s="80">
        <v>8</v>
      </c>
      <c r="G931" s="80">
        <v>7</v>
      </c>
      <c r="H931" s="80" t="s">
        <v>1317</v>
      </c>
      <c r="I931" s="80">
        <v>6</v>
      </c>
      <c r="J931" s="80"/>
      <c r="K931" s="80"/>
      <c r="L931" s="80"/>
      <c r="M931" s="1" t="s">
        <v>1318</v>
      </c>
      <c r="N931" s="1">
        <v>3</v>
      </c>
      <c r="O931" s="1">
        <v>2</v>
      </c>
      <c r="P931" s="13">
        <v>44946</v>
      </c>
      <c r="Q931" s="1" t="s">
        <v>133</v>
      </c>
      <c r="R931" s="1" t="s">
        <v>31</v>
      </c>
      <c r="S931" s="1">
        <v>1</v>
      </c>
      <c r="T931" s="1" t="s">
        <v>28</v>
      </c>
      <c r="U931" s="1" t="s">
        <v>28</v>
      </c>
      <c r="V931" s="76">
        <v>9</v>
      </c>
      <c r="W931" s="76">
        <v>0</v>
      </c>
      <c r="X931" s="77">
        <v>0</v>
      </c>
      <c r="Y931" s="77">
        <v>3</v>
      </c>
      <c r="Z931" s="76">
        <v>8.6666666666666661</v>
      </c>
      <c r="AA931" s="76">
        <v>0.94280904158206325</v>
      </c>
      <c r="AB931" s="77">
        <v>-0.70710678118654702</v>
      </c>
      <c r="AC931" s="77">
        <v>2</v>
      </c>
      <c r="AD931" s="76">
        <v>7.666666666666667</v>
      </c>
      <c r="AE931" s="76">
        <v>0.94280904158206336</v>
      </c>
      <c r="AF931" s="77">
        <v>-0.70710678118654779</v>
      </c>
      <c r="AG931" s="77">
        <v>2</v>
      </c>
      <c r="AH931" s="76">
        <v>8</v>
      </c>
      <c r="AI931" s="76">
        <v>1.4142135623730951</v>
      </c>
      <c r="AJ931" s="77">
        <v>-1.4142135623730949</v>
      </c>
      <c r="AK931" s="77">
        <v>1</v>
      </c>
      <c r="AL931" s="76"/>
      <c r="AM931" s="76"/>
      <c r="AN931" s="77"/>
      <c r="AO931" s="77"/>
      <c r="AP931" s="76"/>
      <c r="AQ931" s="76"/>
      <c r="AR931" s="77"/>
      <c r="AS931" s="77"/>
      <c r="AT931" s="78">
        <v>0.5</v>
      </c>
    </row>
    <row r="932" spans="1:46" ht="12.5" x14ac:dyDescent="0.25">
      <c r="A932" s="79">
        <v>44946.43231394676</v>
      </c>
      <c r="B932" s="80" t="s">
        <v>10</v>
      </c>
      <c r="C932" s="80" t="str">
        <f>INDEX(TBL_Name,MATCH(Table2[[#This Row],[Athlete Name]],listNames,0),2)</f>
        <v>Athlete 5</v>
      </c>
      <c r="D932" s="80" t="s">
        <v>130</v>
      </c>
      <c r="E932" s="80">
        <v>9</v>
      </c>
      <c r="F932" s="80">
        <v>7</v>
      </c>
      <c r="G932" s="80">
        <v>7</v>
      </c>
      <c r="H932" s="80" t="s">
        <v>1319</v>
      </c>
      <c r="I932" s="80">
        <v>4</v>
      </c>
      <c r="J932" s="80"/>
      <c r="K932" s="80"/>
      <c r="L932" s="80"/>
      <c r="M932" s="1" t="s">
        <v>1320</v>
      </c>
      <c r="N932" s="1">
        <v>3</v>
      </c>
      <c r="O932" s="1">
        <v>2</v>
      </c>
      <c r="P932" s="13">
        <v>44946</v>
      </c>
      <c r="Q932" s="1" t="s">
        <v>133</v>
      </c>
      <c r="R932" s="1" t="s">
        <v>31</v>
      </c>
      <c r="S932" s="1">
        <v>1</v>
      </c>
      <c r="T932" s="1" t="s">
        <v>11</v>
      </c>
      <c r="U932" s="1" t="s">
        <v>11</v>
      </c>
      <c r="V932" s="76">
        <v>8.8000000000000007</v>
      </c>
      <c r="W932" s="76">
        <v>0.40000000000000008</v>
      </c>
      <c r="X932" s="77">
        <v>0.49999999999999811</v>
      </c>
      <c r="Y932" s="77">
        <v>3</v>
      </c>
      <c r="Z932" s="76">
        <v>7.8</v>
      </c>
      <c r="AA932" s="76">
        <v>0.74833147735478822</v>
      </c>
      <c r="AB932" s="77">
        <v>-1.0690449676496974</v>
      </c>
      <c r="AC932" s="77">
        <v>1</v>
      </c>
      <c r="AD932" s="76">
        <v>7.8</v>
      </c>
      <c r="AE932" s="76">
        <v>0.74833147735478822</v>
      </c>
      <c r="AF932" s="77">
        <v>-1.0690449676496974</v>
      </c>
      <c r="AG932" s="77">
        <v>1</v>
      </c>
      <c r="AH932" s="76">
        <v>6.8</v>
      </c>
      <c r="AI932" s="76">
        <v>1.7204650534085253</v>
      </c>
      <c r="AJ932" s="77">
        <v>-1.6274669424134698</v>
      </c>
      <c r="AK932" s="77">
        <v>1</v>
      </c>
      <c r="AL932" s="76"/>
      <c r="AM932" s="76"/>
      <c r="AN932" s="77"/>
      <c r="AO932" s="77"/>
      <c r="AP932" s="76"/>
      <c r="AQ932" s="76"/>
      <c r="AR932" s="77"/>
      <c r="AS932" s="77"/>
      <c r="AT932" s="78">
        <v>0.375</v>
      </c>
    </row>
    <row r="933" spans="1:46" ht="12.5" x14ac:dyDescent="0.25">
      <c r="A933" s="79">
        <v>44946.437149016201</v>
      </c>
      <c r="B933" s="80" t="s">
        <v>21</v>
      </c>
      <c r="C933" s="80" t="str">
        <f>INDEX(TBL_Name,MATCH(Table2[[#This Row],[Athlete Name]],listNames,0),2)</f>
        <v>Athlete 13</v>
      </c>
      <c r="D933" s="80" t="s">
        <v>143</v>
      </c>
      <c r="E933" s="80">
        <v>8</v>
      </c>
      <c r="F933" s="80">
        <v>8</v>
      </c>
      <c r="G933" s="80">
        <v>9</v>
      </c>
      <c r="H933" s="80" t="s">
        <v>154</v>
      </c>
      <c r="I933" s="80">
        <v>4</v>
      </c>
      <c r="J933" s="80"/>
      <c r="K933" s="80"/>
      <c r="L933" s="80"/>
      <c r="M933" s="1" t="s">
        <v>1321</v>
      </c>
      <c r="N933" s="1">
        <v>3</v>
      </c>
      <c r="O933" s="1">
        <v>2</v>
      </c>
      <c r="P933" s="13">
        <v>44946</v>
      </c>
      <c r="Q933" s="1" t="s">
        <v>133</v>
      </c>
      <c r="R933" s="1" t="s">
        <v>31</v>
      </c>
      <c r="S933" s="1">
        <v>2</v>
      </c>
      <c r="T933" s="1" t="s">
        <v>18</v>
      </c>
      <c r="U933" s="1" t="s">
        <v>18</v>
      </c>
      <c r="V933" s="76">
        <v>6.875</v>
      </c>
      <c r="W933" s="76">
        <v>1.0532687216470447</v>
      </c>
      <c r="X933" s="77">
        <v>1.0681034923744681</v>
      </c>
      <c r="Y933" s="77">
        <v>4</v>
      </c>
      <c r="Z933" s="76">
        <v>7.125</v>
      </c>
      <c r="AA933" s="76">
        <v>0.7806247497997999</v>
      </c>
      <c r="AB933" s="77">
        <v>1.1208970766356097</v>
      </c>
      <c r="AC933" s="77">
        <v>4</v>
      </c>
      <c r="AD933" s="76">
        <v>8.25</v>
      </c>
      <c r="AE933" s="76">
        <v>0.66143782776614768</v>
      </c>
      <c r="AF933" s="77">
        <v>1.1338934190276817</v>
      </c>
      <c r="AG933" s="77">
        <v>4</v>
      </c>
      <c r="AH933" s="76">
        <v>6.125</v>
      </c>
      <c r="AI933" s="76">
        <v>1.9645292056877139</v>
      </c>
      <c r="AJ933" s="77">
        <v>-1.0816840970588222</v>
      </c>
      <c r="AK933" s="77">
        <v>1</v>
      </c>
      <c r="AL933" s="76"/>
      <c r="AM933" s="76"/>
      <c r="AN933" s="77"/>
      <c r="AO933" s="77"/>
      <c r="AP933" s="76"/>
      <c r="AQ933" s="76"/>
      <c r="AR933" s="77"/>
      <c r="AS933" s="77"/>
      <c r="AT933" s="78">
        <v>0.8125</v>
      </c>
    </row>
    <row r="934" spans="1:46" ht="12.5" x14ac:dyDescent="0.25">
      <c r="A934" s="79">
        <v>44946.480150648145</v>
      </c>
      <c r="B934" s="80" t="s">
        <v>15</v>
      </c>
      <c r="C934" s="80" t="str">
        <f>INDEX(TBL_Name,MATCH(Table2[[#This Row],[Athlete Name]],listNames,0),2)</f>
        <v>Athlete 8</v>
      </c>
      <c r="D934" s="80" t="s">
        <v>130</v>
      </c>
      <c r="E934" s="80">
        <v>10</v>
      </c>
      <c r="F934" s="80">
        <v>8</v>
      </c>
      <c r="G934" s="80">
        <v>7</v>
      </c>
      <c r="H934" s="80" t="s">
        <v>131</v>
      </c>
      <c r="I934" s="80">
        <v>5</v>
      </c>
      <c r="J934" s="80"/>
      <c r="K934" s="80"/>
      <c r="L934" s="80"/>
      <c r="M934" s="1" t="s">
        <v>1322</v>
      </c>
      <c r="N934" s="1">
        <v>3</v>
      </c>
      <c r="O934" s="1">
        <v>2</v>
      </c>
      <c r="P934" s="13">
        <v>44946</v>
      </c>
      <c r="Q934" s="1" t="s">
        <v>133</v>
      </c>
      <c r="R934" s="1" t="s">
        <v>31</v>
      </c>
      <c r="S934" s="1">
        <v>1</v>
      </c>
      <c r="T934" s="1" t="s">
        <v>14</v>
      </c>
      <c r="U934" s="1" t="s">
        <v>14</v>
      </c>
      <c r="V934" s="76">
        <v>10</v>
      </c>
      <c r="W934" s="76">
        <v>0</v>
      </c>
      <c r="X934" s="77">
        <v>0</v>
      </c>
      <c r="Y934" s="77">
        <v>3</v>
      </c>
      <c r="Z934" s="76">
        <v>8</v>
      </c>
      <c r="AA934" s="76">
        <v>0</v>
      </c>
      <c r="AB934" s="77">
        <v>0</v>
      </c>
      <c r="AC934" s="77">
        <v>3</v>
      </c>
      <c r="AD934" s="76">
        <v>7</v>
      </c>
      <c r="AE934" s="76">
        <v>0</v>
      </c>
      <c r="AF934" s="77">
        <v>0</v>
      </c>
      <c r="AG934" s="77">
        <v>3</v>
      </c>
      <c r="AH934" s="76">
        <v>5</v>
      </c>
      <c r="AI934" s="76">
        <v>0</v>
      </c>
      <c r="AJ934" s="77">
        <v>0</v>
      </c>
      <c r="AK934" s="77">
        <v>3</v>
      </c>
      <c r="AL934" s="76"/>
      <c r="AM934" s="76"/>
      <c r="AN934" s="77"/>
      <c r="AO934" s="77"/>
      <c r="AP934" s="76"/>
      <c r="AQ934" s="76"/>
      <c r="AR934" s="77"/>
      <c r="AS934" s="77"/>
      <c r="AT934" s="78">
        <v>0.75</v>
      </c>
    </row>
    <row r="935" spans="1:46" ht="12.5" x14ac:dyDescent="0.25">
      <c r="A935" s="79">
        <v>44946.572461273143</v>
      </c>
      <c r="B935" s="80" t="s">
        <v>13</v>
      </c>
      <c r="C935" s="80" t="str">
        <f>INDEX(TBL_Name,MATCH(Table2[[#This Row],[Athlete Name]],listNames,0),2)</f>
        <v>Athlete 7</v>
      </c>
      <c r="D935" s="80" t="s">
        <v>130</v>
      </c>
      <c r="E935" s="80">
        <v>9</v>
      </c>
      <c r="F935" s="80">
        <v>7</v>
      </c>
      <c r="G935" s="80">
        <v>7</v>
      </c>
      <c r="H935" s="80" t="s">
        <v>131</v>
      </c>
      <c r="I935" s="80">
        <v>4</v>
      </c>
      <c r="J935" s="80"/>
      <c r="K935" s="80"/>
      <c r="L935" s="80"/>
      <c r="M935" s="1" t="s">
        <v>1323</v>
      </c>
      <c r="N935" s="1">
        <v>3</v>
      </c>
      <c r="O935" s="1">
        <v>2</v>
      </c>
      <c r="P935" s="13">
        <v>44946</v>
      </c>
      <c r="Q935" s="1" t="s">
        <v>133</v>
      </c>
      <c r="R935" s="1" t="s">
        <v>31</v>
      </c>
      <c r="S935" s="1">
        <v>1</v>
      </c>
      <c r="T935" s="1" t="s">
        <v>14</v>
      </c>
      <c r="U935" s="1" t="s">
        <v>14</v>
      </c>
      <c r="V935" s="76">
        <v>9.3333333333333339</v>
      </c>
      <c r="W935" s="76">
        <v>0.47140452079103179</v>
      </c>
      <c r="X935" s="77">
        <v>-0.70710678118654857</v>
      </c>
      <c r="Y935" s="77">
        <v>2</v>
      </c>
      <c r="Z935" s="76">
        <v>7.666666666666667</v>
      </c>
      <c r="AA935" s="76">
        <v>0.94280904158206336</v>
      </c>
      <c r="AB935" s="77">
        <v>-0.70710678118654779</v>
      </c>
      <c r="AC935" s="77">
        <v>2</v>
      </c>
      <c r="AD935" s="76">
        <v>7.666666666666667</v>
      </c>
      <c r="AE935" s="76">
        <v>0.47140452079103179</v>
      </c>
      <c r="AF935" s="77">
        <v>-1.4142135623730954</v>
      </c>
      <c r="AG935" s="77">
        <v>1</v>
      </c>
      <c r="AH935" s="76">
        <v>4</v>
      </c>
      <c r="AI935" s="76">
        <v>0</v>
      </c>
      <c r="AJ935" s="77">
        <v>0</v>
      </c>
      <c r="AK935" s="77">
        <v>3</v>
      </c>
      <c r="AL935" s="76"/>
      <c r="AM935" s="76"/>
      <c r="AN935" s="77"/>
      <c r="AO935" s="77"/>
      <c r="AP935" s="76"/>
      <c r="AQ935" s="76"/>
      <c r="AR935" s="77"/>
      <c r="AS935" s="77"/>
      <c r="AT935" s="78">
        <v>0.5</v>
      </c>
    </row>
    <row r="936" spans="1:46" ht="12.5" x14ac:dyDescent="0.25">
      <c r="A936" s="79">
        <v>44946.574339618055</v>
      </c>
      <c r="B936" s="80" t="s">
        <v>6</v>
      </c>
      <c r="C936" s="80" t="str">
        <f>INDEX(TBL_Name,MATCH(Table2[[#This Row],[Athlete Name]],listNames,0),2)</f>
        <v>Athlete 2</v>
      </c>
      <c r="D936" s="80" t="s">
        <v>130</v>
      </c>
      <c r="E936" s="80">
        <v>10</v>
      </c>
      <c r="F936" s="80">
        <v>9</v>
      </c>
      <c r="G936" s="80">
        <v>9</v>
      </c>
      <c r="H936" s="80" t="s">
        <v>239</v>
      </c>
      <c r="I936" s="80">
        <v>8</v>
      </c>
      <c r="J936" s="80"/>
      <c r="K936" s="80"/>
      <c r="L936" s="80"/>
      <c r="M936" s="1" t="s">
        <v>1324</v>
      </c>
      <c r="N936" s="1">
        <v>3</v>
      </c>
      <c r="O936" s="1">
        <v>2</v>
      </c>
      <c r="P936" s="13">
        <v>44946</v>
      </c>
      <c r="Q936" s="1" t="s">
        <v>133</v>
      </c>
      <c r="R936" s="1" t="s">
        <v>31</v>
      </c>
      <c r="S936" s="1">
        <v>1</v>
      </c>
      <c r="T936" s="1" t="s">
        <v>5</v>
      </c>
      <c r="U936" s="1" t="s">
        <v>5</v>
      </c>
      <c r="V936" s="76">
        <v>8.5</v>
      </c>
      <c r="W936" s="76">
        <v>1.1180339887498949</v>
      </c>
      <c r="X936" s="77">
        <v>1.3416407864998738</v>
      </c>
      <c r="Y936" s="77">
        <v>4</v>
      </c>
      <c r="Z936" s="76">
        <v>6.5</v>
      </c>
      <c r="AA936" s="76">
        <v>2.5</v>
      </c>
      <c r="AB936" s="77">
        <v>1</v>
      </c>
      <c r="AC936" s="77">
        <v>4</v>
      </c>
      <c r="AD936" s="76">
        <v>6.75</v>
      </c>
      <c r="AE936" s="76">
        <v>1.7853571071357126</v>
      </c>
      <c r="AF936" s="77">
        <v>1.2602520756252087</v>
      </c>
      <c r="AG936" s="77">
        <v>4</v>
      </c>
      <c r="AH936" s="76">
        <v>7</v>
      </c>
      <c r="AI936" s="76">
        <v>1.2247448713915889</v>
      </c>
      <c r="AJ936" s="77">
        <v>0.81649658092772615</v>
      </c>
      <c r="AK936" s="77">
        <v>3</v>
      </c>
      <c r="AL936" s="76"/>
      <c r="AM936" s="76"/>
      <c r="AN936" s="77"/>
      <c r="AO936" s="77"/>
      <c r="AP936" s="76"/>
      <c r="AQ936" s="76"/>
      <c r="AR936" s="77"/>
      <c r="AS936" s="77"/>
      <c r="AT936" s="78">
        <v>0.9375</v>
      </c>
    </row>
    <row r="937" spans="1:46" ht="12.5" x14ac:dyDescent="0.25">
      <c r="A937" s="79">
        <v>44946.580212719906</v>
      </c>
      <c r="B937" s="80" t="s">
        <v>9</v>
      </c>
      <c r="C937" s="80" t="str">
        <f>INDEX(TBL_Name,MATCH(Table2[[#This Row],[Athlete Name]],listNames,0),2)</f>
        <v>Athlete 4</v>
      </c>
      <c r="D937" s="80" t="s">
        <v>130</v>
      </c>
      <c r="E937" s="80">
        <v>4</v>
      </c>
      <c r="F937" s="80">
        <v>7</v>
      </c>
      <c r="G937" s="80">
        <v>7</v>
      </c>
      <c r="H937" s="80" t="s">
        <v>1226</v>
      </c>
      <c r="I937" s="80">
        <v>5</v>
      </c>
      <c r="J937" s="80"/>
      <c r="K937" s="80"/>
      <c r="L937" s="80"/>
      <c r="M937" s="1" t="s">
        <v>1325</v>
      </c>
      <c r="N937" s="1">
        <v>3</v>
      </c>
      <c r="O937" s="1">
        <v>2</v>
      </c>
      <c r="P937" s="13">
        <v>44946</v>
      </c>
      <c r="Q937" s="1" t="s">
        <v>133</v>
      </c>
      <c r="R937" s="1" t="s">
        <v>31</v>
      </c>
      <c r="S937" s="1">
        <v>1</v>
      </c>
      <c r="T937" s="1" t="s">
        <v>8</v>
      </c>
      <c r="U937" s="1" t="s">
        <v>8</v>
      </c>
      <c r="V937" s="76">
        <v>4</v>
      </c>
      <c r="W937" s="76">
        <v>0</v>
      </c>
      <c r="X937" s="77">
        <v>0</v>
      </c>
      <c r="Y937" s="77">
        <v>3</v>
      </c>
      <c r="Z937" s="76">
        <v>6.333333333333333</v>
      </c>
      <c r="AA937" s="76">
        <v>0.47140452079103179</v>
      </c>
      <c r="AB937" s="77">
        <v>1.4142135623730954</v>
      </c>
      <c r="AC937" s="77">
        <v>4</v>
      </c>
      <c r="AD937" s="76">
        <v>7</v>
      </c>
      <c r="AE937" s="76">
        <v>0</v>
      </c>
      <c r="AF937" s="77">
        <v>0</v>
      </c>
      <c r="AG937" s="77">
        <v>3</v>
      </c>
      <c r="AH937" s="76">
        <v>6</v>
      </c>
      <c r="AI937" s="76">
        <v>1.4142135623730951</v>
      </c>
      <c r="AJ937" s="77">
        <v>-0.70710678118654746</v>
      </c>
      <c r="AK937" s="77">
        <v>2</v>
      </c>
      <c r="AL937" s="76"/>
      <c r="AM937" s="76"/>
      <c r="AN937" s="77"/>
      <c r="AO937" s="77"/>
      <c r="AP937" s="76"/>
      <c r="AQ937" s="76"/>
      <c r="AR937" s="77"/>
      <c r="AS937" s="77"/>
      <c r="AT937" s="78">
        <v>0.75</v>
      </c>
    </row>
    <row r="938" spans="1:46" ht="12.5" x14ac:dyDescent="0.25">
      <c r="A938" s="79">
        <v>44946.596931898152</v>
      </c>
      <c r="B938" s="80" t="s">
        <v>22</v>
      </c>
      <c r="C938" s="80" t="str">
        <f>INDEX(TBL_Name,MATCH(Table2[[#This Row],[Athlete Name]],listNames,0),2)</f>
        <v>Athlete 14</v>
      </c>
      <c r="D938" s="80" t="s">
        <v>130</v>
      </c>
      <c r="E938" s="80">
        <v>8</v>
      </c>
      <c r="F938" s="80">
        <v>6</v>
      </c>
      <c r="G938" s="80">
        <v>8</v>
      </c>
      <c r="H938" s="80" t="s">
        <v>1326</v>
      </c>
      <c r="I938" s="80">
        <v>7</v>
      </c>
      <c r="J938" s="80"/>
      <c r="K938" s="80"/>
      <c r="L938" s="80"/>
      <c r="M938" s="1" t="s">
        <v>1327</v>
      </c>
      <c r="N938" s="1">
        <v>3</v>
      </c>
      <c r="O938" s="1">
        <v>2</v>
      </c>
      <c r="P938" s="13">
        <v>44946</v>
      </c>
      <c r="Q938" s="1" t="s">
        <v>133</v>
      </c>
      <c r="R938" s="1" t="s">
        <v>31</v>
      </c>
      <c r="S938" s="1">
        <v>1</v>
      </c>
      <c r="T938" s="1" t="s">
        <v>18</v>
      </c>
      <c r="U938" s="1" t="s">
        <v>18</v>
      </c>
      <c r="V938" s="76">
        <v>7.666666666666667</v>
      </c>
      <c r="W938" s="76">
        <v>0.47140452079103162</v>
      </c>
      <c r="X938" s="77">
        <v>0.70710678118654702</v>
      </c>
      <c r="Y938" s="77">
        <v>3</v>
      </c>
      <c r="Z938" s="76">
        <v>5</v>
      </c>
      <c r="AA938" s="76">
        <v>0.81649658092772603</v>
      </c>
      <c r="AB938" s="77">
        <v>1.2247448713915889</v>
      </c>
      <c r="AC938" s="77">
        <v>4</v>
      </c>
      <c r="AD938" s="76">
        <v>7</v>
      </c>
      <c r="AE938" s="76">
        <v>0.81649658092772603</v>
      </c>
      <c r="AF938" s="77">
        <v>1.2247448713915889</v>
      </c>
      <c r="AG938" s="77">
        <v>4</v>
      </c>
      <c r="AH938" s="76">
        <v>6</v>
      </c>
      <c r="AI938" s="76">
        <v>0.81649658092772603</v>
      </c>
      <c r="AJ938" s="77">
        <v>1.2247448713915889</v>
      </c>
      <c r="AK938" s="77">
        <v>4</v>
      </c>
      <c r="AL938" s="76"/>
      <c r="AM938" s="76"/>
      <c r="AN938" s="77"/>
      <c r="AO938" s="77"/>
      <c r="AP938" s="76"/>
      <c r="AQ938" s="76"/>
      <c r="AR938" s="77"/>
      <c r="AS938" s="77"/>
      <c r="AT938" s="78">
        <v>0.9375</v>
      </c>
    </row>
    <row r="939" spans="1:46" ht="12.5" x14ac:dyDescent="0.25">
      <c r="A939" s="79">
        <v>44946.599969189818</v>
      </c>
      <c r="B939" s="80" t="s">
        <v>12</v>
      </c>
      <c r="C939" s="80" t="str">
        <f>INDEX(TBL_Name,MATCH(Table2[[#This Row],[Athlete Name]],listNames,0),2)</f>
        <v>Athlete 6</v>
      </c>
      <c r="D939" s="80" t="s">
        <v>130</v>
      </c>
      <c r="E939" s="80">
        <v>10</v>
      </c>
      <c r="F939" s="80">
        <v>6</v>
      </c>
      <c r="G939" s="80">
        <v>8</v>
      </c>
      <c r="H939" s="80" t="s">
        <v>226</v>
      </c>
      <c r="I939" s="80">
        <v>8</v>
      </c>
      <c r="J939" s="80"/>
      <c r="K939" s="80"/>
      <c r="L939" s="80"/>
      <c r="M939" s="1" t="s">
        <v>1328</v>
      </c>
      <c r="N939" s="1">
        <v>3</v>
      </c>
      <c r="O939" s="1">
        <v>2</v>
      </c>
      <c r="P939" s="13">
        <v>44946</v>
      </c>
      <c r="Q939" s="1" t="s">
        <v>133</v>
      </c>
      <c r="R939" s="1" t="s">
        <v>31</v>
      </c>
      <c r="S939" s="1">
        <v>1</v>
      </c>
      <c r="T939" s="1" t="s">
        <v>11</v>
      </c>
      <c r="U939" s="1" t="s">
        <v>11</v>
      </c>
      <c r="V939" s="76">
        <v>10</v>
      </c>
      <c r="W939" s="76">
        <v>0</v>
      </c>
      <c r="X939" s="77">
        <v>0</v>
      </c>
      <c r="Y939" s="77">
        <v>3</v>
      </c>
      <c r="Z939" s="76">
        <v>7</v>
      </c>
      <c r="AA939" s="76">
        <v>1</v>
      </c>
      <c r="AB939" s="77">
        <v>-1</v>
      </c>
      <c r="AC939" s="77">
        <v>1</v>
      </c>
      <c r="AD939" s="76">
        <v>8.5</v>
      </c>
      <c r="AE939" s="76">
        <v>0.5</v>
      </c>
      <c r="AF939" s="77">
        <v>-1</v>
      </c>
      <c r="AG939" s="77">
        <v>1</v>
      </c>
      <c r="AH939" s="76">
        <v>8</v>
      </c>
      <c r="AI939" s="76">
        <v>0</v>
      </c>
      <c r="AJ939" s="77">
        <v>0</v>
      </c>
      <c r="AK939" s="77">
        <v>3</v>
      </c>
      <c r="AL939" s="76"/>
      <c r="AM939" s="76"/>
      <c r="AN939" s="77"/>
      <c r="AO939" s="77"/>
      <c r="AP939" s="76"/>
      <c r="AQ939" s="76"/>
      <c r="AR939" s="77"/>
      <c r="AS939" s="77"/>
      <c r="AT939" s="78">
        <v>0.5</v>
      </c>
    </row>
    <row r="940" spans="1:46" ht="12.5" x14ac:dyDescent="0.25">
      <c r="A940" s="79">
        <v>44946.600877488425</v>
      </c>
      <c r="B940" s="80" t="s">
        <v>4</v>
      </c>
      <c r="C940" s="80" t="str">
        <f>INDEX(TBL_Name,MATCH(Table2[[#This Row],[Athlete Name]],listNames,0),2)</f>
        <v>Athlete 1</v>
      </c>
      <c r="D940" s="80" t="s">
        <v>130</v>
      </c>
      <c r="E940" s="80">
        <v>1</v>
      </c>
      <c r="F940" s="80">
        <v>8</v>
      </c>
      <c r="G940" s="80">
        <v>6</v>
      </c>
      <c r="H940" s="80" t="s">
        <v>73</v>
      </c>
      <c r="I940" s="80">
        <v>4</v>
      </c>
      <c r="J940" s="80"/>
      <c r="K940" s="80"/>
      <c r="L940" s="80"/>
      <c r="M940" s="1" t="s">
        <v>1329</v>
      </c>
      <c r="N940" s="1">
        <v>3</v>
      </c>
      <c r="O940" s="1">
        <v>2</v>
      </c>
      <c r="P940" s="13">
        <v>44946</v>
      </c>
      <c r="Q940" s="1" t="s">
        <v>133</v>
      </c>
      <c r="R940" s="1" t="s">
        <v>31</v>
      </c>
      <c r="S940" s="1">
        <v>1</v>
      </c>
      <c r="T940" s="1" t="s">
        <v>5</v>
      </c>
      <c r="U940" s="1" t="s">
        <v>5</v>
      </c>
      <c r="V940" s="76">
        <v>1</v>
      </c>
      <c r="W940" s="76">
        <v>0</v>
      </c>
      <c r="X940" s="77">
        <v>0</v>
      </c>
      <c r="Y940" s="77">
        <v>3</v>
      </c>
      <c r="Z940" s="76">
        <v>8</v>
      </c>
      <c r="AA940" s="76">
        <v>0</v>
      </c>
      <c r="AB940" s="77">
        <v>0</v>
      </c>
      <c r="AC940" s="77">
        <v>3</v>
      </c>
      <c r="AD940" s="76">
        <v>6</v>
      </c>
      <c r="AE940" s="76">
        <v>0</v>
      </c>
      <c r="AF940" s="77">
        <v>0</v>
      </c>
      <c r="AG940" s="77">
        <v>3</v>
      </c>
      <c r="AH940" s="76">
        <v>4</v>
      </c>
      <c r="AI940" s="76">
        <v>0</v>
      </c>
      <c r="AJ940" s="77">
        <v>0</v>
      </c>
      <c r="AK940" s="77">
        <v>3</v>
      </c>
      <c r="AL940" s="76"/>
      <c r="AM940" s="76"/>
      <c r="AN940" s="77"/>
      <c r="AO940" s="77"/>
      <c r="AP940" s="76"/>
      <c r="AQ940" s="76"/>
      <c r="AR940" s="77"/>
      <c r="AS940" s="77"/>
      <c r="AT940" s="78">
        <v>0.75</v>
      </c>
    </row>
    <row r="941" spans="1:46" ht="12.5" x14ac:dyDescent="0.25">
      <c r="A941" s="79">
        <v>44946.600963726851</v>
      </c>
      <c r="B941" s="80" t="s">
        <v>20</v>
      </c>
      <c r="C941" s="80" t="str">
        <f>INDEX(TBL_Name,MATCH(Table2[[#This Row],[Athlete Name]],listNames,0),2)</f>
        <v>Athlete 12</v>
      </c>
      <c r="D941" s="80" t="s">
        <v>143</v>
      </c>
      <c r="E941" s="80">
        <v>8</v>
      </c>
      <c r="F941" s="80">
        <v>8</v>
      </c>
      <c r="G941" s="80">
        <v>8</v>
      </c>
      <c r="H941" s="80" t="s">
        <v>1330</v>
      </c>
      <c r="I941" s="80">
        <v>5</v>
      </c>
      <c r="J941" s="80"/>
      <c r="K941" s="80"/>
      <c r="L941" s="80"/>
      <c r="M941" s="1" t="s">
        <v>1331</v>
      </c>
      <c r="N941" s="1">
        <v>3</v>
      </c>
      <c r="O941" s="1">
        <v>2</v>
      </c>
      <c r="P941" s="13">
        <v>44946</v>
      </c>
      <c r="Q941" s="1" t="s">
        <v>133</v>
      </c>
      <c r="R941" s="1" t="s">
        <v>31</v>
      </c>
      <c r="S941" s="1">
        <v>2</v>
      </c>
      <c r="T941" s="1" t="s">
        <v>18</v>
      </c>
      <c r="U941" s="1" t="s">
        <v>18</v>
      </c>
      <c r="V941" s="76">
        <v>7</v>
      </c>
      <c r="W941" s="76">
        <v>1</v>
      </c>
      <c r="X941" s="77">
        <v>1</v>
      </c>
      <c r="Y941" s="77">
        <v>4</v>
      </c>
      <c r="Z941" s="76">
        <v>8.5</v>
      </c>
      <c r="AA941" s="76">
        <v>0.5</v>
      </c>
      <c r="AB941" s="77">
        <v>-1</v>
      </c>
      <c r="AC941" s="77">
        <v>1</v>
      </c>
      <c r="AD941" s="76">
        <v>8.5</v>
      </c>
      <c r="AE941" s="76">
        <v>0.5</v>
      </c>
      <c r="AF941" s="77">
        <v>-1</v>
      </c>
      <c r="AG941" s="77">
        <v>1</v>
      </c>
      <c r="AH941" s="76">
        <v>5.5</v>
      </c>
      <c r="AI941" s="76">
        <v>0.5</v>
      </c>
      <c r="AJ941" s="77">
        <v>-1</v>
      </c>
      <c r="AK941" s="77">
        <v>1</v>
      </c>
      <c r="AL941" s="76"/>
      <c r="AM941" s="76"/>
      <c r="AN941" s="77"/>
      <c r="AO941" s="77"/>
      <c r="AP941" s="76"/>
      <c r="AQ941" s="76"/>
      <c r="AR941" s="77"/>
      <c r="AS941" s="77"/>
      <c r="AT941" s="78">
        <v>0.4375</v>
      </c>
    </row>
    <row r="942" spans="1:46" ht="12.5" x14ac:dyDescent="0.25">
      <c r="A942" s="79">
        <v>44946.601248645835</v>
      </c>
      <c r="B942" s="80" t="s">
        <v>7</v>
      </c>
      <c r="C942" s="80" t="str">
        <f>INDEX(TBL_Name,MATCH(Table2[[#This Row],[Athlete Name]],listNames,0),2)</f>
        <v>Athlete 3</v>
      </c>
      <c r="D942" s="80" t="s">
        <v>130</v>
      </c>
      <c r="E942" s="80">
        <v>3</v>
      </c>
      <c r="F942" s="80">
        <v>8</v>
      </c>
      <c r="G942" s="80">
        <v>8</v>
      </c>
      <c r="H942" s="80" t="s">
        <v>1290</v>
      </c>
      <c r="I942" s="80">
        <v>4</v>
      </c>
      <c r="J942" s="80"/>
      <c r="K942" s="80"/>
      <c r="L942" s="80"/>
      <c r="M942" s="1" t="s">
        <v>1332</v>
      </c>
      <c r="N942" s="1">
        <v>3</v>
      </c>
      <c r="O942" s="1">
        <v>2</v>
      </c>
      <c r="P942" s="13">
        <v>44946</v>
      </c>
      <c r="Q942" s="1" t="s">
        <v>133</v>
      </c>
      <c r="R942" s="1" t="s">
        <v>31</v>
      </c>
      <c r="S942" s="1">
        <v>1</v>
      </c>
      <c r="T942" s="1" t="s">
        <v>8</v>
      </c>
      <c r="U942" s="1" t="s">
        <v>8</v>
      </c>
      <c r="V942" s="76">
        <v>3</v>
      </c>
      <c r="W942" s="76">
        <v>0</v>
      </c>
      <c r="X942" s="77">
        <v>0</v>
      </c>
      <c r="Y942" s="77">
        <v>3</v>
      </c>
      <c r="Z942" s="76">
        <v>8</v>
      </c>
      <c r="AA942" s="76">
        <v>0</v>
      </c>
      <c r="AB942" s="77">
        <v>0</v>
      </c>
      <c r="AC942" s="77">
        <v>3</v>
      </c>
      <c r="AD942" s="76">
        <v>8</v>
      </c>
      <c r="AE942" s="76">
        <v>0</v>
      </c>
      <c r="AF942" s="77">
        <v>0</v>
      </c>
      <c r="AG942" s="77">
        <v>3</v>
      </c>
      <c r="AH942" s="76">
        <v>4</v>
      </c>
      <c r="AI942" s="76">
        <v>0</v>
      </c>
      <c r="AJ942" s="77">
        <v>0</v>
      </c>
      <c r="AK942" s="77">
        <v>3</v>
      </c>
      <c r="AL942" s="76"/>
      <c r="AM942" s="76"/>
      <c r="AN942" s="77"/>
      <c r="AO942" s="77"/>
      <c r="AP942" s="76"/>
      <c r="AQ942" s="76"/>
      <c r="AR942" s="77"/>
      <c r="AS942" s="77"/>
      <c r="AT942" s="78">
        <v>0.75</v>
      </c>
    </row>
    <row r="943" spans="1:46" ht="12.5" x14ac:dyDescent="0.25">
      <c r="A943" s="79">
        <v>44946.601809143518</v>
      </c>
      <c r="B943" s="80" t="s">
        <v>24</v>
      </c>
      <c r="C943" s="80" t="str">
        <f>INDEX(TBL_Name,MATCH(Table2[[#This Row],[Athlete Name]],listNames,0),2)</f>
        <v>Athlete 16</v>
      </c>
      <c r="D943" s="80" t="s">
        <v>130</v>
      </c>
      <c r="E943" s="80">
        <v>6</v>
      </c>
      <c r="F943" s="80">
        <v>5</v>
      </c>
      <c r="G943" s="80">
        <v>5</v>
      </c>
      <c r="H943" s="80" t="s">
        <v>1333</v>
      </c>
      <c r="I943" s="80">
        <v>7</v>
      </c>
      <c r="J943" s="80"/>
      <c r="K943" s="80"/>
      <c r="L943" s="80"/>
      <c r="M943" s="1" t="s">
        <v>1334</v>
      </c>
      <c r="N943" s="1">
        <v>3</v>
      </c>
      <c r="O943" s="1">
        <v>2</v>
      </c>
      <c r="P943" s="13">
        <v>44946</v>
      </c>
      <c r="Q943" s="1" t="s">
        <v>133</v>
      </c>
      <c r="R943" s="1" t="s">
        <v>31</v>
      </c>
      <c r="S943" s="1">
        <v>1</v>
      </c>
      <c r="T943" s="1" t="s">
        <v>18</v>
      </c>
      <c r="U943" s="1" t="s">
        <v>18</v>
      </c>
      <c r="V943" s="76">
        <v>7</v>
      </c>
      <c r="W943" s="76">
        <v>0.70710678118654746</v>
      </c>
      <c r="X943" s="77">
        <v>-1.4142135623730951</v>
      </c>
      <c r="Y943" s="77">
        <v>1</v>
      </c>
      <c r="Z943" s="76">
        <v>6.25</v>
      </c>
      <c r="AA943" s="76">
        <v>1.6393596310755003</v>
      </c>
      <c r="AB943" s="77">
        <v>-0.76249285166302327</v>
      </c>
      <c r="AC943" s="77">
        <v>2</v>
      </c>
      <c r="AD943" s="76">
        <v>5.25</v>
      </c>
      <c r="AE943" s="76">
        <v>0.43301270189221924</v>
      </c>
      <c r="AF943" s="77">
        <v>-0.57735026918962584</v>
      </c>
      <c r="AG943" s="77">
        <v>2</v>
      </c>
      <c r="AH943" s="76">
        <v>6.75</v>
      </c>
      <c r="AI943" s="76">
        <v>1.7853571071357126</v>
      </c>
      <c r="AJ943" s="77">
        <v>0.14002800840280097</v>
      </c>
      <c r="AK943" s="77">
        <v>3</v>
      </c>
      <c r="AL943" s="76"/>
      <c r="AM943" s="76"/>
      <c r="AN943" s="77"/>
      <c r="AO943" s="77"/>
      <c r="AP943" s="76"/>
      <c r="AQ943" s="76"/>
      <c r="AR943" s="77"/>
      <c r="AS943" s="77"/>
      <c r="AT943" s="78">
        <v>0.5</v>
      </c>
    </row>
    <row r="944" spans="1:46" ht="12.5" x14ac:dyDescent="0.25">
      <c r="A944" s="79">
        <v>44946.602202546295</v>
      </c>
      <c r="B944" s="80" t="s">
        <v>23</v>
      </c>
      <c r="C944" s="80" t="str">
        <f>INDEX(TBL_Name,MATCH(Table2[[#This Row],[Athlete Name]],listNames,0),2)</f>
        <v>Athlete 15</v>
      </c>
      <c r="D944" s="80" t="s">
        <v>143</v>
      </c>
      <c r="E944" s="80">
        <v>7</v>
      </c>
      <c r="F944" s="80">
        <v>10</v>
      </c>
      <c r="G944" s="80">
        <v>9</v>
      </c>
      <c r="H944" s="80" t="s">
        <v>1335</v>
      </c>
      <c r="I944" s="80">
        <v>7</v>
      </c>
      <c r="J944" s="80"/>
      <c r="K944" s="80"/>
      <c r="L944" s="80"/>
      <c r="M944" s="1" t="s">
        <v>1336</v>
      </c>
      <c r="N944" s="1">
        <v>3</v>
      </c>
      <c r="O944" s="1">
        <v>2</v>
      </c>
      <c r="P944" s="13">
        <v>44946</v>
      </c>
      <c r="Q944" s="1" t="s">
        <v>133</v>
      </c>
      <c r="R944" s="1" t="s">
        <v>31</v>
      </c>
      <c r="S944" s="1">
        <v>2</v>
      </c>
      <c r="T944" s="1" t="s">
        <v>18</v>
      </c>
      <c r="U944" s="1" t="s">
        <v>18</v>
      </c>
      <c r="V944" s="76">
        <v>7</v>
      </c>
      <c r="W944" s="76">
        <v>0</v>
      </c>
      <c r="X944" s="77">
        <v>0</v>
      </c>
      <c r="Y944" s="77">
        <v>3</v>
      </c>
      <c r="Z944" s="76">
        <v>10</v>
      </c>
      <c r="AA944" s="76">
        <v>0</v>
      </c>
      <c r="AB944" s="77">
        <v>0</v>
      </c>
      <c r="AC944" s="77">
        <v>3</v>
      </c>
      <c r="AD944" s="76">
        <v>9</v>
      </c>
      <c r="AE944" s="76">
        <v>0</v>
      </c>
      <c r="AF944" s="77">
        <v>0</v>
      </c>
      <c r="AG944" s="77">
        <v>3</v>
      </c>
      <c r="AH944" s="76">
        <v>7</v>
      </c>
      <c r="AI944" s="76">
        <v>0</v>
      </c>
      <c r="AJ944" s="77">
        <v>0</v>
      </c>
      <c r="AK944" s="77">
        <v>3</v>
      </c>
      <c r="AL944" s="76"/>
      <c r="AM944" s="76"/>
      <c r="AN944" s="77"/>
      <c r="AO944" s="77"/>
      <c r="AP944" s="76"/>
      <c r="AQ944" s="76"/>
      <c r="AR944" s="77"/>
      <c r="AS944" s="77"/>
      <c r="AT944" s="78">
        <v>0.75</v>
      </c>
    </row>
    <row r="945" spans="1:46" ht="12.5" x14ac:dyDescent="0.25">
      <c r="A945" s="79">
        <v>44946.643544756946</v>
      </c>
      <c r="B945" s="80" t="s">
        <v>16</v>
      </c>
      <c r="C945" s="80" t="str">
        <f>INDEX(TBL_Name,MATCH(Table2[[#This Row],[Athlete Name]],listNames,0),2)</f>
        <v>Athlete 9</v>
      </c>
      <c r="D945" s="80" t="s">
        <v>130</v>
      </c>
      <c r="E945" s="80">
        <v>6</v>
      </c>
      <c r="F945" s="80">
        <v>7</v>
      </c>
      <c r="G945" s="80">
        <v>7</v>
      </c>
      <c r="H945" s="80" t="s">
        <v>742</v>
      </c>
      <c r="I945" s="80">
        <v>5</v>
      </c>
      <c r="J945" s="80"/>
      <c r="K945" s="80"/>
      <c r="L945" s="80"/>
      <c r="M945" s="1" t="s">
        <v>1337</v>
      </c>
      <c r="N945" s="1">
        <v>3</v>
      </c>
      <c r="O945" s="1">
        <v>2</v>
      </c>
      <c r="P945" s="13">
        <v>44946</v>
      </c>
      <c r="Q945" s="1" t="s">
        <v>133</v>
      </c>
      <c r="R945" s="1" t="s">
        <v>31</v>
      </c>
      <c r="S945" s="1">
        <v>1</v>
      </c>
      <c r="T945" s="1" t="s">
        <v>14</v>
      </c>
      <c r="U945" s="1" t="s">
        <v>14</v>
      </c>
      <c r="V945" s="76">
        <v>7</v>
      </c>
      <c r="W945" s="76">
        <v>0.81649658092772603</v>
      </c>
      <c r="X945" s="77">
        <v>-1.2247448713915889</v>
      </c>
      <c r="Y945" s="77">
        <v>1</v>
      </c>
      <c r="Z945" s="76">
        <v>6.666666666666667</v>
      </c>
      <c r="AA945" s="76">
        <v>0.47140452079103162</v>
      </c>
      <c r="AB945" s="77">
        <v>0.70710678118654702</v>
      </c>
      <c r="AC945" s="77">
        <v>3</v>
      </c>
      <c r="AD945" s="76">
        <v>7.333333333333333</v>
      </c>
      <c r="AE945" s="76">
        <v>0.47140452079103162</v>
      </c>
      <c r="AF945" s="77">
        <v>-0.70710678118654702</v>
      </c>
      <c r="AG945" s="77">
        <v>2</v>
      </c>
      <c r="AH945" s="76">
        <v>6</v>
      </c>
      <c r="AI945" s="76">
        <v>0.81649658092772603</v>
      </c>
      <c r="AJ945" s="77">
        <v>-1.2247448713915889</v>
      </c>
      <c r="AK945" s="77">
        <v>1</v>
      </c>
      <c r="AL945" s="76"/>
      <c r="AM945" s="76"/>
      <c r="AN945" s="77"/>
      <c r="AO945" s="77"/>
      <c r="AP945" s="76"/>
      <c r="AQ945" s="76"/>
      <c r="AR945" s="77"/>
      <c r="AS945" s="77"/>
      <c r="AT945" s="78">
        <v>0.4375</v>
      </c>
    </row>
    <row r="946" spans="1:46" ht="12.5" x14ac:dyDescent="0.25">
      <c r="A946" s="79">
        <v>44947.427557164352</v>
      </c>
      <c r="B946" s="80" t="s">
        <v>21</v>
      </c>
      <c r="C946" s="80" t="str">
        <f>INDEX(TBL_Name,MATCH(Table2[[#This Row],[Athlete Name]],listNames,0),2)</f>
        <v>Athlete 13</v>
      </c>
      <c r="D946" s="80" t="s">
        <v>143</v>
      </c>
      <c r="E946" s="80">
        <v>8</v>
      </c>
      <c r="F946" s="80">
        <v>9</v>
      </c>
      <c r="G946" s="80">
        <v>8</v>
      </c>
      <c r="H946" s="80" t="s">
        <v>340</v>
      </c>
      <c r="I946" s="80">
        <v>5</v>
      </c>
      <c r="J946" s="80"/>
      <c r="K946" s="80"/>
      <c r="L946" s="80"/>
      <c r="M946" s="1" t="s">
        <v>1338</v>
      </c>
      <c r="N946" s="1">
        <v>3</v>
      </c>
      <c r="O946" s="1">
        <v>2</v>
      </c>
      <c r="P946" s="13">
        <v>44947</v>
      </c>
      <c r="Q946" s="1" t="s">
        <v>133</v>
      </c>
      <c r="R946" s="1" t="s">
        <v>31</v>
      </c>
      <c r="S946" s="1">
        <v>2</v>
      </c>
      <c r="T946" s="1" t="s">
        <v>18</v>
      </c>
      <c r="U946" s="1" t="s">
        <v>18</v>
      </c>
      <c r="V946" s="76">
        <v>6.875</v>
      </c>
      <c r="W946" s="76">
        <v>1.0532687216470447</v>
      </c>
      <c r="X946" s="77">
        <v>1.0681034923744681</v>
      </c>
      <c r="Y946" s="77">
        <v>4</v>
      </c>
      <c r="Z946" s="76">
        <v>7.5</v>
      </c>
      <c r="AA946" s="76">
        <v>0.8660254037844386</v>
      </c>
      <c r="AB946" s="77">
        <v>1.7320508075688774</v>
      </c>
      <c r="AC946" s="77">
        <v>4</v>
      </c>
      <c r="AD946" s="76">
        <v>8.25</v>
      </c>
      <c r="AE946" s="76">
        <v>0.66143782776614768</v>
      </c>
      <c r="AF946" s="77">
        <v>-0.3779644730092272</v>
      </c>
      <c r="AG946" s="77">
        <v>2</v>
      </c>
      <c r="AH946" s="76">
        <v>6.125</v>
      </c>
      <c r="AI946" s="76">
        <v>1.9645292056877139</v>
      </c>
      <c r="AJ946" s="77">
        <v>-0.57265628667820001</v>
      </c>
      <c r="AK946" s="77">
        <v>2</v>
      </c>
      <c r="AL946" s="76"/>
      <c r="AM946" s="76"/>
      <c r="AN946" s="77"/>
      <c r="AO946" s="77"/>
      <c r="AP946" s="76"/>
      <c r="AQ946" s="76"/>
      <c r="AR946" s="77"/>
      <c r="AS946" s="77"/>
      <c r="AT946" s="78">
        <v>0.75</v>
      </c>
    </row>
    <row r="947" spans="1:46" ht="12.5" x14ac:dyDescent="0.25">
      <c r="A947" s="79">
        <v>44947.58731717593</v>
      </c>
      <c r="B947" s="80" t="s">
        <v>29</v>
      </c>
      <c r="C947" s="80" t="str">
        <f>INDEX(TBL_Name,MATCH(Table2[[#This Row],[Athlete Name]],listNames,0),2)</f>
        <v>Athlete 18</v>
      </c>
      <c r="D947" s="80" t="s">
        <v>130</v>
      </c>
      <c r="E947" s="80">
        <v>9</v>
      </c>
      <c r="F947" s="80">
        <v>9</v>
      </c>
      <c r="G947" s="80">
        <v>8</v>
      </c>
      <c r="H947" s="80" t="s">
        <v>1339</v>
      </c>
      <c r="I947" s="80">
        <v>6</v>
      </c>
      <c r="J947" s="80"/>
      <c r="K947" s="80"/>
      <c r="L947" s="80"/>
      <c r="M947" s="1" t="s">
        <v>1340</v>
      </c>
      <c r="N947" s="1">
        <v>3</v>
      </c>
      <c r="O947" s="1">
        <v>2</v>
      </c>
      <c r="P947" s="13">
        <v>44947</v>
      </c>
      <c r="Q947" s="1" t="s">
        <v>133</v>
      </c>
      <c r="R947" s="1" t="s">
        <v>31</v>
      </c>
      <c r="S947" s="1">
        <v>1</v>
      </c>
      <c r="T947" s="1" t="s">
        <v>28</v>
      </c>
      <c r="U947" s="1" t="s">
        <v>28</v>
      </c>
      <c r="V947" s="76">
        <v>9</v>
      </c>
      <c r="W947" s="76">
        <v>0</v>
      </c>
      <c r="X947" s="77">
        <v>0</v>
      </c>
      <c r="Y947" s="77">
        <v>3</v>
      </c>
      <c r="Z947" s="76">
        <v>8.75</v>
      </c>
      <c r="AA947" s="76">
        <v>0.82915619758884984</v>
      </c>
      <c r="AB947" s="77">
        <v>0.30151134457776368</v>
      </c>
      <c r="AC947" s="77">
        <v>3</v>
      </c>
      <c r="AD947" s="76">
        <v>7.75</v>
      </c>
      <c r="AE947" s="76">
        <v>0.82915619758884995</v>
      </c>
      <c r="AF947" s="77">
        <v>0.30151134457776363</v>
      </c>
      <c r="AG947" s="77">
        <v>3</v>
      </c>
      <c r="AH947" s="76">
        <v>7.5</v>
      </c>
      <c r="AI947" s="76">
        <v>1.5</v>
      </c>
      <c r="AJ947" s="77">
        <v>-1</v>
      </c>
      <c r="AK947" s="77">
        <v>1</v>
      </c>
      <c r="AL947" s="76"/>
      <c r="AM947" s="76"/>
      <c r="AN947" s="77"/>
      <c r="AO947" s="77"/>
      <c r="AP947" s="76"/>
      <c r="AQ947" s="76"/>
      <c r="AR947" s="77"/>
      <c r="AS947" s="77"/>
      <c r="AT947" s="78">
        <v>0.625</v>
      </c>
    </row>
    <row r="948" spans="1:46" ht="12.5" x14ac:dyDescent="0.25">
      <c r="A948" s="79">
        <v>44947.75426804398</v>
      </c>
      <c r="B948" s="80" t="s">
        <v>6</v>
      </c>
      <c r="C948" s="80" t="str">
        <f>INDEX(TBL_Name,MATCH(Table2[[#This Row],[Athlete Name]],listNames,0),2)</f>
        <v>Athlete 2</v>
      </c>
      <c r="D948" s="80" t="s">
        <v>130</v>
      </c>
      <c r="E948" s="80">
        <v>9</v>
      </c>
      <c r="F948" s="80">
        <v>7</v>
      </c>
      <c r="G948" s="80">
        <v>7</v>
      </c>
      <c r="H948" s="80" t="s">
        <v>417</v>
      </c>
      <c r="I948" s="80">
        <v>7</v>
      </c>
      <c r="J948" s="80"/>
      <c r="K948" s="80"/>
      <c r="L948" s="80"/>
      <c r="M948" s="1" t="s">
        <v>1341</v>
      </c>
      <c r="N948" s="1">
        <v>3</v>
      </c>
      <c r="O948" s="1">
        <v>2</v>
      </c>
      <c r="P948" s="13">
        <v>44947</v>
      </c>
      <c r="Q948" s="1" t="s">
        <v>133</v>
      </c>
      <c r="R948" s="1" t="s">
        <v>31</v>
      </c>
      <c r="S948" s="1">
        <v>1</v>
      </c>
      <c r="T948" s="1" t="s">
        <v>5</v>
      </c>
      <c r="U948" s="1" t="s">
        <v>5</v>
      </c>
      <c r="V948" s="76">
        <v>8.6</v>
      </c>
      <c r="W948" s="76">
        <v>1.019803902718557</v>
      </c>
      <c r="X948" s="77">
        <v>0.39223227027636837</v>
      </c>
      <c r="Y948" s="77">
        <v>3</v>
      </c>
      <c r="Z948" s="76">
        <v>6.6</v>
      </c>
      <c r="AA948" s="76">
        <v>2.2449944320643649</v>
      </c>
      <c r="AB948" s="77">
        <v>0.17817416127494975</v>
      </c>
      <c r="AC948" s="77">
        <v>3</v>
      </c>
      <c r="AD948" s="76">
        <v>6.8</v>
      </c>
      <c r="AE948" s="76">
        <v>1.6</v>
      </c>
      <c r="AF948" s="77">
        <v>0.12500000000000011</v>
      </c>
      <c r="AG948" s="77">
        <v>3</v>
      </c>
      <c r="AH948" s="76">
        <v>7</v>
      </c>
      <c r="AI948" s="76">
        <v>1.0954451150103321</v>
      </c>
      <c r="AJ948" s="77">
        <v>0</v>
      </c>
      <c r="AK948" s="77">
        <v>3</v>
      </c>
      <c r="AL948" s="76"/>
      <c r="AM948" s="76"/>
      <c r="AN948" s="77"/>
      <c r="AO948" s="77"/>
      <c r="AP948" s="76"/>
      <c r="AQ948" s="76"/>
      <c r="AR948" s="77"/>
      <c r="AS948" s="77"/>
      <c r="AT948" s="78">
        <v>0.75</v>
      </c>
    </row>
    <row r="949" spans="1:46" ht="12.5" x14ac:dyDescent="0.25">
      <c r="A949" s="79">
        <v>44948.49947667824</v>
      </c>
      <c r="B949" s="80" t="s">
        <v>21</v>
      </c>
      <c r="C949" s="80" t="str">
        <f>INDEX(TBL_Name,MATCH(Table2[[#This Row],[Athlete Name]],listNames,0),2)</f>
        <v>Athlete 13</v>
      </c>
      <c r="D949" s="80" t="s">
        <v>143</v>
      </c>
      <c r="E949" s="80">
        <v>7</v>
      </c>
      <c r="F949" s="80">
        <v>9</v>
      </c>
      <c r="G949" s="80">
        <v>9</v>
      </c>
      <c r="H949" s="80" t="s">
        <v>1342</v>
      </c>
      <c r="I949" s="80">
        <v>7</v>
      </c>
      <c r="J949" s="80"/>
      <c r="K949" s="80"/>
      <c r="L949" s="80"/>
      <c r="M949" s="1" t="s">
        <v>1343</v>
      </c>
      <c r="N949" s="1">
        <v>4</v>
      </c>
      <c r="O949" s="1">
        <v>3</v>
      </c>
      <c r="P949" s="13">
        <v>44948</v>
      </c>
      <c r="Q949" s="1" t="s">
        <v>133</v>
      </c>
      <c r="R949" s="1" t="s">
        <v>31</v>
      </c>
      <c r="S949" s="1">
        <v>2</v>
      </c>
      <c r="T949" s="1" t="s">
        <v>18</v>
      </c>
      <c r="U949" s="1" t="s">
        <v>18</v>
      </c>
      <c r="V949" s="76">
        <v>7</v>
      </c>
      <c r="W949" s="76">
        <v>1.0000000000000002</v>
      </c>
      <c r="X949" s="77">
        <v>0</v>
      </c>
      <c r="Y949" s="77">
        <v>3</v>
      </c>
      <c r="Z949" s="76">
        <v>7.75</v>
      </c>
      <c r="AA949" s="76">
        <v>0.96824583655185392</v>
      </c>
      <c r="AB949" s="77">
        <v>1.290994448735806</v>
      </c>
      <c r="AC949" s="77">
        <v>4</v>
      </c>
      <c r="AD949" s="76">
        <v>8.375</v>
      </c>
      <c r="AE949" s="76">
        <v>0.6959705453537528</v>
      </c>
      <c r="AF949" s="77">
        <v>0.89802651013387447</v>
      </c>
      <c r="AG949" s="77">
        <v>3</v>
      </c>
      <c r="AH949" s="76">
        <v>6</v>
      </c>
      <c r="AI949" s="76">
        <v>1.8708286933869709</v>
      </c>
      <c r="AJ949" s="77">
        <v>0.53452248382484868</v>
      </c>
      <c r="AK949" s="77">
        <v>3</v>
      </c>
      <c r="AL949" s="76"/>
      <c r="AM949" s="76"/>
      <c r="AN949" s="77"/>
      <c r="AO949" s="77"/>
      <c r="AP949" s="76"/>
      <c r="AQ949" s="76"/>
      <c r="AR949" s="77"/>
      <c r="AS949" s="77"/>
      <c r="AT949" s="78">
        <v>0.8125</v>
      </c>
    </row>
    <row r="950" spans="1:46" ht="12.5" x14ac:dyDescent="0.25">
      <c r="A950" s="79">
        <v>44948.937031990739</v>
      </c>
      <c r="B950" s="80" t="s">
        <v>10</v>
      </c>
      <c r="C950" s="80" t="str">
        <f>INDEX(TBL_Name,MATCH(Table2[[#This Row],[Athlete Name]],listNames,0),2)</f>
        <v>Athlete 5</v>
      </c>
      <c r="D950" s="80" t="s">
        <v>130</v>
      </c>
      <c r="E950" s="80">
        <v>9</v>
      </c>
      <c r="F950" s="80">
        <v>8</v>
      </c>
      <c r="G950" s="80">
        <v>8</v>
      </c>
      <c r="H950" s="80" t="s">
        <v>157</v>
      </c>
      <c r="I950" s="80">
        <v>7</v>
      </c>
      <c r="J950" s="80"/>
      <c r="K950" s="80"/>
      <c r="L950" s="80"/>
      <c r="M950" s="1" t="s">
        <v>1344</v>
      </c>
      <c r="N950" s="1">
        <v>4</v>
      </c>
      <c r="O950" s="1">
        <v>3</v>
      </c>
      <c r="P950" s="13">
        <v>44948</v>
      </c>
      <c r="Q950" s="1" t="s">
        <v>133</v>
      </c>
      <c r="R950" s="1" t="s">
        <v>31</v>
      </c>
      <c r="S950" s="1">
        <v>1</v>
      </c>
      <c r="T950" s="1" t="s">
        <v>11</v>
      </c>
      <c r="U950" s="1" t="s">
        <v>11</v>
      </c>
      <c r="V950" s="76">
        <v>8.8333333333333339</v>
      </c>
      <c r="W950" s="76">
        <v>0.37267799624996495</v>
      </c>
      <c r="X950" s="77">
        <v>0.44721359549995637</v>
      </c>
      <c r="Y950" s="77">
        <v>3</v>
      </c>
      <c r="Z950" s="76">
        <v>7.833333333333333</v>
      </c>
      <c r="AA950" s="76">
        <v>0.68718427093627676</v>
      </c>
      <c r="AB950" s="77">
        <v>0.24253562503633341</v>
      </c>
      <c r="AC950" s="77">
        <v>3</v>
      </c>
      <c r="AD950" s="76">
        <v>7.833333333333333</v>
      </c>
      <c r="AE950" s="76">
        <v>0.68718427093627676</v>
      </c>
      <c r="AF950" s="77">
        <v>0.24253562503633341</v>
      </c>
      <c r="AG950" s="77">
        <v>3</v>
      </c>
      <c r="AH950" s="76">
        <v>6.833333333333333</v>
      </c>
      <c r="AI950" s="76">
        <v>1.5723301886761005</v>
      </c>
      <c r="AJ950" s="77">
        <v>0.1059997880006362</v>
      </c>
      <c r="AK950" s="77">
        <v>3</v>
      </c>
      <c r="AL950" s="76"/>
      <c r="AM950" s="76"/>
      <c r="AN950" s="77"/>
      <c r="AO950" s="77"/>
      <c r="AP950" s="76"/>
      <c r="AQ950" s="76"/>
      <c r="AR950" s="77"/>
      <c r="AS950" s="77"/>
      <c r="AT950" s="78">
        <v>0.75</v>
      </c>
    </row>
    <row r="951" spans="1:46" ht="12.5" x14ac:dyDescent="0.25">
      <c r="A951" s="79">
        <v>44949.31490380787</v>
      </c>
      <c r="B951" s="80" t="s">
        <v>27</v>
      </c>
      <c r="C951" s="80" t="str">
        <f>INDEX(TBL_Name,MATCH(Table2[[#This Row],[Athlete Name]],listNames,0),2)</f>
        <v>Athlete 17</v>
      </c>
      <c r="D951" s="80" t="s">
        <v>150</v>
      </c>
      <c r="E951" s="80">
        <v>4</v>
      </c>
      <c r="F951" s="80">
        <v>7</v>
      </c>
      <c r="G951" s="80">
        <v>9</v>
      </c>
      <c r="H951" s="80" t="s">
        <v>151</v>
      </c>
      <c r="I951" s="80">
        <v>7</v>
      </c>
      <c r="J951" s="80"/>
      <c r="K951" s="80"/>
      <c r="L951" s="80"/>
      <c r="M951" s="1" t="s">
        <v>1345</v>
      </c>
      <c r="N951" s="1">
        <v>4</v>
      </c>
      <c r="O951" s="1">
        <v>3</v>
      </c>
      <c r="P951" s="13">
        <v>44949</v>
      </c>
      <c r="Q951" s="1" t="s">
        <v>133</v>
      </c>
      <c r="R951" s="1" t="s">
        <v>31</v>
      </c>
      <c r="S951" s="1">
        <v>3</v>
      </c>
      <c r="T951" s="1" t="s">
        <v>28</v>
      </c>
      <c r="U951" s="1" t="s">
        <v>28</v>
      </c>
      <c r="V951" s="76">
        <v>4.5</v>
      </c>
      <c r="W951" s="76">
        <v>0.86602540378443871</v>
      </c>
      <c r="X951" s="77">
        <v>-0.57735026918962573</v>
      </c>
      <c r="Y951" s="77">
        <v>2</v>
      </c>
      <c r="Z951" s="76">
        <v>5.75</v>
      </c>
      <c r="AA951" s="76">
        <v>1.6393596310755001</v>
      </c>
      <c r="AB951" s="77">
        <v>0.76249285166302339</v>
      </c>
      <c r="AC951" s="77">
        <v>3</v>
      </c>
      <c r="AD951" s="76">
        <v>7</v>
      </c>
      <c r="AE951" s="76">
        <v>1.4142135623730951</v>
      </c>
      <c r="AF951" s="77">
        <v>1.4142135623730949</v>
      </c>
      <c r="AG951" s="77">
        <v>4</v>
      </c>
      <c r="AH951" s="76">
        <v>4.75</v>
      </c>
      <c r="AI951" s="76">
        <v>1.479019945774904</v>
      </c>
      <c r="AJ951" s="77">
        <v>1.5212776585113299</v>
      </c>
      <c r="AK951" s="77">
        <v>4</v>
      </c>
      <c r="AL951" s="76"/>
      <c r="AM951" s="76"/>
      <c r="AN951" s="77"/>
      <c r="AO951" s="77"/>
      <c r="AP951" s="76"/>
      <c r="AQ951" s="76"/>
      <c r="AR951" s="77"/>
      <c r="AS951" s="77"/>
      <c r="AT951" s="78">
        <v>0.8125</v>
      </c>
    </row>
    <row r="952" spans="1:46" ht="12.5" x14ac:dyDescent="0.25">
      <c r="A952" s="79">
        <v>44949.360735162038</v>
      </c>
      <c r="B952" s="80" t="s">
        <v>19</v>
      </c>
      <c r="C952" s="80" t="str">
        <f>INDEX(TBL_Name,MATCH(Table2[[#This Row],[Athlete Name]],listNames,0),2)</f>
        <v>Athlete 11</v>
      </c>
      <c r="D952" s="80" t="s">
        <v>130</v>
      </c>
      <c r="E952" s="80">
        <v>7</v>
      </c>
      <c r="F952" s="80">
        <v>8</v>
      </c>
      <c r="G952" s="80">
        <v>8</v>
      </c>
      <c r="H952" s="80" t="s">
        <v>258</v>
      </c>
      <c r="I952" s="80">
        <v>7</v>
      </c>
      <c r="J952" s="80"/>
      <c r="K952" s="80"/>
      <c r="L952" s="80"/>
      <c r="M952" s="1" t="s">
        <v>1346</v>
      </c>
      <c r="N952" s="1">
        <v>4</v>
      </c>
      <c r="O952" s="1">
        <v>3</v>
      </c>
      <c r="P952" s="13">
        <v>44949</v>
      </c>
      <c r="Q952" s="1" t="s">
        <v>133</v>
      </c>
      <c r="R952" s="1" t="s">
        <v>31</v>
      </c>
      <c r="S952" s="1">
        <v>1</v>
      </c>
      <c r="T952" s="1" t="s">
        <v>18</v>
      </c>
      <c r="U952" s="1" t="s">
        <v>18</v>
      </c>
      <c r="V952" s="76">
        <v>7.4</v>
      </c>
      <c r="W952" s="76">
        <v>0.48989794855663565</v>
      </c>
      <c r="X952" s="77">
        <v>-0.8164965809277267</v>
      </c>
      <c r="Y952" s="77">
        <v>2</v>
      </c>
      <c r="Z952" s="76">
        <v>7.8</v>
      </c>
      <c r="AA952" s="76">
        <v>0.39999999999999997</v>
      </c>
      <c r="AB952" s="77">
        <v>0.50000000000000044</v>
      </c>
      <c r="AC952" s="77">
        <v>3</v>
      </c>
      <c r="AD952" s="76">
        <v>7.8</v>
      </c>
      <c r="AE952" s="76">
        <v>0.39999999999999997</v>
      </c>
      <c r="AF952" s="77">
        <v>0.50000000000000044</v>
      </c>
      <c r="AG952" s="77">
        <v>3</v>
      </c>
      <c r="AH952" s="76">
        <v>5.8</v>
      </c>
      <c r="AI952" s="76">
        <v>0.97979589711327131</v>
      </c>
      <c r="AJ952" s="77">
        <v>1.2247448713915892</v>
      </c>
      <c r="AK952" s="77">
        <v>4</v>
      </c>
      <c r="AL952" s="76"/>
      <c r="AM952" s="76"/>
      <c r="AN952" s="77"/>
      <c r="AO952" s="77"/>
      <c r="AP952" s="76"/>
      <c r="AQ952" s="76"/>
      <c r="AR952" s="77"/>
      <c r="AS952" s="77"/>
      <c r="AT952" s="78">
        <v>0.75</v>
      </c>
    </row>
    <row r="953" spans="1:46" ht="12.5" x14ac:dyDescent="0.25">
      <c r="A953" s="79">
        <v>44949.362497916663</v>
      </c>
      <c r="B953" s="80" t="s">
        <v>29</v>
      </c>
      <c r="C953" s="80" t="str">
        <f>INDEX(TBL_Name,MATCH(Table2[[#This Row],[Athlete Name]],listNames,0),2)</f>
        <v>Athlete 18</v>
      </c>
      <c r="D953" s="80" t="s">
        <v>130</v>
      </c>
      <c r="E953" s="80">
        <v>10</v>
      </c>
      <c r="F953" s="80">
        <v>10</v>
      </c>
      <c r="G953" s="80">
        <v>8</v>
      </c>
      <c r="H953" s="80" t="s">
        <v>1347</v>
      </c>
      <c r="I953" s="80">
        <v>8</v>
      </c>
      <c r="J953" s="80"/>
      <c r="K953" s="80"/>
      <c r="L953" s="80"/>
      <c r="M953" s="1" t="s">
        <v>1348</v>
      </c>
      <c r="N953" s="1">
        <v>4</v>
      </c>
      <c r="O953" s="1">
        <v>3</v>
      </c>
      <c r="P953" s="13">
        <v>44949</v>
      </c>
      <c r="Q953" s="1" t="s">
        <v>133</v>
      </c>
      <c r="R953" s="1" t="s">
        <v>31</v>
      </c>
      <c r="S953" s="1">
        <v>1</v>
      </c>
      <c r="T953" s="1" t="s">
        <v>28</v>
      </c>
      <c r="U953" s="1" t="s">
        <v>28</v>
      </c>
      <c r="V953" s="76">
        <v>9.1999999999999993</v>
      </c>
      <c r="W953" s="76">
        <v>0.40000000000000019</v>
      </c>
      <c r="X953" s="77">
        <v>2.0000000000000009</v>
      </c>
      <c r="Y953" s="77">
        <v>4</v>
      </c>
      <c r="Z953" s="76">
        <v>9</v>
      </c>
      <c r="AA953" s="76">
        <v>0.89442719099991586</v>
      </c>
      <c r="AB953" s="77">
        <v>1.1180339887498949</v>
      </c>
      <c r="AC953" s="77">
        <v>4</v>
      </c>
      <c r="AD953" s="76">
        <v>7.8</v>
      </c>
      <c r="AE953" s="76">
        <v>0.74833147735478822</v>
      </c>
      <c r="AF953" s="77">
        <v>0.26726124191242462</v>
      </c>
      <c r="AG953" s="77">
        <v>3</v>
      </c>
      <c r="AH953" s="76">
        <v>7.6</v>
      </c>
      <c r="AI953" s="76">
        <v>1.3564659966250536</v>
      </c>
      <c r="AJ953" s="77">
        <v>0.29488391230979455</v>
      </c>
      <c r="AK953" s="77">
        <v>3</v>
      </c>
      <c r="AL953" s="76"/>
      <c r="AM953" s="76"/>
      <c r="AN953" s="77"/>
      <c r="AO953" s="77"/>
      <c r="AP953" s="76"/>
      <c r="AQ953" s="76"/>
      <c r="AR953" s="77"/>
      <c r="AS953" s="77"/>
      <c r="AT953" s="78">
        <v>0.875</v>
      </c>
    </row>
    <row r="954" spans="1:46" ht="12.5" x14ac:dyDescent="0.25">
      <c r="A954" s="79">
        <v>44949.383522824079</v>
      </c>
      <c r="B954" s="80" t="s">
        <v>24</v>
      </c>
      <c r="C954" s="80" t="str">
        <f>INDEX(TBL_Name,MATCH(Table2[[#This Row],[Athlete Name]],listNames,0),2)</f>
        <v>Athlete 16</v>
      </c>
      <c r="D954" s="80" t="s">
        <v>130</v>
      </c>
      <c r="E954" s="80">
        <v>6</v>
      </c>
      <c r="F954" s="80">
        <v>5</v>
      </c>
      <c r="G954" s="80">
        <v>6</v>
      </c>
      <c r="H954" s="80" t="s">
        <v>1349</v>
      </c>
      <c r="I954" s="80">
        <v>8</v>
      </c>
      <c r="J954" s="80"/>
      <c r="K954" s="80"/>
      <c r="L954" s="80"/>
      <c r="M954" s="1" t="s">
        <v>1350</v>
      </c>
      <c r="N954" s="1">
        <v>4</v>
      </c>
      <c r="O954" s="1">
        <v>3</v>
      </c>
      <c r="P954" s="13">
        <v>44949</v>
      </c>
      <c r="Q954" s="1" t="s">
        <v>133</v>
      </c>
      <c r="R954" s="1" t="s">
        <v>31</v>
      </c>
      <c r="S954" s="1">
        <v>1</v>
      </c>
      <c r="T954" s="1" t="s">
        <v>18</v>
      </c>
      <c r="U954" s="1" t="s">
        <v>18</v>
      </c>
      <c r="V954" s="76">
        <v>6.8</v>
      </c>
      <c r="W954" s="76">
        <v>0.74833147735478811</v>
      </c>
      <c r="X954" s="77">
        <v>-1.0690449676496976</v>
      </c>
      <c r="Y954" s="77">
        <v>1</v>
      </c>
      <c r="Z954" s="76">
        <v>6</v>
      </c>
      <c r="AA954" s="76">
        <v>1.5491933384829668</v>
      </c>
      <c r="AB954" s="77">
        <v>-0.6454972243679028</v>
      </c>
      <c r="AC954" s="77">
        <v>2</v>
      </c>
      <c r="AD954" s="76">
        <v>5.4</v>
      </c>
      <c r="AE954" s="76">
        <v>0.48989794855663554</v>
      </c>
      <c r="AF954" s="77">
        <v>1.2247448713915885</v>
      </c>
      <c r="AG954" s="77">
        <v>4</v>
      </c>
      <c r="AH954" s="76">
        <v>7</v>
      </c>
      <c r="AI954" s="76">
        <v>1.6733200530681511</v>
      </c>
      <c r="AJ954" s="77">
        <v>0.59761430466719678</v>
      </c>
      <c r="AK954" s="77">
        <v>3</v>
      </c>
      <c r="AL954" s="76"/>
      <c r="AM954" s="76"/>
      <c r="AN954" s="77"/>
      <c r="AO954" s="77"/>
      <c r="AP954" s="76"/>
      <c r="AQ954" s="76"/>
      <c r="AR954" s="77"/>
      <c r="AS954" s="77"/>
      <c r="AT954" s="78">
        <v>0.625</v>
      </c>
    </row>
    <row r="955" spans="1:46" ht="12.5" x14ac:dyDescent="0.25">
      <c r="A955" s="79">
        <v>44949.402464953702</v>
      </c>
      <c r="B955" s="80" t="s">
        <v>6</v>
      </c>
      <c r="C955" s="80" t="str">
        <f>INDEX(TBL_Name,MATCH(Table2[[#This Row],[Athlete Name]],listNames,0),2)</f>
        <v>Athlete 2</v>
      </c>
      <c r="D955" s="80" t="s">
        <v>130</v>
      </c>
      <c r="E955" s="80">
        <v>9</v>
      </c>
      <c r="F955" s="80">
        <v>6</v>
      </c>
      <c r="G955" s="80">
        <v>7</v>
      </c>
      <c r="H955" s="80" t="s">
        <v>71</v>
      </c>
      <c r="I955" s="80">
        <v>8</v>
      </c>
      <c r="J955" s="80"/>
      <c r="K955" s="80"/>
      <c r="L955" s="80"/>
      <c r="M955" s="1" t="s">
        <v>1351</v>
      </c>
      <c r="N955" s="1">
        <v>4</v>
      </c>
      <c r="O955" s="1">
        <v>3</v>
      </c>
      <c r="P955" s="13">
        <v>44949</v>
      </c>
      <c r="Q955" s="1" t="s">
        <v>133</v>
      </c>
      <c r="R955" s="1" t="s">
        <v>31</v>
      </c>
      <c r="S955" s="1">
        <v>1</v>
      </c>
      <c r="T955" s="1" t="s">
        <v>5</v>
      </c>
      <c r="U955" s="1" t="s">
        <v>5</v>
      </c>
      <c r="V955" s="76">
        <v>8.6666666666666661</v>
      </c>
      <c r="W955" s="76">
        <v>0.94280904158206336</v>
      </c>
      <c r="X955" s="77">
        <v>0.3535533905932744</v>
      </c>
      <c r="Y955" s="77">
        <v>3</v>
      </c>
      <c r="Z955" s="76">
        <v>6.5</v>
      </c>
      <c r="AA955" s="76">
        <v>2.0615528128088303</v>
      </c>
      <c r="AB955" s="77">
        <v>-0.24253562503633297</v>
      </c>
      <c r="AC955" s="77">
        <v>2</v>
      </c>
      <c r="AD955" s="76">
        <v>6.833333333333333</v>
      </c>
      <c r="AE955" s="76">
        <v>1.4624940645653537</v>
      </c>
      <c r="AF955" s="77">
        <v>0.11396057645963815</v>
      </c>
      <c r="AG955" s="77">
        <v>3</v>
      </c>
      <c r="AH955" s="76">
        <v>7.166666666666667</v>
      </c>
      <c r="AI955" s="76">
        <v>1.0671873729054746</v>
      </c>
      <c r="AJ955" s="77">
        <v>0.78086880944303017</v>
      </c>
      <c r="AK955" s="77">
        <v>3</v>
      </c>
      <c r="AL955" s="76"/>
      <c r="AM955" s="76"/>
      <c r="AN955" s="77"/>
      <c r="AO955" s="77"/>
      <c r="AP955" s="76"/>
      <c r="AQ955" s="76"/>
      <c r="AR955" s="77"/>
      <c r="AS955" s="77"/>
      <c r="AT955" s="78">
        <v>0.6875</v>
      </c>
    </row>
    <row r="956" spans="1:46" ht="12.5" x14ac:dyDescent="0.25">
      <c r="A956" s="79">
        <v>44949.403136979163</v>
      </c>
      <c r="B956" s="80" t="s">
        <v>10</v>
      </c>
      <c r="C956" s="80" t="str">
        <f>INDEX(TBL_Name,MATCH(Table2[[#This Row],[Athlete Name]],listNames,0),2)</f>
        <v>Athlete 5</v>
      </c>
      <c r="D956" s="80" t="s">
        <v>130</v>
      </c>
      <c r="E956" s="80">
        <v>8</v>
      </c>
      <c r="F956" s="80">
        <v>8</v>
      </c>
      <c r="G956" s="80">
        <v>8</v>
      </c>
      <c r="H956" s="80" t="s">
        <v>1352</v>
      </c>
      <c r="I956" s="80">
        <v>7</v>
      </c>
      <c r="J956" s="80"/>
      <c r="K956" s="80"/>
      <c r="L956" s="80"/>
      <c r="M956" s="1" t="s">
        <v>1353</v>
      </c>
      <c r="N956" s="1">
        <v>4</v>
      </c>
      <c r="O956" s="1">
        <v>3</v>
      </c>
      <c r="P956" s="13">
        <v>44949</v>
      </c>
      <c r="Q956" s="1" t="s">
        <v>133</v>
      </c>
      <c r="R956" s="1" t="s">
        <v>31</v>
      </c>
      <c r="S956" s="1">
        <v>1</v>
      </c>
      <c r="T956" s="1" t="s">
        <v>11</v>
      </c>
      <c r="U956" s="1" t="s">
        <v>11</v>
      </c>
      <c r="V956" s="76">
        <v>8.6666666666666661</v>
      </c>
      <c r="W956" s="76">
        <v>0.47140452079103201</v>
      </c>
      <c r="X956" s="77">
        <v>-1.4142135623730927</v>
      </c>
      <c r="Y956" s="77">
        <v>1</v>
      </c>
      <c r="Z956" s="76">
        <v>7.666666666666667</v>
      </c>
      <c r="AA956" s="76">
        <v>0.47140452079103179</v>
      </c>
      <c r="AB956" s="77">
        <v>0.70710678118654668</v>
      </c>
      <c r="AC956" s="77">
        <v>3</v>
      </c>
      <c r="AD956" s="76">
        <v>7.666666666666667</v>
      </c>
      <c r="AE956" s="76">
        <v>0.47140452079103179</v>
      </c>
      <c r="AF956" s="77">
        <v>0.70710678118654668</v>
      </c>
      <c r="AG956" s="77">
        <v>3</v>
      </c>
      <c r="AH956" s="76">
        <v>6.5</v>
      </c>
      <c r="AI956" s="76">
        <v>1.2583057392117916</v>
      </c>
      <c r="AJ956" s="77">
        <v>0.39735970711951318</v>
      </c>
      <c r="AK956" s="77">
        <v>3</v>
      </c>
      <c r="AL956" s="76"/>
      <c r="AM956" s="76"/>
      <c r="AN956" s="77"/>
      <c r="AO956" s="77"/>
      <c r="AP956" s="76"/>
      <c r="AQ956" s="76"/>
      <c r="AR956" s="77"/>
      <c r="AS956" s="77"/>
      <c r="AT956" s="78">
        <v>0.625</v>
      </c>
    </row>
    <row r="957" spans="1:46" ht="12.5" x14ac:dyDescent="0.25">
      <c r="A957" s="79">
        <v>44949.404936585648</v>
      </c>
      <c r="B957" s="80" t="s">
        <v>16</v>
      </c>
      <c r="C957" s="80" t="str">
        <f>INDEX(TBL_Name,MATCH(Table2[[#This Row],[Athlete Name]],listNames,0),2)</f>
        <v>Athlete 9</v>
      </c>
      <c r="D957" s="80" t="s">
        <v>130</v>
      </c>
      <c r="E957" s="80">
        <v>7</v>
      </c>
      <c r="F957" s="80">
        <v>6</v>
      </c>
      <c r="G957" s="80">
        <v>7</v>
      </c>
      <c r="H957" s="80" t="s">
        <v>1065</v>
      </c>
      <c r="I957" s="80">
        <v>6</v>
      </c>
      <c r="J957" s="80"/>
      <c r="K957" s="80"/>
      <c r="L957" s="80"/>
      <c r="M957" s="1" t="s">
        <v>1354</v>
      </c>
      <c r="N957" s="1">
        <v>4</v>
      </c>
      <c r="O957" s="1">
        <v>3</v>
      </c>
      <c r="P957" s="13">
        <v>44949</v>
      </c>
      <c r="Q957" s="1" t="s">
        <v>133</v>
      </c>
      <c r="R957" s="1" t="s">
        <v>31</v>
      </c>
      <c r="S957" s="1">
        <v>1</v>
      </c>
      <c r="T957" s="1" t="s">
        <v>14</v>
      </c>
      <c r="U957" s="1" t="s">
        <v>14</v>
      </c>
      <c r="V957" s="76">
        <v>7</v>
      </c>
      <c r="W957" s="76">
        <v>0.70710678118654757</v>
      </c>
      <c r="X957" s="77">
        <v>0</v>
      </c>
      <c r="Y957" s="77">
        <v>3</v>
      </c>
      <c r="Z957" s="76">
        <v>6.5</v>
      </c>
      <c r="AA957" s="76">
        <v>0.5</v>
      </c>
      <c r="AB957" s="77">
        <v>-1</v>
      </c>
      <c r="AC957" s="77">
        <v>1</v>
      </c>
      <c r="AD957" s="76">
        <v>7.25</v>
      </c>
      <c r="AE957" s="76">
        <v>0.43301270189221924</v>
      </c>
      <c r="AF957" s="77">
        <v>-0.57735026918962584</v>
      </c>
      <c r="AG957" s="77">
        <v>2</v>
      </c>
      <c r="AH957" s="76">
        <v>6</v>
      </c>
      <c r="AI957" s="76">
        <v>0.70710678118654757</v>
      </c>
      <c r="AJ957" s="77">
        <v>0</v>
      </c>
      <c r="AK957" s="77">
        <v>3</v>
      </c>
      <c r="AL957" s="76"/>
      <c r="AM957" s="76"/>
      <c r="AN957" s="77"/>
      <c r="AO957" s="77"/>
      <c r="AP957" s="76"/>
      <c r="AQ957" s="76"/>
      <c r="AR957" s="77"/>
      <c r="AS957" s="77"/>
      <c r="AT957" s="78">
        <v>0.5625</v>
      </c>
    </row>
    <row r="958" spans="1:46" ht="12.5" x14ac:dyDescent="0.25">
      <c r="A958" s="79">
        <v>44949.409068159723</v>
      </c>
      <c r="B958" s="80" t="s">
        <v>21</v>
      </c>
      <c r="C958" s="80" t="str">
        <f>INDEX(TBL_Name,MATCH(Table2[[#This Row],[Athlete Name]],listNames,0),2)</f>
        <v>Athlete 13</v>
      </c>
      <c r="D958" s="80" t="s">
        <v>143</v>
      </c>
      <c r="E958" s="80">
        <v>6</v>
      </c>
      <c r="F958" s="80">
        <v>6</v>
      </c>
      <c r="G958" s="80">
        <v>8</v>
      </c>
      <c r="H958" s="80" t="s">
        <v>340</v>
      </c>
      <c r="I958" s="80">
        <v>7</v>
      </c>
      <c r="J958" s="80"/>
      <c r="K958" s="80"/>
      <c r="L958" s="80"/>
      <c r="M958" s="1" t="s">
        <v>1355</v>
      </c>
      <c r="N958" s="1">
        <v>4</v>
      </c>
      <c r="O958" s="1">
        <v>3</v>
      </c>
      <c r="P958" s="13">
        <v>44949</v>
      </c>
      <c r="Q958" s="1" t="s">
        <v>133</v>
      </c>
      <c r="R958" s="1" t="s">
        <v>31</v>
      </c>
      <c r="S958" s="1">
        <v>2</v>
      </c>
      <c r="T958" s="1" t="s">
        <v>18</v>
      </c>
      <c r="U958" s="1" t="s">
        <v>18</v>
      </c>
      <c r="V958" s="76">
        <v>7.125</v>
      </c>
      <c r="W958" s="76">
        <v>0.7806247497997999</v>
      </c>
      <c r="X958" s="77">
        <v>-1.441153384245784</v>
      </c>
      <c r="Y958" s="77">
        <v>1</v>
      </c>
      <c r="Z958" s="76">
        <v>7.75</v>
      </c>
      <c r="AA958" s="76">
        <v>0.96824583655185437</v>
      </c>
      <c r="AB958" s="77">
        <v>-1.8073922282301276</v>
      </c>
      <c r="AC958" s="77">
        <v>1</v>
      </c>
      <c r="AD958" s="76">
        <v>8.5</v>
      </c>
      <c r="AE958" s="76">
        <v>0.49999999999999989</v>
      </c>
      <c r="AF958" s="77">
        <v>-1.0000000000000002</v>
      </c>
      <c r="AG958" s="77">
        <v>1</v>
      </c>
      <c r="AH958" s="76">
        <v>5.875</v>
      </c>
      <c r="AI958" s="76">
        <v>1.7633419974582356</v>
      </c>
      <c r="AJ958" s="77">
        <v>0.63799308450750225</v>
      </c>
      <c r="AK958" s="77">
        <v>3</v>
      </c>
      <c r="AL958" s="76"/>
      <c r="AM958" s="76"/>
      <c r="AN958" s="77"/>
      <c r="AO958" s="77"/>
      <c r="AP958" s="76"/>
      <c r="AQ958" s="76"/>
      <c r="AR958" s="77"/>
      <c r="AS958" s="77"/>
      <c r="AT958" s="78">
        <v>0.375</v>
      </c>
    </row>
    <row r="959" spans="1:46" ht="12.5" x14ac:dyDescent="0.25">
      <c r="A959" s="79">
        <v>44949.420413368054</v>
      </c>
      <c r="B959" s="80" t="s">
        <v>15</v>
      </c>
      <c r="C959" s="80" t="str">
        <f>INDEX(TBL_Name,MATCH(Table2[[#This Row],[Athlete Name]],listNames,0),2)</f>
        <v>Athlete 8</v>
      </c>
      <c r="D959" s="80" t="s">
        <v>130</v>
      </c>
      <c r="E959" s="80">
        <v>10</v>
      </c>
      <c r="F959" s="80">
        <v>5</v>
      </c>
      <c r="G959" s="80">
        <v>5</v>
      </c>
      <c r="H959" s="80" t="s">
        <v>131</v>
      </c>
      <c r="I959" s="80">
        <v>10</v>
      </c>
      <c r="J959" s="80"/>
      <c r="K959" s="80"/>
      <c r="L959" s="80"/>
      <c r="M959" s="1" t="s">
        <v>1356</v>
      </c>
      <c r="N959" s="1">
        <v>4</v>
      </c>
      <c r="O959" s="1">
        <v>3</v>
      </c>
      <c r="P959" s="13">
        <v>44949</v>
      </c>
      <c r="Q959" s="1" t="s">
        <v>133</v>
      </c>
      <c r="R959" s="1" t="s">
        <v>31</v>
      </c>
      <c r="S959" s="1">
        <v>1</v>
      </c>
      <c r="T959" s="1" t="s">
        <v>14</v>
      </c>
      <c r="U959" s="1" t="s">
        <v>14</v>
      </c>
      <c r="V959" s="76">
        <v>10</v>
      </c>
      <c r="W959" s="76">
        <v>0</v>
      </c>
      <c r="X959" s="77">
        <v>0</v>
      </c>
      <c r="Y959" s="77">
        <v>3</v>
      </c>
      <c r="Z959" s="76">
        <v>6.5</v>
      </c>
      <c r="AA959" s="76">
        <v>1.5</v>
      </c>
      <c r="AB959" s="77">
        <v>-1</v>
      </c>
      <c r="AC959" s="77">
        <v>1</v>
      </c>
      <c r="AD959" s="76">
        <v>6</v>
      </c>
      <c r="AE959" s="76">
        <v>1</v>
      </c>
      <c r="AF959" s="77">
        <v>-1</v>
      </c>
      <c r="AG959" s="77">
        <v>1</v>
      </c>
      <c r="AH959" s="76">
        <v>7.5</v>
      </c>
      <c r="AI959" s="76">
        <v>2.5</v>
      </c>
      <c r="AJ959" s="77">
        <v>1</v>
      </c>
      <c r="AK959" s="77">
        <v>4</v>
      </c>
      <c r="AL959" s="76"/>
      <c r="AM959" s="76"/>
      <c r="AN959" s="77"/>
      <c r="AO959" s="77"/>
      <c r="AP959" s="76"/>
      <c r="AQ959" s="76"/>
      <c r="AR959" s="77"/>
      <c r="AS959" s="77"/>
      <c r="AT959" s="78">
        <v>0.5625</v>
      </c>
    </row>
    <row r="960" spans="1:46" ht="12.5" x14ac:dyDescent="0.25">
      <c r="A960" s="79">
        <v>44949.423085138886</v>
      </c>
      <c r="B960" s="80" t="s">
        <v>20</v>
      </c>
      <c r="C960" s="80" t="str">
        <f>INDEX(TBL_Name,MATCH(Table2[[#This Row],[Athlete Name]],listNames,0),2)</f>
        <v>Athlete 12</v>
      </c>
      <c r="D960" s="80" t="s">
        <v>143</v>
      </c>
      <c r="E960" s="80">
        <v>8</v>
      </c>
      <c r="F960" s="80">
        <v>9</v>
      </c>
      <c r="G960" s="80">
        <v>8</v>
      </c>
      <c r="H960" s="80" t="s">
        <v>74</v>
      </c>
      <c r="I960" s="80">
        <v>9</v>
      </c>
      <c r="J960" s="80"/>
      <c r="K960" s="80"/>
      <c r="L960" s="80"/>
      <c r="M960" s="1" t="s">
        <v>1357</v>
      </c>
      <c r="N960" s="1">
        <v>4</v>
      </c>
      <c r="O960" s="1">
        <v>3</v>
      </c>
      <c r="P960" s="13">
        <v>44949</v>
      </c>
      <c r="Q960" s="1" t="s">
        <v>133</v>
      </c>
      <c r="R960" s="1" t="s">
        <v>31</v>
      </c>
      <c r="S960" s="1">
        <v>2</v>
      </c>
      <c r="T960" s="1" t="s">
        <v>18</v>
      </c>
      <c r="U960" s="1" t="s">
        <v>18</v>
      </c>
      <c r="V960" s="76">
        <v>7.333333333333333</v>
      </c>
      <c r="W960" s="76">
        <v>0.94280904158206336</v>
      </c>
      <c r="X960" s="77">
        <v>0.70710678118654779</v>
      </c>
      <c r="Y960" s="77">
        <v>3</v>
      </c>
      <c r="Z960" s="76">
        <v>8.6666666666666661</v>
      </c>
      <c r="AA960" s="76">
        <v>0.47140452079103179</v>
      </c>
      <c r="AB960" s="77">
        <v>0.70710678118654857</v>
      </c>
      <c r="AC960" s="77">
        <v>3</v>
      </c>
      <c r="AD960" s="76">
        <v>8.3333333333333339</v>
      </c>
      <c r="AE960" s="76">
        <v>0.47140452079103179</v>
      </c>
      <c r="AF960" s="77">
        <v>-0.70710678118654857</v>
      </c>
      <c r="AG960" s="77">
        <v>2</v>
      </c>
      <c r="AH960" s="76">
        <v>6.666666666666667</v>
      </c>
      <c r="AI960" s="76">
        <v>1.699673171197595</v>
      </c>
      <c r="AJ960" s="77">
        <v>1.372812945967288</v>
      </c>
      <c r="AK960" s="77">
        <v>4</v>
      </c>
      <c r="AL960" s="76"/>
      <c r="AM960" s="76"/>
      <c r="AN960" s="77"/>
      <c r="AO960" s="77"/>
      <c r="AP960" s="76"/>
      <c r="AQ960" s="76"/>
      <c r="AR960" s="77"/>
      <c r="AS960" s="77"/>
      <c r="AT960" s="78">
        <v>0.75</v>
      </c>
    </row>
    <row r="961" spans="1:46" ht="12.5" x14ac:dyDescent="0.25">
      <c r="A961" s="79">
        <v>44949.425973564816</v>
      </c>
      <c r="B961" s="80" t="s">
        <v>13</v>
      </c>
      <c r="C961" s="80" t="str">
        <f>INDEX(TBL_Name,MATCH(Table2[[#This Row],[Athlete Name]],listNames,0),2)</f>
        <v>Athlete 7</v>
      </c>
      <c r="D961" s="80" t="s">
        <v>130</v>
      </c>
      <c r="E961" s="80">
        <v>9</v>
      </c>
      <c r="F961" s="80">
        <v>9</v>
      </c>
      <c r="G961" s="80">
        <v>10</v>
      </c>
      <c r="H961" s="80" t="s">
        <v>71</v>
      </c>
      <c r="I961" s="80">
        <v>9</v>
      </c>
      <c r="J961" s="80"/>
      <c r="K961" s="80"/>
      <c r="L961" s="80"/>
      <c r="M961" s="1" t="s">
        <v>1358</v>
      </c>
      <c r="N961" s="1">
        <v>4</v>
      </c>
      <c r="O961" s="1">
        <v>3</v>
      </c>
      <c r="P961" s="13">
        <v>44949</v>
      </c>
      <c r="Q961" s="1" t="s">
        <v>133</v>
      </c>
      <c r="R961" s="1" t="s">
        <v>31</v>
      </c>
      <c r="S961" s="1">
        <v>1</v>
      </c>
      <c r="T961" s="1" t="s">
        <v>14</v>
      </c>
      <c r="U961" s="1" t="s">
        <v>14</v>
      </c>
      <c r="V961" s="76">
        <v>9.25</v>
      </c>
      <c r="W961" s="76">
        <v>0.43301270189221946</v>
      </c>
      <c r="X961" s="77">
        <v>-0.57735026918962562</v>
      </c>
      <c r="Y961" s="77">
        <v>2</v>
      </c>
      <c r="Z961" s="76">
        <v>8</v>
      </c>
      <c r="AA961" s="76">
        <v>1</v>
      </c>
      <c r="AB961" s="77">
        <v>1</v>
      </c>
      <c r="AC961" s="77">
        <v>4</v>
      </c>
      <c r="AD961" s="76">
        <v>8.25</v>
      </c>
      <c r="AE961" s="76">
        <v>1.0897247358851685</v>
      </c>
      <c r="AF961" s="77">
        <v>1.6059101370939322</v>
      </c>
      <c r="AG961" s="77">
        <v>4</v>
      </c>
      <c r="AH961" s="76">
        <v>5.25</v>
      </c>
      <c r="AI961" s="76">
        <v>2.1650635094610968</v>
      </c>
      <c r="AJ961" s="77">
        <v>1.7320508075688772</v>
      </c>
      <c r="AK961" s="77">
        <v>4</v>
      </c>
      <c r="AL961" s="76"/>
      <c r="AM961" s="76"/>
      <c r="AN961" s="77"/>
      <c r="AO961" s="77"/>
      <c r="AP961" s="76"/>
      <c r="AQ961" s="76"/>
      <c r="AR961" s="77"/>
      <c r="AS961" s="77"/>
      <c r="AT961" s="78">
        <v>0.875</v>
      </c>
    </row>
    <row r="962" spans="1:46" ht="12.5" x14ac:dyDescent="0.25">
      <c r="A962" s="79">
        <v>44949.442214224538</v>
      </c>
      <c r="B962" s="80" t="s">
        <v>17</v>
      </c>
      <c r="C962" s="80" t="str">
        <f>INDEX(TBL_Name,MATCH(Table2[[#This Row],[Athlete Name]],listNames,0),2)</f>
        <v>Athlete 10</v>
      </c>
      <c r="D962" s="80" t="s">
        <v>130</v>
      </c>
      <c r="E962" s="80">
        <v>5</v>
      </c>
      <c r="F962" s="80">
        <v>7</v>
      </c>
      <c r="G962" s="80">
        <v>6</v>
      </c>
      <c r="H962" s="80" t="s">
        <v>131</v>
      </c>
      <c r="I962" s="80">
        <v>8</v>
      </c>
      <c r="J962" s="80"/>
      <c r="K962" s="80"/>
      <c r="L962" s="80"/>
      <c r="M962" s="1" t="s">
        <v>1359</v>
      </c>
      <c r="N962" s="1">
        <v>4</v>
      </c>
      <c r="O962" s="1">
        <v>3</v>
      </c>
      <c r="P962" s="13">
        <v>44949</v>
      </c>
      <c r="Q962" s="1" t="s">
        <v>133</v>
      </c>
      <c r="R962" s="1" t="s">
        <v>31</v>
      </c>
      <c r="S962" s="1">
        <v>1</v>
      </c>
      <c r="T962" s="1" t="s">
        <v>18</v>
      </c>
      <c r="U962" s="1" t="s">
        <v>18</v>
      </c>
      <c r="V962" s="76">
        <v>7.2</v>
      </c>
      <c r="W962" s="76">
        <v>1.3266499161421601</v>
      </c>
      <c r="X962" s="77">
        <v>-1.6583123951776999</v>
      </c>
      <c r="Y962" s="77">
        <v>1</v>
      </c>
      <c r="Z962" s="76">
        <v>6.8</v>
      </c>
      <c r="AA962" s="76">
        <v>0.39999999999999997</v>
      </c>
      <c r="AB962" s="77">
        <v>0.50000000000000044</v>
      </c>
      <c r="AC962" s="77">
        <v>3</v>
      </c>
      <c r="AD962" s="76">
        <v>7.4</v>
      </c>
      <c r="AE962" s="76">
        <v>1.019803902718557</v>
      </c>
      <c r="AF962" s="77">
        <v>-1.3728129459672884</v>
      </c>
      <c r="AG962" s="77">
        <v>1</v>
      </c>
      <c r="AH962" s="76">
        <v>6.2</v>
      </c>
      <c r="AI962" s="76">
        <v>1.1661903789690602</v>
      </c>
      <c r="AJ962" s="77">
        <v>1.5434872662825792</v>
      </c>
      <c r="AK962" s="77">
        <v>4</v>
      </c>
      <c r="AL962" s="76"/>
      <c r="AM962" s="76"/>
      <c r="AN962" s="77"/>
      <c r="AO962" s="77"/>
      <c r="AP962" s="76"/>
      <c r="AQ962" s="76"/>
      <c r="AR962" s="77"/>
      <c r="AS962" s="77"/>
      <c r="AT962" s="78">
        <v>0.5625</v>
      </c>
    </row>
    <row r="963" spans="1:46" ht="12.5" x14ac:dyDescent="0.25">
      <c r="A963" s="79">
        <v>44949.442878206013</v>
      </c>
      <c r="B963" s="80" t="s">
        <v>9</v>
      </c>
      <c r="C963" s="80" t="str">
        <f>INDEX(TBL_Name,MATCH(Table2[[#This Row],[Athlete Name]],listNames,0),2)</f>
        <v>Athlete 4</v>
      </c>
      <c r="D963" s="80" t="s">
        <v>130</v>
      </c>
      <c r="E963" s="80">
        <v>3</v>
      </c>
      <c r="F963" s="80">
        <v>7</v>
      </c>
      <c r="G963" s="80">
        <v>7</v>
      </c>
      <c r="H963" s="80" t="s">
        <v>1360</v>
      </c>
      <c r="I963" s="80">
        <v>4</v>
      </c>
      <c r="J963" s="80"/>
      <c r="K963" s="80"/>
      <c r="L963" s="80"/>
      <c r="M963" s="1" t="s">
        <v>1361</v>
      </c>
      <c r="N963" s="1">
        <v>4</v>
      </c>
      <c r="O963" s="1">
        <v>3</v>
      </c>
      <c r="P963" s="13">
        <v>44949</v>
      </c>
      <c r="Q963" s="1" t="s">
        <v>133</v>
      </c>
      <c r="R963" s="1" t="s">
        <v>31</v>
      </c>
      <c r="S963" s="1">
        <v>1</v>
      </c>
      <c r="T963" s="1" t="s">
        <v>8</v>
      </c>
      <c r="U963" s="1" t="s">
        <v>8</v>
      </c>
      <c r="V963" s="76">
        <v>3.75</v>
      </c>
      <c r="W963" s="76">
        <v>0.4330127018922193</v>
      </c>
      <c r="X963" s="77">
        <v>-1.7320508075688774</v>
      </c>
      <c r="Y963" s="77">
        <v>1</v>
      </c>
      <c r="Z963" s="76">
        <v>6.5</v>
      </c>
      <c r="AA963" s="76">
        <v>0.50000000000000011</v>
      </c>
      <c r="AB963" s="77">
        <v>0.99999999999999978</v>
      </c>
      <c r="AC963" s="77">
        <v>4</v>
      </c>
      <c r="AD963" s="76">
        <v>7</v>
      </c>
      <c r="AE963" s="76">
        <v>0</v>
      </c>
      <c r="AF963" s="77">
        <v>0</v>
      </c>
      <c r="AG963" s="77">
        <v>3</v>
      </c>
      <c r="AH963" s="76">
        <v>5.5</v>
      </c>
      <c r="AI963" s="76">
        <v>1.5</v>
      </c>
      <c r="AJ963" s="77">
        <v>-1</v>
      </c>
      <c r="AK963" s="77">
        <v>1</v>
      </c>
      <c r="AL963" s="76"/>
      <c r="AM963" s="76"/>
      <c r="AN963" s="77"/>
      <c r="AO963" s="77"/>
      <c r="AP963" s="76"/>
      <c r="AQ963" s="76"/>
      <c r="AR963" s="77"/>
      <c r="AS963" s="77"/>
      <c r="AT963" s="78">
        <v>0.5625</v>
      </c>
    </row>
    <row r="964" spans="1:46" ht="12.5" x14ac:dyDescent="0.25">
      <c r="A964" s="79">
        <v>44949.51931398148</v>
      </c>
      <c r="B964" s="80" t="s">
        <v>22</v>
      </c>
      <c r="C964" s="80" t="str">
        <f>INDEX(TBL_Name,MATCH(Table2[[#This Row],[Athlete Name]],listNames,0),2)</f>
        <v>Athlete 14</v>
      </c>
      <c r="D964" s="80" t="s">
        <v>130</v>
      </c>
      <c r="E964" s="80">
        <v>7</v>
      </c>
      <c r="F964" s="80">
        <v>4</v>
      </c>
      <c r="G964" s="80">
        <v>7</v>
      </c>
      <c r="H964" s="80" t="s">
        <v>506</v>
      </c>
      <c r="I964" s="80">
        <v>8</v>
      </c>
      <c r="J964" s="80"/>
      <c r="K964" s="80"/>
      <c r="L964" s="80"/>
      <c r="M964" s="1" t="s">
        <v>1362</v>
      </c>
      <c r="N964" s="1">
        <v>4</v>
      </c>
      <c r="O964" s="1">
        <v>3</v>
      </c>
      <c r="P964" s="13">
        <v>44949</v>
      </c>
      <c r="Q964" s="1" t="s">
        <v>133</v>
      </c>
      <c r="R964" s="1" t="s">
        <v>31</v>
      </c>
      <c r="S964" s="1">
        <v>1</v>
      </c>
      <c r="T964" s="1" t="s">
        <v>18</v>
      </c>
      <c r="U964" s="1" t="s">
        <v>18</v>
      </c>
      <c r="V964" s="76">
        <v>7.5</v>
      </c>
      <c r="W964" s="76">
        <v>0.5</v>
      </c>
      <c r="X964" s="77">
        <v>-1</v>
      </c>
      <c r="Y964" s="77">
        <v>1</v>
      </c>
      <c r="Z964" s="76">
        <v>4.75</v>
      </c>
      <c r="AA964" s="76">
        <v>0.82915619758884995</v>
      </c>
      <c r="AB964" s="77">
        <v>-0.90453403373329089</v>
      </c>
      <c r="AC964" s="77">
        <v>2</v>
      </c>
      <c r="AD964" s="76">
        <v>7</v>
      </c>
      <c r="AE964" s="76">
        <v>0.70710678118654757</v>
      </c>
      <c r="AF964" s="77">
        <v>0</v>
      </c>
      <c r="AG964" s="77">
        <v>3</v>
      </c>
      <c r="AH964" s="76">
        <v>6.5</v>
      </c>
      <c r="AI964" s="76">
        <v>1.1180339887498949</v>
      </c>
      <c r="AJ964" s="77">
        <v>1.3416407864998738</v>
      </c>
      <c r="AK964" s="77">
        <v>4</v>
      </c>
      <c r="AL964" s="76"/>
      <c r="AM964" s="76"/>
      <c r="AN964" s="77"/>
      <c r="AO964" s="77"/>
      <c r="AP964" s="76"/>
      <c r="AQ964" s="76"/>
      <c r="AR964" s="77"/>
      <c r="AS964" s="77"/>
      <c r="AT964" s="78">
        <v>0.625</v>
      </c>
    </row>
    <row r="965" spans="1:46" ht="12.5" x14ac:dyDescent="0.25">
      <c r="A965" s="79">
        <v>44949.579008206019</v>
      </c>
      <c r="B965" s="80" t="s">
        <v>12</v>
      </c>
      <c r="C965" s="80" t="str">
        <f>INDEX(TBL_Name,MATCH(Table2[[#This Row],[Athlete Name]],listNames,0),2)</f>
        <v>Athlete 6</v>
      </c>
      <c r="D965" s="80" t="s">
        <v>130</v>
      </c>
      <c r="E965" s="80">
        <v>7</v>
      </c>
      <c r="F965" s="80">
        <v>3</v>
      </c>
      <c r="G965" s="80">
        <v>6</v>
      </c>
      <c r="H965" s="80" t="s">
        <v>947</v>
      </c>
      <c r="I965" s="80">
        <v>10</v>
      </c>
      <c r="J965" s="80"/>
      <c r="K965" s="80"/>
      <c r="L965" s="80"/>
      <c r="M965" s="1" t="s">
        <v>1363</v>
      </c>
      <c r="N965" s="1">
        <v>4</v>
      </c>
      <c r="O965" s="1">
        <v>3</v>
      </c>
      <c r="P965" s="13">
        <v>44949</v>
      </c>
      <c r="Q965" s="1" t="s">
        <v>133</v>
      </c>
      <c r="R965" s="1" t="s">
        <v>31</v>
      </c>
      <c r="S965" s="1">
        <v>1</v>
      </c>
      <c r="T965" s="1" t="s">
        <v>11</v>
      </c>
      <c r="U965" s="1" t="s">
        <v>11</v>
      </c>
      <c r="V965" s="76">
        <v>9</v>
      </c>
      <c r="W965" s="76">
        <v>1.4142135623730951</v>
      </c>
      <c r="X965" s="77">
        <v>-1.4142135623730949</v>
      </c>
      <c r="Y965" s="77">
        <v>1</v>
      </c>
      <c r="Z965" s="76">
        <v>5.666666666666667</v>
      </c>
      <c r="AA965" s="76">
        <v>2.0548046676563256</v>
      </c>
      <c r="AB965" s="77">
        <v>-1.2977713690461004</v>
      </c>
      <c r="AC965" s="77">
        <v>1</v>
      </c>
      <c r="AD965" s="76">
        <v>7.666666666666667</v>
      </c>
      <c r="AE965" s="76">
        <v>1.2472191289246473</v>
      </c>
      <c r="AF965" s="77">
        <v>-1.3363062095621221</v>
      </c>
      <c r="AG965" s="77">
        <v>1</v>
      </c>
      <c r="AH965" s="76">
        <v>8.6666666666666661</v>
      </c>
      <c r="AI965" s="76">
        <v>0.94280904158206358</v>
      </c>
      <c r="AJ965" s="77">
        <v>1.4142135623730954</v>
      </c>
      <c r="AK965" s="77">
        <v>4</v>
      </c>
      <c r="AL965" s="76"/>
      <c r="AM965" s="76"/>
      <c r="AN965" s="77"/>
      <c r="AO965" s="77"/>
      <c r="AP965" s="76"/>
      <c r="AQ965" s="76"/>
      <c r="AR965" s="77"/>
      <c r="AS965" s="77"/>
      <c r="AT965" s="78">
        <v>0.4375</v>
      </c>
    </row>
    <row r="966" spans="1:46" ht="12.5" x14ac:dyDescent="0.25">
      <c r="A966" s="79">
        <v>44949.579243298613</v>
      </c>
      <c r="B966" s="80" t="s">
        <v>23</v>
      </c>
      <c r="C966" s="80" t="str">
        <f>INDEX(TBL_Name,MATCH(Table2[[#This Row],[Athlete Name]],listNames,0),2)</f>
        <v>Athlete 15</v>
      </c>
      <c r="D966" s="80" t="s">
        <v>143</v>
      </c>
      <c r="E966" s="80">
        <v>7</v>
      </c>
      <c r="F966" s="80">
        <v>5</v>
      </c>
      <c r="G966" s="80">
        <v>6</v>
      </c>
      <c r="H966" s="80" t="s">
        <v>1364</v>
      </c>
      <c r="I966" s="80">
        <v>4</v>
      </c>
      <c r="J966" s="80"/>
      <c r="K966" s="80"/>
      <c r="L966" s="80"/>
      <c r="M966" s="1" t="s">
        <v>1365</v>
      </c>
      <c r="N966" s="1">
        <v>4</v>
      </c>
      <c r="O966" s="1">
        <v>3</v>
      </c>
      <c r="P966" s="13">
        <v>44949</v>
      </c>
      <c r="Q966" s="1" t="s">
        <v>133</v>
      </c>
      <c r="R966" s="1" t="s">
        <v>31</v>
      </c>
      <c r="S966" s="1">
        <v>2</v>
      </c>
      <c r="T966" s="1" t="s">
        <v>18</v>
      </c>
      <c r="U966" s="1" t="s">
        <v>18</v>
      </c>
      <c r="V966" s="76">
        <v>7</v>
      </c>
      <c r="W966" s="76">
        <v>0</v>
      </c>
      <c r="X966" s="77">
        <v>0</v>
      </c>
      <c r="Y966" s="77">
        <v>3</v>
      </c>
      <c r="Z966" s="76">
        <v>7.5</v>
      </c>
      <c r="AA966" s="76">
        <v>2.5</v>
      </c>
      <c r="AB966" s="77">
        <v>-1</v>
      </c>
      <c r="AC966" s="77">
        <v>1</v>
      </c>
      <c r="AD966" s="76">
        <v>7.5</v>
      </c>
      <c r="AE966" s="76">
        <v>1.5</v>
      </c>
      <c r="AF966" s="77">
        <v>-1</v>
      </c>
      <c r="AG966" s="77">
        <v>1</v>
      </c>
      <c r="AH966" s="76">
        <v>5.5</v>
      </c>
      <c r="AI966" s="76">
        <v>1.5</v>
      </c>
      <c r="AJ966" s="77">
        <v>-1</v>
      </c>
      <c r="AK966" s="77">
        <v>1</v>
      </c>
      <c r="AL966" s="76"/>
      <c r="AM966" s="76"/>
      <c r="AN966" s="77"/>
      <c r="AO966" s="77"/>
      <c r="AP966" s="76"/>
      <c r="AQ966" s="76"/>
      <c r="AR966" s="77"/>
      <c r="AS966" s="77"/>
      <c r="AT966" s="78">
        <v>0.375</v>
      </c>
    </row>
    <row r="967" spans="1:46" ht="12.5" x14ac:dyDescent="0.25">
      <c r="A967" s="79">
        <v>44949.603087141208</v>
      </c>
      <c r="B967" s="80" t="s">
        <v>7</v>
      </c>
      <c r="C967" s="80" t="str">
        <f>INDEX(TBL_Name,MATCH(Table2[[#This Row],[Athlete Name]],listNames,0),2)</f>
        <v>Athlete 3</v>
      </c>
      <c r="D967" s="80" t="s">
        <v>130</v>
      </c>
      <c r="E967" s="80">
        <v>4</v>
      </c>
      <c r="F967" s="80">
        <v>7</v>
      </c>
      <c r="G967" s="80">
        <v>7</v>
      </c>
      <c r="H967" s="80" t="s">
        <v>228</v>
      </c>
      <c r="I967" s="80">
        <v>4</v>
      </c>
      <c r="J967" s="80"/>
      <c r="K967" s="80"/>
      <c r="L967" s="80"/>
      <c r="M967" s="1" t="s">
        <v>1366</v>
      </c>
      <c r="N967" s="1">
        <v>4</v>
      </c>
      <c r="O967" s="1">
        <v>3</v>
      </c>
      <c r="P967" s="13">
        <v>44949</v>
      </c>
      <c r="Q967" s="1" t="s">
        <v>133</v>
      </c>
      <c r="R967" s="1" t="s">
        <v>31</v>
      </c>
      <c r="S967" s="1">
        <v>1</v>
      </c>
      <c r="T967" s="1" t="s">
        <v>8</v>
      </c>
      <c r="U967" s="1" t="s">
        <v>8</v>
      </c>
      <c r="V967" s="76">
        <v>3.5</v>
      </c>
      <c r="W967" s="76">
        <v>0.5</v>
      </c>
      <c r="X967" s="77">
        <v>1</v>
      </c>
      <c r="Y967" s="77">
        <v>4</v>
      </c>
      <c r="Z967" s="76">
        <v>7.5</v>
      </c>
      <c r="AA967" s="76">
        <v>0.5</v>
      </c>
      <c r="AB967" s="77">
        <v>-1</v>
      </c>
      <c r="AC967" s="77">
        <v>1</v>
      </c>
      <c r="AD967" s="76">
        <v>7.5</v>
      </c>
      <c r="AE967" s="76">
        <v>0.5</v>
      </c>
      <c r="AF967" s="77">
        <v>-1</v>
      </c>
      <c r="AG967" s="77">
        <v>1</v>
      </c>
      <c r="AH967" s="76">
        <v>4</v>
      </c>
      <c r="AI967" s="76">
        <v>0</v>
      </c>
      <c r="AJ967" s="77">
        <v>0</v>
      </c>
      <c r="AK967" s="77">
        <v>3</v>
      </c>
      <c r="AL967" s="76"/>
      <c r="AM967" s="76"/>
      <c r="AN967" s="77"/>
      <c r="AO967" s="77"/>
      <c r="AP967" s="76"/>
      <c r="AQ967" s="76"/>
      <c r="AR967" s="77"/>
      <c r="AS967" s="77"/>
      <c r="AT967" s="78">
        <v>0.5625</v>
      </c>
    </row>
    <row r="968" spans="1:46" ht="12.5" x14ac:dyDescent="0.25">
      <c r="A968" s="79">
        <v>44949.603406724535</v>
      </c>
      <c r="B968" s="80" t="s">
        <v>4</v>
      </c>
      <c r="C968" s="80" t="str">
        <f>INDEX(TBL_Name,MATCH(Table2[[#This Row],[Athlete Name]],listNames,0),2)</f>
        <v>Athlete 1</v>
      </c>
      <c r="D968" s="80" t="s">
        <v>130</v>
      </c>
      <c r="E968" s="80">
        <v>10</v>
      </c>
      <c r="F968" s="80">
        <v>10</v>
      </c>
      <c r="G968" s="80">
        <v>6</v>
      </c>
      <c r="H968" s="80" t="s">
        <v>73</v>
      </c>
      <c r="I968" s="80">
        <v>9</v>
      </c>
      <c r="J968" s="80"/>
      <c r="K968" s="80"/>
      <c r="L968" s="80"/>
      <c r="M968" s="1" t="s">
        <v>1367</v>
      </c>
      <c r="N968" s="1">
        <v>4</v>
      </c>
      <c r="O968" s="1">
        <v>3</v>
      </c>
      <c r="P968" s="13">
        <v>44949</v>
      </c>
      <c r="Q968" s="1" t="s">
        <v>133</v>
      </c>
      <c r="R968" s="1" t="s">
        <v>31</v>
      </c>
      <c r="S968" s="1">
        <v>1</v>
      </c>
      <c r="T968" s="1" t="s">
        <v>5</v>
      </c>
      <c r="U968" s="1" t="s">
        <v>5</v>
      </c>
      <c r="V968" s="76">
        <v>5.5</v>
      </c>
      <c r="W968" s="76">
        <v>4.5</v>
      </c>
      <c r="X968" s="77">
        <v>1</v>
      </c>
      <c r="Y968" s="77">
        <v>4</v>
      </c>
      <c r="Z968" s="76">
        <v>9</v>
      </c>
      <c r="AA968" s="76">
        <v>1</v>
      </c>
      <c r="AB968" s="77">
        <v>1</v>
      </c>
      <c r="AC968" s="77">
        <v>4</v>
      </c>
      <c r="AD968" s="76">
        <v>6</v>
      </c>
      <c r="AE968" s="76">
        <v>0</v>
      </c>
      <c r="AF968" s="77">
        <v>0</v>
      </c>
      <c r="AG968" s="77">
        <v>3</v>
      </c>
      <c r="AH968" s="76">
        <v>6.5</v>
      </c>
      <c r="AI968" s="76">
        <v>2.5</v>
      </c>
      <c r="AJ968" s="77">
        <v>1</v>
      </c>
      <c r="AK968" s="77">
        <v>4</v>
      </c>
      <c r="AL968" s="76"/>
      <c r="AM968" s="76"/>
      <c r="AN968" s="77"/>
      <c r="AO968" s="77"/>
      <c r="AP968" s="76"/>
      <c r="AQ968" s="76"/>
      <c r="AR968" s="77"/>
      <c r="AS968" s="77"/>
      <c r="AT968" s="78">
        <v>0.9375</v>
      </c>
    </row>
    <row r="969" spans="1:46" ht="12.5" x14ac:dyDescent="0.25">
      <c r="A969" s="79">
        <v>44950.311178506949</v>
      </c>
      <c r="B969" s="80" t="s">
        <v>29</v>
      </c>
      <c r="C969" s="80" t="str">
        <f>INDEX(TBL_Name,MATCH(Table2[[#This Row],[Athlete Name]],listNames,0),2)</f>
        <v>Athlete 18</v>
      </c>
      <c r="D969" s="80" t="s">
        <v>130</v>
      </c>
      <c r="E969" s="80">
        <v>9</v>
      </c>
      <c r="F969" s="80">
        <v>10</v>
      </c>
      <c r="G969" s="80">
        <v>8</v>
      </c>
      <c r="H969" s="80" t="s">
        <v>226</v>
      </c>
      <c r="I969" s="80">
        <v>7</v>
      </c>
      <c r="J969" s="80"/>
      <c r="K969" s="80"/>
      <c r="L969" s="80"/>
      <c r="M969" s="1" t="s">
        <v>1368</v>
      </c>
      <c r="N969" s="1">
        <v>4</v>
      </c>
      <c r="O969" s="1">
        <v>3</v>
      </c>
      <c r="P969" s="13">
        <v>44950</v>
      </c>
      <c r="Q969" s="1" t="s">
        <v>133</v>
      </c>
      <c r="R969" s="1" t="s">
        <v>31</v>
      </c>
      <c r="S969" s="1">
        <v>1</v>
      </c>
      <c r="T969" s="1" t="s">
        <v>28</v>
      </c>
      <c r="U969" s="1" t="s">
        <v>28</v>
      </c>
      <c r="V969" s="76">
        <v>9.1666666666666661</v>
      </c>
      <c r="W969" s="76">
        <v>0.37267799624996506</v>
      </c>
      <c r="X969" s="77">
        <v>-0.44721359549995621</v>
      </c>
      <c r="Y969" s="77">
        <v>2</v>
      </c>
      <c r="Z969" s="76">
        <v>9.1666666666666661</v>
      </c>
      <c r="AA969" s="76">
        <v>0.89752746785575077</v>
      </c>
      <c r="AB969" s="77">
        <v>0.92847669088525986</v>
      </c>
      <c r="AC969" s="77">
        <v>3</v>
      </c>
      <c r="AD969" s="76">
        <v>7.833333333333333</v>
      </c>
      <c r="AE969" s="76">
        <v>0.68718427093627676</v>
      </c>
      <c r="AF969" s="77">
        <v>0.24253562503633341</v>
      </c>
      <c r="AG969" s="77">
        <v>3</v>
      </c>
      <c r="AH969" s="76">
        <v>7.5</v>
      </c>
      <c r="AI969" s="76">
        <v>1.2583057392117916</v>
      </c>
      <c r="AJ969" s="77">
        <v>-0.39735970711951318</v>
      </c>
      <c r="AK969" s="77">
        <v>2</v>
      </c>
      <c r="AL969" s="76"/>
      <c r="AM969" s="76"/>
      <c r="AN969" s="77"/>
      <c r="AO969" s="77"/>
      <c r="AP969" s="76"/>
      <c r="AQ969" s="76"/>
      <c r="AR969" s="77"/>
      <c r="AS969" s="77"/>
      <c r="AT969" s="78">
        <v>0.625</v>
      </c>
    </row>
    <row r="970" spans="1:46" ht="12.5" x14ac:dyDescent="0.25">
      <c r="A970" s="79">
        <v>44950.317187453707</v>
      </c>
      <c r="B970" s="80" t="s">
        <v>19</v>
      </c>
      <c r="C970" s="80" t="str">
        <f>INDEX(TBL_Name,MATCH(Table2[[#This Row],[Athlete Name]],listNames,0),2)</f>
        <v>Athlete 11</v>
      </c>
      <c r="D970" s="80" t="s">
        <v>130</v>
      </c>
      <c r="E970" s="80">
        <v>7</v>
      </c>
      <c r="F970" s="80">
        <v>8</v>
      </c>
      <c r="G970" s="80">
        <v>8</v>
      </c>
      <c r="H970" s="80" t="s">
        <v>1369</v>
      </c>
      <c r="I970" s="80">
        <v>5</v>
      </c>
      <c r="J970" s="80"/>
      <c r="K970" s="80"/>
      <c r="L970" s="80"/>
      <c r="M970" s="1" t="s">
        <v>1370</v>
      </c>
      <c r="N970" s="1">
        <v>4</v>
      </c>
      <c r="O970" s="1">
        <v>3</v>
      </c>
      <c r="P970" s="13">
        <v>44950</v>
      </c>
      <c r="Q970" s="1" t="s">
        <v>133</v>
      </c>
      <c r="R970" s="1" t="s">
        <v>31</v>
      </c>
      <c r="S970" s="1">
        <v>1</v>
      </c>
      <c r="T970" s="1" t="s">
        <v>18</v>
      </c>
      <c r="U970" s="1" t="s">
        <v>18</v>
      </c>
      <c r="V970" s="76">
        <v>7.4</v>
      </c>
      <c r="W970" s="76">
        <v>0.48989794855663577</v>
      </c>
      <c r="X970" s="77">
        <v>-0.81649658092772648</v>
      </c>
      <c r="Y970" s="77">
        <v>2</v>
      </c>
      <c r="Z970" s="76">
        <v>8</v>
      </c>
      <c r="AA970" s="76">
        <v>0</v>
      </c>
      <c r="AB970" s="77">
        <v>0</v>
      </c>
      <c r="AC970" s="77">
        <v>3</v>
      </c>
      <c r="AD970" s="76">
        <v>8</v>
      </c>
      <c r="AE970" s="76">
        <v>0</v>
      </c>
      <c r="AF970" s="77">
        <v>0</v>
      </c>
      <c r="AG970" s="77">
        <v>3</v>
      </c>
      <c r="AH970" s="76">
        <v>5.4</v>
      </c>
      <c r="AI970" s="76">
        <v>0.8</v>
      </c>
      <c r="AJ970" s="77">
        <v>-0.50000000000000044</v>
      </c>
      <c r="AK970" s="77">
        <v>2</v>
      </c>
      <c r="AL970" s="76"/>
      <c r="AM970" s="76"/>
      <c r="AN970" s="77"/>
      <c r="AO970" s="77"/>
      <c r="AP970" s="76"/>
      <c r="AQ970" s="76"/>
      <c r="AR970" s="77"/>
      <c r="AS970" s="77"/>
      <c r="AT970" s="78">
        <v>0.625</v>
      </c>
    </row>
    <row r="971" spans="1:46" ht="12.5" x14ac:dyDescent="0.25">
      <c r="A971" s="79">
        <v>44950.363497962964</v>
      </c>
      <c r="B971" s="80" t="s">
        <v>13</v>
      </c>
      <c r="C971" s="80" t="str">
        <f>INDEX(TBL_Name,MATCH(Table2[[#This Row],[Athlete Name]],listNames,0),2)</f>
        <v>Athlete 7</v>
      </c>
      <c r="D971" s="80" t="s">
        <v>130</v>
      </c>
      <c r="E971" s="80">
        <v>10</v>
      </c>
      <c r="F971" s="80">
        <v>6</v>
      </c>
      <c r="G971" s="80">
        <v>7</v>
      </c>
      <c r="H971" s="80"/>
      <c r="I971" s="80">
        <v>10</v>
      </c>
      <c r="J971" s="80"/>
      <c r="K971" s="80"/>
      <c r="L971" s="80"/>
      <c r="M971" s="1" t="s">
        <v>1371</v>
      </c>
      <c r="N971" s="1">
        <v>4</v>
      </c>
      <c r="O971" s="1">
        <v>3</v>
      </c>
      <c r="P971" s="13">
        <v>44950</v>
      </c>
      <c r="Q971" s="1" t="s">
        <v>133</v>
      </c>
      <c r="R971" s="1" t="s">
        <v>31</v>
      </c>
      <c r="S971" s="1">
        <v>1</v>
      </c>
      <c r="T971" s="1" t="s">
        <v>14</v>
      </c>
      <c r="U971" s="1" t="s">
        <v>14</v>
      </c>
      <c r="V971" s="76">
        <v>9.4</v>
      </c>
      <c r="W971" s="76">
        <v>0.48989794855663565</v>
      </c>
      <c r="X971" s="77">
        <v>1.2247448713915883</v>
      </c>
      <c r="Y971" s="77">
        <v>4</v>
      </c>
      <c r="Z971" s="76">
        <v>7.6</v>
      </c>
      <c r="AA971" s="76">
        <v>1.2</v>
      </c>
      <c r="AB971" s="77">
        <v>-1.333333333333333</v>
      </c>
      <c r="AC971" s="77">
        <v>1</v>
      </c>
      <c r="AD971" s="76">
        <v>8</v>
      </c>
      <c r="AE971" s="76">
        <v>1.0954451150103321</v>
      </c>
      <c r="AF971" s="77">
        <v>-0.9128709291752769</v>
      </c>
      <c r="AG971" s="77">
        <v>2</v>
      </c>
      <c r="AH971" s="76">
        <v>6.2</v>
      </c>
      <c r="AI971" s="76">
        <v>2.7129319932501073</v>
      </c>
      <c r="AJ971" s="77">
        <v>1.4006985834715227</v>
      </c>
      <c r="AK971" s="77">
        <v>4</v>
      </c>
      <c r="AL971" s="76"/>
      <c r="AM971" s="76"/>
      <c r="AN971" s="77"/>
      <c r="AO971" s="77"/>
      <c r="AP971" s="76"/>
      <c r="AQ971" s="76"/>
      <c r="AR971" s="77"/>
      <c r="AS971" s="77"/>
      <c r="AT971" s="78">
        <v>0.6875</v>
      </c>
    </row>
    <row r="972" spans="1:46" ht="12.5" x14ac:dyDescent="0.25">
      <c r="A972" s="79">
        <v>44950.364843298608</v>
      </c>
      <c r="B972" s="80" t="s">
        <v>15</v>
      </c>
      <c r="C972" s="80" t="str">
        <f>INDEX(TBL_Name,MATCH(Table2[[#This Row],[Athlete Name]],listNames,0),2)</f>
        <v>Athlete 8</v>
      </c>
      <c r="D972" s="80" t="s">
        <v>130</v>
      </c>
      <c r="E972" s="80">
        <v>10</v>
      </c>
      <c r="F972" s="80">
        <v>7</v>
      </c>
      <c r="G972" s="80">
        <v>7</v>
      </c>
      <c r="H972" s="80" t="s">
        <v>1372</v>
      </c>
      <c r="I972" s="80">
        <v>7</v>
      </c>
      <c r="J972" s="80"/>
      <c r="K972" s="80"/>
      <c r="L972" s="80"/>
      <c r="M972" s="1" t="s">
        <v>1373</v>
      </c>
      <c r="N972" s="1">
        <v>4</v>
      </c>
      <c r="O972" s="1">
        <v>3</v>
      </c>
      <c r="P972" s="13">
        <v>44950</v>
      </c>
      <c r="Q972" s="1" t="s">
        <v>133</v>
      </c>
      <c r="R972" s="1" t="s">
        <v>31</v>
      </c>
      <c r="S972" s="1">
        <v>1</v>
      </c>
      <c r="T972" s="1" t="s">
        <v>14</v>
      </c>
      <c r="U972" s="1" t="s">
        <v>14</v>
      </c>
      <c r="V972" s="76">
        <v>10</v>
      </c>
      <c r="W972" s="76">
        <v>0</v>
      </c>
      <c r="X972" s="77">
        <v>0</v>
      </c>
      <c r="Y972" s="77">
        <v>3</v>
      </c>
      <c r="Z972" s="76">
        <v>6.666666666666667</v>
      </c>
      <c r="AA972" s="76">
        <v>1.247219128924647</v>
      </c>
      <c r="AB972" s="77">
        <v>0.26726124191242417</v>
      </c>
      <c r="AC972" s="77">
        <v>3</v>
      </c>
      <c r="AD972" s="76">
        <v>6.333333333333333</v>
      </c>
      <c r="AE972" s="76">
        <v>0.94280904158206336</v>
      </c>
      <c r="AF972" s="77">
        <v>0.70710678118654779</v>
      </c>
      <c r="AG972" s="77">
        <v>3</v>
      </c>
      <c r="AH972" s="76">
        <v>7.333333333333333</v>
      </c>
      <c r="AI972" s="76">
        <v>2.0548046676563256</v>
      </c>
      <c r="AJ972" s="77">
        <v>-0.16222142113076238</v>
      </c>
      <c r="AK972" s="77">
        <v>2</v>
      </c>
      <c r="AL972" s="76"/>
      <c r="AM972" s="76"/>
      <c r="AN972" s="77"/>
      <c r="AO972" s="77"/>
      <c r="AP972" s="76"/>
      <c r="AQ972" s="76"/>
      <c r="AR972" s="77"/>
      <c r="AS972" s="77"/>
      <c r="AT972" s="78">
        <v>0.6875</v>
      </c>
    </row>
    <row r="973" spans="1:46" ht="12.5" x14ac:dyDescent="0.25">
      <c r="A973" s="79">
        <v>44950.369501111112</v>
      </c>
      <c r="B973" s="80" t="s">
        <v>21</v>
      </c>
      <c r="C973" s="80" t="str">
        <f>INDEX(TBL_Name,MATCH(Table2[[#This Row],[Athlete Name]],listNames,0),2)</f>
        <v>Athlete 13</v>
      </c>
      <c r="D973" s="80" t="s">
        <v>143</v>
      </c>
      <c r="E973" s="80">
        <v>7</v>
      </c>
      <c r="F973" s="80">
        <v>8</v>
      </c>
      <c r="G973" s="80">
        <v>8</v>
      </c>
      <c r="H973" s="80" t="s">
        <v>977</v>
      </c>
      <c r="I973" s="80">
        <v>6</v>
      </c>
      <c r="J973" s="80"/>
      <c r="K973" s="80"/>
      <c r="L973" s="80"/>
      <c r="M973" s="1" t="s">
        <v>1374</v>
      </c>
      <c r="N973" s="1">
        <v>4</v>
      </c>
      <c r="O973" s="1">
        <v>3</v>
      </c>
      <c r="P973" s="13">
        <v>44950</v>
      </c>
      <c r="Q973" s="1" t="s">
        <v>133</v>
      </c>
      <c r="R973" s="1" t="s">
        <v>31</v>
      </c>
      <c r="S973" s="1">
        <v>2</v>
      </c>
      <c r="T973" s="1" t="s">
        <v>18</v>
      </c>
      <c r="U973" s="1" t="s">
        <v>18</v>
      </c>
      <c r="V973" s="76">
        <v>7.2857142857142856</v>
      </c>
      <c r="W973" s="76">
        <v>0.69985421222376498</v>
      </c>
      <c r="X973" s="77">
        <v>-0.40824829046386296</v>
      </c>
      <c r="Y973" s="77">
        <v>2</v>
      </c>
      <c r="Z973" s="76">
        <v>7.8571428571428568</v>
      </c>
      <c r="AA973" s="76">
        <v>0.9897433186107869</v>
      </c>
      <c r="AB973" s="77">
        <v>0.14433756729740685</v>
      </c>
      <c r="AC973" s="77">
        <v>3</v>
      </c>
      <c r="AD973" s="76">
        <v>8.2857142857142865</v>
      </c>
      <c r="AE973" s="76">
        <v>0.45175395145262565</v>
      </c>
      <c r="AF973" s="77">
        <v>-0.63245553203367755</v>
      </c>
      <c r="AG973" s="77">
        <v>2</v>
      </c>
      <c r="AH973" s="76">
        <v>5.2857142857142856</v>
      </c>
      <c r="AI973" s="76">
        <v>1.3850513878332369</v>
      </c>
      <c r="AJ973" s="77">
        <v>0.51571062312939675</v>
      </c>
      <c r="AK973" s="77">
        <v>3</v>
      </c>
      <c r="AL973" s="76"/>
      <c r="AM973" s="76"/>
      <c r="AN973" s="77"/>
      <c r="AO973" s="77"/>
      <c r="AP973" s="76"/>
      <c r="AQ973" s="76"/>
      <c r="AR973" s="77"/>
      <c r="AS973" s="77"/>
      <c r="AT973" s="78">
        <v>0.625</v>
      </c>
    </row>
    <row r="974" spans="1:46" ht="12.5" x14ac:dyDescent="0.25">
      <c r="A974" s="79">
        <v>44950.384050856483</v>
      </c>
      <c r="B974" s="80" t="s">
        <v>24</v>
      </c>
      <c r="C974" s="80" t="str">
        <f>INDEX(TBL_Name,MATCH(Table2[[#This Row],[Athlete Name]],listNames,0),2)</f>
        <v>Athlete 16</v>
      </c>
      <c r="D974" s="80" t="s">
        <v>130</v>
      </c>
      <c r="E974" s="80">
        <v>7</v>
      </c>
      <c r="F974" s="80">
        <v>7</v>
      </c>
      <c r="G974" s="80">
        <v>6</v>
      </c>
      <c r="H974" s="80" t="s">
        <v>1375</v>
      </c>
      <c r="I974" s="80">
        <v>6</v>
      </c>
      <c r="J974" s="80"/>
      <c r="K974" s="80"/>
      <c r="L974" s="80"/>
      <c r="M974" s="1" t="s">
        <v>1376</v>
      </c>
      <c r="N974" s="1">
        <v>4</v>
      </c>
      <c r="O974" s="1">
        <v>3</v>
      </c>
      <c r="P974" s="13">
        <v>44950</v>
      </c>
      <c r="Q974" s="1" t="s">
        <v>133</v>
      </c>
      <c r="R974" s="1" t="s">
        <v>31</v>
      </c>
      <c r="S974" s="1">
        <v>1</v>
      </c>
      <c r="T974" s="1" t="s">
        <v>18</v>
      </c>
      <c r="U974" s="1" t="s">
        <v>18</v>
      </c>
      <c r="V974" s="76">
        <v>6.8</v>
      </c>
      <c r="W974" s="76">
        <v>0.74833147735478822</v>
      </c>
      <c r="X974" s="77">
        <v>0.26726124191242462</v>
      </c>
      <c r="Y974" s="77">
        <v>3</v>
      </c>
      <c r="Z974" s="76">
        <v>6.2</v>
      </c>
      <c r="AA974" s="76">
        <v>1.6</v>
      </c>
      <c r="AB974" s="77">
        <v>0.49999999999999989</v>
      </c>
      <c r="AC974" s="77">
        <v>3</v>
      </c>
      <c r="AD974" s="76">
        <v>5.4</v>
      </c>
      <c r="AE974" s="76">
        <v>0.48989794855663554</v>
      </c>
      <c r="AF974" s="77">
        <v>1.2247448713915885</v>
      </c>
      <c r="AG974" s="77">
        <v>4</v>
      </c>
      <c r="AH974" s="76">
        <v>6.4</v>
      </c>
      <c r="AI974" s="76">
        <v>1.3564659966250536</v>
      </c>
      <c r="AJ974" s="77">
        <v>-0.29488391230979455</v>
      </c>
      <c r="AK974" s="77">
        <v>2</v>
      </c>
      <c r="AL974" s="76"/>
      <c r="AM974" s="76"/>
      <c r="AN974" s="77"/>
      <c r="AO974" s="77"/>
      <c r="AP974" s="76"/>
      <c r="AQ974" s="76"/>
      <c r="AR974" s="77"/>
      <c r="AS974" s="77"/>
      <c r="AT974" s="78">
        <v>0.75</v>
      </c>
    </row>
    <row r="975" spans="1:46" ht="12.5" x14ac:dyDescent="0.25">
      <c r="A975" s="79">
        <v>44950.395340115741</v>
      </c>
      <c r="B975" s="80" t="s">
        <v>10</v>
      </c>
      <c r="C975" s="80" t="str">
        <f>INDEX(TBL_Name,MATCH(Table2[[#This Row],[Athlete Name]],listNames,0),2)</f>
        <v>Athlete 5</v>
      </c>
      <c r="D975" s="80" t="s">
        <v>130</v>
      </c>
      <c r="E975" s="80">
        <v>7</v>
      </c>
      <c r="F975" s="80">
        <v>8</v>
      </c>
      <c r="G975" s="80">
        <v>8</v>
      </c>
      <c r="H975" s="80" t="s">
        <v>73</v>
      </c>
      <c r="I975" s="80">
        <v>7</v>
      </c>
      <c r="J975" s="80"/>
      <c r="K975" s="80"/>
      <c r="L975" s="80"/>
      <c r="M975" s="1" t="s">
        <v>1377</v>
      </c>
      <c r="N975" s="1">
        <v>4</v>
      </c>
      <c r="O975" s="1">
        <v>3</v>
      </c>
      <c r="P975" s="13">
        <v>44950</v>
      </c>
      <c r="Q975" s="1" t="s">
        <v>133</v>
      </c>
      <c r="R975" s="1" t="s">
        <v>31</v>
      </c>
      <c r="S975" s="1">
        <v>1</v>
      </c>
      <c r="T975" s="1" t="s">
        <v>11</v>
      </c>
      <c r="U975" s="1" t="s">
        <v>11</v>
      </c>
      <c r="V975" s="76">
        <v>8.5</v>
      </c>
      <c r="W975" s="76">
        <v>0.76376261582597349</v>
      </c>
      <c r="X975" s="77">
        <v>-1.963961012123931</v>
      </c>
      <c r="Y975" s="77">
        <v>1</v>
      </c>
      <c r="Z975" s="76">
        <v>7.666666666666667</v>
      </c>
      <c r="AA975" s="76">
        <v>0.47140452079103179</v>
      </c>
      <c r="AB975" s="77">
        <v>0.70710678118654668</v>
      </c>
      <c r="AC975" s="77">
        <v>3</v>
      </c>
      <c r="AD975" s="76">
        <v>7.666666666666667</v>
      </c>
      <c r="AE975" s="76">
        <v>0.47140452079103179</v>
      </c>
      <c r="AF975" s="77">
        <v>0.70710678118654668</v>
      </c>
      <c r="AG975" s="77">
        <v>3</v>
      </c>
      <c r="AH975" s="76">
        <v>6.5</v>
      </c>
      <c r="AI975" s="76">
        <v>1.2583057392117916</v>
      </c>
      <c r="AJ975" s="77">
        <v>0.39735970711951318</v>
      </c>
      <c r="AK975" s="77">
        <v>3</v>
      </c>
      <c r="AL975" s="76"/>
      <c r="AM975" s="76"/>
      <c r="AN975" s="77"/>
      <c r="AO975" s="77"/>
      <c r="AP975" s="76"/>
      <c r="AQ975" s="76"/>
      <c r="AR975" s="77"/>
      <c r="AS975" s="77"/>
      <c r="AT975" s="78">
        <v>0.625</v>
      </c>
    </row>
    <row r="976" spans="1:46" ht="12.5" x14ac:dyDescent="0.25">
      <c r="A976" s="79">
        <v>44950.408740231476</v>
      </c>
      <c r="B976" s="80" t="s">
        <v>9</v>
      </c>
      <c r="C976" s="80" t="str">
        <f>INDEX(TBL_Name,MATCH(Table2[[#This Row],[Athlete Name]],listNames,0),2)</f>
        <v>Athlete 4</v>
      </c>
      <c r="D976" s="80" t="s">
        <v>130</v>
      </c>
      <c r="E976" s="80">
        <v>3</v>
      </c>
      <c r="F976" s="80">
        <v>8</v>
      </c>
      <c r="G976" s="80">
        <v>8</v>
      </c>
      <c r="H976" s="80" t="s">
        <v>1378</v>
      </c>
      <c r="I976" s="80">
        <v>4</v>
      </c>
      <c r="J976" s="80"/>
      <c r="K976" s="80"/>
      <c r="L976" s="80"/>
      <c r="M976" s="1" t="s">
        <v>1379</v>
      </c>
      <c r="N976" s="1">
        <v>4</v>
      </c>
      <c r="O976" s="1">
        <v>3</v>
      </c>
      <c r="P976" s="13">
        <v>44950</v>
      </c>
      <c r="Q976" s="1" t="s">
        <v>133</v>
      </c>
      <c r="R976" s="1" t="s">
        <v>31</v>
      </c>
      <c r="S976" s="1">
        <v>1</v>
      </c>
      <c r="T976" s="1" t="s">
        <v>8</v>
      </c>
      <c r="U976" s="1" t="s">
        <v>8</v>
      </c>
      <c r="V976" s="76">
        <v>3.6</v>
      </c>
      <c r="W976" s="76">
        <v>0.48989794855663565</v>
      </c>
      <c r="X976" s="77">
        <v>-1.2247448713915892</v>
      </c>
      <c r="Y976" s="77">
        <v>1</v>
      </c>
      <c r="Z976" s="76">
        <v>6.8</v>
      </c>
      <c r="AA976" s="76">
        <v>0.74833147735478833</v>
      </c>
      <c r="AB976" s="77">
        <v>1.6035674514745464</v>
      </c>
      <c r="AC976" s="77">
        <v>4</v>
      </c>
      <c r="AD976" s="76">
        <v>7.2</v>
      </c>
      <c r="AE976" s="76">
        <v>0.39999999999999997</v>
      </c>
      <c r="AF976" s="77">
        <v>1.9999999999999998</v>
      </c>
      <c r="AG976" s="77">
        <v>4</v>
      </c>
      <c r="AH976" s="76">
        <v>5.2</v>
      </c>
      <c r="AI976" s="76">
        <v>1.4696938456699069</v>
      </c>
      <c r="AJ976" s="77">
        <v>-0.81649658092772615</v>
      </c>
      <c r="AK976" s="77">
        <v>2</v>
      </c>
      <c r="AL976" s="76"/>
      <c r="AM976" s="76"/>
      <c r="AN976" s="77"/>
      <c r="AO976" s="77"/>
      <c r="AP976" s="76"/>
      <c r="AQ976" s="76"/>
      <c r="AR976" s="77"/>
      <c r="AS976" s="77"/>
      <c r="AT976" s="78">
        <v>0.6875</v>
      </c>
    </row>
    <row r="977" spans="1:46" ht="12.5" x14ac:dyDescent="0.25">
      <c r="A977" s="79">
        <v>44950.465404525465</v>
      </c>
      <c r="B977" s="80" t="s">
        <v>6</v>
      </c>
      <c r="C977" s="80" t="str">
        <f>INDEX(TBL_Name,MATCH(Table2[[#This Row],[Athlete Name]],listNames,0),2)</f>
        <v>Athlete 2</v>
      </c>
      <c r="D977" s="80" t="s">
        <v>130</v>
      </c>
      <c r="E977" s="80">
        <v>9</v>
      </c>
      <c r="F977" s="80">
        <v>9</v>
      </c>
      <c r="G977" s="80">
        <v>8</v>
      </c>
      <c r="H977" s="80" t="s">
        <v>71</v>
      </c>
      <c r="I977" s="80">
        <v>7</v>
      </c>
      <c r="J977" s="80"/>
      <c r="K977" s="80"/>
      <c r="L977" s="80"/>
      <c r="M977" s="1" t="s">
        <v>1380</v>
      </c>
      <c r="N977" s="1">
        <v>4</v>
      </c>
      <c r="O977" s="1">
        <v>3</v>
      </c>
      <c r="P977" s="13">
        <v>44950</v>
      </c>
      <c r="Q977" s="1" t="s">
        <v>133</v>
      </c>
      <c r="R977" s="1" t="s">
        <v>31</v>
      </c>
      <c r="S977" s="1">
        <v>1</v>
      </c>
      <c r="T977" s="1" t="s">
        <v>5</v>
      </c>
      <c r="U977" s="1" t="s">
        <v>5</v>
      </c>
      <c r="V977" s="76">
        <v>8.6666666666666661</v>
      </c>
      <c r="W977" s="76">
        <v>0.94280904158206325</v>
      </c>
      <c r="X977" s="77">
        <v>0.35355339059327445</v>
      </c>
      <c r="Y977" s="77">
        <v>3</v>
      </c>
      <c r="Z977" s="76">
        <v>6.5</v>
      </c>
      <c r="AA977" s="76">
        <v>2.0615528128088298</v>
      </c>
      <c r="AB977" s="77">
        <v>1.2126781251816652</v>
      </c>
      <c r="AC977" s="77">
        <v>4</v>
      </c>
      <c r="AD977" s="76">
        <v>6.833333333333333</v>
      </c>
      <c r="AE977" s="76">
        <v>1.4624940645653539</v>
      </c>
      <c r="AF977" s="77">
        <v>0.79772403521746571</v>
      </c>
      <c r="AG977" s="77">
        <v>3</v>
      </c>
      <c r="AH977" s="76">
        <v>7</v>
      </c>
      <c r="AI977" s="76">
        <v>0.99999999999999989</v>
      </c>
      <c r="AJ977" s="77">
        <v>0</v>
      </c>
      <c r="AK977" s="77">
        <v>3</v>
      </c>
      <c r="AL977" s="76"/>
      <c r="AM977" s="76"/>
      <c r="AN977" s="77"/>
      <c r="AO977" s="77"/>
      <c r="AP977" s="76"/>
      <c r="AQ977" s="76"/>
      <c r="AR977" s="77"/>
      <c r="AS977" s="77"/>
      <c r="AT977" s="78">
        <v>0.8125</v>
      </c>
    </row>
    <row r="978" spans="1:46" ht="12.5" x14ac:dyDescent="0.25">
      <c r="A978" s="79">
        <v>44950.469046631944</v>
      </c>
      <c r="B978" s="80" t="s">
        <v>17</v>
      </c>
      <c r="C978" s="80" t="str">
        <f>INDEX(TBL_Name,MATCH(Table2[[#This Row],[Athlete Name]],listNames,0),2)</f>
        <v>Athlete 10</v>
      </c>
      <c r="D978" s="80" t="s">
        <v>130</v>
      </c>
      <c r="E978" s="80">
        <v>7</v>
      </c>
      <c r="F978" s="80">
        <v>8</v>
      </c>
      <c r="G978" s="80">
        <v>8</v>
      </c>
      <c r="H978" s="80" t="s">
        <v>71</v>
      </c>
      <c r="I978" s="80">
        <v>7</v>
      </c>
      <c r="J978" s="80"/>
      <c r="K978" s="80"/>
      <c r="L978" s="80"/>
      <c r="M978" s="1" t="s">
        <v>1381</v>
      </c>
      <c r="N978" s="1">
        <v>4</v>
      </c>
      <c r="O978" s="1">
        <v>3</v>
      </c>
      <c r="P978" s="13">
        <v>44950</v>
      </c>
      <c r="Q978" s="1" t="s">
        <v>133</v>
      </c>
      <c r="R978" s="1" t="s">
        <v>31</v>
      </c>
      <c r="S978" s="1">
        <v>1</v>
      </c>
      <c r="T978" s="1" t="s">
        <v>18</v>
      </c>
      <c r="U978" s="1" t="s">
        <v>18</v>
      </c>
      <c r="V978" s="76">
        <v>6.8</v>
      </c>
      <c r="W978" s="76">
        <v>0.9797958971132712</v>
      </c>
      <c r="X978" s="77">
        <v>0.2041241452319317</v>
      </c>
      <c r="Y978" s="77">
        <v>3</v>
      </c>
      <c r="Z978" s="76">
        <v>7.2</v>
      </c>
      <c r="AA978" s="76">
        <v>0.39999999999999997</v>
      </c>
      <c r="AB978" s="77">
        <v>1.9999999999999998</v>
      </c>
      <c r="AC978" s="77">
        <v>4</v>
      </c>
      <c r="AD978" s="76">
        <v>7.4</v>
      </c>
      <c r="AE978" s="76">
        <v>1.019803902718557</v>
      </c>
      <c r="AF978" s="77">
        <v>0.58834840541455169</v>
      </c>
      <c r="AG978" s="77">
        <v>3</v>
      </c>
      <c r="AH978" s="76">
        <v>6.6</v>
      </c>
      <c r="AI978" s="76">
        <v>1.019803902718557</v>
      </c>
      <c r="AJ978" s="77">
        <v>0.39223227027636837</v>
      </c>
      <c r="AK978" s="77">
        <v>3</v>
      </c>
      <c r="AL978" s="76"/>
      <c r="AM978" s="76"/>
      <c r="AN978" s="77"/>
      <c r="AO978" s="77"/>
      <c r="AP978" s="76"/>
      <c r="AQ978" s="76"/>
      <c r="AR978" s="77"/>
      <c r="AS978" s="77"/>
      <c r="AT978" s="78">
        <v>0.8125</v>
      </c>
    </row>
    <row r="979" spans="1:46" ht="12.5" x14ac:dyDescent="0.25">
      <c r="A979" s="79">
        <v>44950.478159293983</v>
      </c>
      <c r="B979" s="80" t="s">
        <v>23</v>
      </c>
      <c r="C979" s="80" t="str">
        <f>INDEX(TBL_Name,MATCH(Table2[[#This Row],[Athlete Name]],listNames,0),2)</f>
        <v>Athlete 15</v>
      </c>
      <c r="D979" s="80" t="s">
        <v>143</v>
      </c>
      <c r="E979" s="80">
        <v>6</v>
      </c>
      <c r="F979" s="80">
        <v>6</v>
      </c>
      <c r="G979" s="80">
        <v>8</v>
      </c>
      <c r="H979" s="80" t="s">
        <v>1382</v>
      </c>
      <c r="I979" s="80">
        <v>6</v>
      </c>
      <c r="J979" s="80"/>
      <c r="K979" s="80"/>
      <c r="L979" s="80"/>
      <c r="M979" s="1" t="s">
        <v>1383</v>
      </c>
      <c r="N979" s="1">
        <v>4</v>
      </c>
      <c r="O979" s="1">
        <v>3</v>
      </c>
      <c r="P979" s="13">
        <v>44950</v>
      </c>
      <c r="Q979" s="1" t="s">
        <v>133</v>
      </c>
      <c r="R979" s="1" t="s">
        <v>31</v>
      </c>
      <c r="S979" s="1">
        <v>2</v>
      </c>
      <c r="T979" s="1" t="s">
        <v>18</v>
      </c>
      <c r="U979" s="1" t="s">
        <v>18</v>
      </c>
      <c r="V979" s="76">
        <v>6.666666666666667</v>
      </c>
      <c r="W979" s="76">
        <v>0.47140452079103179</v>
      </c>
      <c r="X979" s="77">
        <v>-1.4142135623730954</v>
      </c>
      <c r="Y979" s="77">
        <v>1</v>
      </c>
      <c r="Z979" s="76">
        <v>7</v>
      </c>
      <c r="AA979" s="76">
        <v>2.1602468994692869</v>
      </c>
      <c r="AB979" s="77">
        <v>-0.46291004988627571</v>
      </c>
      <c r="AC979" s="77">
        <v>2</v>
      </c>
      <c r="AD979" s="76">
        <v>7.666666666666667</v>
      </c>
      <c r="AE979" s="76">
        <v>1.247219128924647</v>
      </c>
      <c r="AF979" s="77">
        <v>0.26726124191242417</v>
      </c>
      <c r="AG979" s="77">
        <v>3</v>
      </c>
      <c r="AH979" s="76">
        <v>5.666666666666667</v>
      </c>
      <c r="AI979" s="76">
        <v>1.247219128924647</v>
      </c>
      <c r="AJ979" s="77">
        <v>0.26726124191242417</v>
      </c>
      <c r="AK979" s="77">
        <v>3</v>
      </c>
      <c r="AL979" s="76"/>
      <c r="AM979" s="76"/>
      <c r="AN979" s="77"/>
      <c r="AO979" s="77"/>
      <c r="AP979" s="76"/>
      <c r="AQ979" s="76"/>
      <c r="AR979" s="77"/>
      <c r="AS979" s="77"/>
      <c r="AT979" s="78">
        <v>0.5625</v>
      </c>
    </row>
    <row r="980" spans="1:46" ht="12.5" x14ac:dyDescent="0.25">
      <c r="A980" s="79">
        <v>44950.49030711806</v>
      </c>
      <c r="B980" s="80" t="s">
        <v>7</v>
      </c>
      <c r="C980" s="80" t="str">
        <f>INDEX(TBL_Name,MATCH(Table2[[#This Row],[Athlete Name]],listNames,0),2)</f>
        <v>Athlete 3</v>
      </c>
      <c r="D980" s="80" t="s">
        <v>130</v>
      </c>
      <c r="E980" s="80">
        <v>3</v>
      </c>
      <c r="F980" s="80">
        <v>7</v>
      </c>
      <c r="G980" s="80">
        <v>8</v>
      </c>
      <c r="H980" s="80" t="s">
        <v>68</v>
      </c>
      <c r="I980" s="80">
        <v>5</v>
      </c>
      <c r="J980" s="80"/>
      <c r="K980" s="80"/>
      <c r="L980" s="80"/>
      <c r="M980" s="1" t="s">
        <v>1384</v>
      </c>
      <c r="N980" s="1">
        <v>4</v>
      </c>
      <c r="O980" s="1">
        <v>3</v>
      </c>
      <c r="P980" s="13">
        <v>44950</v>
      </c>
      <c r="Q980" s="1" t="s">
        <v>133</v>
      </c>
      <c r="R980" s="1" t="s">
        <v>31</v>
      </c>
      <c r="S980" s="1">
        <v>1</v>
      </c>
      <c r="T980" s="1" t="s">
        <v>8</v>
      </c>
      <c r="U980" s="1" t="s">
        <v>8</v>
      </c>
      <c r="V980" s="76">
        <v>3.3333333333333335</v>
      </c>
      <c r="W980" s="76">
        <v>0.47140452079103168</v>
      </c>
      <c r="X980" s="77">
        <v>-0.70710678118654779</v>
      </c>
      <c r="Y980" s="77">
        <v>2</v>
      </c>
      <c r="Z980" s="76">
        <v>7.333333333333333</v>
      </c>
      <c r="AA980" s="76">
        <v>0.47140452079103162</v>
      </c>
      <c r="AB980" s="77">
        <v>-0.70710678118654702</v>
      </c>
      <c r="AC980" s="77">
        <v>2</v>
      </c>
      <c r="AD980" s="76">
        <v>7.666666666666667</v>
      </c>
      <c r="AE980" s="76">
        <v>0.47140452079103162</v>
      </c>
      <c r="AF980" s="77">
        <v>0.70710678118654702</v>
      </c>
      <c r="AG980" s="77">
        <v>3</v>
      </c>
      <c r="AH980" s="76">
        <v>4.333333333333333</v>
      </c>
      <c r="AI980" s="76">
        <v>0.47140452079103179</v>
      </c>
      <c r="AJ980" s="77">
        <v>1.4142135623730954</v>
      </c>
      <c r="AK980" s="77">
        <v>4</v>
      </c>
      <c r="AL980" s="76"/>
      <c r="AM980" s="76"/>
      <c r="AN980" s="77"/>
      <c r="AO980" s="77"/>
      <c r="AP980" s="76"/>
      <c r="AQ980" s="76"/>
      <c r="AR980" s="77"/>
      <c r="AS980" s="77"/>
      <c r="AT980" s="78">
        <v>0.6875</v>
      </c>
    </row>
    <row r="981" spans="1:46" ht="12.5" x14ac:dyDescent="0.25">
      <c r="A981" s="79">
        <v>44950.494769837962</v>
      </c>
      <c r="B981" s="80" t="s">
        <v>4</v>
      </c>
      <c r="C981" s="80" t="str">
        <f>INDEX(TBL_Name,MATCH(Table2[[#This Row],[Athlete Name]],listNames,0),2)</f>
        <v>Athlete 1</v>
      </c>
      <c r="D981" s="80" t="s">
        <v>130</v>
      </c>
      <c r="E981" s="80">
        <v>9</v>
      </c>
      <c r="F981" s="80">
        <v>10</v>
      </c>
      <c r="G981" s="80">
        <v>6</v>
      </c>
      <c r="H981" s="80"/>
      <c r="I981" s="80">
        <v>10</v>
      </c>
      <c r="J981" s="80"/>
      <c r="K981" s="80"/>
      <c r="L981" s="80"/>
      <c r="M981" s="1" t="s">
        <v>1385</v>
      </c>
      <c r="N981" s="1">
        <v>4</v>
      </c>
      <c r="O981" s="1">
        <v>3</v>
      </c>
      <c r="P981" s="13">
        <v>44950</v>
      </c>
      <c r="Q981" s="1" t="s">
        <v>133</v>
      </c>
      <c r="R981" s="1" t="s">
        <v>31</v>
      </c>
      <c r="S981" s="1">
        <v>1</v>
      </c>
      <c r="T981" s="1" t="s">
        <v>5</v>
      </c>
      <c r="U981" s="1" t="s">
        <v>5</v>
      </c>
      <c r="V981" s="76">
        <v>6.666666666666667</v>
      </c>
      <c r="W981" s="76">
        <v>4.0276819911981905</v>
      </c>
      <c r="X981" s="77">
        <v>0.57932412202165751</v>
      </c>
      <c r="Y981" s="77">
        <v>3</v>
      </c>
      <c r="Z981" s="76">
        <v>9.3333333333333339</v>
      </c>
      <c r="AA981" s="76">
        <v>0.94280904158206325</v>
      </c>
      <c r="AB981" s="77">
        <v>0.70710678118654702</v>
      </c>
      <c r="AC981" s="77">
        <v>3</v>
      </c>
      <c r="AD981" s="76">
        <v>6</v>
      </c>
      <c r="AE981" s="76">
        <v>0</v>
      </c>
      <c r="AF981" s="77">
        <v>0</v>
      </c>
      <c r="AG981" s="77">
        <v>3</v>
      </c>
      <c r="AH981" s="76">
        <v>7.666666666666667</v>
      </c>
      <c r="AI981" s="76">
        <v>2.6246692913372702</v>
      </c>
      <c r="AJ981" s="77">
        <v>0.88900088900133345</v>
      </c>
      <c r="AK981" s="77">
        <v>3</v>
      </c>
      <c r="AL981" s="76"/>
      <c r="AM981" s="76"/>
      <c r="AN981" s="77"/>
      <c r="AO981" s="77"/>
      <c r="AP981" s="76"/>
      <c r="AQ981" s="76"/>
      <c r="AR981" s="77"/>
      <c r="AS981" s="77"/>
      <c r="AT981" s="78">
        <v>0.75</v>
      </c>
    </row>
    <row r="982" spans="1:46" ht="12.5" x14ac:dyDescent="0.25">
      <c r="A982" s="79">
        <v>44951.29295181713</v>
      </c>
      <c r="B982" s="80" t="s">
        <v>29</v>
      </c>
      <c r="C982" s="80" t="str">
        <f>INDEX(TBL_Name,MATCH(Table2[[#This Row],[Athlete Name]],listNames,0),2)</f>
        <v>Athlete 18</v>
      </c>
      <c r="D982" s="80" t="s">
        <v>130</v>
      </c>
      <c r="E982" s="80">
        <v>10</v>
      </c>
      <c r="F982" s="80">
        <v>8</v>
      </c>
      <c r="G982" s="80">
        <v>8</v>
      </c>
      <c r="H982" s="80" t="s">
        <v>1386</v>
      </c>
      <c r="I982" s="80">
        <v>6</v>
      </c>
      <c r="J982" s="80"/>
      <c r="K982" s="80"/>
      <c r="L982" s="80"/>
      <c r="M982" s="1" t="s">
        <v>1387</v>
      </c>
      <c r="N982" s="1">
        <v>4</v>
      </c>
      <c r="O982" s="1">
        <v>3</v>
      </c>
      <c r="P982" s="13">
        <v>44951</v>
      </c>
      <c r="Q982" s="1" t="s">
        <v>133</v>
      </c>
      <c r="R982" s="1" t="s">
        <v>31</v>
      </c>
      <c r="S982" s="1">
        <v>1</v>
      </c>
      <c r="T982" s="1" t="s">
        <v>28</v>
      </c>
      <c r="U982" s="1" t="s">
        <v>28</v>
      </c>
      <c r="V982" s="76">
        <v>9.3333333333333339</v>
      </c>
      <c r="W982" s="76">
        <v>0.4714045207910319</v>
      </c>
      <c r="X982" s="77">
        <v>1.4142135623730931</v>
      </c>
      <c r="Y982" s="77">
        <v>4</v>
      </c>
      <c r="Z982" s="76">
        <v>8.8333333333333339</v>
      </c>
      <c r="AA982" s="76">
        <v>0.89752746785575055</v>
      </c>
      <c r="AB982" s="77">
        <v>-0.92847669088526008</v>
      </c>
      <c r="AC982" s="77">
        <v>2</v>
      </c>
      <c r="AD982" s="76">
        <v>7.666666666666667</v>
      </c>
      <c r="AE982" s="76">
        <v>0.4714045207910319</v>
      </c>
      <c r="AF982" s="77">
        <v>0.70710678118654657</v>
      </c>
      <c r="AG982" s="77">
        <v>3</v>
      </c>
      <c r="AH982" s="76">
        <v>7</v>
      </c>
      <c r="AI982" s="76">
        <v>1.1547005383792515</v>
      </c>
      <c r="AJ982" s="77">
        <v>-0.86602540378443871</v>
      </c>
      <c r="AK982" s="77">
        <v>2</v>
      </c>
      <c r="AL982" s="76"/>
      <c r="AM982" s="76"/>
      <c r="AN982" s="77"/>
      <c r="AO982" s="77"/>
      <c r="AP982" s="76"/>
      <c r="AQ982" s="76"/>
      <c r="AR982" s="77"/>
      <c r="AS982" s="77"/>
      <c r="AT982" s="78">
        <v>0.6875</v>
      </c>
    </row>
    <row r="983" spans="1:46" ht="12.5" x14ac:dyDescent="0.25">
      <c r="A983" s="79">
        <v>44951.314613668983</v>
      </c>
      <c r="B983" s="80" t="s">
        <v>27</v>
      </c>
      <c r="C983" s="80" t="str">
        <f>INDEX(TBL_Name,MATCH(Table2[[#This Row],[Athlete Name]],listNames,0),2)</f>
        <v>Athlete 17</v>
      </c>
      <c r="D983" s="80" t="s">
        <v>150</v>
      </c>
      <c r="E983" s="80">
        <v>4</v>
      </c>
      <c r="F983" s="80">
        <v>3</v>
      </c>
      <c r="G983" s="80">
        <v>4</v>
      </c>
      <c r="H983" s="80" t="s">
        <v>151</v>
      </c>
      <c r="I983" s="80">
        <v>5</v>
      </c>
      <c r="J983" s="80"/>
      <c r="K983" s="80"/>
      <c r="L983" s="80"/>
      <c r="M983" s="1" t="s">
        <v>1388</v>
      </c>
      <c r="N983" s="1">
        <v>4</v>
      </c>
      <c r="O983" s="1">
        <v>3</v>
      </c>
      <c r="P983" s="13">
        <v>44951</v>
      </c>
      <c r="Q983" s="1" t="s">
        <v>133</v>
      </c>
      <c r="R983" s="1" t="s">
        <v>31</v>
      </c>
      <c r="S983" s="1">
        <v>3</v>
      </c>
      <c r="T983" s="1" t="s">
        <v>28</v>
      </c>
      <c r="U983" s="1" t="s">
        <v>28</v>
      </c>
      <c r="V983" s="76">
        <v>4</v>
      </c>
      <c r="W983" s="76">
        <v>0</v>
      </c>
      <c r="X983" s="77">
        <v>0</v>
      </c>
      <c r="Y983" s="77">
        <v>3</v>
      </c>
      <c r="Z983" s="76">
        <v>4.333333333333333</v>
      </c>
      <c r="AA983" s="76">
        <v>1.8856180831641267</v>
      </c>
      <c r="AB983" s="77">
        <v>-0.70710678118654735</v>
      </c>
      <c r="AC983" s="77">
        <v>2</v>
      </c>
      <c r="AD983" s="76">
        <v>6</v>
      </c>
      <c r="AE983" s="76">
        <v>2.1602468994692869</v>
      </c>
      <c r="AF983" s="77">
        <v>-0.92582009977255142</v>
      </c>
      <c r="AG983" s="77">
        <v>2</v>
      </c>
      <c r="AH983" s="76">
        <v>5.333333333333333</v>
      </c>
      <c r="AI983" s="76">
        <v>1.247219128924647</v>
      </c>
      <c r="AJ983" s="77">
        <v>-0.26726124191242417</v>
      </c>
      <c r="AK983" s="77">
        <v>2</v>
      </c>
      <c r="AL983" s="76"/>
      <c r="AM983" s="76"/>
      <c r="AN983" s="77"/>
      <c r="AO983" s="77"/>
      <c r="AP983" s="76"/>
      <c r="AQ983" s="76"/>
      <c r="AR983" s="77"/>
      <c r="AS983" s="77"/>
      <c r="AT983" s="78">
        <v>0.5625</v>
      </c>
    </row>
    <row r="984" spans="1:46" ht="12.5" x14ac:dyDescent="0.25">
      <c r="A984" s="79">
        <v>44951.321403715279</v>
      </c>
      <c r="B984" s="80" t="s">
        <v>13</v>
      </c>
      <c r="C984" s="80" t="str">
        <f>INDEX(TBL_Name,MATCH(Table2[[#This Row],[Athlete Name]],listNames,0),2)</f>
        <v>Athlete 7</v>
      </c>
      <c r="D984" s="80" t="s">
        <v>130</v>
      </c>
      <c r="E984" s="80">
        <v>10</v>
      </c>
      <c r="F984" s="80">
        <v>4</v>
      </c>
      <c r="G984" s="80">
        <v>7</v>
      </c>
      <c r="H984" s="80" t="s">
        <v>1389</v>
      </c>
      <c r="I984" s="80">
        <v>7</v>
      </c>
      <c r="J984" s="80"/>
      <c r="K984" s="80"/>
      <c r="L984" s="80"/>
      <c r="M984" s="1" t="s">
        <v>1390</v>
      </c>
      <c r="N984" s="1">
        <v>4</v>
      </c>
      <c r="O984" s="1">
        <v>3</v>
      </c>
      <c r="P984" s="13">
        <v>44951</v>
      </c>
      <c r="Q984" s="1" t="s">
        <v>133</v>
      </c>
      <c r="R984" s="1" t="s">
        <v>31</v>
      </c>
      <c r="S984" s="1">
        <v>1</v>
      </c>
      <c r="T984" s="1" t="s">
        <v>14</v>
      </c>
      <c r="U984" s="1" t="s">
        <v>14</v>
      </c>
      <c r="V984" s="76">
        <v>9.4</v>
      </c>
      <c r="W984" s="76">
        <v>0.48989794855663554</v>
      </c>
      <c r="X984" s="77">
        <v>1.2247448713915885</v>
      </c>
      <c r="Y984" s="77">
        <v>4</v>
      </c>
      <c r="Z984" s="76">
        <v>7</v>
      </c>
      <c r="AA984" s="76">
        <v>1.8973665961010275</v>
      </c>
      <c r="AB984" s="77">
        <v>-1.5811388300841898</v>
      </c>
      <c r="AC984" s="77">
        <v>1</v>
      </c>
      <c r="AD984" s="76">
        <v>7.8</v>
      </c>
      <c r="AE984" s="76">
        <v>1.16619037896906</v>
      </c>
      <c r="AF984" s="77">
        <v>-0.68599434057003528</v>
      </c>
      <c r="AG984" s="77">
        <v>2</v>
      </c>
      <c r="AH984" s="76">
        <v>6.8</v>
      </c>
      <c r="AI984" s="76">
        <v>2.481934729198171</v>
      </c>
      <c r="AJ984" s="77">
        <v>8.0582296402538112E-2</v>
      </c>
      <c r="AK984" s="77">
        <v>3</v>
      </c>
      <c r="AL984" s="76"/>
      <c r="AM984" s="76"/>
      <c r="AN984" s="77"/>
      <c r="AO984" s="77"/>
      <c r="AP984" s="76"/>
      <c r="AQ984" s="76"/>
      <c r="AR984" s="77"/>
      <c r="AS984" s="77"/>
      <c r="AT984" s="78">
        <v>0.625</v>
      </c>
    </row>
    <row r="985" spans="1:46" ht="12.5" x14ac:dyDescent="0.25">
      <c r="A985" s="79">
        <v>44951.334798124997</v>
      </c>
      <c r="B985" s="80" t="s">
        <v>19</v>
      </c>
      <c r="C985" s="80" t="str">
        <f>INDEX(TBL_Name,MATCH(Table2[[#This Row],[Athlete Name]],listNames,0),2)</f>
        <v>Athlete 11</v>
      </c>
      <c r="D985" s="80" t="s">
        <v>130</v>
      </c>
      <c r="E985" s="80">
        <v>7</v>
      </c>
      <c r="F985" s="80">
        <v>8</v>
      </c>
      <c r="G985" s="80">
        <v>8</v>
      </c>
      <c r="H985" s="80" t="s">
        <v>1391</v>
      </c>
      <c r="I985" s="80">
        <v>3</v>
      </c>
      <c r="J985" s="80"/>
      <c r="K985" s="80"/>
      <c r="L985" s="80"/>
      <c r="M985" s="1" t="s">
        <v>1392</v>
      </c>
      <c r="N985" s="1">
        <v>4</v>
      </c>
      <c r="O985" s="1">
        <v>3</v>
      </c>
      <c r="P985" s="13">
        <v>44951</v>
      </c>
      <c r="Q985" s="1" t="s">
        <v>133</v>
      </c>
      <c r="R985" s="1" t="s">
        <v>31</v>
      </c>
      <c r="S985" s="1">
        <v>1</v>
      </c>
      <c r="T985" s="1" t="s">
        <v>18</v>
      </c>
      <c r="U985" s="1" t="s">
        <v>18</v>
      </c>
      <c r="V985" s="76">
        <v>7.2</v>
      </c>
      <c r="W985" s="76">
        <v>0.39999999999999997</v>
      </c>
      <c r="X985" s="77">
        <v>-0.50000000000000044</v>
      </c>
      <c r="Y985" s="77">
        <v>2</v>
      </c>
      <c r="Z985" s="76">
        <v>8</v>
      </c>
      <c r="AA985" s="76">
        <v>0</v>
      </c>
      <c r="AB985" s="77">
        <v>0</v>
      </c>
      <c r="AC985" s="77">
        <v>3</v>
      </c>
      <c r="AD985" s="76">
        <v>8</v>
      </c>
      <c r="AE985" s="76">
        <v>0</v>
      </c>
      <c r="AF985" s="77">
        <v>0</v>
      </c>
      <c r="AG985" s="77">
        <v>3</v>
      </c>
      <c r="AH985" s="76">
        <v>5</v>
      </c>
      <c r="AI985" s="76">
        <v>1.2649110640673518</v>
      </c>
      <c r="AJ985" s="77">
        <v>-1.5811388300841895</v>
      </c>
      <c r="AK985" s="77">
        <v>1</v>
      </c>
      <c r="AL985" s="76"/>
      <c r="AM985" s="76"/>
      <c r="AN985" s="77"/>
      <c r="AO985" s="77"/>
      <c r="AP985" s="76"/>
      <c r="AQ985" s="76"/>
      <c r="AR985" s="77"/>
      <c r="AS985" s="77"/>
      <c r="AT985" s="78">
        <v>0.5625</v>
      </c>
    </row>
    <row r="986" spans="1:46" ht="12.5" x14ac:dyDescent="0.25">
      <c r="A986" s="79">
        <v>44951.351585798606</v>
      </c>
      <c r="B986" s="80" t="s">
        <v>15</v>
      </c>
      <c r="C986" s="80" t="str">
        <f>INDEX(TBL_Name,MATCH(Table2[[#This Row],[Athlete Name]],listNames,0),2)</f>
        <v>Athlete 8</v>
      </c>
      <c r="D986" s="80" t="s">
        <v>130</v>
      </c>
      <c r="E986" s="80">
        <v>10</v>
      </c>
      <c r="F986" s="80">
        <v>7</v>
      </c>
      <c r="G986" s="80">
        <v>5</v>
      </c>
      <c r="H986" s="80" t="s">
        <v>175</v>
      </c>
      <c r="I986" s="80">
        <v>5</v>
      </c>
      <c r="J986" s="80"/>
      <c r="K986" s="80"/>
      <c r="L986" s="80"/>
      <c r="M986" s="1" t="s">
        <v>1393</v>
      </c>
      <c r="N986" s="1">
        <v>4</v>
      </c>
      <c r="O986" s="1">
        <v>3</v>
      </c>
      <c r="P986" s="13">
        <v>44951</v>
      </c>
      <c r="Q986" s="1" t="s">
        <v>133</v>
      </c>
      <c r="R986" s="1" t="s">
        <v>31</v>
      </c>
      <c r="S986" s="1">
        <v>1</v>
      </c>
      <c r="T986" s="1" t="s">
        <v>14</v>
      </c>
      <c r="U986" s="1" t="s">
        <v>14</v>
      </c>
      <c r="V986" s="76">
        <v>10</v>
      </c>
      <c r="W986" s="76">
        <v>0</v>
      </c>
      <c r="X986" s="77">
        <v>0</v>
      </c>
      <c r="Y986" s="77">
        <v>3</v>
      </c>
      <c r="Z986" s="76">
        <v>6.75</v>
      </c>
      <c r="AA986" s="76">
        <v>1.0897247358851683</v>
      </c>
      <c r="AB986" s="77">
        <v>0.2294157338705618</v>
      </c>
      <c r="AC986" s="77">
        <v>3</v>
      </c>
      <c r="AD986" s="76">
        <v>6</v>
      </c>
      <c r="AE986" s="76">
        <v>1</v>
      </c>
      <c r="AF986" s="77">
        <v>-1</v>
      </c>
      <c r="AG986" s="77">
        <v>1</v>
      </c>
      <c r="AH986" s="76">
        <v>6.75</v>
      </c>
      <c r="AI986" s="76">
        <v>2.0463381929681126</v>
      </c>
      <c r="AJ986" s="77">
        <v>-0.85518611049413651</v>
      </c>
      <c r="AK986" s="77">
        <v>2</v>
      </c>
      <c r="AL986" s="76"/>
      <c r="AM986" s="76"/>
      <c r="AN986" s="77"/>
      <c r="AO986" s="77"/>
      <c r="AP986" s="76"/>
      <c r="AQ986" s="76"/>
      <c r="AR986" s="77"/>
      <c r="AS986" s="77"/>
      <c r="AT986" s="78">
        <v>0.5625</v>
      </c>
    </row>
    <row r="987" spans="1:46" ht="12.5" x14ac:dyDescent="0.25">
      <c r="A987" s="79">
        <v>44951.378969189813</v>
      </c>
      <c r="B987" s="80" t="s">
        <v>17</v>
      </c>
      <c r="C987" s="80" t="str">
        <f>INDEX(TBL_Name,MATCH(Table2[[#This Row],[Athlete Name]],listNames,0),2)</f>
        <v>Athlete 10</v>
      </c>
      <c r="D987" s="80" t="s">
        <v>130</v>
      </c>
      <c r="E987" s="80">
        <v>4</v>
      </c>
      <c r="F987" s="80">
        <v>5</v>
      </c>
      <c r="G987" s="80">
        <v>5</v>
      </c>
      <c r="H987" s="80" t="s">
        <v>131</v>
      </c>
      <c r="I987" s="80">
        <v>6</v>
      </c>
      <c r="J987" s="80"/>
      <c r="K987" s="80"/>
      <c r="L987" s="80"/>
      <c r="M987" s="1" t="s">
        <v>1394</v>
      </c>
      <c r="N987" s="1">
        <v>4</v>
      </c>
      <c r="O987" s="1">
        <v>3</v>
      </c>
      <c r="P987" s="13">
        <v>44951</v>
      </c>
      <c r="Q987" s="1" t="s">
        <v>133</v>
      </c>
      <c r="R987" s="1" t="s">
        <v>31</v>
      </c>
      <c r="S987" s="1">
        <v>1</v>
      </c>
      <c r="T987" s="1" t="s">
        <v>18</v>
      </c>
      <c r="U987" s="1" t="s">
        <v>18</v>
      </c>
      <c r="V987" s="76">
        <v>6.2</v>
      </c>
      <c r="W987" s="76">
        <v>1.4696938456699069</v>
      </c>
      <c r="X987" s="77">
        <v>-1.4969103983674978</v>
      </c>
      <c r="Y987" s="77">
        <v>1</v>
      </c>
      <c r="Z987" s="76">
        <v>6.8</v>
      </c>
      <c r="AA987" s="76">
        <v>0.9797958971132712</v>
      </c>
      <c r="AB987" s="77">
        <v>-1.8371173070873834</v>
      </c>
      <c r="AC987" s="77">
        <v>1</v>
      </c>
      <c r="AD987" s="76">
        <v>7</v>
      </c>
      <c r="AE987" s="76">
        <v>1.4142135623730951</v>
      </c>
      <c r="AF987" s="77">
        <v>-1.4142135623730949</v>
      </c>
      <c r="AG987" s="77">
        <v>1</v>
      </c>
      <c r="AH987" s="76">
        <v>6.6</v>
      </c>
      <c r="AI987" s="76">
        <v>1.0198039027185568</v>
      </c>
      <c r="AJ987" s="77">
        <v>-0.5883484054145518</v>
      </c>
      <c r="AK987" s="77">
        <v>2</v>
      </c>
      <c r="AL987" s="76"/>
      <c r="AM987" s="76"/>
      <c r="AN987" s="77"/>
      <c r="AO987" s="77"/>
      <c r="AP987" s="76"/>
      <c r="AQ987" s="76"/>
      <c r="AR987" s="77"/>
      <c r="AS987" s="77"/>
      <c r="AT987" s="78">
        <v>0.3125</v>
      </c>
    </row>
    <row r="988" spans="1:46" ht="12.5" x14ac:dyDescent="0.25">
      <c r="A988" s="79">
        <v>44951.400872303246</v>
      </c>
      <c r="B988" s="80" t="s">
        <v>24</v>
      </c>
      <c r="C988" s="80" t="str">
        <f>INDEX(TBL_Name,MATCH(Table2[[#This Row],[Athlete Name]],listNames,0),2)</f>
        <v>Athlete 16</v>
      </c>
      <c r="D988" s="80" t="s">
        <v>130</v>
      </c>
      <c r="E988" s="80">
        <v>6</v>
      </c>
      <c r="F988" s="80">
        <v>5</v>
      </c>
      <c r="G988" s="80">
        <v>5</v>
      </c>
      <c r="H988" s="80" t="s">
        <v>1395</v>
      </c>
      <c r="I988" s="80">
        <v>3</v>
      </c>
      <c r="J988" s="80"/>
      <c r="K988" s="80"/>
      <c r="L988" s="80"/>
      <c r="M988" s="1" t="s">
        <v>1396</v>
      </c>
      <c r="N988" s="1">
        <v>4</v>
      </c>
      <c r="O988" s="1">
        <v>3</v>
      </c>
      <c r="P988" s="13">
        <v>44951</v>
      </c>
      <c r="Q988" s="1" t="s">
        <v>133</v>
      </c>
      <c r="R988" s="1" t="s">
        <v>31</v>
      </c>
      <c r="S988" s="1">
        <v>1</v>
      </c>
      <c r="T988" s="1" t="s">
        <v>18</v>
      </c>
      <c r="U988" s="1" t="s">
        <v>18</v>
      </c>
      <c r="V988" s="76">
        <v>6.4</v>
      </c>
      <c r="W988" s="76">
        <v>0.48989794855663565</v>
      </c>
      <c r="X988" s="77">
        <v>-0.8164965809277267</v>
      </c>
      <c r="Y988" s="77">
        <v>2</v>
      </c>
      <c r="Z988" s="76">
        <v>5.4</v>
      </c>
      <c r="AA988" s="76">
        <v>0.8</v>
      </c>
      <c r="AB988" s="77">
        <v>-0.50000000000000044</v>
      </c>
      <c r="AC988" s="77">
        <v>2</v>
      </c>
      <c r="AD988" s="76">
        <v>5.4</v>
      </c>
      <c r="AE988" s="76">
        <v>0.48989794855663577</v>
      </c>
      <c r="AF988" s="77">
        <v>-0.81649658092772648</v>
      </c>
      <c r="AG988" s="77">
        <v>2</v>
      </c>
      <c r="AH988" s="76">
        <v>6.2</v>
      </c>
      <c r="AI988" s="76">
        <v>1.7204650534085253</v>
      </c>
      <c r="AJ988" s="77">
        <v>-1.8599622199011088</v>
      </c>
      <c r="AK988" s="77">
        <v>1</v>
      </c>
      <c r="AL988" s="76"/>
      <c r="AM988" s="76"/>
      <c r="AN988" s="77"/>
      <c r="AO988" s="77"/>
      <c r="AP988" s="76"/>
      <c r="AQ988" s="76"/>
      <c r="AR988" s="77"/>
      <c r="AS988" s="77"/>
      <c r="AT988" s="78">
        <v>0.4375</v>
      </c>
    </row>
    <row r="989" spans="1:46" ht="12.5" x14ac:dyDescent="0.25">
      <c r="A989" s="79">
        <v>44951.403597777782</v>
      </c>
      <c r="B989" s="80" t="s">
        <v>21</v>
      </c>
      <c r="C989" s="80" t="str">
        <f>INDEX(TBL_Name,MATCH(Table2[[#This Row],[Athlete Name]],listNames,0),2)</f>
        <v>Athlete 13</v>
      </c>
      <c r="D989" s="80" t="s">
        <v>143</v>
      </c>
      <c r="E989" s="80">
        <v>7</v>
      </c>
      <c r="F989" s="80">
        <v>5</v>
      </c>
      <c r="G989" s="80">
        <v>7</v>
      </c>
      <c r="H989" s="80" t="s">
        <v>549</v>
      </c>
      <c r="I989" s="80">
        <v>6</v>
      </c>
      <c r="J989" s="80"/>
      <c r="K989" s="80"/>
      <c r="L989" s="80"/>
      <c r="M989" s="1" t="s">
        <v>1397</v>
      </c>
      <c r="N989" s="1">
        <v>4</v>
      </c>
      <c r="O989" s="1">
        <v>3</v>
      </c>
      <c r="P989" s="13">
        <v>44951</v>
      </c>
      <c r="Q989" s="1" t="s">
        <v>133</v>
      </c>
      <c r="R989" s="1" t="s">
        <v>31</v>
      </c>
      <c r="S989" s="1">
        <v>2</v>
      </c>
      <c r="T989" s="1" t="s">
        <v>18</v>
      </c>
      <c r="U989" s="1" t="s">
        <v>18</v>
      </c>
      <c r="V989" s="76">
        <v>7.2857142857142856</v>
      </c>
      <c r="W989" s="76">
        <v>0.69985421222376532</v>
      </c>
      <c r="X989" s="77">
        <v>-0.40824829046386274</v>
      </c>
      <c r="Y989" s="77">
        <v>2</v>
      </c>
      <c r="Z989" s="76">
        <v>7.5714285714285712</v>
      </c>
      <c r="AA989" s="76">
        <v>1.3997084244475302</v>
      </c>
      <c r="AB989" s="77">
        <v>-1.8371173070873836</v>
      </c>
      <c r="AC989" s="77">
        <v>1</v>
      </c>
      <c r="AD989" s="76">
        <v>8.1428571428571423</v>
      </c>
      <c r="AE989" s="76">
        <v>0.63887656499994028</v>
      </c>
      <c r="AF989" s="77">
        <v>-1.7888543819998299</v>
      </c>
      <c r="AG989" s="77">
        <v>1</v>
      </c>
      <c r="AH989" s="76">
        <v>5.4285714285714288</v>
      </c>
      <c r="AI989" s="76">
        <v>1.3997084244475304</v>
      </c>
      <c r="AJ989" s="77">
        <v>0.4082482904638628</v>
      </c>
      <c r="AK989" s="77">
        <v>3</v>
      </c>
      <c r="AL989" s="76"/>
      <c r="AM989" s="76"/>
      <c r="AN989" s="77"/>
      <c r="AO989" s="77"/>
      <c r="AP989" s="76"/>
      <c r="AQ989" s="76"/>
      <c r="AR989" s="77"/>
      <c r="AS989" s="77"/>
      <c r="AT989" s="78">
        <v>0.4375</v>
      </c>
    </row>
    <row r="990" spans="1:46" ht="12.5" x14ac:dyDescent="0.25">
      <c r="A990" s="79">
        <v>44951.40502273148</v>
      </c>
      <c r="B990" s="80" t="s">
        <v>6</v>
      </c>
      <c r="C990" s="80" t="str">
        <f>INDEX(TBL_Name,MATCH(Table2[[#This Row],[Athlete Name]],listNames,0),2)</f>
        <v>Athlete 2</v>
      </c>
      <c r="D990" s="80" t="s">
        <v>130</v>
      </c>
      <c r="E990" s="80">
        <v>9</v>
      </c>
      <c r="F990" s="80">
        <v>8</v>
      </c>
      <c r="G990" s="80">
        <v>8</v>
      </c>
      <c r="H990" s="80" t="s">
        <v>231</v>
      </c>
      <c r="I990" s="80">
        <v>8</v>
      </c>
      <c r="J990" s="80"/>
      <c r="K990" s="80"/>
      <c r="L990" s="80"/>
      <c r="M990" s="1" t="s">
        <v>1398</v>
      </c>
      <c r="N990" s="1">
        <v>4</v>
      </c>
      <c r="O990" s="1">
        <v>3</v>
      </c>
      <c r="P990" s="13">
        <v>44951</v>
      </c>
      <c r="Q990" s="1" t="s">
        <v>133</v>
      </c>
      <c r="R990" s="1" t="s">
        <v>31</v>
      </c>
      <c r="S990" s="1">
        <v>1</v>
      </c>
      <c r="T990" s="1" t="s">
        <v>5</v>
      </c>
      <c r="U990" s="1" t="s">
        <v>5</v>
      </c>
      <c r="V990" s="76">
        <v>9</v>
      </c>
      <c r="W990" s="76">
        <v>0.57735026918962573</v>
      </c>
      <c r="X990" s="77">
        <v>0</v>
      </c>
      <c r="Y990" s="77">
        <v>3</v>
      </c>
      <c r="Z990" s="76">
        <v>7.166666666666667</v>
      </c>
      <c r="AA990" s="76">
        <v>1.7716909687891083</v>
      </c>
      <c r="AB990" s="77">
        <v>0.47036043419179846</v>
      </c>
      <c r="AC990" s="77">
        <v>3</v>
      </c>
      <c r="AD990" s="76">
        <v>7.333333333333333</v>
      </c>
      <c r="AE990" s="76">
        <v>1.247219128924647</v>
      </c>
      <c r="AF990" s="77">
        <v>0.53452248382484902</v>
      </c>
      <c r="AG990" s="77">
        <v>3</v>
      </c>
      <c r="AH990" s="76">
        <v>7.5</v>
      </c>
      <c r="AI990" s="76">
        <v>0.5</v>
      </c>
      <c r="AJ990" s="77">
        <v>1</v>
      </c>
      <c r="AK990" s="77">
        <v>4</v>
      </c>
      <c r="AL990" s="76"/>
      <c r="AM990" s="76"/>
      <c r="AN990" s="77"/>
      <c r="AO990" s="77"/>
      <c r="AP990" s="76"/>
      <c r="AQ990" s="76"/>
      <c r="AR990" s="77"/>
      <c r="AS990" s="77"/>
      <c r="AT990" s="78">
        <v>0.8125</v>
      </c>
    </row>
    <row r="991" spans="1:46" ht="12.5" x14ac:dyDescent="0.25">
      <c r="A991" s="79">
        <v>44951.408011307867</v>
      </c>
      <c r="B991" s="80" t="s">
        <v>10</v>
      </c>
      <c r="C991" s="80" t="str">
        <f>INDEX(TBL_Name,MATCH(Table2[[#This Row],[Athlete Name]],listNames,0),2)</f>
        <v>Athlete 5</v>
      </c>
      <c r="D991" s="80" t="s">
        <v>130</v>
      </c>
      <c r="E991" s="80">
        <v>8</v>
      </c>
      <c r="F991" s="80">
        <v>8</v>
      </c>
      <c r="G991" s="80">
        <v>8</v>
      </c>
      <c r="H991" s="80" t="s">
        <v>71</v>
      </c>
      <c r="I991" s="80">
        <v>3</v>
      </c>
      <c r="J991" s="80"/>
      <c r="K991" s="80"/>
      <c r="L991" s="80"/>
      <c r="M991" s="1" t="s">
        <v>1399</v>
      </c>
      <c r="N991" s="1">
        <v>4</v>
      </c>
      <c r="O991" s="1">
        <v>3</v>
      </c>
      <c r="P991" s="13">
        <v>44951</v>
      </c>
      <c r="Q991" s="1" t="s">
        <v>133</v>
      </c>
      <c r="R991" s="1" t="s">
        <v>31</v>
      </c>
      <c r="S991" s="1">
        <v>1</v>
      </c>
      <c r="T991" s="1" t="s">
        <v>11</v>
      </c>
      <c r="U991" s="1" t="s">
        <v>11</v>
      </c>
      <c r="V991" s="76">
        <v>8.3333333333333339</v>
      </c>
      <c r="W991" s="76">
        <v>0.74535599249993001</v>
      </c>
      <c r="X991" s="77">
        <v>-0.44721359549995865</v>
      </c>
      <c r="Y991" s="77">
        <v>2</v>
      </c>
      <c r="Z991" s="76">
        <v>7.833333333333333</v>
      </c>
      <c r="AA991" s="76">
        <v>0.37267799624996489</v>
      </c>
      <c r="AB991" s="77">
        <v>0.44721359549995882</v>
      </c>
      <c r="AC991" s="77">
        <v>3</v>
      </c>
      <c r="AD991" s="76">
        <v>7.833333333333333</v>
      </c>
      <c r="AE991" s="76">
        <v>0.37267799624996489</v>
      </c>
      <c r="AF991" s="77">
        <v>0.44721359549995882</v>
      </c>
      <c r="AG991" s="77">
        <v>3</v>
      </c>
      <c r="AH991" s="76">
        <v>6</v>
      </c>
      <c r="AI991" s="76">
        <v>1.8257418583505538</v>
      </c>
      <c r="AJ991" s="77">
        <v>-1.6431676725154982</v>
      </c>
      <c r="AK991" s="77">
        <v>1</v>
      </c>
      <c r="AL991" s="76"/>
      <c r="AM991" s="76"/>
      <c r="AN991" s="77"/>
      <c r="AO991" s="77"/>
      <c r="AP991" s="76"/>
      <c r="AQ991" s="76"/>
      <c r="AR991" s="77"/>
      <c r="AS991" s="77"/>
      <c r="AT991" s="78">
        <v>0.5625</v>
      </c>
    </row>
    <row r="992" spans="1:46" ht="12.5" x14ac:dyDescent="0.25">
      <c r="A992" s="79">
        <v>44951.42767827546</v>
      </c>
      <c r="B992" s="80" t="s">
        <v>16</v>
      </c>
      <c r="C992" s="80" t="str">
        <f>INDEX(TBL_Name,MATCH(Table2[[#This Row],[Athlete Name]],listNames,0),2)</f>
        <v>Athlete 9</v>
      </c>
      <c r="D992" s="80" t="s">
        <v>130</v>
      </c>
      <c r="E992" s="80">
        <v>8</v>
      </c>
      <c r="F992" s="80">
        <v>7</v>
      </c>
      <c r="G992" s="80">
        <v>6</v>
      </c>
      <c r="H992" s="80" t="s">
        <v>1400</v>
      </c>
      <c r="I992" s="80">
        <v>5</v>
      </c>
      <c r="J992" s="80"/>
      <c r="K992" s="80"/>
      <c r="L992" s="80"/>
      <c r="M992" s="1" t="s">
        <v>1401</v>
      </c>
      <c r="N992" s="1">
        <v>4</v>
      </c>
      <c r="O992" s="1">
        <v>3</v>
      </c>
      <c r="P992" s="13">
        <v>44951</v>
      </c>
      <c r="Q992" s="1" t="s">
        <v>133</v>
      </c>
      <c r="R992" s="1" t="s">
        <v>31</v>
      </c>
      <c r="S992" s="1">
        <v>1</v>
      </c>
      <c r="T992" s="1" t="s">
        <v>14</v>
      </c>
      <c r="U992" s="1" t="s">
        <v>14</v>
      </c>
      <c r="V992" s="76">
        <v>7</v>
      </c>
      <c r="W992" s="76">
        <v>0.70710678118654746</v>
      </c>
      <c r="X992" s="77">
        <v>1.4142135623730951</v>
      </c>
      <c r="Y992" s="77">
        <v>4</v>
      </c>
      <c r="Z992" s="76">
        <v>6.5</v>
      </c>
      <c r="AA992" s="76">
        <v>0.5</v>
      </c>
      <c r="AB992" s="77">
        <v>1</v>
      </c>
      <c r="AC992" s="77">
        <v>4</v>
      </c>
      <c r="AD992" s="76">
        <v>6.75</v>
      </c>
      <c r="AE992" s="76">
        <v>0.4330127018922193</v>
      </c>
      <c r="AF992" s="77">
        <v>-1.7320508075688774</v>
      </c>
      <c r="AG992" s="77">
        <v>1</v>
      </c>
      <c r="AH992" s="76">
        <v>5.5</v>
      </c>
      <c r="AI992" s="76">
        <v>0.5</v>
      </c>
      <c r="AJ992" s="77">
        <v>-1</v>
      </c>
      <c r="AK992" s="77">
        <v>1</v>
      </c>
      <c r="AL992" s="76"/>
      <c r="AM992" s="76"/>
      <c r="AN992" s="77"/>
      <c r="AO992" s="77"/>
      <c r="AP992" s="76"/>
      <c r="AQ992" s="76"/>
      <c r="AR992" s="77"/>
      <c r="AS992" s="77"/>
      <c r="AT992" s="78">
        <v>0.625</v>
      </c>
    </row>
    <row r="993" spans="1:46" ht="12.5" x14ac:dyDescent="0.25">
      <c r="A993" s="79">
        <v>44951.454072800931</v>
      </c>
      <c r="B993" s="80" t="s">
        <v>9</v>
      </c>
      <c r="C993" s="80" t="str">
        <f>INDEX(TBL_Name,MATCH(Table2[[#This Row],[Athlete Name]],listNames,0),2)</f>
        <v>Athlete 4</v>
      </c>
      <c r="D993" s="80" t="s">
        <v>130</v>
      </c>
      <c r="E993" s="80">
        <v>2</v>
      </c>
      <c r="F993" s="80">
        <v>7</v>
      </c>
      <c r="G993" s="80">
        <v>7</v>
      </c>
      <c r="H993" s="80" t="s">
        <v>1402</v>
      </c>
      <c r="I993" s="80">
        <v>4</v>
      </c>
      <c r="J993" s="80"/>
      <c r="K993" s="80"/>
      <c r="L993" s="80"/>
      <c r="M993" s="1" t="s">
        <v>1403</v>
      </c>
      <c r="N993" s="1">
        <v>4</v>
      </c>
      <c r="O993" s="1">
        <v>3</v>
      </c>
      <c r="P993" s="13">
        <v>44951</v>
      </c>
      <c r="Q993" s="1" t="s">
        <v>133</v>
      </c>
      <c r="R993" s="1" t="s">
        <v>31</v>
      </c>
      <c r="S993" s="1">
        <v>1</v>
      </c>
      <c r="T993" s="1" t="s">
        <v>8</v>
      </c>
      <c r="U993" s="1" t="s">
        <v>8</v>
      </c>
      <c r="V993" s="76">
        <v>3.2</v>
      </c>
      <c r="W993" s="76">
        <v>0.74833147735478822</v>
      </c>
      <c r="X993" s="77">
        <v>-1.6035674514745466</v>
      </c>
      <c r="Y993" s="77">
        <v>1</v>
      </c>
      <c r="Z993" s="76">
        <v>7</v>
      </c>
      <c r="AA993" s="76">
        <v>0.63245553203367577</v>
      </c>
      <c r="AB993" s="77">
        <v>0</v>
      </c>
      <c r="AC993" s="77">
        <v>3</v>
      </c>
      <c r="AD993" s="76">
        <v>7.2</v>
      </c>
      <c r="AE993" s="76">
        <v>0.4</v>
      </c>
      <c r="AF993" s="77">
        <v>-0.50000000000000044</v>
      </c>
      <c r="AG993" s="77">
        <v>2</v>
      </c>
      <c r="AH993" s="76">
        <v>4.4000000000000004</v>
      </c>
      <c r="AI993" s="76">
        <v>0.48989794855663577</v>
      </c>
      <c r="AJ993" s="77">
        <v>-0.81649658092772648</v>
      </c>
      <c r="AK993" s="77">
        <v>2</v>
      </c>
      <c r="AL993" s="76"/>
      <c r="AM993" s="76"/>
      <c r="AN993" s="77"/>
      <c r="AO993" s="77"/>
      <c r="AP993" s="76"/>
      <c r="AQ993" s="76"/>
      <c r="AR993" s="77"/>
      <c r="AS993" s="77"/>
      <c r="AT993" s="78">
        <v>0.5</v>
      </c>
    </row>
    <row r="994" spans="1:46" ht="12.5" x14ac:dyDescent="0.25">
      <c r="A994" s="79">
        <v>44951.503795358796</v>
      </c>
      <c r="B994" s="80" t="s">
        <v>4</v>
      </c>
      <c r="C994" s="80" t="str">
        <f>INDEX(TBL_Name,MATCH(Table2[[#This Row],[Athlete Name]],listNames,0),2)</f>
        <v>Athlete 1</v>
      </c>
      <c r="D994" s="80" t="s">
        <v>130</v>
      </c>
      <c r="E994" s="80">
        <v>9</v>
      </c>
      <c r="F994" s="80">
        <v>9</v>
      </c>
      <c r="G994" s="80">
        <v>6</v>
      </c>
      <c r="H994" s="80"/>
      <c r="I994" s="80">
        <v>10</v>
      </c>
      <c r="J994" s="80"/>
      <c r="K994" s="80"/>
      <c r="L994" s="80"/>
      <c r="M994" s="1" t="s">
        <v>1404</v>
      </c>
      <c r="N994" s="1">
        <v>4</v>
      </c>
      <c r="O994" s="1">
        <v>3</v>
      </c>
      <c r="P994" s="13">
        <v>44951</v>
      </c>
      <c r="Q994" s="1" t="s">
        <v>133</v>
      </c>
      <c r="R994" s="1" t="s">
        <v>31</v>
      </c>
      <c r="S994" s="1">
        <v>1</v>
      </c>
      <c r="T994" s="1" t="s">
        <v>5</v>
      </c>
      <c r="U994" s="1" t="s">
        <v>5</v>
      </c>
      <c r="V994" s="76">
        <v>7.25</v>
      </c>
      <c r="W994" s="76">
        <v>3.6314597615834874</v>
      </c>
      <c r="X994" s="77">
        <v>0.48189987357505998</v>
      </c>
      <c r="Y994" s="77">
        <v>3</v>
      </c>
      <c r="Z994" s="76">
        <v>9.25</v>
      </c>
      <c r="AA994" s="76">
        <v>0.82915619758884984</v>
      </c>
      <c r="AB994" s="77">
        <v>-0.30151134457776368</v>
      </c>
      <c r="AC994" s="77">
        <v>2</v>
      </c>
      <c r="AD994" s="76">
        <v>6</v>
      </c>
      <c r="AE994" s="76">
        <v>0</v>
      </c>
      <c r="AF994" s="77">
        <v>0</v>
      </c>
      <c r="AG994" s="77">
        <v>3</v>
      </c>
      <c r="AH994" s="76">
        <v>8.25</v>
      </c>
      <c r="AI994" s="76">
        <v>2.4874685927665499</v>
      </c>
      <c r="AJ994" s="77">
        <v>0.70352647068144847</v>
      </c>
      <c r="AK994" s="77">
        <v>3</v>
      </c>
      <c r="AL994" s="76"/>
      <c r="AM994" s="76"/>
      <c r="AN994" s="77"/>
      <c r="AO994" s="77"/>
      <c r="AP994" s="76"/>
      <c r="AQ994" s="76"/>
      <c r="AR994" s="77"/>
      <c r="AS994" s="77"/>
      <c r="AT994" s="78">
        <v>0.6875</v>
      </c>
    </row>
    <row r="995" spans="1:46" ht="12.5" x14ac:dyDescent="0.25">
      <c r="A995" s="79">
        <v>44951.509314016206</v>
      </c>
      <c r="B995" s="80" t="s">
        <v>7</v>
      </c>
      <c r="C995" s="80" t="str">
        <f>INDEX(TBL_Name,MATCH(Table2[[#This Row],[Athlete Name]],listNames,0),2)</f>
        <v>Athlete 3</v>
      </c>
      <c r="D995" s="80" t="s">
        <v>130</v>
      </c>
      <c r="E995" s="80">
        <v>4</v>
      </c>
      <c r="F995" s="80">
        <v>4</v>
      </c>
      <c r="G995" s="80">
        <v>7</v>
      </c>
      <c r="H995" s="80" t="s">
        <v>68</v>
      </c>
      <c r="I995" s="80">
        <v>4</v>
      </c>
      <c r="J995" s="80"/>
      <c r="K995" s="80"/>
      <c r="L995" s="80"/>
      <c r="M995" s="1" t="s">
        <v>1405</v>
      </c>
      <c r="N995" s="1">
        <v>4</v>
      </c>
      <c r="O995" s="1">
        <v>3</v>
      </c>
      <c r="P995" s="13">
        <v>44951</v>
      </c>
      <c r="Q995" s="1" t="s">
        <v>133</v>
      </c>
      <c r="R995" s="1" t="s">
        <v>31</v>
      </c>
      <c r="S995" s="1">
        <v>1</v>
      </c>
      <c r="T995" s="1" t="s">
        <v>8</v>
      </c>
      <c r="U995" s="1" t="s">
        <v>8</v>
      </c>
      <c r="V995" s="76">
        <v>3.5</v>
      </c>
      <c r="W995" s="76">
        <v>0.5</v>
      </c>
      <c r="X995" s="77">
        <v>1</v>
      </c>
      <c r="Y995" s="77">
        <v>4</v>
      </c>
      <c r="Z995" s="76">
        <v>6.5</v>
      </c>
      <c r="AA995" s="76">
        <v>1.4999999999999998</v>
      </c>
      <c r="AB995" s="77">
        <v>-1.666666666666667</v>
      </c>
      <c r="AC995" s="77">
        <v>1</v>
      </c>
      <c r="AD995" s="76">
        <v>7.5</v>
      </c>
      <c r="AE995" s="76">
        <v>0.5</v>
      </c>
      <c r="AF995" s="77">
        <v>-1</v>
      </c>
      <c r="AG995" s="77">
        <v>1</v>
      </c>
      <c r="AH995" s="76">
        <v>4.25</v>
      </c>
      <c r="AI995" s="76">
        <v>0.43301270189221941</v>
      </c>
      <c r="AJ995" s="77">
        <v>-0.57735026918962562</v>
      </c>
      <c r="AK995" s="77">
        <v>2</v>
      </c>
      <c r="AL995" s="76"/>
      <c r="AM995" s="76"/>
      <c r="AN995" s="77"/>
      <c r="AO995" s="77"/>
      <c r="AP995" s="76"/>
      <c r="AQ995" s="76"/>
      <c r="AR995" s="77"/>
      <c r="AS995" s="77"/>
      <c r="AT995" s="78">
        <v>0.5</v>
      </c>
    </row>
    <row r="996" spans="1:46" ht="12.5" x14ac:dyDescent="0.25">
      <c r="A996" s="79">
        <v>44951.585955381946</v>
      </c>
      <c r="B996" s="80" t="s">
        <v>22</v>
      </c>
      <c r="C996" s="80" t="str">
        <f>INDEX(TBL_Name,MATCH(Table2[[#This Row],[Athlete Name]],listNames,0),2)</f>
        <v>Athlete 14</v>
      </c>
      <c r="D996" s="80" t="s">
        <v>130</v>
      </c>
      <c r="E996" s="80">
        <v>7</v>
      </c>
      <c r="F996" s="80">
        <v>5</v>
      </c>
      <c r="G996" s="80">
        <v>8</v>
      </c>
      <c r="H996" s="80" t="s">
        <v>1406</v>
      </c>
      <c r="I996" s="80">
        <v>4</v>
      </c>
      <c r="J996" s="80"/>
      <c r="K996" s="80"/>
      <c r="L996" s="80"/>
      <c r="M996" s="1" t="s">
        <v>1407</v>
      </c>
      <c r="N996" s="1">
        <v>4</v>
      </c>
      <c r="O996" s="1">
        <v>3</v>
      </c>
      <c r="P996" s="13">
        <v>44951</v>
      </c>
      <c r="Q996" s="1" t="s">
        <v>133</v>
      </c>
      <c r="R996" s="1" t="s">
        <v>31</v>
      </c>
      <c r="S996" s="1">
        <v>1</v>
      </c>
      <c r="T996" s="1" t="s">
        <v>18</v>
      </c>
      <c r="U996" s="1" t="s">
        <v>18</v>
      </c>
      <c r="V996" s="76">
        <v>7.25</v>
      </c>
      <c r="W996" s="76">
        <v>0.43301270189221924</v>
      </c>
      <c r="X996" s="77">
        <v>-0.57735026918962584</v>
      </c>
      <c r="Y996" s="77">
        <v>2</v>
      </c>
      <c r="Z996" s="76">
        <v>5</v>
      </c>
      <c r="AA996" s="76">
        <v>0.70710678118654757</v>
      </c>
      <c r="AB996" s="77">
        <v>0</v>
      </c>
      <c r="AC996" s="77">
        <v>3</v>
      </c>
      <c r="AD996" s="76">
        <v>7.5</v>
      </c>
      <c r="AE996" s="76">
        <v>0.5</v>
      </c>
      <c r="AF996" s="77">
        <v>1</v>
      </c>
      <c r="AG996" s="77">
        <v>4</v>
      </c>
      <c r="AH996" s="76">
        <v>6</v>
      </c>
      <c r="AI996" s="76">
        <v>1.5811388300841898</v>
      </c>
      <c r="AJ996" s="77">
        <v>-1.2649110640673518</v>
      </c>
      <c r="AK996" s="77">
        <v>1</v>
      </c>
      <c r="AL996" s="76"/>
      <c r="AM996" s="76"/>
      <c r="AN996" s="77"/>
      <c r="AO996" s="77"/>
      <c r="AP996" s="76"/>
      <c r="AQ996" s="76"/>
      <c r="AR996" s="77"/>
      <c r="AS996" s="77"/>
      <c r="AT996" s="78">
        <v>0.625</v>
      </c>
    </row>
    <row r="997" spans="1:46" ht="12.5" x14ac:dyDescent="0.25">
      <c r="A997" s="79">
        <v>44951.592845335646</v>
      </c>
      <c r="B997" s="80" t="s">
        <v>23</v>
      </c>
      <c r="C997" s="80" t="str">
        <f>INDEX(TBL_Name,MATCH(Table2[[#This Row],[Athlete Name]],listNames,0),2)</f>
        <v>Athlete 15</v>
      </c>
      <c r="D997" s="80" t="s">
        <v>143</v>
      </c>
      <c r="E997" s="80">
        <v>7</v>
      </c>
      <c r="F997" s="80">
        <v>6</v>
      </c>
      <c r="G997" s="80">
        <v>6</v>
      </c>
      <c r="H997" s="80" t="s">
        <v>1408</v>
      </c>
      <c r="I997" s="80">
        <v>8</v>
      </c>
      <c r="J997" s="80"/>
      <c r="K997" s="80"/>
      <c r="L997" s="80"/>
      <c r="M997" s="1" t="s">
        <v>1409</v>
      </c>
      <c r="N997" s="1">
        <v>4</v>
      </c>
      <c r="O997" s="1">
        <v>3</v>
      </c>
      <c r="P997" s="13">
        <v>44951</v>
      </c>
      <c r="Q997" s="1" t="s">
        <v>133</v>
      </c>
      <c r="R997" s="1" t="s">
        <v>31</v>
      </c>
      <c r="S997" s="1">
        <v>2</v>
      </c>
      <c r="T997" s="1" t="s">
        <v>18</v>
      </c>
      <c r="U997" s="1" t="s">
        <v>18</v>
      </c>
      <c r="V997" s="76">
        <v>6.75</v>
      </c>
      <c r="W997" s="76">
        <v>0.43301270189221941</v>
      </c>
      <c r="X997" s="77">
        <v>0.57735026918962562</v>
      </c>
      <c r="Y997" s="77">
        <v>3</v>
      </c>
      <c r="Z997" s="76">
        <v>6.75</v>
      </c>
      <c r="AA997" s="76">
        <v>1.920286436967152</v>
      </c>
      <c r="AB997" s="77">
        <v>-0.39056673294247163</v>
      </c>
      <c r="AC997" s="77">
        <v>2</v>
      </c>
      <c r="AD997" s="76">
        <v>7.25</v>
      </c>
      <c r="AE997" s="76">
        <v>1.299038105676658</v>
      </c>
      <c r="AF997" s="77">
        <v>-0.96225044864937626</v>
      </c>
      <c r="AG997" s="77">
        <v>2</v>
      </c>
      <c r="AH997" s="76">
        <v>6.25</v>
      </c>
      <c r="AI997" s="76">
        <v>1.479019945774904</v>
      </c>
      <c r="AJ997" s="77">
        <v>1.1832159566199232</v>
      </c>
      <c r="AK997" s="77">
        <v>4</v>
      </c>
      <c r="AL997" s="76"/>
      <c r="AM997" s="76"/>
      <c r="AN997" s="77"/>
      <c r="AO997" s="77"/>
      <c r="AP997" s="76"/>
      <c r="AQ997" s="76"/>
      <c r="AR997" s="77"/>
      <c r="AS997" s="77"/>
      <c r="AT997" s="78">
        <v>0.6875</v>
      </c>
    </row>
    <row r="998" spans="1:46" ht="12.5" x14ac:dyDescent="0.25">
      <c r="A998" s="79">
        <v>44951.59775508102</v>
      </c>
      <c r="B998" s="80" t="s">
        <v>20</v>
      </c>
      <c r="C998" s="80" t="str">
        <f>INDEX(TBL_Name,MATCH(Table2[[#This Row],[Athlete Name]],listNames,0),2)</f>
        <v>Athlete 12</v>
      </c>
      <c r="D998" s="80" t="s">
        <v>143</v>
      </c>
      <c r="E998" s="80">
        <v>9</v>
      </c>
      <c r="F998" s="80">
        <v>8</v>
      </c>
      <c r="G998" s="80">
        <v>9</v>
      </c>
      <c r="H998" s="80" t="s">
        <v>1410</v>
      </c>
      <c r="I998" s="80">
        <v>6</v>
      </c>
      <c r="J998" s="80"/>
      <c r="K998" s="80"/>
      <c r="L998" s="80"/>
      <c r="M998" s="1" t="s">
        <v>1411</v>
      </c>
      <c r="N998" s="1">
        <v>4</v>
      </c>
      <c r="O998" s="1">
        <v>3</v>
      </c>
      <c r="P998" s="13">
        <v>44951</v>
      </c>
      <c r="Q998" s="1" t="s">
        <v>133</v>
      </c>
      <c r="R998" s="1" t="s">
        <v>31</v>
      </c>
      <c r="S998" s="1">
        <v>2</v>
      </c>
      <c r="T998" s="1" t="s">
        <v>18</v>
      </c>
      <c r="U998" s="1" t="s">
        <v>18</v>
      </c>
      <c r="V998" s="76">
        <v>8.3333333333333339</v>
      </c>
      <c r="W998" s="76">
        <v>0.47140452079103146</v>
      </c>
      <c r="X998" s="77">
        <v>1.4142135623730945</v>
      </c>
      <c r="Y998" s="77">
        <v>4</v>
      </c>
      <c r="Z998" s="76">
        <v>8.3333333333333339</v>
      </c>
      <c r="AA998" s="76">
        <v>0.47140452079103179</v>
      </c>
      <c r="AB998" s="77">
        <v>-0.70710678118654857</v>
      </c>
      <c r="AC998" s="77">
        <v>2</v>
      </c>
      <c r="AD998" s="76">
        <v>8.3333333333333339</v>
      </c>
      <c r="AE998" s="76">
        <v>0.47140452079103146</v>
      </c>
      <c r="AF998" s="77">
        <v>1.4142135623730945</v>
      </c>
      <c r="AG998" s="77">
        <v>4</v>
      </c>
      <c r="AH998" s="76">
        <v>6.666666666666667</v>
      </c>
      <c r="AI998" s="76">
        <v>1.699673171197595</v>
      </c>
      <c r="AJ998" s="77">
        <v>-0.39223227027636826</v>
      </c>
      <c r="AK998" s="77">
        <v>2</v>
      </c>
      <c r="AL998" s="76"/>
      <c r="AM998" s="76"/>
      <c r="AN998" s="77"/>
      <c r="AO998" s="77"/>
      <c r="AP998" s="76"/>
      <c r="AQ998" s="76"/>
      <c r="AR998" s="77"/>
      <c r="AS998" s="77"/>
      <c r="AT998" s="78">
        <v>0.75</v>
      </c>
    </row>
    <row r="999" spans="1:46" ht="12.5" x14ac:dyDescent="0.25">
      <c r="A999" s="79">
        <v>44952.327927939812</v>
      </c>
      <c r="B999" s="80" t="s">
        <v>13</v>
      </c>
      <c r="C999" s="80" t="str">
        <f>INDEX(TBL_Name,MATCH(Table2[[#This Row],[Athlete Name]],listNames,0),2)</f>
        <v>Athlete 7</v>
      </c>
      <c r="D999" s="80" t="s">
        <v>130</v>
      </c>
      <c r="E999" s="80">
        <v>4</v>
      </c>
      <c r="F999" s="80">
        <v>2</v>
      </c>
      <c r="G999" s="80">
        <v>6</v>
      </c>
      <c r="H999" s="80" t="s">
        <v>326</v>
      </c>
      <c r="I999" s="80">
        <v>4</v>
      </c>
      <c r="J999" s="80"/>
      <c r="K999" s="80"/>
      <c r="L999" s="80"/>
      <c r="M999" s="1" t="s">
        <v>1412</v>
      </c>
      <c r="N999" s="1">
        <v>4</v>
      </c>
      <c r="O999" s="1">
        <v>3</v>
      </c>
      <c r="P999" s="13">
        <v>44952</v>
      </c>
      <c r="Q999" s="1" t="s">
        <v>133</v>
      </c>
      <c r="R999" s="1" t="s">
        <v>31</v>
      </c>
      <c r="S999" s="1">
        <v>1</v>
      </c>
      <c r="T999" s="1" t="s">
        <v>14</v>
      </c>
      <c r="U999" s="1" t="s">
        <v>14</v>
      </c>
      <c r="V999" s="76">
        <v>8.4</v>
      </c>
      <c r="W999" s="76">
        <v>2.2449944320643649</v>
      </c>
      <c r="X999" s="77">
        <v>-1.9599157740244455</v>
      </c>
      <c r="Y999" s="77">
        <v>1</v>
      </c>
      <c r="Z999" s="76">
        <v>5.6</v>
      </c>
      <c r="AA999" s="76">
        <v>2.4166091947189141</v>
      </c>
      <c r="AB999" s="77">
        <v>-1.4896905994842624</v>
      </c>
      <c r="AC999" s="77">
        <v>1</v>
      </c>
      <c r="AD999" s="76">
        <v>7.4</v>
      </c>
      <c r="AE999" s="76">
        <v>1.3564659966250538</v>
      </c>
      <c r="AF999" s="77">
        <v>-1.0320936930842801</v>
      </c>
      <c r="AG999" s="77">
        <v>1</v>
      </c>
      <c r="AH999" s="76">
        <v>6.8</v>
      </c>
      <c r="AI999" s="76">
        <v>2.481934729198171</v>
      </c>
      <c r="AJ999" s="77">
        <v>-1.1281521496355325</v>
      </c>
      <c r="AK999" s="77">
        <v>1</v>
      </c>
      <c r="AL999" s="76"/>
      <c r="AM999" s="76"/>
      <c r="AN999" s="77"/>
      <c r="AO999" s="77"/>
      <c r="AP999" s="76"/>
      <c r="AQ999" s="76"/>
      <c r="AR999" s="77"/>
      <c r="AS999" s="77"/>
      <c r="AT999" s="78">
        <v>0.25</v>
      </c>
    </row>
    <row r="1000" spans="1:46" ht="12.5" x14ac:dyDescent="0.25">
      <c r="A1000" s="79">
        <v>44952.341838437496</v>
      </c>
      <c r="B1000" s="80" t="s">
        <v>27</v>
      </c>
      <c r="C1000" s="80" t="str">
        <f>INDEX(TBL_Name,MATCH(Table2[[#This Row],[Athlete Name]],listNames,0),2)</f>
        <v>Athlete 17</v>
      </c>
      <c r="D1000" s="80" t="s">
        <v>150</v>
      </c>
      <c r="E1000" s="80">
        <v>3</v>
      </c>
      <c r="F1000" s="80">
        <v>3</v>
      </c>
      <c r="G1000" s="80">
        <v>5</v>
      </c>
      <c r="H1000" s="80" t="s">
        <v>151</v>
      </c>
      <c r="I1000" s="80">
        <v>5</v>
      </c>
      <c r="J1000" s="80"/>
      <c r="K1000" s="80"/>
      <c r="L1000" s="80"/>
      <c r="M1000" s="1" t="s">
        <v>1413</v>
      </c>
      <c r="N1000" s="1">
        <v>4</v>
      </c>
      <c r="O1000" s="1">
        <v>3</v>
      </c>
      <c r="P1000" s="13">
        <v>44952</v>
      </c>
      <c r="Q1000" s="1" t="s">
        <v>133</v>
      </c>
      <c r="R1000" s="1" t="s">
        <v>31</v>
      </c>
      <c r="S1000" s="1">
        <v>3</v>
      </c>
      <c r="T1000" s="1" t="s">
        <v>28</v>
      </c>
      <c r="U1000" s="1" t="s">
        <v>28</v>
      </c>
      <c r="V1000" s="76">
        <v>3.6666666666666665</v>
      </c>
      <c r="W1000" s="76">
        <v>0.47140452079103162</v>
      </c>
      <c r="X1000" s="77">
        <v>-1.4142135623730949</v>
      </c>
      <c r="Y1000" s="77">
        <v>1</v>
      </c>
      <c r="Z1000" s="76">
        <v>4.333333333333333</v>
      </c>
      <c r="AA1000" s="76">
        <v>1.8856180831641267</v>
      </c>
      <c r="AB1000" s="77">
        <v>-0.70710678118654735</v>
      </c>
      <c r="AC1000" s="77">
        <v>2</v>
      </c>
      <c r="AD1000" s="76">
        <v>6</v>
      </c>
      <c r="AE1000" s="76">
        <v>2.1602468994692869</v>
      </c>
      <c r="AF1000" s="77">
        <v>-0.46291004988627571</v>
      </c>
      <c r="AG1000" s="77">
        <v>2</v>
      </c>
      <c r="AH1000" s="76">
        <v>5.666666666666667</v>
      </c>
      <c r="AI1000" s="76">
        <v>0.94280904158206336</v>
      </c>
      <c r="AJ1000" s="77">
        <v>-0.70710678118654779</v>
      </c>
      <c r="AK1000" s="77">
        <v>2</v>
      </c>
      <c r="AL1000" s="76"/>
      <c r="AM1000" s="76"/>
      <c r="AN1000" s="77"/>
      <c r="AO1000" s="77"/>
      <c r="AP1000" s="76"/>
      <c r="AQ1000" s="76"/>
      <c r="AR1000" s="77"/>
      <c r="AS1000" s="77"/>
      <c r="AT1000" s="78">
        <v>0.4375</v>
      </c>
    </row>
    <row r="1001" spans="1:46" ht="12.5" x14ac:dyDescent="0.25">
      <c r="A1001" s="79">
        <v>44952.351050844911</v>
      </c>
      <c r="B1001" s="80" t="s">
        <v>19</v>
      </c>
      <c r="C1001" s="80" t="str">
        <f>INDEX(TBL_Name,MATCH(Table2[[#This Row],[Athlete Name]],listNames,0),2)</f>
        <v>Athlete 11</v>
      </c>
      <c r="D1001" s="80" t="s">
        <v>130</v>
      </c>
      <c r="E1001" s="80">
        <v>8</v>
      </c>
      <c r="F1001" s="80">
        <v>9</v>
      </c>
      <c r="G1001" s="80">
        <v>9</v>
      </c>
      <c r="H1001" s="80" t="s">
        <v>1414</v>
      </c>
      <c r="I1001" s="80">
        <v>4</v>
      </c>
      <c r="J1001" s="80"/>
      <c r="K1001" s="80"/>
      <c r="L1001" s="80"/>
      <c r="M1001" s="1" t="s">
        <v>1415</v>
      </c>
      <c r="N1001" s="1">
        <v>4</v>
      </c>
      <c r="O1001" s="1">
        <v>3</v>
      </c>
      <c r="P1001" s="13">
        <v>44952</v>
      </c>
      <c r="Q1001" s="1" t="s">
        <v>133</v>
      </c>
      <c r="R1001" s="1" t="s">
        <v>31</v>
      </c>
      <c r="S1001" s="1">
        <v>1</v>
      </c>
      <c r="T1001" s="1" t="s">
        <v>18</v>
      </c>
      <c r="U1001" s="1" t="s">
        <v>18</v>
      </c>
      <c r="V1001" s="76">
        <v>7.2</v>
      </c>
      <c r="W1001" s="76">
        <v>0.39999999999999997</v>
      </c>
      <c r="X1001" s="77">
        <v>1.9999999999999998</v>
      </c>
      <c r="Y1001" s="77">
        <v>4</v>
      </c>
      <c r="Z1001" s="76">
        <v>8.1999999999999993</v>
      </c>
      <c r="AA1001" s="76">
        <v>0.40000000000000019</v>
      </c>
      <c r="AB1001" s="77">
        <v>2.0000000000000009</v>
      </c>
      <c r="AC1001" s="77">
        <v>4</v>
      </c>
      <c r="AD1001" s="76">
        <v>8.1999999999999993</v>
      </c>
      <c r="AE1001" s="76">
        <v>0.40000000000000019</v>
      </c>
      <c r="AF1001" s="77">
        <v>2.0000000000000009</v>
      </c>
      <c r="AG1001" s="77">
        <v>4</v>
      </c>
      <c r="AH1001" s="76">
        <v>4.8</v>
      </c>
      <c r="AI1001" s="76">
        <v>1.3266499161421601</v>
      </c>
      <c r="AJ1001" s="77">
        <v>-0.60302268915552704</v>
      </c>
      <c r="AK1001" s="77">
        <v>2</v>
      </c>
      <c r="AL1001" s="76"/>
      <c r="AM1001" s="76"/>
      <c r="AN1001" s="77"/>
      <c r="AO1001" s="77"/>
      <c r="AP1001" s="76"/>
      <c r="AQ1001" s="76"/>
      <c r="AR1001" s="77"/>
      <c r="AS1001" s="77"/>
      <c r="AT1001" s="78">
        <v>0.875</v>
      </c>
    </row>
    <row r="1002" spans="1:46" ht="12.5" x14ac:dyDescent="0.25">
      <c r="A1002" s="79">
        <v>44952.365247175927</v>
      </c>
      <c r="B1002" s="80" t="s">
        <v>17</v>
      </c>
      <c r="C1002" s="80" t="str">
        <f>INDEX(TBL_Name,MATCH(Table2[[#This Row],[Athlete Name]],listNames,0),2)</f>
        <v>Athlete 10</v>
      </c>
      <c r="D1002" s="80" t="s">
        <v>130</v>
      </c>
      <c r="E1002" s="80">
        <v>8</v>
      </c>
      <c r="F1002" s="80">
        <v>8</v>
      </c>
      <c r="G1002" s="80">
        <v>9</v>
      </c>
      <c r="H1002" s="80" t="s">
        <v>228</v>
      </c>
      <c r="I1002" s="80">
        <v>6</v>
      </c>
      <c r="J1002" s="80"/>
      <c r="K1002" s="80"/>
      <c r="L1002" s="80"/>
      <c r="M1002" s="1" t="s">
        <v>1416</v>
      </c>
      <c r="N1002" s="1">
        <v>4</v>
      </c>
      <c r="O1002" s="1">
        <v>3</v>
      </c>
      <c r="P1002" s="13">
        <v>44952</v>
      </c>
      <c r="Q1002" s="1" t="s">
        <v>133</v>
      </c>
      <c r="R1002" s="1" t="s">
        <v>31</v>
      </c>
      <c r="S1002" s="1">
        <v>1</v>
      </c>
      <c r="T1002" s="1" t="s">
        <v>18</v>
      </c>
      <c r="U1002" s="1" t="s">
        <v>18</v>
      </c>
      <c r="V1002" s="76">
        <v>6.4</v>
      </c>
      <c r="W1002" s="76">
        <v>1.6248076809271921</v>
      </c>
      <c r="X1002" s="77">
        <v>0.98473192783466168</v>
      </c>
      <c r="Y1002" s="77">
        <v>3</v>
      </c>
      <c r="Z1002" s="76">
        <v>7</v>
      </c>
      <c r="AA1002" s="76">
        <v>1.0954451150103321</v>
      </c>
      <c r="AB1002" s="77">
        <v>0.9128709291752769</v>
      </c>
      <c r="AC1002" s="77">
        <v>3</v>
      </c>
      <c r="AD1002" s="76">
        <v>7</v>
      </c>
      <c r="AE1002" s="76">
        <v>1.4142135623730951</v>
      </c>
      <c r="AF1002" s="77">
        <v>1.4142135623730949</v>
      </c>
      <c r="AG1002" s="77">
        <v>4</v>
      </c>
      <c r="AH1002" s="76">
        <v>6.8</v>
      </c>
      <c r="AI1002" s="76">
        <v>0.74833147735478811</v>
      </c>
      <c r="AJ1002" s="77">
        <v>-1.0690449676496976</v>
      </c>
      <c r="AK1002" s="77">
        <v>1</v>
      </c>
      <c r="AL1002" s="76"/>
      <c r="AM1002" s="76"/>
      <c r="AN1002" s="77"/>
      <c r="AO1002" s="77"/>
      <c r="AP1002" s="76"/>
      <c r="AQ1002" s="76"/>
      <c r="AR1002" s="77"/>
      <c r="AS1002" s="77"/>
      <c r="AT1002" s="78">
        <v>0.6875</v>
      </c>
    </row>
    <row r="1003" spans="1:46" ht="12.5" x14ac:dyDescent="0.25">
      <c r="A1003" s="79">
        <v>44952.373824282404</v>
      </c>
      <c r="B1003" s="80" t="s">
        <v>21</v>
      </c>
      <c r="C1003" s="80" t="str">
        <f>INDEX(TBL_Name,MATCH(Table2[[#This Row],[Athlete Name]],listNames,0),2)</f>
        <v>Athlete 13</v>
      </c>
      <c r="D1003" s="80" t="s">
        <v>143</v>
      </c>
      <c r="E1003" s="80">
        <v>6</v>
      </c>
      <c r="F1003" s="80">
        <v>7</v>
      </c>
      <c r="G1003" s="80">
        <v>8</v>
      </c>
      <c r="H1003" s="80" t="s">
        <v>525</v>
      </c>
      <c r="I1003" s="80">
        <v>6</v>
      </c>
      <c r="J1003" s="80"/>
      <c r="K1003" s="80"/>
      <c r="L1003" s="80"/>
      <c r="M1003" s="1" t="s">
        <v>1417</v>
      </c>
      <c r="N1003" s="1">
        <v>4</v>
      </c>
      <c r="O1003" s="1">
        <v>3</v>
      </c>
      <c r="P1003" s="13">
        <v>44952</v>
      </c>
      <c r="Q1003" s="1" t="s">
        <v>133</v>
      </c>
      <c r="R1003" s="1" t="s">
        <v>31</v>
      </c>
      <c r="S1003" s="1">
        <v>2</v>
      </c>
      <c r="T1003" s="1" t="s">
        <v>18</v>
      </c>
      <c r="U1003" s="1" t="s">
        <v>18</v>
      </c>
      <c r="V1003" s="76">
        <v>7</v>
      </c>
      <c r="W1003" s="76">
        <v>0.75592894601845451</v>
      </c>
      <c r="X1003" s="77">
        <v>-1.3228756555322951</v>
      </c>
      <c r="Y1003" s="77">
        <v>1</v>
      </c>
      <c r="Z1003" s="76">
        <v>7.4285714285714288</v>
      </c>
      <c r="AA1003" s="76">
        <v>1.3997084244475304</v>
      </c>
      <c r="AB1003" s="77">
        <v>-0.3061862178478974</v>
      </c>
      <c r="AC1003" s="77">
        <v>2</v>
      </c>
      <c r="AD1003" s="76">
        <v>8.1428571428571423</v>
      </c>
      <c r="AE1003" s="76">
        <v>0.63887656499994028</v>
      </c>
      <c r="AF1003" s="77">
        <v>-0.22360679774997805</v>
      </c>
      <c r="AG1003" s="77">
        <v>2</v>
      </c>
      <c r="AH1003" s="76">
        <v>5.8571428571428568</v>
      </c>
      <c r="AI1003" s="76">
        <v>0.98974331861078713</v>
      </c>
      <c r="AJ1003" s="77">
        <v>0.14433756729740682</v>
      </c>
      <c r="AK1003" s="77">
        <v>3</v>
      </c>
      <c r="AL1003" s="76"/>
      <c r="AM1003" s="76"/>
      <c r="AN1003" s="77"/>
      <c r="AO1003" s="77"/>
      <c r="AP1003" s="76"/>
      <c r="AQ1003" s="76"/>
      <c r="AR1003" s="77"/>
      <c r="AS1003" s="77"/>
      <c r="AT1003" s="78">
        <v>0.5</v>
      </c>
    </row>
    <row r="1004" spans="1:46" ht="12.5" x14ac:dyDescent="0.25">
      <c r="A1004" s="79">
        <v>44952.38466737268</v>
      </c>
      <c r="B1004" s="80" t="s">
        <v>6</v>
      </c>
      <c r="C1004" s="80" t="str">
        <f>INDEX(TBL_Name,MATCH(Table2[[#This Row],[Athlete Name]],listNames,0),2)</f>
        <v>Athlete 2</v>
      </c>
      <c r="D1004" s="80" t="s">
        <v>130</v>
      </c>
      <c r="E1004" s="80">
        <v>8</v>
      </c>
      <c r="F1004" s="80">
        <v>7</v>
      </c>
      <c r="G1004" s="80">
        <v>7</v>
      </c>
      <c r="H1004" s="80" t="s">
        <v>1418</v>
      </c>
      <c r="I1004" s="80">
        <v>6</v>
      </c>
      <c r="J1004" s="80"/>
      <c r="K1004" s="80"/>
      <c r="L1004" s="80"/>
      <c r="M1004" s="1" t="s">
        <v>1419</v>
      </c>
      <c r="N1004" s="1">
        <v>4</v>
      </c>
      <c r="O1004" s="1">
        <v>3</v>
      </c>
      <c r="P1004" s="13">
        <v>44952</v>
      </c>
      <c r="Q1004" s="1" t="s">
        <v>133</v>
      </c>
      <c r="R1004" s="1" t="s">
        <v>31</v>
      </c>
      <c r="S1004" s="1">
        <v>1</v>
      </c>
      <c r="T1004" s="1" t="s">
        <v>5</v>
      </c>
      <c r="U1004" s="1" t="s">
        <v>5</v>
      </c>
      <c r="V1004" s="76">
        <v>9</v>
      </c>
      <c r="W1004" s="76">
        <v>0.57735026918962573</v>
      </c>
      <c r="X1004" s="77">
        <v>-1.7320508075688774</v>
      </c>
      <c r="Y1004" s="77">
        <v>1</v>
      </c>
      <c r="Z1004" s="76">
        <v>7.666666666666667</v>
      </c>
      <c r="AA1004" s="76">
        <v>1.1055415967851332</v>
      </c>
      <c r="AB1004" s="77">
        <v>-0.60302268915552759</v>
      </c>
      <c r="AC1004" s="77">
        <v>2</v>
      </c>
      <c r="AD1004" s="76">
        <v>7.666666666666667</v>
      </c>
      <c r="AE1004" s="76">
        <v>0.74535599249992979</v>
      </c>
      <c r="AF1004" s="77">
        <v>-0.89442719099991641</v>
      </c>
      <c r="AG1004" s="77">
        <v>2</v>
      </c>
      <c r="AH1004" s="76">
        <v>7.333333333333333</v>
      </c>
      <c r="AI1004" s="76">
        <v>0.74535599249992979</v>
      </c>
      <c r="AJ1004" s="77">
        <v>-1.7888543819998317</v>
      </c>
      <c r="AK1004" s="77">
        <v>1</v>
      </c>
      <c r="AL1004" s="76"/>
      <c r="AM1004" s="76"/>
      <c r="AN1004" s="77"/>
      <c r="AO1004" s="77"/>
      <c r="AP1004" s="76"/>
      <c r="AQ1004" s="76"/>
      <c r="AR1004" s="77"/>
      <c r="AS1004" s="77"/>
      <c r="AT1004" s="78">
        <v>0.375</v>
      </c>
    </row>
    <row r="1005" spans="1:46" ht="12.5" x14ac:dyDescent="0.25">
      <c r="A1005" s="79">
        <v>44952.398425648149</v>
      </c>
      <c r="B1005" s="80" t="s">
        <v>15</v>
      </c>
      <c r="C1005" s="80" t="str">
        <f>INDEX(TBL_Name,MATCH(Table2[[#This Row],[Athlete Name]],listNames,0),2)</f>
        <v>Athlete 8</v>
      </c>
      <c r="D1005" s="80" t="s">
        <v>130</v>
      </c>
      <c r="E1005" s="80">
        <v>10</v>
      </c>
      <c r="F1005" s="80">
        <v>10</v>
      </c>
      <c r="G1005" s="80">
        <v>8</v>
      </c>
      <c r="H1005" s="80" t="s">
        <v>175</v>
      </c>
      <c r="I1005" s="80">
        <v>5</v>
      </c>
      <c r="J1005" s="80"/>
      <c r="K1005" s="80"/>
      <c r="L1005" s="80"/>
      <c r="M1005" s="1" t="s">
        <v>1420</v>
      </c>
      <c r="N1005" s="1">
        <v>4</v>
      </c>
      <c r="O1005" s="1">
        <v>3</v>
      </c>
      <c r="P1005" s="13">
        <v>44952</v>
      </c>
      <c r="Q1005" s="1" t="s">
        <v>133</v>
      </c>
      <c r="R1005" s="1" t="s">
        <v>31</v>
      </c>
      <c r="S1005" s="1">
        <v>1</v>
      </c>
      <c r="T1005" s="1" t="s">
        <v>14</v>
      </c>
      <c r="U1005" s="1" t="s">
        <v>14</v>
      </c>
      <c r="V1005" s="76">
        <v>10</v>
      </c>
      <c r="W1005" s="76">
        <v>0</v>
      </c>
      <c r="X1005" s="77">
        <v>0</v>
      </c>
      <c r="Y1005" s="77">
        <v>3</v>
      </c>
      <c r="Z1005" s="76">
        <v>7.4</v>
      </c>
      <c r="AA1005" s="76">
        <v>1.6248076809271921</v>
      </c>
      <c r="AB1005" s="77">
        <v>1.6001893827313254</v>
      </c>
      <c r="AC1005" s="77">
        <v>4</v>
      </c>
      <c r="AD1005" s="76">
        <v>6.4</v>
      </c>
      <c r="AE1005" s="76">
        <v>1.2</v>
      </c>
      <c r="AF1005" s="77">
        <v>1.333333333333333</v>
      </c>
      <c r="AG1005" s="77">
        <v>4</v>
      </c>
      <c r="AH1005" s="76">
        <v>6.4</v>
      </c>
      <c r="AI1005" s="76">
        <v>1.9595917942265424</v>
      </c>
      <c r="AJ1005" s="77">
        <v>-0.71443450831176047</v>
      </c>
      <c r="AK1005" s="77">
        <v>2</v>
      </c>
      <c r="AL1005" s="76"/>
      <c r="AM1005" s="76"/>
      <c r="AN1005" s="77"/>
      <c r="AO1005" s="77"/>
      <c r="AP1005" s="76"/>
      <c r="AQ1005" s="76"/>
      <c r="AR1005" s="77"/>
      <c r="AS1005" s="77"/>
      <c r="AT1005" s="78">
        <v>0.8125</v>
      </c>
    </row>
    <row r="1006" spans="1:46" ht="12.5" x14ac:dyDescent="0.25">
      <c r="A1006" s="79">
        <v>44952.409739467592</v>
      </c>
      <c r="B1006" s="80" t="s">
        <v>10</v>
      </c>
      <c r="C1006" s="80" t="str">
        <f>INDEX(TBL_Name,MATCH(Table2[[#This Row],[Athlete Name]],listNames,0),2)</f>
        <v>Athlete 5</v>
      </c>
      <c r="D1006" s="80" t="s">
        <v>130</v>
      </c>
      <c r="E1006" s="80">
        <v>5</v>
      </c>
      <c r="F1006" s="80">
        <v>8</v>
      </c>
      <c r="G1006" s="80">
        <v>8</v>
      </c>
      <c r="H1006" s="80" t="s">
        <v>417</v>
      </c>
      <c r="I1006" s="80">
        <v>7</v>
      </c>
      <c r="J1006" s="80"/>
      <c r="K1006" s="80"/>
      <c r="L1006" s="80"/>
      <c r="M1006" s="1" t="s">
        <v>1421</v>
      </c>
      <c r="N1006" s="1">
        <v>4</v>
      </c>
      <c r="O1006" s="1">
        <v>3</v>
      </c>
      <c r="P1006" s="13">
        <v>44952</v>
      </c>
      <c r="Q1006" s="1" t="s">
        <v>133</v>
      </c>
      <c r="R1006" s="1" t="s">
        <v>31</v>
      </c>
      <c r="S1006" s="1">
        <v>1</v>
      </c>
      <c r="T1006" s="1" t="s">
        <v>11</v>
      </c>
      <c r="U1006" s="1" t="s">
        <v>11</v>
      </c>
      <c r="V1006" s="76">
        <v>7.666666666666667</v>
      </c>
      <c r="W1006" s="76">
        <v>1.3743685418725533</v>
      </c>
      <c r="X1006" s="77">
        <v>-1.9402850002906642</v>
      </c>
      <c r="Y1006" s="77">
        <v>1</v>
      </c>
      <c r="Z1006" s="76">
        <v>7.833333333333333</v>
      </c>
      <c r="AA1006" s="76">
        <v>0.37267799624996489</v>
      </c>
      <c r="AB1006" s="77">
        <v>0.44721359549995882</v>
      </c>
      <c r="AC1006" s="77">
        <v>3</v>
      </c>
      <c r="AD1006" s="76">
        <v>7.833333333333333</v>
      </c>
      <c r="AE1006" s="76">
        <v>0.37267799624996489</v>
      </c>
      <c r="AF1006" s="77">
        <v>0.44721359549995882</v>
      </c>
      <c r="AG1006" s="77">
        <v>3</v>
      </c>
      <c r="AH1006" s="76">
        <v>5.833333333333333</v>
      </c>
      <c r="AI1006" s="76">
        <v>1.6749792701868149</v>
      </c>
      <c r="AJ1006" s="77">
        <v>0.69652603314699257</v>
      </c>
      <c r="AK1006" s="77">
        <v>3</v>
      </c>
      <c r="AL1006" s="76"/>
      <c r="AM1006" s="76"/>
      <c r="AN1006" s="77"/>
      <c r="AO1006" s="77"/>
      <c r="AP1006" s="76"/>
      <c r="AQ1006" s="76"/>
      <c r="AR1006" s="77"/>
      <c r="AS1006" s="77"/>
      <c r="AT1006" s="78">
        <v>0.625</v>
      </c>
    </row>
    <row r="1007" spans="1:46" ht="12.5" x14ac:dyDescent="0.25">
      <c r="A1007" s="79">
        <v>44952.412487847221</v>
      </c>
      <c r="B1007" s="80" t="s">
        <v>24</v>
      </c>
      <c r="C1007" s="80" t="str">
        <f>INDEX(TBL_Name,MATCH(Table2[[#This Row],[Athlete Name]],listNames,0),2)</f>
        <v>Athlete 16</v>
      </c>
      <c r="D1007" s="80" t="s">
        <v>130</v>
      </c>
      <c r="E1007" s="80">
        <v>5</v>
      </c>
      <c r="F1007" s="80">
        <v>7</v>
      </c>
      <c r="G1007" s="80">
        <v>7</v>
      </c>
      <c r="H1007" s="80" t="s">
        <v>1395</v>
      </c>
      <c r="I1007" s="80">
        <v>2</v>
      </c>
      <c r="J1007" s="80"/>
      <c r="K1007" s="80"/>
      <c r="L1007" s="80"/>
      <c r="M1007" s="1" t="s">
        <v>1422</v>
      </c>
      <c r="N1007" s="1">
        <v>4</v>
      </c>
      <c r="O1007" s="1">
        <v>3</v>
      </c>
      <c r="P1007" s="13">
        <v>44952</v>
      </c>
      <c r="Q1007" s="1" t="s">
        <v>133</v>
      </c>
      <c r="R1007" s="1" t="s">
        <v>31</v>
      </c>
      <c r="S1007" s="1">
        <v>1</v>
      </c>
      <c r="T1007" s="1" t="s">
        <v>18</v>
      </c>
      <c r="U1007" s="1" t="s">
        <v>18</v>
      </c>
      <c r="V1007" s="76">
        <v>6</v>
      </c>
      <c r="W1007" s="76">
        <v>0.63245553203367588</v>
      </c>
      <c r="X1007" s="77">
        <v>-1.5811388300841895</v>
      </c>
      <c r="Y1007" s="77">
        <v>1</v>
      </c>
      <c r="Z1007" s="76">
        <v>5.8</v>
      </c>
      <c r="AA1007" s="76">
        <v>0.9797958971132712</v>
      </c>
      <c r="AB1007" s="77">
        <v>1.2247448713915894</v>
      </c>
      <c r="AC1007" s="77">
        <v>4</v>
      </c>
      <c r="AD1007" s="76">
        <v>5.8</v>
      </c>
      <c r="AE1007" s="76">
        <v>0.74833147735478833</v>
      </c>
      <c r="AF1007" s="77">
        <v>1.6035674514745464</v>
      </c>
      <c r="AG1007" s="77">
        <v>4</v>
      </c>
      <c r="AH1007" s="76">
        <v>5.2</v>
      </c>
      <c r="AI1007" s="76">
        <v>2.3151673805580453</v>
      </c>
      <c r="AJ1007" s="77">
        <v>-1.3821894809301762</v>
      </c>
      <c r="AK1007" s="77">
        <v>1</v>
      </c>
      <c r="AL1007" s="76"/>
      <c r="AM1007" s="76"/>
      <c r="AN1007" s="77"/>
      <c r="AO1007" s="77"/>
      <c r="AP1007" s="76"/>
      <c r="AQ1007" s="76"/>
      <c r="AR1007" s="77"/>
      <c r="AS1007" s="77"/>
      <c r="AT1007" s="78">
        <v>0.625</v>
      </c>
    </row>
    <row r="1008" spans="1:46" ht="12.5" x14ac:dyDescent="0.25">
      <c r="A1008" s="79">
        <v>44952.425403946763</v>
      </c>
      <c r="B1008" s="80" t="s">
        <v>9</v>
      </c>
      <c r="C1008" s="80" t="str">
        <f>INDEX(TBL_Name,MATCH(Table2[[#This Row],[Athlete Name]],listNames,0),2)</f>
        <v>Athlete 4</v>
      </c>
      <c r="D1008" s="80" t="s">
        <v>130</v>
      </c>
      <c r="E1008" s="80">
        <v>2</v>
      </c>
      <c r="F1008" s="80">
        <v>8</v>
      </c>
      <c r="G1008" s="80">
        <v>8</v>
      </c>
      <c r="H1008" s="80" t="s">
        <v>1423</v>
      </c>
      <c r="I1008" s="80">
        <v>5</v>
      </c>
      <c r="J1008" s="80"/>
      <c r="K1008" s="80"/>
      <c r="L1008" s="80"/>
      <c r="M1008" s="1" t="s">
        <v>1424</v>
      </c>
      <c r="N1008" s="1">
        <v>4</v>
      </c>
      <c r="O1008" s="1">
        <v>3</v>
      </c>
      <c r="P1008" s="13">
        <v>44952</v>
      </c>
      <c r="Q1008" s="1" t="s">
        <v>133</v>
      </c>
      <c r="R1008" s="1" t="s">
        <v>31</v>
      </c>
      <c r="S1008" s="1">
        <v>1</v>
      </c>
      <c r="T1008" s="1" t="s">
        <v>8</v>
      </c>
      <c r="U1008" s="1" t="s">
        <v>8</v>
      </c>
      <c r="V1008" s="76">
        <v>2.8</v>
      </c>
      <c r="W1008" s="76">
        <v>0.74833147735478822</v>
      </c>
      <c r="X1008" s="77">
        <v>-1.0690449676496974</v>
      </c>
      <c r="Y1008" s="77">
        <v>1</v>
      </c>
      <c r="Z1008" s="76">
        <v>7.4</v>
      </c>
      <c r="AA1008" s="76">
        <v>0.4898979485566356</v>
      </c>
      <c r="AB1008" s="77">
        <v>1.2247448713915883</v>
      </c>
      <c r="AC1008" s="77">
        <v>4</v>
      </c>
      <c r="AD1008" s="76">
        <v>7.4</v>
      </c>
      <c r="AE1008" s="76">
        <v>0.4898979485566356</v>
      </c>
      <c r="AF1008" s="77">
        <v>1.2247448713915883</v>
      </c>
      <c r="AG1008" s="77">
        <v>4</v>
      </c>
      <c r="AH1008" s="76">
        <v>4.4000000000000004</v>
      </c>
      <c r="AI1008" s="76">
        <v>0.48989794855663554</v>
      </c>
      <c r="AJ1008" s="77">
        <v>1.2247448713915885</v>
      </c>
      <c r="AK1008" s="77">
        <v>4</v>
      </c>
      <c r="AL1008" s="76"/>
      <c r="AM1008" s="76"/>
      <c r="AN1008" s="77"/>
      <c r="AO1008" s="77"/>
      <c r="AP1008" s="76"/>
      <c r="AQ1008" s="76"/>
      <c r="AR1008" s="77"/>
      <c r="AS1008" s="77"/>
      <c r="AT1008" s="78">
        <v>0.8125</v>
      </c>
    </row>
    <row r="1009" spans="1:46" ht="12.5" x14ac:dyDescent="0.25">
      <c r="A1009" s="79">
        <v>44952.465196122685</v>
      </c>
      <c r="B1009" s="80" t="s">
        <v>29</v>
      </c>
      <c r="C1009" s="80" t="str">
        <f>INDEX(TBL_Name,MATCH(Table2[[#This Row],[Athlete Name]],listNames,0),2)</f>
        <v>Athlete 18</v>
      </c>
      <c r="D1009" s="80" t="s">
        <v>130</v>
      </c>
      <c r="E1009" s="80">
        <v>10</v>
      </c>
      <c r="F1009" s="80">
        <v>8</v>
      </c>
      <c r="G1009" s="80">
        <v>8</v>
      </c>
      <c r="H1009" s="80" t="s">
        <v>1425</v>
      </c>
      <c r="I1009" s="80">
        <v>6</v>
      </c>
      <c r="J1009" s="80"/>
      <c r="K1009" s="80"/>
      <c r="L1009" s="80"/>
      <c r="M1009" s="1" t="s">
        <v>1426</v>
      </c>
      <c r="N1009" s="1">
        <v>4</v>
      </c>
      <c r="O1009" s="1">
        <v>3</v>
      </c>
      <c r="P1009" s="13">
        <v>44952</v>
      </c>
      <c r="Q1009" s="1" t="s">
        <v>133</v>
      </c>
      <c r="R1009" s="1" t="s">
        <v>31</v>
      </c>
      <c r="S1009" s="1">
        <v>1</v>
      </c>
      <c r="T1009" s="1" t="s">
        <v>28</v>
      </c>
      <c r="U1009" s="1" t="s">
        <v>28</v>
      </c>
      <c r="V1009" s="76">
        <v>9.5</v>
      </c>
      <c r="W1009" s="76">
        <v>0.49999999999999983</v>
      </c>
      <c r="X1009" s="77">
        <v>1.0000000000000004</v>
      </c>
      <c r="Y1009" s="77">
        <v>4</v>
      </c>
      <c r="Z1009" s="76">
        <v>8.8333333333333339</v>
      </c>
      <c r="AA1009" s="76">
        <v>0.89752746785575077</v>
      </c>
      <c r="AB1009" s="77">
        <v>-0.92847669088525986</v>
      </c>
      <c r="AC1009" s="77">
        <v>2</v>
      </c>
      <c r="AD1009" s="76">
        <v>7.833333333333333</v>
      </c>
      <c r="AE1009" s="76">
        <v>0.37267799624996489</v>
      </c>
      <c r="AF1009" s="77">
        <v>0.44721359549995882</v>
      </c>
      <c r="AG1009" s="77">
        <v>3</v>
      </c>
      <c r="AH1009" s="76">
        <v>6.5</v>
      </c>
      <c r="AI1009" s="76">
        <v>0.76376261582597327</v>
      </c>
      <c r="AJ1009" s="77">
        <v>-0.6546536707079772</v>
      </c>
      <c r="AK1009" s="77">
        <v>2</v>
      </c>
      <c r="AL1009" s="76"/>
      <c r="AM1009" s="76"/>
      <c r="AN1009" s="77"/>
      <c r="AO1009" s="77"/>
      <c r="AP1009" s="76"/>
      <c r="AQ1009" s="76"/>
      <c r="AR1009" s="77"/>
      <c r="AS1009" s="77"/>
      <c r="AT1009" s="78">
        <v>0.6875</v>
      </c>
    </row>
    <row r="1010" spans="1:46" ht="12.5" x14ac:dyDescent="0.25">
      <c r="A1010" s="79">
        <v>44952.515927581015</v>
      </c>
      <c r="B1010" s="80" t="s">
        <v>22</v>
      </c>
      <c r="C1010" s="80" t="str">
        <f>INDEX(TBL_Name,MATCH(Table2[[#This Row],[Athlete Name]],listNames,0),2)</f>
        <v>Athlete 14</v>
      </c>
      <c r="D1010" s="80" t="s">
        <v>130</v>
      </c>
      <c r="E1010" s="80">
        <v>7</v>
      </c>
      <c r="F1010" s="80">
        <v>6</v>
      </c>
      <c r="G1010" s="80">
        <v>7</v>
      </c>
      <c r="H1010" s="80" t="s">
        <v>1427</v>
      </c>
      <c r="I1010" s="80">
        <v>4</v>
      </c>
      <c r="J1010" s="80"/>
      <c r="K1010" s="80"/>
      <c r="L1010" s="80"/>
      <c r="M1010" s="1" t="s">
        <v>1428</v>
      </c>
      <c r="N1010" s="1">
        <v>4</v>
      </c>
      <c r="O1010" s="1">
        <v>3</v>
      </c>
      <c r="P1010" s="13">
        <v>44952</v>
      </c>
      <c r="Q1010" s="1" t="s">
        <v>133</v>
      </c>
      <c r="R1010" s="1" t="s">
        <v>31</v>
      </c>
      <c r="S1010" s="1">
        <v>1</v>
      </c>
      <c r="T1010" s="1" t="s">
        <v>18</v>
      </c>
      <c r="U1010" s="1" t="s">
        <v>18</v>
      </c>
      <c r="V1010" s="76">
        <v>7.25</v>
      </c>
      <c r="W1010" s="76">
        <v>0.43301270189221924</v>
      </c>
      <c r="X1010" s="77">
        <v>-0.57735026918962584</v>
      </c>
      <c r="Y1010" s="77">
        <v>2</v>
      </c>
      <c r="Z1010" s="76">
        <v>5.25</v>
      </c>
      <c r="AA1010" s="76">
        <v>0.82915619758884995</v>
      </c>
      <c r="AB1010" s="77">
        <v>0.90453403373329089</v>
      </c>
      <c r="AC1010" s="77">
        <v>3</v>
      </c>
      <c r="AD1010" s="76">
        <v>7.5</v>
      </c>
      <c r="AE1010" s="76">
        <v>0.5</v>
      </c>
      <c r="AF1010" s="77">
        <v>-1</v>
      </c>
      <c r="AG1010" s="77">
        <v>1</v>
      </c>
      <c r="AH1010" s="76">
        <v>5.75</v>
      </c>
      <c r="AI1010" s="76">
        <v>1.7853571071357126</v>
      </c>
      <c r="AJ1010" s="77">
        <v>-0.98019605881960681</v>
      </c>
      <c r="AK1010" s="77">
        <v>2</v>
      </c>
      <c r="AL1010" s="76"/>
      <c r="AM1010" s="76"/>
      <c r="AN1010" s="77"/>
      <c r="AO1010" s="77"/>
      <c r="AP1010" s="76"/>
      <c r="AQ1010" s="76"/>
      <c r="AR1010" s="77"/>
      <c r="AS1010" s="77"/>
      <c r="AT1010" s="78">
        <v>0.5</v>
      </c>
    </row>
    <row r="1011" spans="1:46" ht="12.5" x14ac:dyDescent="0.25">
      <c r="A1011" s="79">
        <v>44953.326242962961</v>
      </c>
      <c r="B1011" s="80" t="s">
        <v>19</v>
      </c>
      <c r="C1011" s="80" t="str">
        <f>INDEX(TBL_Name,MATCH(Table2[[#This Row],[Athlete Name]],listNames,0),2)</f>
        <v>Athlete 11</v>
      </c>
      <c r="D1011" s="80" t="s">
        <v>130</v>
      </c>
      <c r="E1011" s="80">
        <v>7</v>
      </c>
      <c r="F1011" s="80">
        <v>4</v>
      </c>
      <c r="G1011" s="80">
        <v>8</v>
      </c>
      <c r="H1011" s="80" t="s">
        <v>1429</v>
      </c>
      <c r="I1011" s="80">
        <v>5</v>
      </c>
      <c r="J1011" s="80"/>
      <c r="K1011" s="80"/>
      <c r="L1011" s="80"/>
      <c r="M1011" s="1" t="s">
        <v>1430</v>
      </c>
      <c r="N1011" s="1">
        <v>4</v>
      </c>
      <c r="O1011" s="1">
        <v>3</v>
      </c>
      <c r="P1011" s="13">
        <v>44953</v>
      </c>
      <c r="Q1011" s="1" t="s">
        <v>133</v>
      </c>
      <c r="R1011" s="1" t="s">
        <v>31</v>
      </c>
      <c r="S1011" s="1">
        <v>1</v>
      </c>
      <c r="T1011" s="1" t="s">
        <v>18</v>
      </c>
      <c r="U1011" s="1" t="s">
        <v>18</v>
      </c>
      <c r="V1011" s="76">
        <v>7.2</v>
      </c>
      <c r="W1011" s="76">
        <v>0.4</v>
      </c>
      <c r="X1011" s="77">
        <v>-0.50000000000000044</v>
      </c>
      <c r="Y1011" s="77">
        <v>2</v>
      </c>
      <c r="Z1011" s="76">
        <v>7.4</v>
      </c>
      <c r="AA1011" s="76">
        <v>1.7435595774162693</v>
      </c>
      <c r="AB1011" s="77">
        <v>-1.9500337378997754</v>
      </c>
      <c r="AC1011" s="77">
        <v>1</v>
      </c>
      <c r="AD1011" s="76">
        <v>8.1999999999999993</v>
      </c>
      <c r="AE1011" s="76">
        <v>0.39999999999999997</v>
      </c>
      <c r="AF1011" s="77">
        <v>-0.49999999999999828</v>
      </c>
      <c r="AG1011" s="77">
        <v>2</v>
      </c>
      <c r="AH1011" s="76">
        <v>4.8</v>
      </c>
      <c r="AI1011" s="76">
        <v>1.3266499161421601</v>
      </c>
      <c r="AJ1011" s="77">
        <v>0.15075567228888193</v>
      </c>
      <c r="AK1011" s="77">
        <v>3</v>
      </c>
      <c r="AL1011" s="76"/>
      <c r="AM1011" s="76"/>
      <c r="AN1011" s="77"/>
      <c r="AO1011" s="77"/>
      <c r="AP1011" s="76"/>
      <c r="AQ1011" s="76"/>
      <c r="AR1011" s="77"/>
      <c r="AS1011" s="77"/>
      <c r="AT1011" s="78">
        <v>0.5</v>
      </c>
    </row>
    <row r="1012" spans="1:46" ht="12.5" x14ac:dyDescent="0.25">
      <c r="A1012" s="79">
        <v>44953.348744803239</v>
      </c>
      <c r="B1012" s="80" t="s">
        <v>13</v>
      </c>
      <c r="C1012" s="80" t="str">
        <f>INDEX(TBL_Name,MATCH(Table2[[#This Row],[Athlete Name]],listNames,0),2)</f>
        <v>Athlete 7</v>
      </c>
      <c r="D1012" s="80" t="s">
        <v>130</v>
      </c>
      <c r="E1012" s="80">
        <v>8</v>
      </c>
      <c r="F1012" s="80">
        <v>3</v>
      </c>
      <c r="G1012" s="80">
        <v>7</v>
      </c>
      <c r="H1012" s="80" t="s">
        <v>362</v>
      </c>
      <c r="I1012" s="80">
        <v>5</v>
      </c>
      <c r="J1012" s="80"/>
      <c r="K1012" s="80"/>
      <c r="L1012" s="80"/>
      <c r="M1012" s="1" t="s">
        <v>1431</v>
      </c>
      <c r="N1012" s="1">
        <v>4</v>
      </c>
      <c r="O1012" s="1">
        <v>3</v>
      </c>
      <c r="P1012" s="13">
        <v>44953</v>
      </c>
      <c r="Q1012" s="1" t="s">
        <v>133</v>
      </c>
      <c r="R1012" s="1" t="s">
        <v>31</v>
      </c>
      <c r="S1012" s="1">
        <v>1</v>
      </c>
      <c r="T1012" s="1" t="s">
        <v>14</v>
      </c>
      <c r="U1012" s="1" t="s">
        <v>14</v>
      </c>
      <c r="V1012" s="76">
        <v>8.1999999999999993</v>
      </c>
      <c r="W1012" s="76">
        <v>2.2271057451320089</v>
      </c>
      <c r="X1012" s="77">
        <v>-8.9802651013387122E-2</v>
      </c>
      <c r="Y1012" s="77">
        <v>2</v>
      </c>
      <c r="Z1012" s="76">
        <v>4.8</v>
      </c>
      <c r="AA1012" s="76">
        <v>2.4819347291981715</v>
      </c>
      <c r="AB1012" s="77">
        <v>-0.72524066762284212</v>
      </c>
      <c r="AC1012" s="77">
        <v>2</v>
      </c>
      <c r="AD1012" s="76">
        <v>7.4</v>
      </c>
      <c r="AE1012" s="76">
        <v>1.3564659966250536</v>
      </c>
      <c r="AF1012" s="77">
        <v>-0.29488391230979455</v>
      </c>
      <c r="AG1012" s="77">
        <v>2</v>
      </c>
      <c r="AH1012" s="76">
        <v>7</v>
      </c>
      <c r="AI1012" s="76">
        <v>2.2803508501982757</v>
      </c>
      <c r="AJ1012" s="77">
        <v>-0.87705801930702931</v>
      </c>
      <c r="AK1012" s="77">
        <v>2</v>
      </c>
      <c r="AL1012" s="76"/>
      <c r="AM1012" s="76"/>
      <c r="AN1012" s="77"/>
      <c r="AO1012" s="77"/>
      <c r="AP1012" s="76"/>
      <c r="AQ1012" s="76"/>
      <c r="AR1012" s="77"/>
      <c r="AS1012" s="77"/>
      <c r="AT1012" s="78">
        <v>0.5</v>
      </c>
    </row>
    <row r="1013" spans="1:46" ht="12.5" x14ac:dyDescent="0.25">
      <c r="A1013" s="79">
        <v>44953.459393645833</v>
      </c>
      <c r="B1013" s="80" t="s">
        <v>21</v>
      </c>
      <c r="C1013" s="80" t="str">
        <f>INDEX(TBL_Name,MATCH(Table2[[#This Row],[Athlete Name]],listNames,0),2)</f>
        <v>Athlete 13</v>
      </c>
      <c r="D1013" s="80" t="s">
        <v>143</v>
      </c>
      <c r="E1013" s="80">
        <v>8</v>
      </c>
      <c r="F1013" s="80">
        <v>8</v>
      </c>
      <c r="G1013" s="80">
        <v>8</v>
      </c>
      <c r="H1013" s="80" t="s">
        <v>1432</v>
      </c>
      <c r="I1013" s="80">
        <v>5</v>
      </c>
      <c r="J1013" s="80"/>
      <c r="K1013" s="80"/>
      <c r="L1013" s="80"/>
      <c r="M1013" s="1" t="s">
        <v>1433</v>
      </c>
      <c r="N1013" s="1">
        <v>4</v>
      </c>
      <c r="O1013" s="1">
        <v>3</v>
      </c>
      <c r="P1013" s="13">
        <v>44953</v>
      </c>
      <c r="Q1013" s="1" t="s">
        <v>133</v>
      </c>
      <c r="R1013" s="1" t="s">
        <v>31</v>
      </c>
      <c r="S1013" s="1">
        <v>2</v>
      </c>
      <c r="T1013" s="1" t="s">
        <v>18</v>
      </c>
      <c r="U1013" s="1" t="s">
        <v>18</v>
      </c>
      <c r="V1013" s="76">
        <v>7</v>
      </c>
      <c r="W1013" s="76">
        <v>0.7559289460184544</v>
      </c>
      <c r="X1013" s="77">
        <v>1.3228756555322954</v>
      </c>
      <c r="Y1013" s="77">
        <v>4</v>
      </c>
      <c r="Z1013" s="76">
        <v>7.4285714285714288</v>
      </c>
      <c r="AA1013" s="76">
        <v>1.3997084244475304</v>
      </c>
      <c r="AB1013" s="77">
        <v>0.4082482904638628</v>
      </c>
      <c r="AC1013" s="77">
        <v>3</v>
      </c>
      <c r="AD1013" s="76">
        <v>8</v>
      </c>
      <c r="AE1013" s="76">
        <v>0.53452248382484879</v>
      </c>
      <c r="AF1013" s="77">
        <v>0</v>
      </c>
      <c r="AG1013" s="77">
        <v>3</v>
      </c>
      <c r="AH1013" s="76">
        <v>6</v>
      </c>
      <c r="AI1013" s="76">
        <v>0.7559289460184544</v>
      </c>
      <c r="AJ1013" s="77">
        <v>-1.3228756555322954</v>
      </c>
      <c r="AK1013" s="77">
        <v>1</v>
      </c>
      <c r="AL1013" s="76"/>
      <c r="AM1013" s="76"/>
      <c r="AN1013" s="77"/>
      <c r="AO1013" s="77"/>
      <c r="AP1013" s="76"/>
      <c r="AQ1013" s="76"/>
      <c r="AR1013" s="77"/>
      <c r="AS1013" s="77"/>
      <c r="AT1013" s="78">
        <v>0.6875</v>
      </c>
    </row>
    <row r="1014" spans="1:46" ht="12.5" x14ac:dyDescent="0.25">
      <c r="A1014" s="79">
        <v>44953.478494490744</v>
      </c>
      <c r="B1014" s="80" t="s">
        <v>10</v>
      </c>
      <c r="C1014" s="80" t="str">
        <f>INDEX(TBL_Name,MATCH(Table2[[#This Row],[Athlete Name]],listNames,0),2)</f>
        <v>Athlete 5</v>
      </c>
      <c r="D1014" s="80" t="s">
        <v>130</v>
      </c>
      <c r="E1014" s="80">
        <v>9</v>
      </c>
      <c r="F1014" s="80">
        <v>8</v>
      </c>
      <c r="G1014" s="80">
        <v>8</v>
      </c>
      <c r="H1014" s="80" t="s">
        <v>1319</v>
      </c>
      <c r="I1014" s="80">
        <v>9</v>
      </c>
      <c r="J1014" s="80"/>
      <c r="K1014" s="80"/>
      <c r="L1014" s="80"/>
      <c r="M1014" s="1" t="s">
        <v>1434</v>
      </c>
      <c r="N1014" s="1">
        <v>4</v>
      </c>
      <c r="O1014" s="1">
        <v>3</v>
      </c>
      <c r="P1014" s="13">
        <v>44953</v>
      </c>
      <c r="Q1014" s="1" t="s">
        <v>133</v>
      </c>
      <c r="R1014" s="1" t="s">
        <v>31</v>
      </c>
      <c r="S1014" s="1">
        <v>1</v>
      </c>
      <c r="T1014" s="1" t="s">
        <v>11</v>
      </c>
      <c r="U1014" s="1" t="s">
        <v>11</v>
      </c>
      <c r="V1014" s="76">
        <v>7.666666666666667</v>
      </c>
      <c r="W1014" s="76">
        <v>1.3743685418725535</v>
      </c>
      <c r="X1014" s="77">
        <v>0.97014250014533165</v>
      </c>
      <c r="Y1014" s="77">
        <v>3</v>
      </c>
      <c r="Z1014" s="76">
        <v>8</v>
      </c>
      <c r="AA1014" s="76">
        <v>0</v>
      </c>
      <c r="AB1014" s="77">
        <v>0</v>
      </c>
      <c r="AC1014" s="77">
        <v>3</v>
      </c>
      <c r="AD1014" s="76">
        <v>8</v>
      </c>
      <c r="AE1014" s="76">
        <v>0</v>
      </c>
      <c r="AF1014" s="77">
        <v>0</v>
      </c>
      <c r="AG1014" s="77">
        <v>3</v>
      </c>
      <c r="AH1014" s="76">
        <v>6.666666666666667</v>
      </c>
      <c r="AI1014" s="76">
        <v>1.7950549357115013</v>
      </c>
      <c r="AJ1014" s="77">
        <v>1.2998673672393628</v>
      </c>
      <c r="AK1014" s="77">
        <v>4</v>
      </c>
      <c r="AL1014" s="76"/>
      <c r="AM1014" s="76"/>
      <c r="AN1014" s="77"/>
      <c r="AO1014" s="77"/>
      <c r="AP1014" s="76"/>
      <c r="AQ1014" s="76"/>
      <c r="AR1014" s="77"/>
      <c r="AS1014" s="77"/>
      <c r="AT1014" s="78">
        <v>0.8125</v>
      </c>
    </row>
    <row r="1015" spans="1:46" ht="12.5" x14ac:dyDescent="0.25">
      <c r="A1015" s="79">
        <v>44953.522821550927</v>
      </c>
      <c r="B1015" s="80" t="s">
        <v>20</v>
      </c>
      <c r="C1015" s="80" t="str">
        <f>INDEX(TBL_Name,MATCH(Table2[[#This Row],[Athlete Name]],listNames,0),2)</f>
        <v>Athlete 12</v>
      </c>
      <c r="D1015" s="80" t="s">
        <v>143</v>
      </c>
      <c r="E1015" s="80">
        <v>7</v>
      </c>
      <c r="F1015" s="80">
        <v>7</v>
      </c>
      <c r="G1015" s="80">
        <v>9</v>
      </c>
      <c r="H1015" s="80" t="s">
        <v>1435</v>
      </c>
      <c r="I1015" s="80">
        <v>5</v>
      </c>
      <c r="J1015" s="80"/>
      <c r="K1015" s="80"/>
      <c r="L1015" s="80"/>
      <c r="M1015" s="1" t="s">
        <v>1436</v>
      </c>
      <c r="N1015" s="1">
        <v>4</v>
      </c>
      <c r="O1015" s="1">
        <v>3</v>
      </c>
      <c r="P1015" s="13">
        <v>44953</v>
      </c>
      <c r="Q1015" s="1" t="s">
        <v>133</v>
      </c>
      <c r="R1015" s="1" t="s">
        <v>31</v>
      </c>
      <c r="S1015" s="1">
        <v>2</v>
      </c>
      <c r="T1015" s="1" t="s">
        <v>18</v>
      </c>
      <c r="U1015" s="1" t="s">
        <v>18</v>
      </c>
      <c r="V1015" s="76">
        <v>8</v>
      </c>
      <c r="W1015" s="76">
        <v>0.81649658092772603</v>
      </c>
      <c r="X1015" s="77">
        <v>-1.2247448713915889</v>
      </c>
      <c r="Y1015" s="77">
        <v>1</v>
      </c>
      <c r="Z1015" s="76">
        <v>8</v>
      </c>
      <c r="AA1015" s="76">
        <v>0.81649658092772603</v>
      </c>
      <c r="AB1015" s="77">
        <v>-1.2247448713915889</v>
      </c>
      <c r="AC1015" s="77">
        <v>1</v>
      </c>
      <c r="AD1015" s="76">
        <v>8.6666666666666661</v>
      </c>
      <c r="AE1015" s="76">
        <v>0.47140452079103179</v>
      </c>
      <c r="AF1015" s="77">
        <v>0.70710678118654857</v>
      </c>
      <c r="AG1015" s="77">
        <v>3</v>
      </c>
      <c r="AH1015" s="76">
        <v>6.666666666666667</v>
      </c>
      <c r="AI1015" s="76">
        <v>1.699673171197595</v>
      </c>
      <c r="AJ1015" s="77">
        <v>-0.98058067569092033</v>
      </c>
      <c r="AK1015" s="77">
        <v>2</v>
      </c>
      <c r="AL1015" s="76"/>
      <c r="AM1015" s="76"/>
      <c r="AN1015" s="77"/>
      <c r="AO1015" s="77"/>
      <c r="AP1015" s="76"/>
      <c r="AQ1015" s="76"/>
      <c r="AR1015" s="77"/>
      <c r="AS1015" s="77"/>
      <c r="AT1015" s="78">
        <v>0.4375</v>
      </c>
    </row>
    <row r="1016" spans="1:46" ht="12.5" x14ac:dyDescent="0.25">
      <c r="A1016" s="79">
        <v>44953.592860902776</v>
      </c>
      <c r="B1016" s="80" t="s">
        <v>29</v>
      </c>
      <c r="C1016" s="80" t="str">
        <f>INDEX(TBL_Name,MATCH(Table2[[#This Row],[Athlete Name]],listNames,0),2)</f>
        <v>Athlete 18</v>
      </c>
      <c r="D1016" s="80" t="s">
        <v>130</v>
      </c>
      <c r="E1016" s="80">
        <v>9</v>
      </c>
      <c r="F1016" s="80">
        <v>10</v>
      </c>
      <c r="G1016" s="80">
        <v>8</v>
      </c>
      <c r="H1016" s="80" t="s">
        <v>1437</v>
      </c>
      <c r="I1016" s="80">
        <v>9</v>
      </c>
      <c r="J1016" s="80"/>
      <c r="K1016" s="80"/>
      <c r="L1016" s="80"/>
      <c r="M1016" s="1" t="s">
        <v>1438</v>
      </c>
      <c r="N1016" s="1">
        <v>4</v>
      </c>
      <c r="O1016" s="1">
        <v>3</v>
      </c>
      <c r="P1016" s="13">
        <v>44953</v>
      </c>
      <c r="Q1016" s="1" t="s">
        <v>133</v>
      </c>
      <c r="R1016" s="1" t="s">
        <v>31</v>
      </c>
      <c r="S1016" s="1">
        <v>1</v>
      </c>
      <c r="T1016" s="1" t="s">
        <v>28</v>
      </c>
      <c r="U1016" s="1" t="s">
        <v>28</v>
      </c>
      <c r="V1016" s="76">
        <v>9.5</v>
      </c>
      <c r="W1016" s="76">
        <v>0.5</v>
      </c>
      <c r="X1016" s="77">
        <v>-1</v>
      </c>
      <c r="Y1016" s="77">
        <v>1</v>
      </c>
      <c r="Z1016" s="76">
        <v>9.1666666666666661</v>
      </c>
      <c r="AA1016" s="76">
        <v>0.89752746785575077</v>
      </c>
      <c r="AB1016" s="77">
        <v>0.92847669088525986</v>
      </c>
      <c r="AC1016" s="77">
        <v>3</v>
      </c>
      <c r="AD1016" s="76">
        <v>8</v>
      </c>
      <c r="AE1016" s="76">
        <v>0</v>
      </c>
      <c r="AF1016" s="77">
        <v>0</v>
      </c>
      <c r="AG1016" s="77">
        <v>3</v>
      </c>
      <c r="AH1016" s="76">
        <v>7</v>
      </c>
      <c r="AI1016" s="76">
        <v>1.1547005383792515</v>
      </c>
      <c r="AJ1016" s="77">
        <v>1.7320508075688774</v>
      </c>
      <c r="AK1016" s="77">
        <v>4</v>
      </c>
      <c r="AL1016" s="76"/>
      <c r="AM1016" s="76"/>
      <c r="AN1016" s="77"/>
      <c r="AO1016" s="77"/>
      <c r="AP1016" s="76"/>
      <c r="AQ1016" s="76"/>
      <c r="AR1016" s="77"/>
      <c r="AS1016" s="77"/>
      <c r="AT1016" s="78">
        <v>0.6875</v>
      </c>
    </row>
    <row r="1017" spans="1:46" ht="12.5" x14ac:dyDescent="0.25">
      <c r="A1017" s="79">
        <v>44954.369862499996</v>
      </c>
      <c r="B1017" s="80" t="s">
        <v>21</v>
      </c>
      <c r="C1017" s="80" t="str">
        <f>INDEX(TBL_Name,MATCH(Table2[[#This Row],[Athlete Name]],listNames,0),2)</f>
        <v>Athlete 13</v>
      </c>
      <c r="D1017" s="80" t="s">
        <v>143</v>
      </c>
      <c r="E1017" s="80">
        <v>8</v>
      </c>
      <c r="F1017" s="80">
        <v>9</v>
      </c>
      <c r="G1017" s="80">
        <v>8</v>
      </c>
      <c r="H1017" s="80" t="s">
        <v>1439</v>
      </c>
      <c r="I1017" s="80">
        <v>5</v>
      </c>
      <c r="J1017" s="80"/>
      <c r="K1017" s="80"/>
      <c r="L1017" s="80"/>
      <c r="M1017" s="1" t="s">
        <v>1440</v>
      </c>
      <c r="N1017" s="1">
        <v>4</v>
      </c>
      <c r="O1017" s="1">
        <v>3</v>
      </c>
      <c r="P1017" s="13">
        <v>44954</v>
      </c>
      <c r="Q1017" s="1" t="s">
        <v>133</v>
      </c>
      <c r="R1017" s="1" t="s">
        <v>31</v>
      </c>
      <c r="S1017" s="1">
        <v>2</v>
      </c>
      <c r="T1017" s="1" t="s">
        <v>18</v>
      </c>
      <c r="U1017" s="1" t="s">
        <v>18</v>
      </c>
      <c r="V1017" s="76">
        <v>7</v>
      </c>
      <c r="W1017" s="76">
        <v>0.75592894601845451</v>
      </c>
      <c r="X1017" s="77">
        <v>1.3228756555322951</v>
      </c>
      <c r="Y1017" s="77">
        <v>4</v>
      </c>
      <c r="Z1017" s="76">
        <v>7.4285714285714288</v>
      </c>
      <c r="AA1017" s="76">
        <v>1.3997084244475302</v>
      </c>
      <c r="AB1017" s="77">
        <v>1.1226827987756232</v>
      </c>
      <c r="AC1017" s="77">
        <v>4</v>
      </c>
      <c r="AD1017" s="76">
        <v>8</v>
      </c>
      <c r="AE1017" s="76">
        <v>0.5345224838248489</v>
      </c>
      <c r="AF1017" s="77">
        <v>0</v>
      </c>
      <c r="AG1017" s="77">
        <v>3</v>
      </c>
      <c r="AH1017" s="76">
        <v>6</v>
      </c>
      <c r="AI1017" s="76">
        <v>0.75592894601845462</v>
      </c>
      <c r="AJ1017" s="77">
        <v>-1.3228756555322949</v>
      </c>
      <c r="AK1017" s="77">
        <v>1</v>
      </c>
      <c r="AL1017" s="76"/>
      <c r="AM1017" s="76"/>
      <c r="AN1017" s="77"/>
      <c r="AO1017" s="77"/>
      <c r="AP1017" s="76"/>
      <c r="AQ1017" s="76"/>
      <c r="AR1017" s="77"/>
      <c r="AS1017" s="77"/>
      <c r="AT1017" s="78">
        <v>0.75</v>
      </c>
    </row>
    <row r="1018" spans="1:46" ht="12.5" x14ac:dyDescent="0.25">
      <c r="A1018" s="79">
        <v>44954.454471435187</v>
      </c>
      <c r="B1018" s="80" t="s">
        <v>10</v>
      </c>
      <c r="C1018" s="80" t="str">
        <f>INDEX(TBL_Name,MATCH(Table2[[#This Row],[Athlete Name]],listNames,0),2)</f>
        <v>Athlete 5</v>
      </c>
      <c r="D1018" s="80" t="s">
        <v>130</v>
      </c>
      <c r="E1018" s="80">
        <v>9</v>
      </c>
      <c r="F1018" s="80">
        <v>8</v>
      </c>
      <c r="G1018" s="80">
        <v>8</v>
      </c>
      <c r="H1018" s="80" t="s">
        <v>1319</v>
      </c>
      <c r="I1018" s="80">
        <v>7</v>
      </c>
      <c r="J1018" s="80"/>
      <c r="K1018" s="80"/>
      <c r="L1018" s="80"/>
      <c r="M1018" s="1" t="s">
        <v>1441</v>
      </c>
      <c r="N1018" s="1">
        <v>4</v>
      </c>
      <c r="O1018" s="1">
        <v>3</v>
      </c>
      <c r="P1018" s="13">
        <v>44954</v>
      </c>
      <c r="Q1018" s="1" t="s">
        <v>133</v>
      </c>
      <c r="R1018" s="1" t="s">
        <v>31</v>
      </c>
      <c r="S1018" s="1">
        <v>1</v>
      </c>
      <c r="T1018" s="1" t="s">
        <v>11</v>
      </c>
      <c r="U1018" s="1" t="s">
        <v>11</v>
      </c>
      <c r="V1018" s="76">
        <v>7.8571428571428568</v>
      </c>
      <c r="W1018" s="76">
        <v>1.3552618543578769</v>
      </c>
      <c r="X1018" s="77">
        <v>0.84327404271156803</v>
      </c>
      <c r="Y1018" s="77">
        <v>3</v>
      </c>
      <c r="Z1018" s="76">
        <v>8</v>
      </c>
      <c r="AA1018" s="76">
        <v>0</v>
      </c>
      <c r="AB1018" s="77">
        <v>0</v>
      </c>
      <c r="AC1018" s="77">
        <v>3</v>
      </c>
      <c r="AD1018" s="76">
        <v>8</v>
      </c>
      <c r="AE1018" s="76">
        <v>0</v>
      </c>
      <c r="AF1018" s="77">
        <v>0</v>
      </c>
      <c r="AG1018" s="77">
        <v>3</v>
      </c>
      <c r="AH1018" s="76">
        <v>6.7142857142857144</v>
      </c>
      <c r="AI1018" s="76">
        <v>1.6659862556700857</v>
      </c>
      <c r="AJ1018" s="77">
        <v>0.17149858514250876</v>
      </c>
      <c r="AK1018" s="77">
        <v>3</v>
      </c>
      <c r="AL1018" s="76"/>
      <c r="AM1018" s="76"/>
      <c r="AN1018" s="77"/>
      <c r="AO1018" s="77"/>
      <c r="AP1018" s="76"/>
      <c r="AQ1018" s="76"/>
      <c r="AR1018" s="77"/>
      <c r="AS1018" s="77"/>
      <c r="AT1018" s="78">
        <v>0.75</v>
      </c>
    </row>
    <row r="1019" spans="1:46" ht="12.5" x14ac:dyDescent="0.25">
      <c r="A1019" s="79">
        <v>44955.49081614583</v>
      </c>
      <c r="B1019" s="80" t="s">
        <v>21</v>
      </c>
      <c r="C1019" s="80" t="str">
        <f>INDEX(TBL_Name,MATCH(Table2[[#This Row],[Athlete Name]],listNames,0),2)</f>
        <v>Athlete 13</v>
      </c>
      <c r="D1019" s="80" t="s">
        <v>143</v>
      </c>
      <c r="E1019" s="80">
        <v>7</v>
      </c>
      <c r="F1019" s="80">
        <v>9</v>
      </c>
      <c r="G1019" s="80">
        <v>9</v>
      </c>
      <c r="H1019" s="80" t="s">
        <v>1432</v>
      </c>
      <c r="I1019" s="80">
        <v>7</v>
      </c>
      <c r="J1019" s="80"/>
      <c r="K1019" s="80"/>
      <c r="L1019" s="80"/>
      <c r="M1019" s="1" t="s">
        <v>1442</v>
      </c>
      <c r="N1019" s="1">
        <v>5</v>
      </c>
      <c r="O1019" s="1">
        <v>4</v>
      </c>
      <c r="P1019" s="13">
        <v>44955</v>
      </c>
      <c r="Q1019" s="1" t="s">
        <v>133</v>
      </c>
      <c r="R1019" s="1" t="s">
        <v>31</v>
      </c>
      <c r="S1019" s="1">
        <v>2</v>
      </c>
      <c r="T1019" s="1" t="s">
        <v>18</v>
      </c>
      <c r="U1019" s="1" t="s">
        <v>18</v>
      </c>
      <c r="V1019" s="76">
        <v>7</v>
      </c>
      <c r="W1019" s="76">
        <v>0.7559289460184544</v>
      </c>
      <c r="X1019" s="77">
        <v>0</v>
      </c>
      <c r="Y1019" s="77">
        <v>3</v>
      </c>
      <c r="Z1019" s="76">
        <v>7.4285714285714288</v>
      </c>
      <c r="AA1019" s="76">
        <v>1.3997084244475306</v>
      </c>
      <c r="AB1019" s="77">
        <v>1.1226827987756229</v>
      </c>
      <c r="AC1019" s="77">
        <v>4</v>
      </c>
      <c r="AD1019" s="76">
        <v>8</v>
      </c>
      <c r="AE1019" s="76">
        <v>0.5345224838248489</v>
      </c>
      <c r="AF1019" s="77">
        <v>1.8708286933869702</v>
      </c>
      <c r="AG1019" s="77">
        <v>4</v>
      </c>
      <c r="AH1019" s="76">
        <v>6</v>
      </c>
      <c r="AI1019" s="76">
        <v>0.7559289460184544</v>
      </c>
      <c r="AJ1019" s="77">
        <v>1.3228756555322954</v>
      </c>
      <c r="AK1019" s="77">
        <v>4</v>
      </c>
      <c r="AL1019" s="76"/>
      <c r="AM1019" s="76"/>
      <c r="AN1019" s="77"/>
      <c r="AO1019" s="77"/>
      <c r="AP1019" s="76"/>
      <c r="AQ1019" s="76"/>
      <c r="AR1019" s="77"/>
      <c r="AS1019" s="77"/>
      <c r="AT1019" s="78">
        <v>0.9375</v>
      </c>
    </row>
    <row r="1020" spans="1:46" ht="12.5" x14ac:dyDescent="0.25">
      <c r="A1020" s="79">
        <v>44955.962842847221</v>
      </c>
      <c r="B1020" s="80" t="s">
        <v>10</v>
      </c>
      <c r="C1020" s="80" t="str">
        <f>INDEX(TBL_Name,MATCH(Table2[[#This Row],[Athlete Name]],listNames,0),2)</f>
        <v>Athlete 5</v>
      </c>
      <c r="D1020" s="80" t="s">
        <v>130</v>
      </c>
      <c r="E1020" s="80">
        <v>9</v>
      </c>
      <c r="F1020" s="80">
        <v>8</v>
      </c>
      <c r="G1020" s="80">
        <v>8</v>
      </c>
      <c r="H1020" s="80" t="s">
        <v>226</v>
      </c>
      <c r="I1020" s="80">
        <v>9</v>
      </c>
      <c r="J1020" s="80"/>
      <c r="K1020" s="80"/>
      <c r="L1020" s="80"/>
      <c r="M1020" s="1" t="s">
        <v>1443</v>
      </c>
      <c r="N1020" s="1">
        <v>5</v>
      </c>
      <c r="O1020" s="1">
        <v>4</v>
      </c>
      <c r="P1020" s="13">
        <v>44955</v>
      </c>
      <c r="Q1020" s="1" t="s">
        <v>133</v>
      </c>
      <c r="R1020" s="1" t="s">
        <v>31</v>
      </c>
      <c r="S1020" s="1">
        <v>1</v>
      </c>
      <c r="T1020" s="1" t="s">
        <v>11</v>
      </c>
      <c r="U1020" s="1" t="s">
        <v>11</v>
      </c>
      <c r="V1020" s="76">
        <v>7.8571428571428568</v>
      </c>
      <c r="W1020" s="76">
        <v>1.3552618543578767</v>
      </c>
      <c r="X1020" s="77">
        <v>0.84327404271156814</v>
      </c>
      <c r="Y1020" s="77">
        <v>3</v>
      </c>
      <c r="Z1020" s="76">
        <v>8</v>
      </c>
      <c r="AA1020" s="76">
        <v>0</v>
      </c>
      <c r="AB1020" s="77">
        <v>0</v>
      </c>
      <c r="AC1020" s="77">
        <v>3</v>
      </c>
      <c r="AD1020" s="76">
        <v>8</v>
      </c>
      <c r="AE1020" s="76">
        <v>0</v>
      </c>
      <c r="AF1020" s="77">
        <v>0</v>
      </c>
      <c r="AG1020" s="77">
        <v>3</v>
      </c>
      <c r="AH1020" s="76">
        <v>7</v>
      </c>
      <c r="AI1020" s="76">
        <v>1.8516401995451033</v>
      </c>
      <c r="AJ1020" s="77">
        <v>1.0801234497346432</v>
      </c>
      <c r="AK1020" s="77">
        <v>4</v>
      </c>
      <c r="AL1020" s="76"/>
      <c r="AM1020" s="76"/>
      <c r="AN1020" s="77"/>
      <c r="AO1020" s="77"/>
      <c r="AP1020" s="76"/>
      <c r="AQ1020" s="76"/>
      <c r="AR1020" s="77"/>
      <c r="AS1020" s="77"/>
      <c r="AT1020" s="78">
        <v>0.8125</v>
      </c>
    </row>
    <row r="1021" spans="1:46" ht="12.5" x14ac:dyDescent="0.25">
      <c r="A1021" s="79">
        <v>44956.334716608791</v>
      </c>
      <c r="B1021" s="80" t="s">
        <v>10</v>
      </c>
      <c r="C1021" s="80" t="str">
        <f>INDEX(TBL_Name,MATCH(Table2[[#This Row],[Athlete Name]],listNames,0),2)</f>
        <v>Athlete 5</v>
      </c>
      <c r="D1021" s="80" t="s">
        <v>130</v>
      </c>
      <c r="E1021" s="80">
        <v>8</v>
      </c>
      <c r="F1021" s="80">
        <v>7</v>
      </c>
      <c r="G1021" s="80">
        <v>7</v>
      </c>
      <c r="H1021" s="80" t="s">
        <v>69</v>
      </c>
      <c r="I1021" s="80">
        <v>9</v>
      </c>
      <c r="J1021" s="80"/>
      <c r="K1021" s="80"/>
      <c r="L1021" s="80"/>
      <c r="M1021" s="1" t="s">
        <v>1444</v>
      </c>
      <c r="N1021" s="1">
        <v>5</v>
      </c>
      <c r="O1021" s="1">
        <v>4</v>
      </c>
      <c r="P1021" s="13">
        <v>44956</v>
      </c>
      <c r="Q1021" s="1" t="s">
        <v>133</v>
      </c>
      <c r="R1021" s="1" t="s">
        <v>31</v>
      </c>
      <c r="S1021" s="1">
        <v>1</v>
      </c>
      <c r="T1021" s="1" t="s">
        <v>11</v>
      </c>
      <c r="U1021" s="1" t="s">
        <v>11</v>
      </c>
      <c r="V1021" s="76">
        <v>7.8571428571428568</v>
      </c>
      <c r="W1021" s="76">
        <v>1.3552618543578769</v>
      </c>
      <c r="X1021" s="77">
        <v>0.10540925533894625</v>
      </c>
      <c r="Y1021" s="77">
        <v>3</v>
      </c>
      <c r="Z1021" s="76">
        <v>7.8571428571428568</v>
      </c>
      <c r="AA1021" s="76">
        <v>0.34992710611188249</v>
      </c>
      <c r="AB1021" s="77">
        <v>-2.4494897427831779</v>
      </c>
      <c r="AC1021" s="77">
        <v>1</v>
      </c>
      <c r="AD1021" s="76">
        <v>7.8571428571428568</v>
      </c>
      <c r="AE1021" s="76">
        <v>0.34992710611188249</v>
      </c>
      <c r="AF1021" s="77">
        <v>-2.4494897427831779</v>
      </c>
      <c r="AG1021" s="77">
        <v>1</v>
      </c>
      <c r="AH1021" s="76">
        <v>7.2857142857142856</v>
      </c>
      <c r="AI1021" s="76">
        <v>1.979486637221574</v>
      </c>
      <c r="AJ1021" s="77">
        <v>0.86602540378443871</v>
      </c>
      <c r="AK1021" s="77">
        <v>3</v>
      </c>
      <c r="AL1021" s="76"/>
      <c r="AM1021" s="76"/>
      <c r="AN1021" s="77"/>
      <c r="AO1021" s="77"/>
      <c r="AP1021" s="76"/>
      <c r="AQ1021" s="76"/>
      <c r="AR1021" s="77"/>
      <c r="AS1021" s="77"/>
      <c r="AT1021" s="78">
        <v>0.5</v>
      </c>
    </row>
    <row r="1022" spans="1:46" ht="12.5" x14ac:dyDescent="0.25">
      <c r="A1022" s="79">
        <v>44956.334853807872</v>
      </c>
      <c r="B1022" s="80" t="s">
        <v>22</v>
      </c>
      <c r="C1022" s="80" t="str">
        <f>INDEX(TBL_Name,MATCH(Table2[[#This Row],[Athlete Name]],listNames,0),2)</f>
        <v>Athlete 14</v>
      </c>
      <c r="D1022" s="80" t="s">
        <v>130</v>
      </c>
      <c r="E1022" s="80">
        <v>7</v>
      </c>
      <c r="F1022" s="80">
        <v>4</v>
      </c>
      <c r="G1022" s="80">
        <v>6</v>
      </c>
      <c r="H1022" s="80" t="s">
        <v>1445</v>
      </c>
      <c r="I1022" s="80">
        <v>7</v>
      </c>
      <c r="J1022" s="80"/>
      <c r="K1022" s="80"/>
      <c r="L1022" s="80"/>
      <c r="M1022" s="1" t="s">
        <v>1446</v>
      </c>
      <c r="N1022" s="1">
        <v>5</v>
      </c>
      <c r="O1022" s="1">
        <v>4</v>
      </c>
      <c r="P1022" s="13">
        <v>44956</v>
      </c>
      <c r="Q1022" s="1" t="s">
        <v>133</v>
      </c>
      <c r="R1022" s="1" t="s">
        <v>31</v>
      </c>
      <c r="S1022" s="1">
        <v>1</v>
      </c>
      <c r="T1022" s="1" t="s">
        <v>18</v>
      </c>
      <c r="U1022" s="1" t="s">
        <v>18</v>
      </c>
      <c r="V1022" s="76">
        <v>7</v>
      </c>
      <c r="W1022" s="76">
        <v>0</v>
      </c>
      <c r="X1022" s="77">
        <v>0</v>
      </c>
      <c r="Y1022" s="77">
        <v>3</v>
      </c>
      <c r="Z1022" s="76">
        <v>5</v>
      </c>
      <c r="AA1022" s="76">
        <v>0.81649658092772603</v>
      </c>
      <c r="AB1022" s="77">
        <v>-1.2247448713915889</v>
      </c>
      <c r="AC1022" s="77">
        <v>1</v>
      </c>
      <c r="AD1022" s="76">
        <v>7</v>
      </c>
      <c r="AE1022" s="76">
        <v>0.81649658092772603</v>
      </c>
      <c r="AF1022" s="77">
        <v>-1.2247448713915889</v>
      </c>
      <c r="AG1022" s="77">
        <v>1</v>
      </c>
      <c r="AH1022" s="76">
        <v>5</v>
      </c>
      <c r="AI1022" s="76">
        <v>1.4142135623730951</v>
      </c>
      <c r="AJ1022" s="77">
        <v>1.4142135623730949</v>
      </c>
      <c r="AK1022" s="77">
        <v>4</v>
      </c>
      <c r="AL1022" s="76"/>
      <c r="AM1022" s="76"/>
      <c r="AN1022" s="77"/>
      <c r="AO1022" s="77"/>
      <c r="AP1022" s="76"/>
      <c r="AQ1022" s="76"/>
      <c r="AR1022" s="77"/>
      <c r="AS1022" s="77"/>
      <c r="AT1022" s="78">
        <v>0.5625</v>
      </c>
    </row>
    <row r="1023" spans="1:46" ht="12.5" x14ac:dyDescent="0.25">
      <c r="A1023" s="79">
        <v>44956.353616898152</v>
      </c>
      <c r="B1023" s="80" t="s">
        <v>16</v>
      </c>
      <c r="C1023" s="80" t="str">
        <f>INDEX(TBL_Name,MATCH(Table2[[#This Row],[Athlete Name]],listNames,0),2)</f>
        <v>Athlete 9</v>
      </c>
      <c r="D1023" s="80" t="s">
        <v>130</v>
      </c>
      <c r="E1023" s="80">
        <v>8</v>
      </c>
      <c r="F1023" s="80">
        <v>6</v>
      </c>
      <c r="G1023" s="80">
        <v>8</v>
      </c>
      <c r="H1023" s="80" t="s">
        <v>415</v>
      </c>
      <c r="I1023" s="80">
        <v>8</v>
      </c>
      <c r="J1023" s="80"/>
      <c r="K1023" s="80"/>
      <c r="L1023" s="80"/>
      <c r="M1023" s="1" t="s">
        <v>1447</v>
      </c>
      <c r="N1023" s="1">
        <v>5</v>
      </c>
      <c r="O1023" s="1">
        <v>4</v>
      </c>
      <c r="P1023" s="13">
        <v>44956</v>
      </c>
      <c r="Q1023" s="1" t="s">
        <v>133</v>
      </c>
      <c r="R1023" s="1" t="s">
        <v>31</v>
      </c>
      <c r="S1023" s="1">
        <v>1</v>
      </c>
      <c r="T1023" s="1" t="s">
        <v>14</v>
      </c>
      <c r="U1023" s="1" t="s">
        <v>14</v>
      </c>
      <c r="V1023" s="76">
        <v>8</v>
      </c>
      <c r="W1023" s="76">
        <v>0</v>
      </c>
      <c r="X1023" s="77">
        <v>0</v>
      </c>
      <c r="Y1023" s="77">
        <v>3</v>
      </c>
      <c r="Z1023" s="76">
        <v>6.5</v>
      </c>
      <c r="AA1023" s="76">
        <v>0.5</v>
      </c>
      <c r="AB1023" s="77">
        <v>-1</v>
      </c>
      <c r="AC1023" s="77">
        <v>1</v>
      </c>
      <c r="AD1023" s="76">
        <v>7</v>
      </c>
      <c r="AE1023" s="76">
        <v>1</v>
      </c>
      <c r="AF1023" s="77">
        <v>1</v>
      </c>
      <c r="AG1023" s="77">
        <v>4</v>
      </c>
      <c r="AH1023" s="76">
        <v>6.5</v>
      </c>
      <c r="AI1023" s="76">
        <v>1.5</v>
      </c>
      <c r="AJ1023" s="77">
        <v>1</v>
      </c>
      <c r="AK1023" s="77">
        <v>4</v>
      </c>
      <c r="AL1023" s="76"/>
      <c r="AM1023" s="76"/>
      <c r="AN1023" s="77"/>
      <c r="AO1023" s="77"/>
      <c r="AP1023" s="76"/>
      <c r="AQ1023" s="76"/>
      <c r="AR1023" s="77"/>
      <c r="AS1023" s="77"/>
      <c r="AT1023" s="78">
        <v>0.75</v>
      </c>
    </row>
    <row r="1024" spans="1:46" ht="12.5" x14ac:dyDescent="0.25">
      <c r="A1024" s="79">
        <v>44956.3657990625</v>
      </c>
      <c r="B1024" s="80" t="s">
        <v>19</v>
      </c>
      <c r="C1024" s="80" t="str">
        <f>INDEX(TBL_Name,MATCH(Table2[[#This Row],[Athlete Name]],listNames,0),2)</f>
        <v>Athlete 11</v>
      </c>
      <c r="D1024" s="80" t="s">
        <v>130</v>
      </c>
      <c r="E1024" s="80">
        <v>7</v>
      </c>
      <c r="F1024" s="80">
        <v>9</v>
      </c>
      <c r="G1024" s="80">
        <v>9</v>
      </c>
      <c r="H1024" s="80" t="s">
        <v>193</v>
      </c>
      <c r="I1024" s="80">
        <v>8</v>
      </c>
      <c r="J1024" s="80"/>
      <c r="K1024" s="80"/>
      <c r="L1024" s="80"/>
      <c r="M1024" s="1" t="s">
        <v>1448</v>
      </c>
      <c r="N1024" s="1">
        <v>5</v>
      </c>
      <c r="O1024" s="1">
        <v>4</v>
      </c>
      <c r="P1024" s="13">
        <v>44956</v>
      </c>
      <c r="Q1024" s="1" t="s">
        <v>133</v>
      </c>
      <c r="R1024" s="1" t="s">
        <v>31</v>
      </c>
      <c r="S1024" s="1">
        <v>1</v>
      </c>
      <c r="T1024" s="1" t="s">
        <v>18</v>
      </c>
      <c r="U1024" s="1" t="s">
        <v>18</v>
      </c>
      <c r="V1024" s="76">
        <v>7.2</v>
      </c>
      <c r="W1024" s="76">
        <v>0.40000000000000008</v>
      </c>
      <c r="X1024" s="77">
        <v>-0.50000000000000033</v>
      </c>
      <c r="Y1024" s="77">
        <v>2</v>
      </c>
      <c r="Z1024" s="76">
        <v>7.6</v>
      </c>
      <c r="AA1024" s="76">
        <v>1.8547236990991409</v>
      </c>
      <c r="AB1024" s="77">
        <v>0.75482941242406898</v>
      </c>
      <c r="AC1024" s="77">
        <v>3</v>
      </c>
      <c r="AD1024" s="76">
        <v>8.4</v>
      </c>
      <c r="AE1024" s="76">
        <v>0.48989794855663549</v>
      </c>
      <c r="AF1024" s="77">
        <v>1.2247448713915887</v>
      </c>
      <c r="AG1024" s="77">
        <v>4</v>
      </c>
      <c r="AH1024" s="76">
        <v>5</v>
      </c>
      <c r="AI1024" s="76">
        <v>1.6733200530681511</v>
      </c>
      <c r="AJ1024" s="77">
        <v>1.7928429140015905</v>
      </c>
      <c r="AK1024" s="77">
        <v>4</v>
      </c>
      <c r="AL1024" s="76"/>
      <c r="AM1024" s="76"/>
      <c r="AN1024" s="77"/>
      <c r="AO1024" s="77"/>
      <c r="AP1024" s="76"/>
      <c r="AQ1024" s="76"/>
      <c r="AR1024" s="77"/>
      <c r="AS1024" s="77"/>
      <c r="AT1024" s="78">
        <v>0.8125</v>
      </c>
    </row>
    <row r="1025" spans="1:46" ht="12.5" x14ac:dyDescent="0.25">
      <c r="A1025" s="79">
        <v>44956.399235104167</v>
      </c>
      <c r="B1025" s="80" t="s">
        <v>17</v>
      </c>
      <c r="C1025" s="80" t="str">
        <f>INDEX(TBL_Name,MATCH(Table2[[#This Row],[Athlete Name]],listNames,0),2)</f>
        <v>Athlete 10</v>
      </c>
      <c r="D1025" s="80" t="s">
        <v>130</v>
      </c>
      <c r="E1025" s="80">
        <v>9</v>
      </c>
      <c r="F1025" s="80">
        <v>7</v>
      </c>
      <c r="G1025" s="80">
        <v>7</v>
      </c>
      <c r="H1025" s="80" t="s">
        <v>71</v>
      </c>
      <c r="I1025" s="80">
        <v>8</v>
      </c>
      <c r="J1025" s="80"/>
      <c r="K1025" s="80"/>
      <c r="L1025" s="80"/>
      <c r="M1025" s="1" t="s">
        <v>1449</v>
      </c>
      <c r="N1025" s="1">
        <v>5</v>
      </c>
      <c r="O1025" s="1">
        <v>4</v>
      </c>
      <c r="P1025" s="13">
        <v>44956</v>
      </c>
      <c r="Q1025" s="1" t="s">
        <v>133</v>
      </c>
      <c r="R1025" s="1" t="s">
        <v>31</v>
      </c>
      <c r="S1025" s="1">
        <v>1</v>
      </c>
      <c r="T1025" s="1" t="s">
        <v>18</v>
      </c>
      <c r="U1025" s="1" t="s">
        <v>18</v>
      </c>
      <c r="V1025" s="76">
        <v>7</v>
      </c>
      <c r="W1025" s="76">
        <v>1.8708286933869709</v>
      </c>
      <c r="X1025" s="77">
        <v>1.0690449676496974</v>
      </c>
      <c r="Y1025" s="77">
        <v>4</v>
      </c>
      <c r="Z1025" s="76">
        <v>7</v>
      </c>
      <c r="AA1025" s="76">
        <v>1.2247448713915889</v>
      </c>
      <c r="AB1025" s="77">
        <v>0</v>
      </c>
      <c r="AC1025" s="77">
        <v>3</v>
      </c>
      <c r="AD1025" s="76">
        <v>7.25</v>
      </c>
      <c r="AE1025" s="76">
        <v>1.4790199457749043</v>
      </c>
      <c r="AF1025" s="77">
        <v>-0.16903085094570328</v>
      </c>
      <c r="AG1025" s="77">
        <v>2</v>
      </c>
      <c r="AH1025" s="76">
        <v>6.75</v>
      </c>
      <c r="AI1025" s="76">
        <v>0.82915619758885006</v>
      </c>
      <c r="AJ1025" s="77">
        <v>1.507556722888818</v>
      </c>
      <c r="AK1025" s="77">
        <v>4</v>
      </c>
      <c r="AL1025" s="76"/>
      <c r="AM1025" s="76"/>
      <c r="AN1025" s="77"/>
      <c r="AO1025" s="77"/>
      <c r="AP1025" s="76"/>
      <c r="AQ1025" s="76"/>
      <c r="AR1025" s="77"/>
      <c r="AS1025" s="77"/>
      <c r="AT1025" s="78">
        <v>0.8125</v>
      </c>
    </row>
    <row r="1026" spans="1:46" ht="12.5" x14ac:dyDescent="0.25">
      <c r="A1026" s="79">
        <v>44956.402085324073</v>
      </c>
      <c r="B1026" s="80" t="s">
        <v>24</v>
      </c>
      <c r="C1026" s="80" t="str">
        <f>INDEX(TBL_Name,MATCH(Table2[[#This Row],[Athlete Name]],listNames,0),2)</f>
        <v>Athlete 16</v>
      </c>
      <c r="D1026" s="80" t="s">
        <v>130</v>
      </c>
      <c r="E1026" s="80">
        <v>8</v>
      </c>
      <c r="F1026" s="80">
        <v>7</v>
      </c>
      <c r="G1026" s="80">
        <v>6</v>
      </c>
      <c r="H1026" s="80" t="s">
        <v>362</v>
      </c>
      <c r="I1026" s="80">
        <v>8</v>
      </c>
      <c r="J1026" s="80"/>
      <c r="K1026" s="80"/>
      <c r="L1026" s="80"/>
      <c r="M1026" s="1" t="s">
        <v>1450</v>
      </c>
      <c r="N1026" s="1">
        <v>5</v>
      </c>
      <c r="O1026" s="1">
        <v>4</v>
      </c>
      <c r="P1026" s="13">
        <v>44956</v>
      </c>
      <c r="Q1026" s="1" t="s">
        <v>133</v>
      </c>
      <c r="R1026" s="1" t="s">
        <v>31</v>
      </c>
      <c r="S1026" s="1">
        <v>1</v>
      </c>
      <c r="T1026" s="1" t="s">
        <v>18</v>
      </c>
      <c r="U1026" s="1" t="s">
        <v>18</v>
      </c>
      <c r="V1026" s="76">
        <v>6.5</v>
      </c>
      <c r="W1026" s="76">
        <v>1.1180339887498949</v>
      </c>
      <c r="X1026" s="77">
        <v>1.3416407864998738</v>
      </c>
      <c r="Y1026" s="77">
        <v>4</v>
      </c>
      <c r="Z1026" s="76">
        <v>6.5</v>
      </c>
      <c r="AA1026" s="76">
        <v>0.86602540378443871</v>
      </c>
      <c r="AB1026" s="77">
        <v>0.57735026918962573</v>
      </c>
      <c r="AC1026" s="77">
        <v>3</v>
      </c>
      <c r="AD1026" s="76">
        <v>6</v>
      </c>
      <c r="AE1026" s="76">
        <v>0.70710678118654757</v>
      </c>
      <c r="AF1026" s="77">
        <v>0</v>
      </c>
      <c r="AG1026" s="77">
        <v>3</v>
      </c>
      <c r="AH1026" s="76">
        <v>4.75</v>
      </c>
      <c r="AI1026" s="76">
        <v>2.384848003542364</v>
      </c>
      <c r="AJ1026" s="77">
        <v>1.3627702877384937</v>
      </c>
      <c r="AK1026" s="77">
        <v>4</v>
      </c>
      <c r="AL1026" s="76"/>
      <c r="AM1026" s="76"/>
      <c r="AN1026" s="77"/>
      <c r="AO1026" s="77"/>
      <c r="AP1026" s="76"/>
      <c r="AQ1026" s="76"/>
      <c r="AR1026" s="77"/>
      <c r="AS1026" s="77"/>
      <c r="AT1026" s="78">
        <v>0.875</v>
      </c>
    </row>
    <row r="1027" spans="1:46" ht="12.5" x14ac:dyDescent="0.25">
      <c r="A1027" s="79">
        <v>44956.425227905092</v>
      </c>
      <c r="B1027" s="80" t="s">
        <v>9</v>
      </c>
      <c r="C1027" s="80" t="str">
        <f>INDEX(TBL_Name,MATCH(Table2[[#This Row],[Athlete Name]],listNames,0),2)</f>
        <v>Athlete 4</v>
      </c>
      <c r="D1027" s="80" t="s">
        <v>130</v>
      </c>
      <c r="E1027" s="80">
        <v>3</v>
      </c>
      <c r="F1027" s="80">
        <v>8</v>
      </c>
      <c r="G1027" s="80">
        <v>8</v>
      </c>
      <c r="H1027" s="80" t="s">
        <v>1451</v>
      </c>
      <c r="I1027" s="80">
        <v>4</v>
      </c>
      <c r="J1027" s="80"/>
      <c r="K1027" s="80"/>
      <c r="L1027" s="80"/>
      <c r="M1027" s="1" t="s">
        <v>1452</v>
      </c>
      <c r="N1027" s="1">
        <v>5</v>
      </c>
      <c r="O1027" s="1">
        <v>4</v>
      </c>
      <c r="P1027" s="13">
        <v>44956</v>
      </c>
      <c r="Q1027" s="1" t="s">
        <v>133</v>
      </c>
      <c r="R1027" s="1" t="s">
        <v>31</v>
      </c>
      <c r="S1027" s="1">
        <v>1</v>
      </c>
      <c r="T1027" s="1" t="s">
        <v>8</v>
      </c>
      <c r="U1027" s="1" t="s">
        <v>8</v>
      </c>
      <c r="V1027" s="76">
        <v>2.5</v>
      </c>
      <c r="W1027" s="76">
        <v>0.5</v>
      </c>
      <c r="X1027" s="77">
        <v>1</v>
      </c>
      <c r="Y1027" s="77">
        <v>4</v>
      </c>
      <c r="Z1027" s="76">
        <v>7.75</v>
      </c>
      <c r="AA1027" s="76">
        <v>0.43301270189221924</v>
      </c>
      <c r="AB1027" s="77">
        <v>0.57735026918962584</v>
      </c>
      <c r="AC1027" s="77">
        <v>3</v>
      </c>
      <c r="AD1027" s="76">
        <v>7.75</v>
      </c>
      <c r="AE1027" s="76">
        <v>0.43301270189221924</v>
      </c>
      <c r="AF1027" s="77">
        <v>0.57735026918962584</v>
      </c>
      <c r="AG1027" s="77">
        <v>3</v>
      </c>
      <c r="AH1027" s="76">
        <v>4.25</v>
      </c>
      <c r="AI1027" s="76">
        <v>0.43301270189221941</v>
      </c>
      <c r="AJ1027" s="77">
        <v>-0.57735026918962562</v>
      </c>
      <c r="AK1027" s="77">
        <v>2</v>
      </c>
      <c r="AL1027" s="76"/>
      <c r="AM1027" s="76"/>
      <c r="AN1027" s="77"/>
      <c r="AO1027" s="77"/>
      <c r="AP1027" s="76"/>
      <c r="AQ1027" s="76"/>
      <c r="AR1027" s="77"/>
      <c r="AS1027" s="77"/>
      <c r="AT1027" s="78">
        <v>0.75</v>
      </c>
    </row>
    <row r="1028" spans="1:46" ht="12.5" x14ac:dyDescent="0.25">
      <c r="A1028" s="79">
        <v>44956.450535474534</v>
      </c>
      <c r="B1028" s="80" t="s">
        <v>21</v>
      </c>
      <c r="C1028" s="80" t="str">
        <f>INDEX(TBL_Name,MATCH(Table2[[#This Row],[Athlete Name]],listNames,0),2)</f>
        <v>Athlete 13</v>
      </c>
      <c r="D1028" s="80" t="s">
        <v>143</v>
      </c>
      <c r="E1028" s="80">
        <v>8</v>
      </c>
      <c r="F1028" s="80">
        <v>9</v>
      </c>
      <c r="G1028" s="80">
        <v>9</v>
      </c>
      <c r="H1028" s="80" t="s">
        <v>1101</v>
      </c>
      <c r="I1028" s="80">
        <v>6</v>
      </c>
      <c r="J1028" s="80"/>
      <c r="K1028" s="80"/>
      <c r="L1028" s="80"/>
      <c r="M1028" s="1" t="s">
        <v>1453</v>
      </c>
      <c r="N1028" s="1">
        <v>5</v>
      </c>
      <c r="O1028" s="1">
        <v>4</v>
      </c>
      <c r="P1028" s="13">
        <v>44956</v>
      </c>
      <c r="Q1028" s="1" t="s">
        <v>133</v>
      </c>
      <c r="R1028" s="1" t="s">
        <v>31</v>
      </c>
      <c r="S1028" s="1">
        <v>2</v>
      </c>
      <c r="T1028" s="1" t="s">
        <v>18</v>
      </c>
      <c r="U1028" s="1" t="s">
        <v>18</v>
      </c>
      <c r="V1028" s="76">
        <v>7.2857142857142856</v>
      </c>
      <c r="W1028" s="76">
        <v>0.69985421222376509</v>
      </c>
      <c r="X1028" s="77">
        <v>1.0206207261596578</v>
      </c>
      <c r="Y1028" s="77">
        <v>4</v>
      </c>
      <c r="Z1028" s="76">
        <v>7.8571428571428568</v>
      </c>
      <c r="AA1028" s="76">
        <v>1.3552618543578767</v>
      </c>
      <c r="AB1028" s="77">
        <v>0.84327404271156814</v>
      </c>
      <c r="AC1028" s="77">
        <v>3</v>
      </c>
      <c r="AD1028" s="76">
        <v>8.1428571428571423</v>
      </c>
      <c r="AE1028" s="76">
        <v>0.63887656499993994</v>
      </c>
      <c r="AF1028" s="77">
        <v>1.3416407864998745</v>
      </c>
      <c r="AG1028" s="77">
        <v>4</v>
      </c>
      <c r="AH1028" s="76">
        <v>5.8571428571428568</v>
      </c>
      <c r="AI1028" s="76">
        <v>0.63887656499993994</v>
      </c>
      <c r="AJ1028" s="77">
        <v>0.22360679774997955</v>
      </c>
      <c r="AK1028" s="77">
        <v>3</v>
      </c>
      <c r="AL1028" s="76"/>
      <c r="AM1028" s="76"/>
      <c r="AN1028" s="77"/>
      <c r="AO1028" s="77"/>
      <c r="AP1028" s="76"/>
      <c r="AQ1028" s="76"/>
      <c r="AR1028" s="77"/>
      <c r="AS1028" s="77"/>
      <c r="AT1028" s="78">
        <v>0.875</v>
      </c>
    </row>
    <row r="1029" spans="1:46" ht="12.5" x14ac:dyDescent="0.25">
      <c r="A1029" s="79">
        <v>44956.515372592592</v>
      </c>
      <c r="B1029" s="80" t="s">
        <v>29</v>
      </c>
      <c r="C1029" s="80" t="str">
        <f>INDEX(TBL_Name,MATCH(Table2[[#This Row],[Athlete Name]],listNames,0),2)</f>
        <v>Athlete 18</v>
      </c>
      <c r="D1029" s="80" t="s">
        <v>130</v>
      </c>
      <c r="E1029" s="80">
        <v>10</v>
      </c>
      <c r="F1029" s="80">
        <v>10</v>
      </c>
      <c r="G1029" s="80">
        <v>8</v>
      </c>
      <c r="H1029" s="80" t="s">
        <v>586</v>
      </c>
      <c r="I1029" s="80">
        <v>9</v>
      </c>
      <c r="J1029" s="80"/>
      <c r="K1029" s="80"/>
      <c r="L1029" s="80"/>
      <c r="M1029" s="1" t="s">
        <v>1454</v>
      </c>
      <c r="N1029" s="1">
        <v>5</v>
      </c>
      <c r="O1029" s="1">
        <v>4</v>
      </c>
      <c r="P1029" s="13">
        <v>44956</v>
      </c>
      <c r="Q1029" s="1" t="s">
        <v>133</v>
      </c>
      <c r="R1029" s="1" t="s">
        <v>31</v>
      </c>
      <c r="S1029" s="1">
        <v>1</v>
      </c>
      <c r="T1029" s="1" t="s">
        <v>28</v>
      </c>
      <c r="U1029" s="1" t="s">
        <v>28</v>
      </c>
      <c r="V1029" s="76">
        <v>9.6</v>
      </c>
      <c r="W1029" s="76">
        <v>0.48989794855663565</v>
      </c>
      <c r="X1029" s="77">
        <v>0.8164965809277267</v>
      </c>
      <c r="Y1029" s="77">
        <v>3</v>
      </c>
      <c r="Z1029" s="76">
        <v>9.1999999999999993</v>
      </c>
      <c r="AA1029" s="76">
        <v>0.97979589711327131</v>
      </c>
      <c r="AB1029" s="77">
        <v>0.8164965809277267</v>
      </c>
      <c r="AC1029" s="77">
        <v>3</v>
      </c>
      <c r="AD1029" s="76">
        <v>8</v>
      </c>
      <c r="AE1029" s="76">
        <v>0</v>
      </c>
      <c r="AF1029" s="77">
        <v>0</v>
      </c>
      <c r="AG1029" s="77">
        <v>3</v>
      </c>
      <c r="AH1029" s="76">
        <v>7.4</v>
      </c>
      <c r="AI1029" s="76">
        <v>1.3564659966250536</v>
      </c>
      <c r="AJ1029" s="77">
        <v>1.1795356492391769</v>
      </c>
      <c r="AK1029" s="77">
        <v>4</v>
      </c>
      <c r="AL1029" s="76"/>
      <c r="AM1029" s="76"/>
      <c r="AN1029" s="77"/>
      <c r="AO1029" s="77"/>
      <c r="AP1029" s="76"/>
      <c r="AQ1029" s="76"/>
      <c r="AR1029" s="77"/>
      <c r="AS1029" s="77"/>
      <c r="AT1029" s="78">
        <v>0.8125</v>
      </c>
    </row>
    <row r="1030" spans="1:46" ht="12.5" x14ac:dyDescent="0.25">
      <c r="A1030" s="79">
        <v>44956.53988261574</v>
      </c>
      <c r="B1030" s="80" t="s">
        <v>13</v>
      </c>
      <c r="C1030" s="80" t="str">
        <f>INDEX(TBL_Name,MATCH(Table2[[#This Row],[Athlete Name]],listNames,0),2)</f>
        <v>Athlete 7</v>
      </c>
      <c r="D1030" s="80" t="s">
        <v>130</v>
      </c>
      <c r="E1030" s="80">
        <v>7</v>
      </c>
      <c r="F1030" s="80">
        <v>6</v>
      </c>
      <c r="G1030" s="80">
        <v>7</v>
      </c>
      <c r="H1030" s="80"/>
      <c r="I1030" s="80">
        <v>9</v>
      </c>
      <c r="J1030" s="80"/>
      <c r="K1030" s="80"/>
      <c r="L1030" s="80"/>
      <c r="M1030" s="1" t="s">
        <v>1455</v>
      </c>
      <c r="N1030" s="1">
        <v>5</v>
      </c>
      <c r="O1030" s="1">
        <v>4</v>
      </c>
      <c r="P1030" s="13">
        <v>44956</v>
      </c>
      <c r="Q1030" s="1" t="s">
        <v>133</v>
      </c>
      <c r="R1030" s="1" t="s">
        <v>31</v>
      </c>
      <c r="S1030" s="1">
        <v>1</v>
      </c>
      <c r="T1030" s="1" t="s">
        <v>14</v>
      </c>
      <c r="U1030" s="1" t="s">
        <v>14</v>
      </c>
      <c r="V1030" s="76">
        <v>7.8</v>
      </c>
      <c r="W1030" s="76">
        <v>2.2271057451320089</v>
      </c>
      <c r="X1030" s="77">
        <v>-0.35921060405354971</v>
      </c>
      <c r="Y1030" s="77">
        <v>2</v>
      </c>
      <c r="Z1030" s="76">
        <v>4.2</v>
      </c>
      <c r="AA1030" s="76">
        <v>1.6</v>
      </c>
      <c r="AB1030" s="77">
        <v>1.1249999999999998</v>
      </c>
      <c r="AC1030" s="77">
        <v>4</v>
      </c>
      <c r="AD1030" s="76">
        <v>6.8</v>
      </c>
      <c r="AE1030" s="76">
        <v>0.40000000000000008</v>
      </c>
      <c r="AF1030" s="77">
        <v>0.50000000000000033</v>
      </c>
      <c r="AG1030" s="77">
        <v>3</v>
      </c>
      <c r="AH1030" s="76">
        <v>7</v>
      </c>
      <c r="AI1030" s="76">
        <v>2.2803508501982761</v>
      </c>
      <c r="AJ1030" s="77">
        <v>0.8770580193070292</v>
      </c>
      <c r="AK1030" s="77">
        <v>3</v>
      </c>
      <c r="AL1030" s="76"/>
      <c r="AM1030" s="76"/>
      <c r="AN1030" s="77"/>
      <c r="AO1030" s="77"/>
      <c r="AP1030" s="76"/>
      <c r="AQ1030" s="76"/>
      <c r="AR1030" s="77"/>
      <c r="AS1030" s="77"/>
      <c r="AT1030" s="78">
        <v>0.75</v>
      </c>
    </row>
    <row r="1031" spans="1:46" ht="12.5" x14ac:dyDescent="0.25">
      <c r="A1031" s="79">
        <v>44956.584062604168</v>
      </c>
      <c r="B1031" s="80" t="s">
        <v>6</v>
      </c>
      <c r="C1031" s="80" t="str">
        <f>INDEX(TBL_Name,MATCH(Table2[[#This Row],[Athlete Name]],listNames,0),2)</f>
        <v>Athlete 2</v>
      </c>
      <c r="D1031" s="80" t="s">
        <v>130</v>
      </c>
      <c r="E1031" s="80">
        <v>8</v>
      </c>
      <c r="F1031" s="80">
        <v>7</v>
      </c>
      <c r="G1031" s="80">
        <v>6</v>
      </c>
      <c r="H1031" s="80" t="s">
        <v>66</v>
      </c>
      <c r="I1031" s="80">
        <v>8</v>
      </c>
      <c r="J1031" s="80"/>
      <c r="K1031" s="80"/>
      <c r="L1031" s="80"/>
      <c r="M1031" s="1" t="s">
        <v>1456</v>
      </c>
      <c r="N1031" s="1">
        <v>5</v>
      </c>
      <c r="O1031" s="1">
        <v>4</v>
      </c>
      <c r="P1031" s="13">
        <v>44956</v>
      </c>
      <c r="Q1031" s="1" t="s">
        <v>133</v>
      </c>
      <c r="R1031" s="1" t="s">
        <v>31</v>
      </c>
      <c r="S1031" s="1">
        <v>1</v>
      </c>
      <c r="T1031" s="1" t="s">
        <v>5</v>
      </c>
      <c r="U1031" s="1" t="s">
        <v>5</v>
      </c>
      <c r="V1031" s="76">
        <v>8.5</v>
      </c>
      <c r="W1031" s="76">
        <v>0.49999999999999978</v>
      </c>
      <c r="X1031" s="77">
        <v>-1.0000000000000004</v>
      </c>
      <c r="Y1031" s="77">
        <v>1</v>
      </c>
      <c r="Z1031" s="76">
        <v>7.75</v>
      </c>
      <c r="AA1031" s="76">
        <v>0.82915619758884995</v>
      </c>
      <c r="AB1031" s="77">
        <v>-0.90453403373329089</v>
      </c>
      <c r="AC1031" s="77">
        <v>2</v>
      </c>
      <c r="AD1031" s="76">
        <v>7.25</v>
      </c>
      <c r="AE1031" s="76">
        <v>0.82915619758885006</v>
      </c>
      <c r="AF1031" s="77">
        <v>-1.507556722888818</v>
      </c>
      <c r="AG1031" s="77">
        <v>1</v>
      </c>
      <c r="AH1031" s="76">
        <v>7.25</v>
      </c>
      <c r="AI1031" s="76">
        <v>0.82915619758884995</v>
      </c>
      <c r="AJ1031" s="77">
        <v>0.90453403373329089</v>
      </c>
      <c r="AK1031" s="77">
        <v>3</v>
      </c>
      <c r="AL1031" s="76"/>
      <c r="AM1031" s="76"/>
      <c r="AN1031" s="77"/>
      <c r="AO1031" s="77"/>
      <c r="AP1031" s="76"/>
      <c r="AQ1031" s="76"/>
      <c r="AR1031" s="77"/>
      <c r="AS1031" s="77"/>
      <c r="AT1031" s="78">
        <v>0.4375</v>
      </c>
    </row>
    <row r="1032" spans="1:46" ht="12.5" x14ac:dyDescent="0.25">
      <c r="A1032" s="79">
        <v>44956.59508702546</v>
      </c>
      <c r="B1032" s="80" t="s">
        <v>4</v>
      </c>
      <c r="C1032" s="80" t="str">
        <f>INDEX(TBL_Name,MATCH(Table2[[#This Row],[Athlete Name]],listNames,0),2)</f>
        <v>Athlete 1</v>
      </c>
      <c r="D1032" s="80" t="s">
        <v>130</v>
      </c>
      <c r="E1032" s="80">
        <v>7</v>
      </c>
      <c r="F1032" s="80">
        <v>7</v>
      </c>
      <c r="G1032" s="80">
        <v>6</v>
      </c>
      <c r="H1032" s="80"/>
      <c r="I1032" s="80">
        <v>9</v>
      </c>
      <c r="J1032" s="80"/>
      <c r="K1032" s="80"/>
      <c r="L1032" s="80"/>
      <c r="M1032" s="1" t="s">
        <v>1457</v>
      </c>
      <c r="N1032" s="1">
        <v>5</v>
      </c>
      <c r="O1032" s="1">
        <v>4</v>
      </c>
      <c r="P1032" s="13">
        <v>44956</v>
      </c>
      <c r="Q1032" s="1" t="s">
        <v>133</v>
      </c>
      <c r="R1032" s="1" t="s">
        <v>31</v>
      </c>
      <c r="S1032" s="1">
        <v>1</v>
      </c>
      <c r="T1032" s="1" t="s">
        <v>5</v>
      </c>
      <c r="U1032" s="1" t="s">
        <v>5</v>
      </c>
      <c r="V1032" s="76">
        <v>8.3333333333333339</v>
      </c>
      <c r="W1032" s="76">
        <v>0.94280904158206358</v>
      </c>
      <c r="X1032" s="77">
        <v>-1.4142135623730954</v>
      </c>
      <c r="Y1032" s="77">
        <v>1</v>
      </c>
      <c r="Z1032" s="76">
        <v>8.6666666666666661</v>
      </c>
      <c r="AA1032" s="76">
        <v>1.247219128924647</v>
      </c>
      <c r="AB1032" s="77">
        <v>-1.3363062095621216</v>
      </c>
      <c r="AC1032" s="77">
        <v>1</v>
      </c>
      <c r="AD1032" s="76">
        <v>6</v>
      </c>
      <c r="AE1032" s="76">
        <v>0</v>
      </c>
      <c r="AF1032" s="77">
        <v>0</v>
      </c>
      <c r="AG1032" s="77">
        <v>3</v>
      </c>
      <c r="AH1032" s="76">
        <v>9.6666666666666661</v>
      </c>
      <c r="AI1032" s="76">
        <v>0.47140452079103146</v>
      </c>
      <c r="AJ1032" s="77">
        <v>-1.4142135623730945</v>
      </c>
      <c r="AK1032" s="77">
        <v>1</v>
      </c>
      <c r="AL1032" s="76"/>
      <c r="AM1032" s="76"/>
      <c r="AN1032" s="77"/>
      <c r="AO1032" s="77"/>
      <c r="AP1032" s="76"/>
      <c r="AQ1032" s="76"/>
      <c r="AR1032" s="77"/>
      <c r="AS1032" s="77"/>
      <c r="AT1032" s="78">
        <v>0.375</v>
      </c>
    </row>
    <row r="1033" spans="1:46" ht="12.5" x14ac:dyDescent="0.25">
      <c r="A1033" s="79">
        <v>44956.598255474542</v>
      </c>
      <c r="B1033" s="80" t="s">
        <v>15</v>
      </c>
      <c r="C1033" s="80" t="str">
        <f>INDEX(TBL_Name,MATCH(Table2[[#This Row],[Athlete Name]],listNames,0),2)</f>
        <v>Athlete 8</v>
      </c>
      <c r="D1033" s="80" t="s">
        <v>130</v>
      </c>
      <c r="E1033" s="80">
        <v>8</v>
      </c>
      <c r="F1033" s="80">
        <v>10</v>
      </c>
      <c r="G1033" s="80">
        <v>7</v>
      </c>
      <c r="H1033" s="80"/>
      <c r="I1033" s="80">
        <v>10</v>
      </c>
      <c r="J1033" s="80"/>
      <c r="K1033" s="80"/>
      <c r="L1033" s="80"/>
      <c r="M1033" s="1" t="s">
        <v>1458</v>
      </c>
      <c r="N1033" s="1">
        <v>5</v>
      </c>
      <c r="O1033" s="1">
        <v>4</v>
      </c>
      <c r="P1033" s="13">
        <v>44956</v>
      </c>
      <c r="Q1033" s="1" t="s">
        <v>133</v>
      </c>
      <c r="R1033" s="1" t="s">
        <v>31</v>
      </c>
      <c r="S1033" s="1">
        <v>1</v>
      </c>
      <c r="T1033" s="1" t="s">
        <v>14</v>
      </c>
      <c r="U1033" s="1" t="s">
        <v>14</v>
      </c>
      <c r="V1033" s="76">
        <v>9.5</v>
      </c>
      <c r="W1033" s="76">
        <v>0.8660254037844386</v>
      </c>
      <c r="X1033" s="77">
        <v>-1.7320508075688774</v>
      </c>
      <c r="Y1033" s="77">
        <v>1</v>
      </c>
      <c r="Z1033" s="76">
        <v>8.5</v>
      </c>
      <c r="AA1033" s="76">
        <v>1.5</v>
      </c>
      <c r="AB1033" s="77">
        <v>1</v>
      </c>
      <c r="AC1033" s="77">
        <v>4</v>
      </c>
      <c r="AD1033" s="76">
        <v>6.75</v>
      </c>
      <c r="AE1033" s="76">
        <v>1.0897247358851683</v>
      </c>
      <c r="AF1033" s="77">
        <v>0.2294157338705618</v>
      </c>
      <c r="AG1033" s="77">
        <v>3</v>
      </c>
      <c r="AH1033" s="76">
        <v>6.75</v>
      </c>
      <c r="AI1033" s="76">
        <v>2.0463381929681126</v>
      </c>
      <c r="AJ1033" s="77">
        <v>1.5882027766319677</v>
      </c>
      <c r="AK1033" s="77">
        <v>4</v>
      </c>
      <c r="AL1033" s="76"/>
      <c r="AM1033" s="76"/>
      <c r="AN1033" s="77"/>
      <c r="AO1033" s="77"/>
      <c r="AP1033" s="76"/>
      <c r="AQ1033" s="76"/>
      <c r="AR1033" s="77"/>
      <c r="AS1033" s="77"/>
      <c r="AT1033" s="78">
        <v>0.75</v>
      </c>
    </row>
    <row r="1034" spans="1:46" ht="12.5" x14ac:dyDescent="0.25">
      <c r="A1034" s="79">
        <v>44956.601517118055</v>
      </c>
      <c r="B1034" s="80" t="s">
        <v>20</v>
      </c>
      <c r="C1034" s="80" t="str">
        <f>INDEX(TBL_Name,MATCH(Table2[[#This Row],[Athlete Name]],listNames,0),2)</f>
        <v>Athlete 12</v>
      </c>
      <c r="D1034" s="80" t="s">
        <v>143</v>
      </c>
      <c r="E1034" s="80">
        <v>9</v>
      </c>
      <c r="F1034" s="80">
        <v>7</v>
      </c>
      <c r="G1034" s="80">
        <v>8</v>
      </c>
      <c r="H1034" s="80" t="s">
        <v>1459</v>
      </c>
      <c r="I1034" s="80">
        <v>8</v>
      </c>
      <c r="J1034" s="80"/>
      <c r="K1034" s="80"/>
      <c r="L1034" s="80"/>
      <c r="M1034" s="1" t="s">
        <v>1460</v>
      </c>
      <c r="N1034" s="1">
        <v>5</v>
      </c>
      <c r="O1034" s="1">
        <v>4</v>
      </c>
      <c r="P1034" s="13">
        <v>44956</v>
      </c>
      <c r="Q1034" s="1" t="s">
        <v>133</v>
      </c>
      <c r="R1034" s="1" t="s">
        <v>31</v>
      </c>
      <c r="S1034" s="1">
        <v>2</v>
      </c>
      <c r="T1034" s="1" t="s">
        <v>18</v>
      </c>
      <c r="U1034" s="1" t="s">
        <v>18</v>
      </c>
      <c r="V1034" s="76">
        <v>8.3333333333333339</v>
      </c>
      <c r="W1034" s="76">
        <v>0.94280904158206325</v>
      </c>
      <c r="X1034" s="77">
        <v>0.70710678118654702</v>
      </c>
      <c r="Y1034" s="77">
        <v>3</v>
      </c>
      <c r="Z1034" s="76">
        <v>7.333333333333333</v>
      </c>
      <c r="AA1034" s="76">
        <v>0.47140452079103162</v>
      </c>
      <c r="AB1034" s="77">
        <v>-0.70710678118654702</v>
      </c>
      <c r="AC1034" s="77">
        <v>2</v>
      </c>
      <c r="AD1034" s="76">
        <v>8.6666666666666661</v>
      </c>
      <c r="AE1034" s="76">
        <v>0.47140452079103146</v>
      </c>
      <c r="AF1034" s="77">
        <v>-1.4142135623730945</v>
      </c>
      <c r="AG1034" s="77">
        <v>1</v>
      </c>
      <c r="AH1034" s="76">
        <v>6.333333333333333</v>
      </c>
      <c r="AI1034" s="76">
        <v>1.2472191289246473</v>
      </c>
      <c r="AJ1034" s="77">
        <v>1.3363062095621221</v>
      </c>
      <c r="AK1034" s="77">
        <v>4</v>
      </c>
      <c r="AL1034" s="76"/>
      <c r="AM1034" s="76"/>
      <c r="AN1034" s="77"/>
      <c r="AO1034" s="77"/>
      <c r="AP1034" s="76"/>
      <c r="AQ1034" s="76"/>
      <c r="AR1034" s="77"/>
      <c r="AS1034" s="77"/>
      <c r="AT1034" s="78">
        <v>0.625</v>
      </c>
    </row>
    <row r="1035" spans="1:46" ht="12.5" x14ac:dyDescent="0.25">
      <c r="A1035" s="79">
        <v>44956.60268009259</v>
      </c>
      <c r="B1035" s="80" t="s">
        <v>12</v>
      </c>
      <c r="C1035" s="80" t="str">
        <f>INDEX(TBL_Name,MATCH(Table2[[#This Row],[Athlete Name]],listNames,0),2)</f>
        <v>Athlete 6</v>
      </c>
      <c r="D1035" s="80" t="s">
        <v>130</v>
      </c>
      <c r="E1035" s="80">
        <v>10</v>
      </c>
      <c r="F1035" s="80">
        <v>7</v>
      </c>
      <c r="G1035" s="80">
        <v>9</v>
      </c>
      <c r="H1035" s="80" t="s">
        <v>1226</v>
      </c>
      <c r="I1035" s="80">
        <v>10</v>
      </c>
      <c r="J1035" s="80"/>
      <c r="K1035" s="80"/>
      <c r="L1035" s="80"/>
      <c r="M1035" s="1" t="s">
        <v>1461</v>
      </c>
      <c r="N1035" s="1">
        <v>5</v>
      </c>
      <c r="O1035" s="1">
        <v>4</v>
      </c>
      <c r="P1035" s="13">
        <v>44956</v>
      </c>
      <c r="Q1035" s="1" t="s">
        <v>133</v>
      </c>
      <c r="R1035" s="1" t="s">
        <v>31</v>
      </c>
      <c r="S1035" s="1">
        <v>1</v>
      </c>
      <c r="T1035" s="1" t="s">
        <v>11</v>
      </c>
      <c r="U1035" s="1" t="s">
        <v>11</v>
      </c>
      <c r="V1035" s="76">
        <v>10</v>
      </c>
      <c r="W1035" s="76">
        <v>0</v>
      </c>
      <c r="X1035" s="77">
        <v>0</v>
      </c>
      <c r="Y1035" s="77">
        <v>3</v>
      </c>
      <c r="Z1035" s="76">
        <v>7</v>
      </c>
      <c r="AA1035" s="76">
        <v>0</v>
      </c>
      <c r="AB1035" s="77">
        <v>0</v>
      </c>
      <c r="AC1035" s="77">
        <v>3</v>
      </c>
      <c r="AD1035" s="76">
        <v>9</v>
      </c>
      <c r="AE1035" s="76">
        <v>0</v>
      </c>
      <c r="AF1035" s="77">
        <v>0</v>
      </c>
      <c r="AG1035" s="77">
        <v>3</v>
      </c>
      <c r="AH1035" s="76">
        <v>10</v>
      </c>
      <c r="AI1035" s="76">
        <v>0</v>
      </c>
      <c r="AJ1035" s="77">
        <v>0</v>
      </c>
      <c r="AK1035" s="77">
        <v>3</v>
      </c>
      <c r="AL1035" s="76"/>
      <c r="AM1035" s="76"/>
      <c r="AN1035" s="77"/>
      <c r="AO1035" s="77"/>
      <c r="AP1035" s="76"/>
      <c r="AQ1035" s="76"/>
      <c r="AR1035" s="77"/>
      <c r="AS1035" s="77"/>
      <c r="AT1035" s="78">
        <v>0.75</v>
      </c>
    </row>
    <row r="1036" spans="1:46" ht="12.5" x14ac:dyDescent="0.25">
      <c r="A1036" s="79">
        <v>44956.603002453703</v>
      </c>
      <c r="B1036" s="80" t="s">
        <v>23</v>
      </c>
      <c r="C1036" s="80" t="str">
        <f>INDEX(TBL_Name,MATCH(Table2[[#This Row],[Athlete Name]],listNames,0),2)</f>
        <v>Athlete 15</v>
      </c>
      <c r="D1036" s="80" t="s">
        <v>143</v>
      </c>
      <c r="E1036" s="80">
        <v>7</v>
      </c>
      <c r="F1036" s="80">
        <v>7</v>
      </c>
      <c r="G1036" s="80">
        <v>8</v>
      </c>
      <c r="H1036" s="80" t="s">
        <v>1462</v>
      </c>
      <c r="I1036" s="80">
        <v>3</v>
      </c>
      <c r="J1036" s="80"/>
      <c r="K1036" s="80"/>
      <c r="L1036" s="80"/>
      <c r="M1036" s="1" t="s">
        <v>1463</v>
      </c>
      <c r="N1036" s="1">
        <v>5</v>
      </c>
      <c r="O1036" s="1">
        <v>4</v>
      </c>
      <c r="P1036" s="13">
        <v>44956</v>
      </c>
      <c r="Q1036" s="1" t="s">
        <v>133</v>
      </c>
      <c r="R1036" s="1" t="s">
        <v>31</v>
      </c>
      <c r="S1036" s="1">
        <v>2</v>
      </c>
      <c r="T1036" s="1" t="s">
        <v>18</v>
      </c>
      <c r="U1036" s="1" t="s">
        <v>18</v>
      </c>
      <c r="V1036" s="76">
        <v>6.666666666666667</v>
      </c>
      <c r="W1036" s="76">
        <v>0.47140452079103162</v>
      </c>
      <c r="X1036" s="77">
        <v>0.70710678118654702</v>
      </c>
      <c r="Y1036" s="77">
        <v>3</v>
      </c>
      <c r="Z1036" s="76">
        <v>6.333333333333333</v>
      </c>
      <c r="AA1036" s="76">
        <v>0.47140452079103179</v>
      </c>
      <c r="AB1036" s="77">
        <v>1.4142135623730954</v>
      </c>
      <c r="AC1036" s="77">
        <v>4</v>
      </c>
      <c r="AD1036" s="76">
        <v>7.333333333333333</v>
      </c>
      <c r="AE1036" s="76">
        <v>0.94280904158206336</v>
      </c>
      <c r="AF1036" s="77">
        <v>0.70710678118654779</v>
      </c>
      <c r="AG1036" s="77">
        <v>3</v>
      </c>
      <c r="AH1036" s="76">
        <v>5.666666666666667</v>
      </c>
      <c r="AI1036" s="76">
        <v>2.0548046676563256</v>
      </c>
      <c r="AJ1036" s="77">
        <v>-1.2977713690461004</v>
      </c>
      <c r="AK1036" s="77">
        <v>1</v>
      </c>
      <c r="AL1036" s="76"/>
      <c r="AM1036" s="76"/>
      <c r="AN1036" s="77"/>
      <c r="AO1036" s="77"/>
      <c r="AP1036" s="76"/>
      <c r="AQ1036" s="76"/>
      <c r="AR1036" s="77"/>
      <c r="AS1036" s="77"/>
      <c r="AT1036" s="78">
        <v>0.6875</v>
      </c>
    </row>
    <row r="1037" spans="1:46" ht="12.5" x14ac:dyDescent="0.25">
      <c r="A1037" s="79">
        <v>44957.318617152778</v>
      </c>
      <c r="B1037" s="80" t="s">
        <v>27</v>
      </c>
      <c r="C1037" s="80" t="str">
        <f>INDEX(TBL_Name,MATCH(Table2[[#This Row],[Athlete Name]],listNames,0),2)</f>
        <v>Athlete 17</v>
      </c>
      <c r="D1037" s="80" t="s">
        <v>150</v>
      </c>
      <c r="E1037" s="80">
        <v>4</v>
      </c>
      <c r="F1037" s="80">
        <v>5</v>
      </c>
      <c r="G1037" s="80">
        <v>7</v>
      </c>
      <c r="H1037" s="80" t="s">
        <v>342</v>
      </c>
      <c r="I1037" s="80">
        <v>4</v>
      </c>
      <c r="J1037" s="80"/>
      <c r="K1037" s="80"/>
      <c r="L1037" s="80"/>
      <c r="M1037" s="1" t="s">
        <v>1464</v>
      </c>
      <c r="N1037" s="1">
        <v>5</v>
      </c>
      <c r="O1037" s="1">
        <v>4</v>
      </c>
      <c r="P1037" s="13">
        <v>44957</v>
      </c>
      <c r="Q1037" s="1" t="s">
        <v>133</v>
      </c>
      <c r="R1037" s="1" t="s">
        <v>31</v>
      </c>
      <c r="S1037" s="1">
        <v>3</v>
      </c>
      <c r="T1037" s="1" t="s">
        <v>28</v>
      </c>
      <c r="U1037" s="1" t="s">
        <v>28</v>
      </c>
      <c r="V1037" s="76">
        <v>3.6666666666666665</v>
      </c>
      <c r="W1037" s="76">
        <v>0.47140452079103168</v>
      </c>
      <c r="X1037" s="77">
        <v>0.70710678118654779</v>
      </c>
      <c r="Y1037" s="77">
        <v>3</v>
      </c>
      <c r="Z1037" s="76">
        <v>3.6666666666666665</v>
      </c>
      <c r="AA1037" s="76">
        <v>0.94280904158206336</v>
      </c>
      <c r="AB1037" s="77">
        <v>1.4142135623730951</v>
      </c>
      <c r="AC1037" s="77">
        <v>4</v>
      </c>
      <c r="AD1037" s="76">
        <v>5.333333333333333</v>
      </c>
      <c r="AE1037" s="76">
        <v>1.2472191289246473</v>
      </c>
      <c r="AF1037" s="77">
        <v>1.3363062095621221</v>
      </c>
      <c r="AG1037" s="77">
        <v>4</v>
      </c>
      <c r="AH1037" s="76">
        <v>4.666666666666667</v>
      </c>
      <c r="AI1037" s="76">
        <v>0.47140452079103179</v>
      </c>
      <c r="AJ1037" s="77">
        <v>-1.4142135623730954</v>
      </c>
      <c r="AK1037" s="77">
        <v>1</v>
      </c>
      <c r="AL1037" s="76"/>
      <c r="AM1037" s="76"/>
      <c r="AN1037" s="77"/>
      <c r="AO1037" s="77"/>
      <c r="AP1037" s="76"/>
      <c r="AQ1037" s="76"/>
      <c r="AR1037" s="77"/>
      <c r="AS1037" s="77"/>
      <c r="AT1037" s="78">
        <v>0.75</v>
      </c>
    </row>
    <row r="1038" spans="1:46" ht="12.5" x14ac:dyDescent="0.25">
      <c r="A1038" s="79">
        <v>44957.342107430552</v>
      </c>
      <c r="B1038" s="80" t="s">
        <v>19</v>
      </c>
      <c r="C1038" s="80" t="str">
        <f>INDEX(TBL_Name,MATCH(Table2[[#This Row],[Athlete Name]],listNames,0),2)</f>
        <v>Athlete 11</v>
      </c>
      <c r="D1038" s="80" t="s">
        <v>130</v>
      </c>
      <c r="E1038" s="80">
        <v>6</v>
      </c>
      <c r="F1038" s="80">
        <v>8</v>
      </c>
      <c r="G1038" s="80">
        <v>8</v>
      </c>
      <c r="H1038" s="80" t="s">
        <v>1310</v>
      </c>
      <c r="I1038" s="80">
        <v>6</v>
      </c>
      <c r="J1038" s="80"/>
      <c r="K1038" s="80"/>
      <c r="L1038" s="80"/>
      <c r="M1038" s="1" t="s">
        <v>1465</v>
      </c>
      <c r="N1038" s="1">
        <v>5</v>
      </c>
      <c r="O1038" s="1">
        <v>4</v>
      </c>
      <c r="P1038" s="13">
        <v>44957</v>
      </c>
      <c r="Q1038" s="1" t="s">
        <v>133</v>
      </c>
      <c r="R1038" s="1" t="s">
        <v>31</v>
      </c>
      <c r="S1038" s="1">
        <v>1</v>
      </c>
      <c r="T1038" s="1" t="s">
        <v>18</v>
      </c>
      <c r="U1038" s="1" t="s">
        <v>18</v>
      </c>
      <c r="V1038" s="76">
        <v>7</v>
      </c>
      <c r="W1038" s="76">
        <v>0.63245553203367588</v>
      </c>
      <c r="X1038" s="77">
        <v>-1.5811388300841895</v>
      </c>
      <c r="Y1038" s="77">
        <v>1</v>
      </c>
      <c r="Z1038" s="76">
        <v>7.6</v>
      </c>
      <c r="AA1038" s="76">
        <v>1.8547236990991407</v>
      </c>
      <c r="AB1038" s="77">
        <v>0.21566554640687702</v>
      </c>
      <c r="AC1038" s="77">
        <v>3</v>
      </c>
      <c r="AD1038" s="76">
        <v>8.4</v>
      </c>
      <c r="AE1038" s="76">
        <v>0.48989794855663565</v>
      </c>
      <c r="AF1038" s="77">
        <v>-0.8164965809277267</v>
      </c>
      <c r="AG1038" s="77">
        <v>2</v>
      </c>
      <c r="AH1038" s="76">
        <v>5.2</v>
      </c>
      <c r="AI1038" s="76">
        <v>1.7204650534085253</v>
      </c>
      <c r="AJ1038" s="77">
        <v>0.46499055497527703</v>
      </c>
      <c r="AK1038" s="77">
        <v>3</v>
      </c>
      <c r="AL1038" s="76"/>
      <c r="AM1038" s="76"/>
      <c r="AN1038" s="77"/>
      <c r="AO1038" s="77"/>
      <c r="AP1038" s="76"/>
      <c r="AQ1038" s="76"/>
      <c r="AR1038" s="77"/>
      <c r="AS1038" s="77"/>
      <c r="AT1038" s="78">
        <v>0.5625</v>
      </c>
    </row>
    <row r="1039" spans="1:46" ht="12.5" x14ac:dyDescent="0.25">
      <c r="A1039" s="79">
        <v>44957.367717685185</v>
      </c>
      <c r="B1039" s="80" t="s">
        <v>15</v>
      </c>
      <c r="C1039" s="80" t="str">
        <f>INDEX(TBL_Name,MATCH(Table2[[#This Row],[Athlete Name]],listNames,0),2)</f>
        <v>Athlete 8</v>
      </c>
      <c r="D1039" s="80" t="s">
        <v>130</v>
      </c>
      <c r="E1039" s="80">
        <v>8</v>
      </c>
      <c r="F1039" s="80">
        <v>10</v>
      </c>
      <c r="G1039" s="80">
        <v>10</v>
      </c>
      <c r="H1039" s="80" t="s">
        <v>1466</v>
      </c>
      <c r="I1039" s="80">
        <v>6</v>
      </c>
      <c r="J1039" s="80"/>
      <c r="K1039" s="80"/>
      <c r="L1039" s="80"/>
      <c r="M1039" s="1" t="s">
        <v>1467</v>
      </c>
      <c r="N1039" s="1">
        <v>5</v>
      </c>
      <c r="O1039" s="1">
        <v>4</v>
      </c>
      <c r="P1039" s="13">
        <v>44957</v>
      </c>
      <c r="Q1039" s="1" t="s">
        <v>133</v>
      </c>
      <c r="R1039" s="1" t="s">
        <v>31</v>
      </c>
      <c r="S1039" s="1">
        <v>1</v>
      </c>
      <c r="T1039" s="1" t="s">
        <v>14</v>
      </c>
      <c r="U1039" s="1" t="s">
        <v>14</v>
      </c>
      <c r="V1039" s="76">
        <v>9</v>
      </c>
      <c r="W1039" s="76">
        <v>1.0000000000000002</v>
      </c>
      <c r="X1039" s="77">
        <v>-0.99999999999999978</v>
      </c>
      <c r="Y1039" s="77">
        <v>1</v>
      </c>
      <c r="Z1039" s="76">
        <v>9.25</v>
      </c>
      <c r="AA1039" s="76">
        <v>1.299038105676658</v>
      </c>
      <c r="AB1039" s="77">
        <v>0.57735026918962573</v>
      </c>
      <c r="AC1039" s="77">
        <v>3</v>
      </c>
      <c r="AD1039" s="76">
        <v>7.5</v>
      </c>
      <c r="AE1039" s="76">
        <v>1.8027756377319946</v>
      </c>
      <c r="AF1039" s="77">
        <v>1.386750490563073</v>
      </c>
      <c r="AG1039" s="77">
        <v>4</v>
      </c>
      <c r="AH1039" s="76">
        <v>6.5</v>
      </c>
      <c r="AI1039" s="76">
        <v>2.0615528128088298</v>
      </c>
      <c r="AJ1039" s="77">
        <v>-0.24253562503633302</v>
      </c>
      <c r="AK1039" s="77">
        <v>2</v>
      </c>
      <c r="AL1039" s="76"/>
      <c r="AM1039" s="76"/>
      <c r="AN1039" s="77"/>
      <c r="AO1039" s="77"/>
      <c r="AP1039" s="76"/>
      <c r="AQ1039" s="76"/>
      <c r="AR1039" s="77"/>
      <c r="AS1039" s="77"/>
      <c r="AT1039" s="78">
        <v>0.625</v>
      </c>
    </row>
    <row r="1040" spans="1:46" ht="12.5" x14ac:dyDescent="0.25">
      <c r="A1040" s="79">
        <v>44957.371965555554</v>
      </c>
      <c r="B1040" s="80" t="s">
        <v>13</v>
      </c>
      <c r="C1040" s="80" t="str">
        <f>INDEX(TBL_Name,MATCH(Table2[[#This Row],[Athlete Name]],listNames,0),2)</f>
        <v>Athlete 7</v>
      </c>
      <c r="D1040" s="80" t="s">
        <v>130</v>
      </c>
      <c r="E1040" s="80">
        <v>8</v>
      </c>
      <c r="F1040" s="80">
        <v>8</v>
      </c>
      <c r="G1040" s="80">
        <v>7</v>
      </c>
      <c r="H1040" s="80"/>
      <c r="I1040" s="80">
        <v>9</v>
      </c>
      <c r="J1040" s="80"/>
      <c r="K1040" s="80"/>
      <c r="L1040" s="80"/>
      <c r="M1040" s="1" t="s">
        <v>1468</v>
      </c>
      <c r="N1040" s="1">
        <v>5</v>
      </c>
      <c r="O1040" s="1">
        <v>4</v>
      </c>
      <c r="P1040" s="13">
        <v>44957</v>
      </c>
      <c r="Q1040" s="1" t="s">
        <v>133</v>
      </c>
      <c r="R1040" s="1" t="s">
        <v>31</v>
      </c>
      <c r="S1040" s="1">
        <v>1</v>
      </c>
      <c r="T1040" s="1" t="s">
        <v>14</v>
      </c>
      <c r="U1040" s="1" t="s">
        <v>14</v>
      </c>
      <c r="V1040" s="76">
        <v>7.4</v>
      </c>
      <c r="W1040" s="76">
        <v>1.9595917942265424</v>
      </c>
      <c r="X1040" s="77">
        <v>0.30618621784789707</v>
      </c>
      <c r="Y1040" s="77">
        <v>3</v>
      </c>
      <c r="Z1040" s="76">
        <v>4.5999999999999996</v>
      </c>
      <c r="AA1040" s="76">
        <v>2.1540659228538019</v>
      </c>
      <c r="AB1040" s="77">
        <v>1.5784103745049407</v>
      </c>
      <c r="AC1040" s="77">
        <v>4</v>
      </c>
      <c r="AD1040" s="76">
        <v>6.8</v>
      </c>
      <c r="AE1040" s="76">
        <v>0.39999999999999997</v>
      </c>
      <c r="AF1040" s="77">
        <v>0.50000000000000044</v>
      </c>
      <c r="AG1040" s="77">
        <v>3</v>
      </c>
      <c r="AH1040" s="76">
        <v>6.8</v>
      </c>
      <c r="AI1040" s="76">
        <v>2.0396078054371141</v>
      </c>
      <c r="AJ1040" s="77">
        <v>1.0786387432600122</v>
      </c>
      <c r="AK1040" s="77">
        <v>4</v>
      </c>
      <c r="AL1040" s="76"/>
      <c r="AM1040" s="76"/>
      <c r="AN1040" s="77"/>
      <c r="AO1040" s="77"/>
      <c r="AP1040" s="76"/>
      <c r="AQ1040" s="76"/>
      <c r="AR1040" s="77"/>
      <c r="AS1040" s="77"/>
      <c r="AT1040" s="78">
        <v>0.875</v>
      </c>
    </row>
    <row r="1041" spans="1:46" ht="12.5" x14ac:dyDescent="0.25">
      <c r="A1041" s="79">
        <v>44957.428148506944</v>
      </c>
      <c r="B1041" s="80" t="s">
        <v>9</v>
      </c>
      <c r="C1041" s="80" t="str">
        <f>INDEX(TBL_Name,MATCH(Table2[[#This Row],[Athlete Name]],listNames,0),2)</f>
        <v>Athlete 4</v>
      </c>
      <c r="D1041" s="80" t="s">
        <v>130</v>
      </c>
      <c r="E1041" s="80">
        <v>3</v>
      </c>
      <c r="F1041" s="80">
        <v>7</v>
      </c>
      <c r="G1041" s="80">
        <v>8</v>
      </c>
      <c r="H1041" s="80" t="s">
        <v>1469</v>
      </c>
      <c r="I1041" s="80">
        <v>4</v>
      </c>
      <c r="J1041" s="80"/>
      <c r="K1041" s="80"/>
      <c r="L1041" s="80"/>
      <c r="M1041" s="1" t="s">
        <v>1470</v>
      </c>
      <c r="N1041" s="1">
        <v>5</v>
      </c>
      <c r="O1041" s="1">
        <v>4</v>
      </c>
      <c r="P1041" s="13">
        <v>44957</v>
      </c>
      <c r="Q1041" s="1" t="s">
        <v>133</v>
      </c>
      <c r="R1041" s="1" t="s">
        <v>31</v>
      </c>
      <c r="S1041" s="1">
        <v>1</v>
      </c>
      <c r="T1041" s="1" t="s">
        <v>8</v>
      </c>
      <c r="U1041" s="1" t="s">
        <v>8</v>
      </c>
      <c r="V1041" s="76">
        <v>2.5</v>
      </c>
      <c r="W1041" s="76">
        <v>0.49999999999999994</v>
      </c>
      <c r="X1041" s="77">
        <v>1.0000000000000002</v>
      </c>
      <c r="Y1041" s="77">
        <v>4</v>
      </c>
      <c r="Z1041" s="76">
        <v>7.5</v>
      </c>
      <c r="AA1041" s="76">
        <v>0.5</v>
      </c>
      <c r="AB1041" s="77">
        <v>-1</v>
      </c>
      <c r="AC1041" s="77">
        <v>1</v>
      </c>
      <c r="AD1041" s="76">
        <v>7.75</v>
      </c>
      <c r="AE1041" s="76">
        <v>0.43301270189221924</v>
      </c>
      <c r="AF1041" s="77">
        <v>0.57735026918962584</v>
      </c>
      <c r="AG1041" s="77">
        <v>3</v>
      </c>
      <c r="AH1041" s="76">
        <v>4.25</v>
      </c>
      <c r="AI1041" s="76">
        <v>0.43301270189221924</v>
      </c>
      <c r="AJ1041" s="77">
        <v>-0.57735026918962584</v>
      </c>
      <c r="AK1041" s="77">
        <v>2</v>
      </c>
      <c r="AL1041" s="76"/>
      <c r="AM1041" s="76"/>
      <c r="AN1041" s="77"/>
      <c r="AO1041" s="77"/>
      <c r="AP1041" s="76"/>
      <c r="AQ1041" s="76"/>
      <c r="AR1041" s="77"/>
      <c r="AS1041" s="77"/>
      <c r="AT1041" s="78">
        <v>0.625</v>
      </c>
    </row>
    <row r="1042" spans="1:46" ht="12.5" x14ac:dyDescent="0.25">
      <c r="A1042" s="79">
        <v>44957.442486886575</v>
      </c>
      <c r="B1042" s="80" t="s">
        <v>21</v>
      </c>
      <c r="C1042" s="80" t="str">
        <f>INDEX(TBL_Name,MATCH(Table2[[#This Row],[Athlete Name]],listNames,0),2)</f>
        <v>Athlete 13</v>
      </c>
      <c r="D1042" s="80" t="s">
        <v>143</v>
      </c>
      <c r="E1042" s="80">
        <v>8</v>
      </c>
      <c r="F1042" s="80">
        <v>8</v>
      </c>
      <c r="G1042" s="80">
        <v>8</v>
      </c>
      <c r="H1042" s="80" t="s">
        <v>1471</v>
      </c>
      <c r="I1042" s="80">
        <v>6</v>
      </c>
      <c r="J1042" s="80"/>
      <c r="K1042" s="80"/>
      <c r="L1042" s="80"/>
      <c r="M1042" s="1" t="s">
        <v>1472</v>
      </c>
      <c r="N1042" s="1">
        <v>5</v>
      </c>
      <c r="O1042" s="1">
        <v>4</v>
      </c>
      <c r="P1042" s="13">
        <v>44957</v>
      </c>
      <c r="Q1042" s="1" t="s">
        <v>133</v>
      </c>
      <c r="R1042" s="1" t="s">
        <v>31</v>
      </c>
      <c r="S1042" s="1">
        <v>2</v>
      </c>
      <c r="T1042" s="1" t="s">
        <v>18</v>
      </c>
      <c r="U1042" s="1" t="s">
        <v>18</v>
      </c>
      <c r="V1042" s="76">
        <v>7.4285714285714288</v>
      </c>
      <c r="W1042" s="76">
        <v>0.72843135908468337</v>
      </c>
      <c r="X1042" s="77">
        <v>0.78446454055273596</v>
      </c>
      <c r="Y1042" s="77">
        <v>3</v>
      </c>
      <c r="Z1042" s="76">
        <v>7.8571428571428568</v>
      </c>
      <c r="AA1042" s="76">
        <v>1.3552618543578769</v>
      </c>
      <c r="AB1042" s="77">
        <v>0.10540925533894625</v>
      </c>
      <c r="AC1042" s="77">
        <v>3</v>
      </c>
      <c r="AD1042" s="76">
        <v>8.1428571428571423</v>
      </c>
      <c r="AE1042" s="76">
        <v>0.63887656499993994</v>
      </c>
      <c r="AF1042" s="77">
        <v>-0.22360679774997816</v>
      </c>
      <c r="AG1042" s="77">
        <v>2</v>
      </c>
      <c r="AH1042" s="76">
        <v>5.8571428571428568</v>
      </c>
      <c r="AI1042" s="76">
        <v>0.63887656499993994</v>
      </c>
      <c r="AJ1042" s="77">
        <v>0.22360679774997955</v>
      </c>
      <c r="AK1042" s="77">
        <v>3</v>
      </c>
      <c r="AL1042" s="76"/>
      <c r="AM1042" s="76"/>
      <c r="AN1042" s="77"/>
      <c r="AO1042" s="77"/>
      <c r="AP1042" s="76"/>
      <c r="AQ1042" s="76"/>
      <c r="AR1042" s="77"/>
      <c r="AS1042" s="77"/>
      <c r="AT1042" s="78">
        <v>0.6875</v>
      </c>
    </row>
    <row r="1043" spans="1:46" ht="12.5" x14ac:dyDescent="0.25">
      <c r="A1043" s="79">
        <v>44957.447093148148</v>
      </c>
      <c r="B1043" s="80" t="s">
        <v>29</v>
      </c>
      <c r="C1043" s="80" t="str">
        <f>INDEX(TBL_Name,MATCH(Table2[[#This Row],[Athlete Name]],listNames,0),2)</f>
        <v>Athlete 18</v>
      </c>
      <c r="D1043" s="80" t="s">
        <v>130</v>
      </c>
      <c r="E1043" s="80">
        <v>8</v>
      </c>
      <c r="F1043" s="80">
        <v>10</v>
      </c>
      <c r="G1043" s="80">
        <v>8</v>
      </c>
      <c r="H1043" s="80" t="s">
        <v>1386</v>
      </c>
      <c r="I1043" s="80">
        <v>6</v>
      </c>
      <c r="J1043" s="80"/>
      <c r="K1043" s="80"/>
      <c r="L1043" s="80"/>
      <c r="M1043" s="1" t="s">
        <v>1473</v>
      </c>
      <c r="N1043" s="1">
        <v>5</v>
      </c>
      <c r="O1043" s="1">
        <v>4</v>
      </c>
      <c r="P1043" s="13">
        <v>44957</v>
      </c>
      <c r="Q1043" s="1" t="s">
        <v>133</v>
      </c>
      <c r="R1043" s="1" t="s">
        <v>31</v>
      </c>
      <c r="S1043" s="1">
        <v>1</v>
      </c>
      <c r="T1043" s="1" t="s">
        <v>28</v>
      </c>
      <c r="U1043" s="1" t="s">
        <v>28</v>
      </c>
      <c r="V1043" s="76">
        <v>9.4</v>
      </c>
      <c r="W1043" s="76">
        <v>0.8</v>
      </c>
      <c r="X1043" s="77">
        <v>-1.7500000000000004</v>
      </c>
      <c r="Y1043" s="77">
        <v>1</v>
      </c>
      <c r="Z1043" s="76">
        <v>9.1999999999999993</v>
      </c>
      <c r="AA1043" s="76">
        <v>0.97979589711327153</v>
      </c>
      <c r="AB1043" s="77">
        <v>0.81649658092772648</v>
      </c>
      <c r="AC1043" s="77">
        <v>3</v>
      </c>
      <c r="AD1043" s="76">
        <v>8</v>
      </c>
      <c r="AE1043" s="76">
        <v>0</v>
      </c>
      <c r="AF1043" s="77">
        <v>0</v>
      </c>
      <c r="AG1043" s="77">
        <v>3</v>
      </c>
      <c r="AH1043" s="76">
        <v>7.2</v>
      </c>
      <c r="AI1043" s="76">
        <v>1.4696938456699069</v>
      </c>
      <c r="AJ1043" s="77">
        <v>-0.81649658092772615</v>
      </c>
      <c r="AK1043" s="77">
        <v>2</v>
      </c>
      <c r="AL1043" s="76"/>
      <c r="AM1043" s="76"/>
      <c r="AN1043" s="77"/>
      <c r="AO1043" s="77"/>
      <c r="AP1043" s="76"/>
      <c r="AQ1043" s="76"/>
      <c r="AR1043" s="77"/>
      <c r="AS1043" s="77"/>
      <c r="AT1043" s="78">
        <v>0.5625</v>
      </c>
    </row>
    <row r="1044" spans="1:46" ht="12.5" x14ac:dyDescent="0.25">
      <c r="A1044" s="79">
        <v>44957.477309537033</v>
      </c>
      <c r="B1044" s="80" t="s">
        <v>10</v>
      </c>
      <c r="C1044" s="80" t="str">
        <f>INDEX(TBL_Name,MATCH(Table2[[#This Row],[Athlete Name]],listNames,0),2)</f>
        <v>Athlete 5</v>
      </c>
      <c r="D1044" s="80" t="s">
        <v>130</v>
      </c>
      <c r="E1044" s="80">
        <v>9</v>
      </c>
      <c r="F1044" s="80">
        <v>6</v>
      </c>
      <c r="G1044" s="80">
        <v>6</v>
      </c>
      <c r="H1044" s="80" t="s">
        <v>69</v>
      </c>
      <c r="I1044" s="80">
        <v>9</v>
      </c>
      <c r="J1044" s="80"/>
      <c r="K1044" s="80"/>
      <c r="L1044" s="80"/>
      <c r="M1044" s="1" t="s">
        <v>1474</v>
      </c>
      <c r="N1044" s="1">
        <v>5</v>
      </c>
      <c r="O1044" s="1">
        <v>4</v>
      </c>
      <c r="P1044" s="13">
        <v>44957</v>
      </c>
      <c r="Q1044" s="1" t="s">
        <v>133</v>
      </c>
      <c r="R1044" s="1" t="s">
        <v>31</v>
      </c>
      <c r="S1044" s="1">
        <v>1</v>
      </c>
      <c r="T1044" s="1" t="s">
        <v>11</v>
      </c>
      <c r="U1044" s="1" t="s">
        <v>11</v>
      </c>
      <c r="V1044" s="76">
        <v>8.1428571428571423</v>
      </c>
      <c r="W1044" s="76">
        <v>1.3552618543578769</v>
      </c>
      <c r="X1044" s="77">
        <v>0.63245553203367622</v>
      </c>
      <c r="Y1044" s="77">
        <v>3</v>
      </c>
      <c r="Z1044" s="76">
        <v>7.5714285714285712</v>
      </c>
      <c r="AA1044" s="76">
        <v>0.72843135908468337</v>
      </c>
      <c r="AB1044" s="77">
        <v>-2.1572774865200244</v>
      </c>
      <c r="AC1044" s="77">
        <v>1</v>
      </c>
      <c r="AD1044" s="76">
        <v>7.5714285714285712</v>
      </c>
      <c r="AE1044" s="76">
        <v>0.72843135908468337</v>
      </c>
      <c r="AF1044" s="77">
        <v>-2.1572774865200244</v>
      </c>
      <c r="AG1044" s="77">
        <v>1</v>
      </c>
      <c r="AH1044" s="76">
        <v>7.5714285714285712</v>
      </c>
      <c r="AI1044" s="76">
        <v>2.0603150145508513</v>
      </c>
      <c r="AJ1044" s="77">
        <v>0.69337524528153638</v>
      </c>
      <c r="AK1044" s="77">
        <v>3</v>
      </c>
      <c r="AL1044" s="76"/>
      <c r="AM1044" s="76"/>
      <c r="AN1044" s="77"/>
      <c r="AO1044" s="77"/>
      <c r="AP1044" s="76"/>
      <c r="AQ1044" s="76"/>
      <c r="AR1044" s="77"/>
      <c r="AS1044" s="77"/>
      <c r="AT1044" s="78">
        <v>0.5</v>
      </c>
    </row>
    <row r="1045" spans="1:46" ht="12.5" x14ac:dyDescent="0.25">
      <c r="A1045" s="79">
        <v>44957.491886365737</v>
      </c>
      <c r="B1045" s="80" t="s">
        <v>22</v>
      </c>
      <c r="C1045" s="80" t="str">
        <f>INDEX(TBL_Name,MATCH(Table2[[#This Row],[Athlete Name]],listNames,0),2)</f>
        <v>Athlete 14</v>
      </c>
      <c r="D1045" s="80" t="s">
        <v>130</v>
      </c>
      <c r="E1045" s="80">
        <v>5</v>
      </c>
      <c r="F1045" s="80">
        <v>4</v>
      </c>
      <c r="G1045" s="80">
        <v>7</v>
      </c>
      <c r="H1045" s="80" t="s">
        <v>1445</v>
      </c>
      <c r="I1045" s="80">
        <v>6</v>
      </c>
      <c r="J1045" s="80"/>
      <c r="K1045" s="80"/>
      <c r="L1045" s="80"/>
      <c r="M1045" s="1" t="s">
        <v>1475</v>
      </c>
      <c r="N1045" s="1">
        <v>5</v>
      </c>
      <c r="O1045" s="1">
        <v>4</v>
      </c>
      <c r="P1045" s="13">
        <v>44957</v>
      </c>
      <c r="Q1045" s="1" t="s">
        <v>133</v>
      </c>
      <c r="R1045" s="1" t="s">
        <v>31</v>
      </c>
      <c r="S1045" s="1">
        <v>1</v>
      </c>
      <c r="T1045" s="1" t="s">
        <v>18</v>
      </c>
      <c r="U1045" s="1" t="s">
        <v>18</v>
      </c>
      <c r="V1045" s="76">
        <v>6.5</v>
      </c>
      <c r="W1045" s="76">
        <v>0.8660254037844386</v>
      </c>
      <c r="X1045" s="77">
        <v>-1.7320508075688774</v>
      </c>
      <c r="Y1045" s="77">
        <v>1</v>
      </c>
      <c r="Z1045" s="76">
        <v>4.75</v>
      </c>
      <c r="AA1045" s="76">
        <v>0.82915619758884995</v>
      </c>
      <c r="AB1045" s="77">
        <v>-0.90453403373329089</v>
      </c>
      <c r="AC1045" s="77">
        <v>2</v>
      </c>
      <c r="AD1045" s="76">
        <v>7</v>
      </c>
      <c r="AE1045" s="76">
        <v>0.70710678118654757</v>
      </c>
      <c r="AF1045" s="77">
        <v>0</v>
      </c>
      <c r="AG1045" s="77">
        <v>3</v>
      </c>
      <c r="AH1045" s="76">
        <v>5.25</v>
      </c>
      <c r="AI1045" s="76">
        <v>1.299038105676658</v>
      </c>
      <c r="AJ1045" s="77">
        <v>0.57735026918962573</v>
      </c>
      <c r="AK1045" s="77">
        <v>3</v>
      </c>
      <c r="AL1045" s="76"/>
      <c r="AM1045" s="76"/>
      <c r="AN1045" s="77"/>
      <c r="AO1045" s="77"/>
      <c r="AP1045" s="76"/>
      <c r="AQ1045" s="76"/>
      <c r="AR1045" s="77"/>
      <c r="AS1045" s="77"/>
      <c r="AT1045" s="78">
        <v>0.5625</v>
      </c>
    </row>
    <row r="1046" spans="1:46" ht="12.5" x14ac:dyDescent="0.25">
      <c r="A1046" s="79">
        <v>44958.279637326385</v>
      </c>
      <c r="B1046" s="80" t="s">
        <v>29</v>
      </c>
      <c r="C1046" s="80" t="str">
        <f>INDEX(TBL_Name,MATCH(Table2[[#This Row],[Athlete Name]],listNames,0),2)</f>
        <v>Athlete 18</v>
      </c>
      <c r="D1046" s="80" t="s">
        <v>130</v>
      </c>
      <c r="E1046" s="80">
        <v>9</v>
      </c>
      <c r="F1046" s="80">
        <v>9</v>
      </c>
      <c r="G1046" s="80">
        <v>8</v>
      </c>
      <c r="H1046" s="80" t="s">
        <v>1476</v>
      </c>
      <c r="I1046" s="80">
        <v>7</v>
      </c>
      <c r="J1046" s="80"/>
      <c r="K1046" s="80"/>
      <c r="L1046" s="80"/>
      <c r="M1046" s="1" t="s">
        <v>1477</v>
      </c>
      <c r="N1046" s="1">
        <v>5</v>
      </c>
      <c r="O1046" s="1">
        <v>4</v>
      </c>
      <c r="P1046" s="13">
        <v>44958</v>
      </c>
      <c r="Q1046" s="1" t="s">
        <v>133</v>
      </c>
      <c r="R1046" s="1" t="s">
        <v>31</v>
      </c>
      <c r="S1046" s="1">
        <v>1</v>
      </c>
      <c r="T1046" s="1" t="s">
        <v>28</v>
      </c>
      <c r="U1046" s="1" t="s">
        <v>28</v>
      </c>
      <c r="V1046" s="76">
        <v>9.1999999999999993</v>
      </c>
      <c r="W1046" s="76">
        <v>0.74833147735478811</v>
      </c>
      <c r="X1046" s="77">
        <v>-0.26726124191242351</v>
      </c>
      <c r="Y1046" s="77">
        <v>2</v>
      </c>
      <c r="Z1046" s="76">
        <v>9.4</v>
      </c>
      <c r="AA1046" s="76">
        <v>0.79999999999999993</v>
      </c>
      <c r="AB1046" s="77">
        <v>-0.50000000000000044</v>
      </c>
      <c r="AC1046" s="77">
        <v>2</v>
      </c>
      <c r="AD1046" s="76">
        <v>8</v>
      </c>
      <c r="AE1046" s="76">
        <v>0</v>
      </c>
      <c r="AF1046" s="77">
        <v>0</v>
      </c>
      <c r="AG1046" s="77">
        <v>3</v>
      </c>
      <c r="AH1046" s="76">
        <v>7.4</v>
      </c>
      <c r="AI1046" s="76">
        <v>1.3564659966250536</v>
      </c>
      <c r="AJ1046" s="77">
        <v>-0.29488391230979455</v>
      </c>
      <c r="AK1046" s="77">
        <v>2</v>
      </c>
      <c r="AL1046" s="76"/>
      <c r="AM1046" s="76"/>
      <c r="AN1046" s="77"/>
      <c r="AO1046" s="77"/>
      <c r="AP1046" s="76"/>
      <c r="AQ1046" s="76"/>
      <c r="AR1046" s="77"/>
      <c r="AS1046" s="77"/>
      <c r="AT1046" s="78">
        <v>0.5625</v>
      </c>
    </row>
    <row r="1047" spans="1:46" ht="12.5" x14ac:dyDescent="0.25">
      <c r="A1047" s="79">
        <v>44958.327250416667</v>
      </c>
      <c r="B1047" s="80" t="s">
        <v>10</v>
      </c>
      <c r="C1047" s="80" t="str">
        <f>INDEX(TBL_Name,MATCH(Table2[[#This Row],[Athlete Name]],listNames,0),2)</f>
        <v>Athlete 5</v>
      </c>
      <c r="D1047" s="80" t="s">
        <v>130</v>
      </c>
      <c r="E1047" s="80">
        <v>6</v>
      </c>
      <c r="F1047" s="80">
        <v>7</v>
      </c>
      <c r="G1047" s="80">
        <v>7</v>
      </c>
      <c r="H1047" s="80" t="s">
        <v>1290</v>
      </c>
      <c r="I1047" s="80">
        <v>4</v>
      </c>
      <c r="J1047" s="80"/>
      <c r="K1047" s="80"/>
      <c r="L1047" s="80"/>
      <c r="M1047" s="1" t="s">
        <v>1478</v>
      </c>
      <c r="N1047" s="1">
        <v>5</v>
      </c>
      <c r="O1047" s="1">
        <v>4</v>
      </c>
      <c r="P1047" s="13">
        <v>44958</v>
      </c>
      <c r="Q1047" s="1" t="s">
        <v>133</v>
      </c>
      <c r="R1047" s="1" t="s">
        <v>31</v>
      </c>
      <c r="S1047" s="1">
        <v>1</v>
      </c>
      <c r="T1047" s="1" t="s">
        <v>11</v>
      </c>
      <c r="U1047" s="1" t="s">
        <v>11</v>
      </c>
      <c r="V1047" s="76">
        <v>7.8571428571428568</v>
      </c>
      <c r="W1047" s="76">
        <v>1.5518257844571735</v>
      </c>
      <c r="X1047" s="77">
        <v>-1.1967470032678202</v>
      </c>
      <c r="Y1047" s="77">
        <v>1</v>
      </c>
      <c r="Z1047" s="76">
        <v>7.4285714285714288</v>
      </c>
      <c r="AA1047" s="76">
        <v>0.72843135908468348</v>
      </c>
      <c r="AB1047" s="77">
        <v>-0.58834840541455247</v>
      </c>
      <c r="AC1047" s="77">
        <v>2</v>
      </c>
      <c r="AD1047" s="76">
        <v>7.4285714285714288</v>
      </c>
      <c r="AE1047" s="76">
        <v>0.72843135908468348</v>
      </c>
      <c r="AF1047" s="77">
        <v>-0.58834840541455247</v>
      </c>
      <c r="AG1047" s="77">
        <v>2</v>
      </c>
      <c r="AH1047" s="76">
        <v>7.7142857142857144</v>
      </c>
      <c r="AI1047" s="76">
        <v>1.7496355305594127</v>
      </c>
      <c r="AJ1047" s="77">
        <v>-2.122891110412088</v>
      </c>
      <c r="AK1047" s="77">
        <v>1</v>
      </c>
      <c r="AL1047" s="76"/>
      <c r="AM1047" s="76"/>
      <c r="AN1047" s="77"/>
      <c r="AO1047" s="77"/>
      <c r="AP1047" s="76"/>
      <c r="AQ1047" s="76"/>
      <c r="AR1047" s="77"/>
      <c r="AS1047" s="77"/>
      <c r="AT1047" s="78">
        <v>0.375</v>
      </c>
    </row>
    <row r="1048" spans="1:46" ht="12.5" x14ac:dyDescent="0.25">
      <c r="A1048" s="79">
        <v>44958.327379386574</v>
      </c>
      <c r="B1048" s="80" t="s">
        <v>17</v>
      </c>
      <c r="C1048" s="80" t="str">
        <f>INDEX(TBL_Name,MATCH(Table2[[#This Row],[Athlete Name]],listNames,0),2)</f>
        <v>Athlete 10</v>
      </c>
      <c r="D1048" s="80" t="s">
        <v>130</v>
      </c>
      <c r="E1048" s="80">
        <v>8</v>
      </c>
      <c r="F1048" s="80">
        <v>7</v>
      </c>
      <c r="G1048" s="80">
        <v>9</v>
      </c>
      <c r="H1048" s="80" t="s">
        <v>71</v>
      </c>
      <c r="I1048" s="80">
        <v>7</v>
      </c>
      <c r="J1048" s="80"/>
      <c r="K1048" s="80"/>
      <c r="L1048" s="80"/>
      <c r="M1048" s="1" t="s">
        <v>1479</v>
      </c>
      <c r="N1048" s="1">
        <v>5</v>
      </c>
      <c r="O1048" s="1">
        <v>4</v>
      </c>
      <c r="P1048" s="13">
        <v>44958</v>
      </c>
      <c r="Q1048" s="1" t="s">
        <v>133</v>
      </c>
      <c r="R1048" s="1" t="s">
        <v>31</v>
      </c>
      <c r="S1048" s="1">
        <v>1</v>
      </c>
      <c r="T1048" s="1" t="s">
        <v>18</v>
      </c>
      <c r="U1048" s="1" t="s">
        <v>18</v>
      </c>
      <c r="V1048" s="76">
        <v>8.3333333333333339</v>
      </c>
      <c r="W1048" s="76">
        <v>0.47140452079103179</v>
      </c>
      <c r="X1048" s="77">
        <v>-0.70710678118654857</v>
      </c>
      <c r="Y1048" s="77">
        <v>2</v>
      </c>
      <c r="Z1048" s="76">
        <v>7.333333333333333</v>
      </c>
      <c r="AA1048" s="76">
        <v>0.47140452079103162</v>
      </c>
      <c r="AB1048" s="77">
        <v>-0.70710678118654702</v>
      </c>
      <c r="AC1048" s="77">
        <v>2</v>
      </c>
      <c r="AD1048" s="76">
        <v>8.3333333333333339</v>
      </c>
      <c r="AE1048" s="76">
        <v>0.94280904158206325</v>
      </c>
      <c r="AF1048" s="77">
        <v>0.70710678118654702</v>
      </c>
      <c r="AG1048" s="77">
        <v>3</v>
      </c>
      <c r="AH1048" s="76">
        <v>7</v>
      </c>
      <c r="AI1048" s="76">
        <v>0.81649658092772603</v>
      </c>
      <c r="AJ1048" s="77">
        <v>0</v>
      </c>
      <c r="AK1048" s="77">
        <v>3</v>
      </c>
      <c r="AL1048" s="76"/>
      <c r="AM1048" s="76"/>
      <c r="AN1048" s="77"/>
      <c r="AO1048" s="77"/>
      <c r="AP1048" s="76"/>
      <c r="AQ1048" s="76"/>
      <c r="AR1048" s="77"/>
      <c r="AS1048" s="77"/>
      <c r="AT1048" s="78">
        <v>0.625</v>
      </c>
    </row>
    <row r="1049" spans="1:46" ht="12.5" x14ac:dyDescent="0.25">
      <c r="A1049" s="79">
        <v>44958.340573078705</v>
      </c>
      <c r="B1049" s="80" t="s">
        <v>13</v>
      </c>
      <c r="C1049" s="80" t="str">
        <f>INDEX(TBL_Name,MATCH(Table2[[#This Row],[Athlete Name]],listNames,0),2)</f>
        <v>Athlete 7</v>
      </c>
      <c r="D1049" s="80" t="s">
        <v>130</v>
      </c>
      <c r="E1049" s="80">
        <v>6</v>
      </c>
      <c r="F1049" s="80">
        <v>6</v>
      </c>
      <c r="G1049" s="80">
        <v>8</v>
      </c>
      <c r="H1049" s="80"/>
      <c r="I1049" s="80">
        <v>7</v>
      </c>
      <c r="J1049" s="80"/>
      <c r="K1049" s="80"/>
      <c r="L1049" s="80"/>
      <c r="M1049" s="1" t="s">
        <v>1480</v>
      </c>
      <c r="N1049" s="1">
        <v>5</v>
      </c>
      <c r="O1049" s="1">
        <v>4</v>
      </c>
      <c r="P1049" s="13">
        <v>44958</v>
      </c>
      <c r="Q1049" s="1" t="s">
        <v>133</v>
      </c>
      <c r="R1049" s="1" t="s">
        <v>31</v>
      </c>
      <c r="S1049" s="1">
        <v>1</v>
      </c>
      <c r="T1049" s="1" t="s">
        <v>14</v>
      </c>
      <c r="U1049" s="1" t="s">
        <v>14</v>
      </c>
      <c r="V1049" s="76">
        <v>6.6</v>
      </c>
      <c r="W1049" s="76">
        <v>1.4966629547095767</v>
      </c>
      <c r="X1049" s="77">
        <v>-0.40089186286863632</v>
      </c>
      <c r="Y1049" s="77">
        <v>2</v>
      </c>
      <c r="Z1049" s="76">
        <v>5</v>
      </c>
      <c r="AA1049" s="76">
        <v>2.1908902300206643</v>
      </c>
      <c r="AB1049" s="77">
        <v>0.45643546458763845</v>
      </c>
      <c r="AC1049" s="77">
        <v>3</v>
      </c>
      <c r="AD1049" s="76">
        <v>7</v>
      </c>
      <c r="AE1049" s="76">
        <v>0.63245553203367588</v>
      </c>
      <c r="AF1049" s="77">
        <v>1.5811388300841895</v>
      </c>
      <c r="AG1049" s="77">
        <v>4</v>
      </c>
      <c r="AH1049" s="76">
        <v>6.8</v>
      </c>
      <c r="AI1049" s="76">
        <v>2.0396078054371141</v>
      </c>
      <c r="AJ1049" s="77">
        <v>9.8058067569092092E-2</v>
      </c>
      <c r="AK1049" s="77">
        <v>3</v>
      </c>
      <c r="AL1049" s="76"/>
      <c r="AM1049" s="76"/>
      <c r="AN1049" s="77"/>
      <c r="AO1049" s="77"/>
      <c r="AP1049" s="76"/>
      <c r="AQ1049" s="76"/>
      <c r="AR1049" s="77"/>
      <c r="AS1049" s="77"/>
      <c r="AT1049" s="78">
        <v>0.75</v>
      </c>
    </row>
    <row r="1050" spans="1:46" ht="12.5" x14ac:dyDescent="0.25">
      <c r="A1050" s="79">
        <v>44958.348474930557</v>
      </c>
      <c r="B1050" s="80" t="s">
        <v>16</v>
      </c>
      <c r="C1050" s="80" t="str">
        <f>INDEX(TBL_Name,MATCH(Table2[[#This Row],[Athlete Name]],listNames,0),2)</f>
        <v>Athlete 9</v>
      </c>
      <c r="D1050" s="80" t="s">
        <v>130</v>
      </c>
      <c r="E1050" s="80">
        <v>8</v>
      </c>
      <c r="F1050" s="80">
        <v>5</v>
      </c>
      <c r="G1050" s="80">
        <v>5</v>
      </c>
      <c r="H1050" s="80" t="s">
        <v>415</v>
      </c>
      <c r="I1050" s="80">
        <v>6</v>
      </c>
      <c r="J1050" s="80"/>
      <c r="K1050" s="80"/>
      <c r="L1050" s="80"/>
      <c r="M1050" s="1" t="s">
        <v>1481</v>
      </c>
      <c r="N1050" s="1">
        <v>5</v>
      </c>
      <c r="O1050" s="1">
        <v>4</v>
      </c>
      <c r="P1050" s="13">
        <v>44958</v>
      </c>
      <c r="Q1050" s="1" t="s">
        <v>133</v>
      </c>
      <c r="R1050" s="1" t="s">
        <v>31</v>
      </c>
      <c r="S1050" s="1">
        <v>1</v>
      </c>
      <c r="T1050" s="1" t="s">
        <v>14</v>
      </c>
      <c r="U1050" s="1" t="s">
        <v>14</v>
      </c>
      <c r="V1050" s="76">
        <v>8</v>
      </c>
      <c r="W1050" s="76">
        <v>0</v>
      </c>
      <c r="X1050" s="77">
        <v>0</v>
      </c>
      <c r="Y1050" s="77">
        <v>3</v>
      </c>
      <c r="Z1050" s="76">
        <v>5.5</v>
      </c>
      <c r="AA1050" s="76">
        <v>0.5</v>
      </c>
      <c r="AB1050" s="77">
        <v>-1</v>
      </c>
      <c r="AC1050" s="77">
        <v>1</v>
      </c>
      <c r="AD1050" s="76">
        <v>6.5</v>
      </c>
      <c r="AE1050" s="76">
        <v>1.5</v>
      </c>
      <c r="AF1050" s="77">
        <v>-1</v>
      </c>
      <c r="AG1050" s="77">
        <v>1</v>
      </c>
      <c r="AH1050" s="76">
        <v>7</v>
      </c>
      <c r="AI1050" s="76">
        <v>1</v>
      </c>
      <c r="AJ1050" s="77">
        <v>-1</v>
      </c>
      <c r="AK1050" s="77">
        <v>1</v>
      </c>
      <c r="AL1050" s="76"/>
      <c r="AM1050" s="76"/>
      <c r="AN1050" s="77"/>
      <c r="AO1050" s="77"/>
      <c r="AP1050" s="76"/>
      <c r="AQ1050" s="76"/>
      <c r="AR1050" s="77"/>
      <c r="AS1050" s="77"/>
      <c r="AT1050" s="78">
        <v>0.375</v>
      </c>
    </row>
    <row r="1051" spans="1:46" ht="12.5" x14ac:dyDescent="0.25">
      <c r="A1051" s="79">
        <v>44958.372173900461</v>
      </c>
      <c r="B1051" s="80" t="s">
        <v>24</v>
      </c>
      <c r="C1051" s="80" t="str">
        <f>INDEX(TBL_Name,MATCH(Table2[[#This Row],[Athlete Name]],listNames,0),2)</f>
        <v>Athlete 16</v>
      </c>
      <c r="D1051" s="80" t="s">
        <v>130</v>
      </c>
      <c r="E1051" s="80">
        <v>5</v>
      </c>
      <c r="F1051" s="80">
        <v>5</v>
      </c>
      <c r="G1051" s="80">
        <v>5</v>
      </c>
      <c r="H1051" s="80" t="s">
        <v>342</v>
      </c>
      <c r="I1051" s="80">
        <v>8</v>
      </c>
      <c r="J1051" s="80"/>
      <c r="K1051" s="80"/>
      <c r="L1051" s="80"/>
      <c r="M1051" s="1" t="s">
        <v>1482</v>
      </c>
      <c r="N1051" s="1">
        <v>5</v>
      </c>
      <c r="O1051" s="1">
        <v>4</v>
      </c>
      <c r="P1051" s="13">
        <v>44958</v>
      </c>
      <c r="Q1051" s="1" t="s">
        <v>133</v>
      </c>
      <c r="R1051" s="1" t="s">
        <v>31</v>
      </c>
      <c r="S1051" s="1">
        <v>1</v>
      </c>
      <c r="T1051" s="1" t="s">
        <v>18</v>
      </c>
      <c r="U1051" s="1" t="s">
        <v>18</v>
      </c>
      <c r="V1051" s="76">
        <v>6</v>
      </c>
      <c r="W1051" s="76">
        <v>1.4142135623730951</v>
      </c>
      <c r="X1051" s="77">
        <v>-0.70710678118654746</v>
      </c>
      <c r="Y1051" s="77">
        <v>2</v>
      </c>
      <c r="Z1051" s="76">
        <v>6.333333333333333</v>
      </c>
      <c r="AA1051" s="76">
        <v>0.94280904158206325</v>
      </c>
      <c r="AB1051" s="77">
        <v>-1.4142135623730949</v>
      </c>
      <c r="AC1051" s="77">
        <v>1</v>
      </c>
      <c r="AD1051" s="76">
        <v>6</v>
      </c>
      <c r="AE1051" s="76">
        <v>0.81649658092772603</v>
      </c>
      <c r="AF1051" s="77">
        <v>-1.2247448713915889</v>
      </c>
      <c r="AG1051" s="77">
        <v>1</v>
      </c>
      <c r="AH1051" s="76">
        <v>6</v>
      </c>
      <c r="AI1051" s="76">
        <v>2.8284271247461903</v>
      </c>
      <c r="AJ1051" s="77">
        <v>0.70710678118654746</v>
      </c>
      <c r="AK1051" s="77">
        <v>3</v>
      </c>
      <c r="AL1051" s="76"/>
      <c r="AM1051" s="76"/>
      <c r="AN1051" s="77"/>
      <c r="AO1051" s="77"/>
      <c r="AP1051" s="76"/>
      <c r="AQ1051" s="76"/>
      <c r="AR1051" s="77"/>
      <c r="AS1051" s="77"/>
      <c r="AT1051" s="78">
        <v>0.4375</v>
      </c>
    </row>
    <row r="1052" spans="1:46" ht="12.5" x14ac:dyDescent="0.25">
      <c r="A1052" s="79">
        <v>44958.379415763891</v>
      </c>
      <c r="B1052" s="80" t="s">
        <v>21</v>
      </c>
      <c r="C1052" s="80" t="str">
        <f>INDEX(TBL_Name,MATCH(Table2[[#This Row],[Athlete Name]],listNames,0),2)</f>
        <v>Athlete 13</v>
      </c>
      <c r="D1052" s="80" t="s">
        <v>143</v>
      </c>
      <c r="E1052" s="80">
        <v>8</v>
      </c>
      <c r="F1052" s="80">
        <v>8</v>
      </c>
      <c r="G1052" s="80">
        <v>9</v>
      </c>
      <c r="H1052" s="80" t="s">
        <v>1483</v>
      </c>
      <c r="I1052" s="80">
        <v>5</v>
      </c>
      <c r="J1052" s="80"/>
      <c r="K1052" s="80"/>
      <c r="L1052" s="80"/>
      <c r="M1052" s="1" t="s">
        <v>1484</v>
      </c>
      <c r="N1052" s="1">
        <v>5</v>
      </c>
      <c r="O1052" s="1">
        <v>4</v>
      </c>
      <c r="P1052" s="13">
        <v>44958</v>
      </c>
      <c r="Q1052" s="1" t="s">
        <v>133</v>
      </c>
      <c r="R1052" s="1" t="s">
        <v>31</v>
      </c>
      <c r="S1052" s="1">
        <v>2</v>
      </c>
      <c r="T1052" s="1" t="s">
        <v>18</v>
      </c>
      <c r="U1052" s="1" t="s">
        <v>18</v>
      </c>
      <c r="V1052" s="76">
        <v>7.5714285714285712</v>
      </c>
      <c r="W1052" s="76">
        <v>0.72843135908468348</v>
      </c>
      <c r="X1052" s="77">
        <v>0.58834840541455247</v>
      </c>
      <c r="Y1052" s="77">
        <v>3</v>
      </c>
      <c r="Z1052" s="76">
        <v>8.2857142857142865</v>
      </c>
      <c r="AA1052" s="76">
        <v>0.6998542122237652</v>
      </c>
      <c r="AB1052" s="77">
        <v>-0.40824829046386407</v>
      </c>
      <c r="AC1052" s="77">
        <v>2</v>
      </c>
      <c r="AD1052" s="76">
        <v>8.4285714285714288</v>
      </c>
      <c r="AE1052" s="76">
        <v>0.49487165930539345</v>
      </c>
      <c r="AF1052" s="77">
        <v>1.1547005383792512</v>
      </c>
      <c r="AG1052" s="77">
        <v>4</v>
      </c>
      <c r="AH1052" s="76">
        <v>5.7142857142857144</v>
      </c>
      <c r="AI1052" s="76">
        <v>0.6998542122237652</v>
      </c>
      <c r="AJ1052" s="77">
        <v>-1.0206207261596576</v>
      </c>
      <c r="AK1052" s="77">
        <v>1</v>
      </c>
      <c r="AL1052" s="76"/>
      <c r="AM1052" s="76"/>
      <c r="AN1052" s="77"/>
      <c r="AO1052" s="77"/>
      <c r="AP1052" s="76"/>
      <c r="AQ1052" s="76"/>
      <c r="AR1052" s="77"/>
      <c r="AS1052" s="77"/>
      <c r="AT1052" s="78">
        <v>0.625</v>
      </c>
    </row>
    <row r="1053" spans="1:46" ht="12.5" x14ac:dyDescent="0.25">
      <c r="A1053" s="79">
        <v>44958.380593263893</v>
      </c>
      <c r="B1053" s="80" t="s">
        <v>19</v>
      </c>
      <c r="C1053" s="80" t="str">
        <f>INDEX(TBL_Name,MATCH(Table2[[#This Row],[Athlete Name]],listNames,0),2)</f>
        <v>Athlete 11</v>
      </c>
      <c r="D1053" s="80" t="s">
        <v>130</v>
      </c>
      <c r="E1053" s="80">
        <v>5</v>
      </c>
      <c r="F1053" s="80">
        <v>7</v>
      </c>
      <c r="G1053" s="80">
        <v>7</v>
      </c>
      <c r="H1053" s="80" t="s">
        <v>1485</v>
      </c>
      <c r="I1053" s="80">
        <v>5</v>
      </c>
      <c r="J1053" s="80"/>
      <c r="K1053" s="80"/>
      <c r="L1053" s="80"/>
      <c r="M1053" s="1" t="s">
        <v>1486</v>
      </c>
      <c r="N1053" s="1">
        <v>5</v>
      </c>
      <c r="O1053" s="1">
        <v>4</v>
      </c>
      <c r="P1053" s="13">
        <v>44958</v>
      </c>
      <c r="Q1053" s="1" t="s">
        <v>133</v>
      </c>
      <c r="R1053" s="1" t="s">
        <v>31</v>
      </c>
      <c r="S1053" s="1">
        <v>1</v>
      </c>
      <c r="T1053" s="1" t="s">
        <v>18</v>
      </c>
      <c r="U1053" s="1" t="s">
        <v>18</v>
      </c>
      <c r="V1053" s="76">
        <v>6.6</v>
      </c>
      <c r="W1053" s="76">
        <v>1.0198039027185568</v>
      </c>
      <c r="X1053" s="77">
        <v>-1.5689290811054721</v>
      </c>
      <c r="Y1053" s="77">
        <v>1</v>
      </c>
      <c r="Z1053" s="76">
        <v>7.4</v>
      </c>
      <c r="AA1053" s="76">
        <v>1.8547236990991407</v>
      </c>
      <c r="AB1053" s="77">
        <v>-0.21566554640687702</v>
      </c>
      <c r="AC1053" s="77">
        <v>2</v>
      </c>
      <c r="AD1053" s="76">
        <v>8.1999999999999993</v>
      </c>
      <c r="AE1053" s="76">
        <v>0.74833147735478811</v>
      </c>
      <c r="AF1053" s="77">
        <v>-1.6035674514745457</v>
      </c>
      <c r="AG1053" s="77">
        <v>1</v>
      </c>
      <c r="AH1053" s="76">
        <v>5.6</v>
      </c>
      <c r="AI1053" s="76">
        <v>1.3564659966250536</v>
      </c>
      <c r="AJ1053" s="77">
        <v>-0.44232586846469113</v>
      </c>
      <c r="AK1053" s="77">
        <v>2</v>
      </c>
      <c r="AL1053" s="76"/>
      <c r="AM1053" s="76"/>
      <c r="AN1053" s="77"/>
      <c r="AO1053" s="77"/>
      <c r="AP1053" s="76"/>
      <c r="AQ1053" s="76"/>
      <c r="AR1053" s="77"/>
      <c r="AS1053" s="77"/>
      <c r="AT1053" s="78">
        <v>0.375</v>
      </c>
    </row>
    <row r="1054" spans="1:46" ht="12.5" x14ac:dyDescent="0.25">
      <c r="A1054" s="79">
        <v>44958.386625057872</v>
      </c>
      <c r="B1054" s="80" t="s">
        <v>6</v>
      </c>
      <c r="C1054" s="80" t="str">
        <f>INDEX(TBL_Name,MATCH(Table2[[#This Row],[Athlete Name]],listNames,0),2)</f>
        <v>Athlete 2</v>
      </c>
      <c r="D1054" s="80" t="s">
        <v>130</v>
      </c>
      <c r="E1054" s="80">
        <v>8</v>
      </c>
      <c r="F1054" s="80">
        <v>7</v>
      </c>
      <c r="G1054" s="80">
        <v>7</v>
      </c>
      <c r="H1054" s="80" t="s">
        <v>586</v>
      </c>
      <c r="I1054" s="80">
        <v>5</v>
      </c>
      <c r="J1054" s="80"/>
      <c r="K1054" s="80"/>
      <c r="L1054" s="80"/>
      <c r="M1054" s="1" t="s">
        <v>1487</v>
      </c>
      <c r="N1054" s="1">
        <v>5</v>
      </c>
      <c r="O1054" s="1">
        <v>4</v>
      </c>
      <c r="P1054" s="13">
        <v>44958</v>
      </c>
      <c r="Q1054" s="1" t="s">
        <v>133</v>
      </c>
      <c r="R1054" s="1" t="s">
        <v>31</v>
      </c>
      <c r="S1054" s="1">
        <v>1</v>
      </c>
      <c r="T1054" s="1" t="s">
        <v>5</v>
      </c>
      <c r="U1054" s="1" t="s">
        <v>5</v>
      </c>
      <c r="V1054" s="76">
        <v>8</v>
      </c>
      <c r="W1054" s="76">
        <v>0</v>
      </c>
      <c r="X1054" s="77">
        <v>0</v>
      </c>
      <c r="Y1054" s="77">
        <v>3</v>
      </c>
      <c r="Z1054" s="76">
        <v>7</v>
      </c>
      <c r="AA1054" s="76">
        <v>0</v>
      </c>
      <c r="AB1054" s="77">
        <v>0</v>
      </c>
      <c r="AC1054" s="77">
        <v>3</v>
      </c>
      <c r="AD1054" s="76">
        <v>6.666666666666667</v>
      </c>
      <c r="AE1054" s="76">
        <v>0.47140452079103162</v>
      </c>
      <c r="AF1054" s="77">
        <v>0.70710678118654702</v>
      </c>
      <c r="AG1054" s="77">
        <v>3</v>
      </c>
      <c r="AH1054" s="76">
        <v>6.333333333333333</v>
      </c>
      <c r="AI1054" s="76">
        <v>1.247219128924647</v>
      </c>
      <c r="AJ1054" s="77">
        <v>-1.0690449676496974</v>
      </c>
      <c r="AK1054" s="77">
        <v>1</v>
      </c>
      <c r="AL1054" s="76"/>
      <c r="AM1054" s="76"/>
      <c r="AN1054" s="77"/>
      <c r="AO1054" s="77"/>
      <c r="AP1054" s="76"/>
      <c r="AQ1054" s="76"/>
      <c r="AR1054" s="77"/>
      <c r="AS1054" s="77"/>
      <c r="AT1054" s="78">
        <v>0.625</v>
      </c>
    </row>
    <row r="1055" spans="1:46" ht="12.5" x14ac:dyDescent="0.25">
      <c r="A1055" s="79">
        <v>44958.40020275463</v>
      </c>
      <c r="B1055" s="80" t="s">
        <v>9</v>
      </c>
      <c r="C1055" s="80" t="str">
        <f>INDEX(TBL_Name,MATCH(Table2[[#This Row],[Athlete Name]],listNames,0),2)</f>
        <v>Athlete 4</v>
      </c>
      <c r="D1055" s="80" t="s">
        <v>130</v>
      </c>
      <c r="E1055" s="80">
        <v>3</v>
      </c>
      <c r="F1055" s="80">
        <v>9</v>
      </c>
      <c r="G1055" s="80">
        <v>9</v>
      </c>
      <c r="H1055" s="80" t="s">
        <v>1402</v>
      </c>
      <c r="I1055" s="80">
        <v>4</v>
      </c>
      <c r="J1055" s="80"/>
      <c r="K1055" s="80"/>
      <c r="L1055" s="80"/>
      <c r="M1055" s="1" t="s">
        <v>1488</v>
      </c>
      <c r="N1055" s="1">
        <v>5</v>
      </c>
      <c r="O1055" s="1">
        <v>4</v>
      </c>
      <c r="P1055" s="13">
        <v>44958</v>
      </c>
      <c r="Q1055" s="1" t="s">
        <v>133</v>
      </c>
      <c r="R1055" s="1" t="s">
        <v>31</v>
      </c>
      <c r="S1055" s="1">
        <v>1</v>
      </c>
      <c r="T1055" s="1" t="s">
        <v>8</v>
      </c>
      <c r="U1055" s="1" t="s">
        <v>8</v>
      </c>
      <c r="V1055" s="76">
        <v>2.75</v>
      </c>
      <c r="W1055" s="76">
        <v>0.43301270189221935</v>
      </c>
      <c r="X1055" s="77">
        <v>0.57735026918962573</v>
      </c>
      <c r="Y1055" s="77">
        <v>3</v>
      </c>
      <c r="Z1055" s="76">
        <v>8</v>
      </c>
      <c r="AA1055" s="76">
        <v>0.70710678118654757</v>
      </c>
      <c r="AB1055" s="77">
        <v>1.4142135623730949</v>
      </c>
      <c r="AC1055" s="77">
        <v>4</v>
      </c>
      <c r="AD1055" s="76">
        <v>8.25</v>
      </c>
      <c r="AE1055" s="76">
        <v>0.4330127018922193</v>
      </c>
      <c r="AF1055" s="77">
        <v>1.7320508075688774</v>
      </c>
      <c r="AG1055" s="77">
        <v>4</v>
      </c>
      <c r="AH1055" s="76">
        <v>4.25</v>
      </c>
      <c r="AI1055" s="76">
        <v>0.43301270189221924</v>
      </c>
      <c r="AJ1055" s="77">
        <v>-0.57735026918962584</v>
      </c>
      <c r="AK1055" s="77">
        <v>2</v>
      </c>
      <c r="AL1055" s="76"/>
      <c r="AM1055" s="76"/>
      <c r="AN1055" s="77"/>
      <c r="AO1055" s="77"/>
      <c r="AP1055" s="76"/>
      <c r="AQ1055" s="76"/>
      <c r="AR1055" s="77"/>
      <c r="AS1055" s="77"/>
      <c r="AT1055" s="78">
        <v>0.8125</v>
      </c>
    </row>
    <row r="1056" spans="1:46" ht="12.5" x14ac:dyDescent="0.25">
      <c r="A1056" s="79">
        <v>44958.442755358796</v>
      </c>
      <c r="B1056" s="80" t="s">
        <v>15</v>
      </c>
      <c r="C1056" s="80" t="str">
        <f>INDEX(TBL_Name,MATCH(Table2[[#This Row],[Athlete Name]],listNames,0),2)</f>
        <v>Athlete 8</v>
      </c>
      <c r="D1056" s="80" t="s">
        <v>130</v>
      </c>
      <c r="E1056" s="80">
        <v>8</v>
      </c>
      <c r="F1056" s="80">
        <v>10</v>
      </c>
      <c r="G1056" s="80">
        <v>7</v>
      </c>
      <c r="H1056" s="80" t="s">
        <v>131</v>
      </c>
      <c r="I1056" s="80">
        <v>6</v>
      </c>
      <c r="J1056" s="80"/>
      <c r="K1056" s="80"/>
      <c r="L1056" s="80"/>
      <c r="M1056" s="1" t="s">
        <v>1489</v>
      </c>
      <c r="N1056" s="1">
        <v>5</v>
      </c>
      <c r="O1056" s="1">
        <v>4</v>
      </c>
      <c r="P1056" s="13">
        <v>44958</v>
      </c>
      <c r="Q1056" s="1" t="s">
        <v>133</v>
      </c>
      <c r="R1056" s="1" t="s">
        <v>31</v>
      </c>
      <c r="S1056" s="1">
        <v>1</v>
      </c>
      <c r="T1056" s="1" t="s">
        <v>14</v>
      </c>
      <c r="U1056" s="1" t="s">
        <v>14</v>
      </c>
      <c r="V1056" s="76">
        <v>8.5</v>
      </c>
      <c r="W1056" s="76">
        <v>0.86602540378443849</v>
      </c>
      <c r="X1056" s="77">
        <v>-0.57735026918962584</v>
      </c>
      <c r="Y1056" s="77">
        <v>2</v>
      </c>
      <c r="Z1056" s="76">
        <v>10</v>
      </c>
      <c r="AA1056" s="76">
        <v>0</v>
      </c>
      <c r="AB1056" s="77">
        <v>0</v>
      </c>
      <c r="AC1056" s="77">
        <v>3</v>
      </c>
      <c r="AD1056" s="76">
        <v>8</v>
      </c>
      <c r="AE1056" s="76">
        <v>1.2247448713915889</v>
      </c>
      <c r="AF1056" s="77">
        <v>-0.81649658092772615</v>
      </c>
      <c r="AG1056" s="77">
        <v>2</v>
      </c>
      <c r="AH1056" s="76">
        <v>6.75</v>
      </c>
      <c r="AI1056" s="76">
        <v>1.920286436967152</v>
      </c>
      <c r="AJ1056" s="77">
        <v>-0.39056673294247163</v>
      </c>
      <c r="AK1056" s="77">
        <v>2</v>
      </c>
      <c r="AL1056" s="76"/>
      <c r="AM1056" s="76"/>
      <c r="AN1056" s="77"/>
      <c r="AO1056" s="77"/>
      <c r="AP1056" s="76"/>
      <c r="AQ1056" s="76"/>
      <c r="AR1056" s="77"/>
      <c r="AS1056" s="77"/>
      <c r="AT1056" s="78">
        <v>0.5625</v>
      </c>
    </row>
    <row r="1057" spans="1:46" ht="12.5" x14ac:dyDescent="0.25">
      <c r="A1057" s="79">
        <v>44958.590055949069</v>
      </c>
      <c r="B1057" s="80" t="s">
        <v>22</v>
      </c>
      <c r="C1057" s="80" t="str">
        <f>INDEX(TBL_Name,MATCH(Table2[[#This Row],[Athlete Name]],listNames,0),2)</f>
        <v>Athlete 14</v>
      </c>
      <c r="D1057" s="80" t="s">
        <v>130</v>
      </c>
      <c r="E1057" s="80">
        <v>5</v>
      </c>
      <c r="F1057" s="80">
        <v>5</v>
      </c>
      <c r="G1057" s="80">
        <v>6</v>
      </c>
      <c r="H1057" s="80" t="s">
        <v>1445</v>
      </c>
      <c r="I1057" s="80">
        <v>6</v>
      </c>
      <c r="J1057" s="80"/>
      <c r="K1057" s="80"/>
      <c r="L1057" s="80"/>
      <c r="M1057" s="1" t="s">
        <v>1490</v>
      </c>
      <c r="N1057" s="1">
        <v>5</v>
      </c>
      <c r="O1057" s="1">
        <v>4</v>
      </c>
      <c r="P1057" s="13">
        <v>44958</v>
      </c>
      <c r="Q1057" s="1" t="s">
        <v>133</v>
      </c>
      <c r="R1057" s="1" t="s">
        <v>31</v>
      </c>
      <c r="S1057" s="1">
        <v>1</v>
      </c>
      <c r="T1057" s="1" t="s">
        <v>18</v>
      </c>
      <c r="U1057" s="1" t="s">
        <v>18</v>
      </c>
      <c r="V1057" s="76">
        <v>6</v>
      </c>
      <c r="W1057" s="76">
        <v>0.99999999999999989</v>
      </c>
      <c r="X1057" s="77">
        <v>-1.0000000000000002</v>
      </c>
      <c r="Y1057" s="77">
        <v>1</v>
      </c>
      <c r="Z1057" s="76">
        <v>4.75</v>
      </c>
      <c r="AA1057" s="76">
        <v>0.82915619758884995</v>
      </c>
      <c r="AB1057" s="77">
        <v>0.30151134457776363</v>
      </c>
      <c r="AC1057" s="77">
        <v>3</v>
      </c>
      <c r="AD1057" s="76">
        <v>6.5</v>
      </c>
      <c r="AE1057" s="76">
        <v>0.5</v>
      </c>
      <c r="AF1057" s="77">
        <v>-1</v>
      </c>
      <c r="AG1057" s="77">
        <v>1</v>
      </c>
      <c r="AH1057" s="76">
        <v>5.75</v>
      </c>
      <c r="AI1057" s="76">
        <v>1.0897247358851683</v>
      </c>
      <c r="AJ1057" s="77">
        <v>0.2294157338705618</v>
      </c>
      <c r="AK1057" s="77">
        <v>3</v>
      </c>
      <c r="AL1057" s="76"/>
      <c r="AM1057" s="76"/>
      <c r="AN1057" s="77"/>
      <c r="AO1057" s="77"/>
      <c r="AP1057" s="76"/>
      <c r="AQ1057" s="76"/>
      <c r="AR1057" s="77"/>
      <c r="AS1057" s="77"/>
      <c r="AT1057" s="78">
        <v>0.5</v>
      </c>
    </row>
    <row r="1058" spans="1:46" ht="12.5" x14ac:dyDescent="0.25">
      <c r="A1058" s="79">
        <v>44958.591898472223</v>
      </c>
      <c r="B1058" s="80" t="s">
        <v>20</v>
      </c>
      <c r="C1058" s="80" t="str">
        <f>INDEX(TBL_Name,MATCH(Table2[[#This Row],[Athlete Name]],listNames,0),2)</f>
        <v>Athlete 12</v>
      </c>
      <c r="D1058" s="80" t="s">
        <v>143</v>
      </c>
      <c r="E1058" s="80">
        <v>9</v>
      </c>
      <c r="F1058" s="80">
        <v>9</v>
      </c>
      <c r="G1058" s="80">
        <v>9</v>
      </c>
      <c r="H1058" s="80" t="s">
        <v>1491</v>
      </c>
      <c r="I1058" s="80">
        <v>8</v>
      </c>
      <c r="J1058" s="80"/>
      <c r="K1058" s="80"/>
      <c r="L1058" s="80"/>
      <c r="M1058" s="1" t="s">
        <v>1492</v>
      </c>
      <c r="N1058" s="1">
        <v>5</v>
      </c>
      <c r="O1058" s="1">
        <v>4</v>
      </c>
      <c r="P1058" s="13">
        <v>44958</v>
      </c>
      <c r="Q1058" s="1" t="s">
        <v>133</v>
      </c>
      <c r="R1058" s="1" t="s">
        <v>31</v>
      </c>
      <c r="S1058" s="1">
        <v>2</v>
      </c>
      <c r="T1058" s="1" t="s">
        <v>18</v>
      </c>
      <c r="U1058" s="1" t="s">
        <v>18</v>
      </c>
      <c r="V1058" s="76">
        <v>8.3333333333333339</v>
      </c>
      <c r="W1058" s="76">
        <v>0.94280904158206325</v>
      </c>
      <c r="X1058" s="77">
        <v>0.70710678118654702</v>
      </c>
      <c r="Y1058" s="77">
        <v>3</v>
      </c>
      <c r="Z1058" s="76">
        <v>7.666666666666667</v>
      </c>
      <c r="AA1058" s="76">
        <v>0.94280904158206325</v>
      </c>
      <c r="AB1058" s="77">
        <v>1.4142135623730949</v>
      </c>
      <c r="AC1058" s="77">
        <v>4</v>
      </c>
      <c r="AD1058" s="76">
        <v>8.6666666666666661</v>
      </c>
      <c r="AE1058" s="76">
        <v>0.47140452079103179</v>
      </c>
      <c r="AF1058" s="77">
        <v>0.70710678118654857</v>
      </c>
      <c r="AG1058" s="77">
        <v>3</v>
      </c>
      <c r="AH1058" s="76">
        <v>7</v>
      </c>
      <c r="AI1058" s="76">
        <v>1.4142135623730951</v>
      </c>
      <c r="AJ1058" s="77">
        <v>0.70710678118654746</v>
      </c>
      <c r="AK1058" s="77">
        <v>3</v>
      </c>
      <c r="AL1058" s="76"/>
      <c r="AM1058" s="76"/>
      <c r="AN1058" s="77"/>
      <c r="AO1058" s="77"/>
      <c r="AP1058" s="76"/>
      <c r="AQ1058" s="76"/>
      <c r="AR1058" s="77"/>
      <c r="AS1058" s="77"/>
      <c r="AT1058" s="78">
        <v>0.8125</v>
      </c>
    </row>
    <row r="1059" spans="1:46" ht="12.5" x14ac:dyDescent="0.25">
      <c r="A1059" s="79">
        <v>44958.59443592593</v>
      </c>
      <c r="B1059" s="80" t="s">
        <v>23</v>
      </c>
      <c r="C1059" s="80" t="str">
        <f>INDEX(TBL_Name,MATCH(Table2[[#This Row],[Athlete Name]],listNames,0),2)</f>
        <v>Athlete 15</v>
      </c>
      <c r="D1059" s="80" t="s">
        <v>143</v>
      </c>
      <c r="E1059" s="80">
        <v>6</v>
      </c>
      <c r="F1059" s="80">
        <v>6</v>
      </c>
      <c r="G1059" s="80">
        <v>7</v>
      </c>
      <c r="H1059" s="80" t="s">
        <v>1493</v>
      </c>
      <c r="I1059" s="80">
        <v>7</v>
      </c>
      <c r="J1059" s="80"/>
      <c r="K1059" s="80"/>
      <c r="L1059" s="80"/>
      <c r="M1059" s="1" t="s">
        <v>1494</v>
      </c>
      <c r="N1059" s="1">
        <v>5</v>
      </c>
      <c r="O1059" s="1">
        <v>4</v>
      </c>
      <c r="P1059" s="13">
        <v>44958</v>
      </c>
      <c r="Q1059" s="1" t="s">
        <v>133</v>
      </c>
      <c r="R1059" s="1" t="s">
        <v>31</v>
      </c>
      <c r="S1059" s="1">
        <v>2</v>
      </c>
      <c r="T1059" s="1" t="s">
        <v>18</v>
      </c>
      <c r="U1059" s="1" t="s">
        <v>18</v>
      </c>
      <c r="V1059" s="76">
        <v>6.5</v>
      </c>
      <c r="W1059" s="76">
        <v>0.5</v>
      </c>
      <c r="X1059" s="77">
        <v>-1</v>
      </c>
      <c r="Y1059" s="77">
        <v>1</v>
      </c>
      <c r="Z1059" s="76">
        <v>6.5</v>
      </c>
      <c r="AA1059" s="76">
        <v>0.5</v>
      </c>
      <c r="AB1059" s="77">
        <v>-1</v>
      </c>
      <c r="AC1059" s="77">
        <v>1</v>
      </c>
      <c r="AD1059" s="76">
        <v>7.5</v>
      </c>
      <c r="AE1059" s="76">
        <v>0.5</v>
      </c>
      <c r="AF1059" s="77">
        <v>-1</v>
      </c>
      <c r="AG1059" s="77">
        <v>1</v>
      </c>
      <c r="AH1059" s="76">
        <v>5</v>
      </c>
      <c r="AI1059" s="76">
        <v>2</v>
      </c>
      <c r="AJ1059" s="77">
        <v>1</v>
      </c>
      <c r="AK1059" s="77">
        <v>4</v>
      </c>
      <c r="AL1059" s="76"/>
      <c r="AM1059" s="76"/>
      <c r="AN1059" s="77"/>
      <c r="AO1059" s="77"/>
      <c r="AP1059" s="76"/>
      <c r="AQ1059" s="76"/>
      <c r="AR1059" s="77"/>
      <c r="AS1059" s="77"/>
      <c r="AT1059" s="78">
        <v>0.4375</v>
      </c>
    </row>
    <row r="1060" spans="1:46" ht="12.5" x14ac:dyDescent="0.25">
      <c r="A1060" s="79">
        <v>44958.596896805553</v>
      </c>
      <c r="B1060" s="80" t="s">
        <v>4</v>
      </c>
      <c r="C1060" s="80" t="str">
        <f>INDEX(TBL_Name,MATCH(Table2[[#This Row],[Athlete Name]],listNames,0),2)</f>
        <v>Athlete 1</v>
      </c>
      <c r="D1060" s="80" t="s">
        <v>130</v>
      </c>
      <c r="E1060" s="80">
        <v>9</v>
      </c>
      <c r="F1060" s="80">
        <v>8</v>
      </c>
      <c r="G1060" s="80">
        <v>6</v>
      </c>
      <c r="H1060" s="80"/>
      <c r="I1060" s="80">
        <v>9</v>
      </c>
      <c r="J1060" s="80"/>
      <c r="K1060" s="80"/>
      <c r="L1060" s="80"/>
      <c r="M1060" s="1" t="s">
        <v>1495</v>
      </c>
      <c r="N1060" s="1">
        <v>5</v>
      </c>
      <c r="O1060" s="1">
        <v>4</v>
      </c>
      <c r="P1060" s="13">
        <v>44958</v>
      </c>
      <c r="Q1060" s="1" t="s">
        <v>133</v>
      </c>
      <c r="R1060" s="1" t="s">
        <v>31</v>
      </c>
      <c r="S1060" s="1">
        <v>1</v>
      </c>
      <c r="T1060" s="1" t="s">
        <v>5</v>
      </c>
      <c r="U1060" s="1" t="s">
        <v>5</v>
      </c>
      <c r="V1060" s="76">
        <v>8</v>
      </c>
      <c r="W1060" s="76">
        <v>1</v>
      </c>
      <c r="X1060" s="77">
        <v>1</v>
      </c>
      <c r="Y1060" s="77">
        <v>4</v>
      </c>
      <c r="Z1060" s="76">
        <v>7.5</v>
      </c>
      <c r="AA1060" s="76">
        <v>0.5</v>
      </c>
      <c r="AB1060" s="77">
        <v>1</v>
      </c>
      <c r="AC1060" s="77">
        <v>4</v>
      </c>
      <c r="AD1060" s="76">
        <v>6</v>
      </c>
      <c r="AE1060" s="76">
        <v>0</v>
      </c>
      <c r="AF1060" s="77">
        <v>0</v>
      </c>
      <c r="AG1060" s="77">
        <v>3</v>
      </c>
      <c r="AH1060" s="76">
        <v>9</v>
      </c>
      <c r="AI1060" s="76">
        <v>0</v>
      </c>
      <c r="AJ1060" s="77">
        <v>0</v>
      </c>
      <c r="AK1060" s="77">
        <v>3</v>
      </c>
      <c r="AL1060" s="76"/>
      <c r="AM1060" s="76"/>
      <c r="AN1060" s="77"/>
      <c r="AO1060" s="77"/>
      <c r="AP1060" s="76"/>
      <c r="AQ1060" s="76"/>
      <c r="AR1060" s="77"/>
      <c r="AS1060" s="77"/>
      <c r="AT1060" s="78">
        <v>0.875</v>
      </c>
    </row>
    <row r="1061" spans="1:46" ht="12.5" x14ac:dyDescent="0.25">
      <c r="A1061" s="79">
        <v>44958.59726490741</v>
      </c>
      <c r="B1061" s="80" t="s">
        <v>12</v>
      </c>
      <c r="C1061" s="80" t="str">
        <f>INDEX(TBL_Name,MATCH(Table2[[#This Row],[Athlete Name]],listNames,0),2)</f>
        <v>Athlete 6</v>
      </c>
      <c r="D1061" s="80" t="s">
        <v>130</v>
      </c>
      <c r="E1061" s="80">
        <v>10</v>
      </c>
      <c r="F1061" s="80">
        <v>8</v>
      </c>
      <c r="G1061" s="80">
        <v>9</v>
      </c>
      <c r="H1061" s="80" t="s">
        <v>70</v>
      </c>
      <c r="I1061" s="80">
        <v>9</v>
      </c>
      <c r="J1061" s="80"/>
      <c r="K1061" s="80"/>
      <c r="L1061" s="80"/>
      <c r="M1061" s="1" t="s">
        <v>1496</v>
      </c>
      <c r="N1061" s="1">
        <v>5</v>
      </c>
      <c r="O1061" s="1">
        <v>4</v>
      </c>
      <c r="P1061" s="13">
        <v>44958</v>
      </c>
      <c r="Q1061" s="1" t="s">
        <v>133</v>
      </c>
      <c r="R1061" s="1" t="s">
        <v>31</v>
      </c>
      <c r="S1061" s="1">
        <v>1</v>
      </c>
      <c r="T1061" s="1" t="s">
        <v>11</v>
      </c>
      <c r="U1061" s="1" t="s">
        <v>11</v>
      </c>
      <c r="V1061" s="76">
        <v>10</v>
      </c>
      <c r="W1061" s="76">
        <v>0</v>
      </c>
      <c r="X1061" s="77">
        <v>0</v>
      </c>
      <c r="Y1061" s="77">
        <v>3</v>
      </c>
      <c r="Z1061" s="76">
        <v>7.5</v>
      </c>
      <c r="AA1061" s="76">
        <v>0.5</v>
      </c>
      <c r="AB1061" s="77">
        <v>1</v>
      </c>
      <c r="AC1061" s="77">
        <v>4</v>
      </c>
      <c r="AD1061" s="76">
        <v>9</v>
      </c>
      <c r="AE1061" s="76">
        <v>0</v>
      </c>
      <c r="AF1061" s="77">
        <v>0</v>
      </c>
      <c r="AG1061" s="77">
        <v>3</v>
      </c>
      <c r="AH1061" s="76">
        <v>9.5</v>
      </c>
      <c r="AI1061" s="76">
        <v>0.5</v>
      </c>
      <c r="AJ1061" s="77">
        <v>-1</v>
      </c>
      <c r="AK1061" s="77">
        <v>1</v>
      </c>
      <c r="AL1061" s="76"/>
      <c r="AM1061" s="76"/>
      <c r="AN1061" s="77"/>
      <c r="AO1061" s="77"/>
      <c r="AP1061" s="76"/>
      <c r="AQ1061" s="76"/>
      <c r="AR1061" s="77"/>
      <c r="AS1061" s="77"/>
      <c r="AT1061" s="78">
        <v>0.6875</v>
      </c>
    </row>
    <row r="1062" spans="1:46" ht="14" x14ac:dyDescent="0.3">
      <c r="A1062" s="79">
        <v>44958.723703101852</v>
      </c>
      <c r="B1062" s="80" t="s">
        <v>7</v>
      </c>
      <c r="C1062" s="80" t="str">
        <f>INDEX(TBL_Name,MATCH(Table2[[#This Row],[Athlete Name]],listNames,0),2)</f>
        <v>Athlete 3</v>
      </c>
      <c r="D1062" s="80" t="s">
        <v>150</v>
      </c>
      <c r="E1062" s="80">
        <v>6</v>
      </c>
      <c r="F1062" s="80">
        <v>8</v>
      </c>
      <c r="G1062" s="80">
        <v>9</v>
      </c>
      <c r="H1062" s="80"/>
      <c r="I1062" s="80">
        <v>8</v>
      </c>
      <c r="J1062" s="81"/>
      <c r="K1062" s="81"/>
      <c r="L1062" s="81"/>
      <c r="M1062" s="1" t="e">
        <f t="shared" ref="M1062:M1234" ca="1" si="0">_xludf.concat($B1062,$P1062)</f>
        <v>#NAME?</v>
      </c>
      <c r="N1062" s="1" t="e">
        <f t="shared" ref="N1062:N1234" si="1">WEEKNUM($P1062)</f>
        <v>#VALUE!</v>
      </c>
      <c r="O1062" s="1" t="e">
        <f ca="1">IF($N1062=_xludf.MINIFS($N$2:$N2248,$R$2:$R2248,$R1062),1,
($N1062-_xludf.MINIFS($N$2:$N2248,$R$2:$R2248,$R1062))+1)</f>
        <v>#VALUE!</v>
      </c>
      <c r="P1062" s="13" t="e">
        <f t="shared" ref="P1062:P1234" si="2">DATEVALUE(A1062)</f>
        <v>#VALUE!</v>
      </c>
      <c r="Q1062" s="1" t="e">
        <f>RIGHT(YEAR($A1062),2)-(MONTH($A1062)&lt;=#REF!)
 &amp;"-"&amp;
 RIGHT(YEAR($A1062),2)+(MONTH($A1062)&gt;=#REF!)</f>
        <v>#REF!</v>
      </c>
      <c r="R1062" s="1" t="e">
        <f>CHOOSE(MONTH($P1062),#REF!,#REF!,#REF!,#REF!,#REF!,#REF!,#REF!,#REF!,#REF!,#REF!,#REF!,#REF!)&amp;" "&amp;$Q1062</f>
        <v>#VALUE!</v>
      </c>
      <c r="S1062" s="1">
        <f t="shared" ref="S1062:S1234" si="3">IF($D1062="Full = I have no injury",1, IF($D1062="Limited = I need a modification during lift / practice",2,IF($D1062="Out = I have an injury",3,"")))</f>
        <v>3</v>
      </c>
      <c r="T1062" s="1" t="str">
        <f t="array" ref="T1062">IFERROR(INDEX(#REF!,MATCH($B1062,#REF!,0)),"")</f>
        <v/>
      </c>
      <c r="U1062" s="1" t="str">
        <f t="array" ref="U1062">IFERROR(INDEX(#REF!,MATCH($B1062,#REF!,0)),"")</f>
        <v/>
      </c>
      <c r="V1062" s="76">
        <f t="array" ref="V1062">AVERAGEIFS($E$2:$E2248,$B$2:$B2248,$B1062,$P$2:$P2248,"&lt;="&amp;$P1062,$P$2:$P2248,"&gt;"&amp;$P1062-7)</f>
        <v>6</v>
      </c>
      <c r="W1062" s="76">
        <f ca="1">IFERROR(__xludf.DUMMYFUNCTION("iferror(stdevp(filter($D$2:$D2250,$B$2:$B2250=$B1062,$O$2:$O2250&lt;=$O1062,$O$2:$O2250&gt;$O1062-7)),0)"),0)</f>
        <v>0</v>
      </c>
      <c r="X1062" s="77">
        <f t="shared" ref="X1062:X1234" ca="1" si="4">IFERROR(STANDARDIZE($E1062,$V1062,$W1062),0)</f>
        <v>0</v>
      </c>
      <c r="Y1062" s="77">
        <f t="shared" ref="Y1062:Y1234" ca="1" si="5">IF($X1062&gt;=1,4,IF($X1062&gt;=0,3,IF($X1062&gt;-1,2,IF($X1062&lt;=-1,1))))</f>
        <v>3</v>
      </c>
      <c r="Z1062" s="76">
        <f t="array" ref="Z1062">AVERAGEIFS($F$2:$F2248,$B$2:$B2248,$B1062,$P$2:$P2248,"&lt;="&amp;$P1062,$P$2:$P2248,"&gt;"&amp;$P1062-7)</f>
        <v>7.3703703703703702</v>
      </c>
      <c r="AA1062" s="76">
        <f ca="1">IFERROR(__xludf.DUMMYFUNCTION("iferror(stdevp(filter($E$2:$E2250,$B$2:$B2250=$B1062,$O$2:$O2250&lt;=$O1062,$O$2:$O2250&gt;$O1062-7)),0)"),0)</f>
        <v>0</v>
      </c>
      <c r="AB1062" s="77">
        <f t="shared" ref="AB1062:AB1234" ca="1" si="6">IFERROR(STANDARDIZE($F1062,$Z1062,$AA1062),0)</f>
        <v>0</v>
      </c>
      <c r="AC1062" s="77">
        <f t="shared" ref="AC1062:AC1234" ca="1" si="7">IF($AB1062&gt;=1,4,IF($AB1062&gt;=0,3,IF($AB1062&gt;-1,2,IF($AB1062&lt;=-1,1))))</f>
        <v>3</v>
      </c>
      <c r="AD1062" s="76">
        <f t="array" ref="AD1062">AVERAGEIFS($G$2:$G2248,$B$2:$B2248,$B1062,$P$2:$P2248,"&lt;="&amp;$P1062,$P$2:$P2248,"&gt;"&amp;$P1062-7)</f>
        <v>7.7777777777777777</v>
      </c>
      <c r="AE1062" s="76">
        <f ca="1">IFERROR(__xludf.DUMMYFUNCTION("iferror(stdevp(filter($F$2:$F2250,$B$2:$B2250=$B1062,$O$2:$O2250&lt;=$O1062,$O$2:$O2250&gt;$O1062-7)),0)"),0)</f>
        <v>0</v>
      </c>
      <c r="AF1062" s="77">
        <f t="shared" ref="AF1062:AF1234" ca="1" si="8">IFERROR(STANDARDIZE($G1062,$AD1062,$AE1062),0)</f>
        <v>0</v>
      </c>
      <c r="AG1062" s="77">
        <f t="shared" ref="AG1062:AG1234" ca="1" si="9">IF($AF1062&gt;=1,4,IF($AF1062&gt;=0,3,IF($AF1062&gt;-1,2,IF($AF1062&lt;=-1,1))))</f>
        <v>3</v>
      </c>
      <c r="AH1062" s="76">
        <f t="array" ref="AH1062">AVERAGEIFS($I$2:$I2248,$B$2:$B2248,$B1062,$P$2:$P2248,"&lt;="&amp;$P1062,$P$2:$P2248,"&gt;"&amp;$P1062-7)</f>
        <v>6.333333333333333</v>
      </c>
      <c r="AI1062" s="76">
        <f ca="1">IFERROR(__xludf.DUMMYFUNCTION("iferror(stdevp(filter($H$2:$H2250,$B$2:$B2250=$B1062,$O$2:$O2250&lt;=$O1062,$O$2:$O2250&gt;$O1062-7)),0)"),0)</f>
        <v>0</v>
      </c>
      <c r="AJ1062" s="77">
        <f t="shared" ref="AJ1062:AJ1234" ca="1" si="10">IFERROR(STANDARDIZE($I1062,$AH1062,$AI1062),0)</f>
        <v>0</v>
      </c>
      <c r="AK1062" s="77">
        <f t="shared" ref="AK1062:AK1234" ca="1" si="11">IF($AJ1062&gt;=1,4,IF($AJ1062&gt;=0,3,IF($AJ1062&gt;-1,2,IF($AJ1062&lt;=-1,1))))</f>
        <v>3</v>
      </c>
      <c r="AL1062" s="76"/>
      <c r="AM1062" s="76"/>
      <c r="AN1062" s="77"/>
      <c r="AO1062" s="77"/>
      <c r="AP1062" s="76"/>
      <c r="AQ1062" s="76"/>
      <c r="AR1062" s="77"/>
      <c r="AS1062" s="77"/>
      <c r="AT1062" s="78">
        <f t="shared" ref="AT1062:AT1234" ca="1" si="12">SUM($AK1062,$AG1062,$AC1062,$Y1062,$AO1062,$AS1062)/24</f>
        <v>0.5</v>
      </c>
    </row>
    <row r="1063" spans="1:46" ht="12.5" x14ac:dyDescent="0.25">
      <c r="A1063" s="75">
        <v>44959.331876712968</v>
      </c>
      <c r="B1063" s="1" t="s">
        <v>21</v>
      </c>
      <c r="C1063" s="1" t="str">
        <f>INDEX(TBL_Name,MATCH(Table2[[#This Row],[Athlete Name]],listNames,0),2)</f>
        <v>Athlete 13</v>
      </c>
      <c r="D1063" s="1" t="s">
        <v>143</v>
      </c>
      <c r="E1063" s="1">
        <v>7</v>
      </c>
      <c r="F1063" s="1">
        <v>7</v>
      </c>
      <c r="G1063" s="1">
        <v>9</v>
      </c>
      <c r="H1063" s="1" t="s">
        <v>1497</v>
      </c>
      <c r="I1063" s="1">
        <v>6</v>
      </c>
      <c r="J1063" s="1">
        <v>6</v>
      </c>
      <c r="K1063" s="1">
        <v>6</v>
      </c>
      <c r="L1063" s="1">
        <v>65</v>
      </c>
      <c r="M1063" s="1" t="e">
        <f t="shared" ca="1" si="0"/>
        <v>#NAME?</v>
      </c>
      <c r="N1063" s="1" t="e">
        <f t="shared" si="1"/>
        <v>#VALUE!</v>
      </c>
      <c r="O1063" s="1" t="e">
        <f ca="1">IF($N1063=_xludf.MINIFS($N$2:$N2249,$R$2:$R2249,$R1063),1,
($N1063-_xludf.MINIFS($N$2:$N2249,$R$2:$R2249,$R1063))+1)</f>
        <v>#VALUE!</v>
      </c>
      <c r="P1063" s="13" t="e">
        <f t="shared" si="2"/>
        <v>#VALUE!</v>
      </c>
      <c r="Q1063" s="1" t="e">
        <f>RIGHT(YEAR($A1063),2)-(MONTH($A1063)&lt;=#REF!)
 &amp;"-"&amp;
 RIGHT(YEAR($A1063),2)+(MONTH($A1063)&gt;=#REF!)</f>
        <v>#REF!</v>
      </c>
      <c r="R1063" s="1" t="e">
        <f>CHOOSE(MONTH($P1063),#REF!,#REF!,#REF!,#REF!,#REF!,#REF!,#REF!,#REF!,#REF!,#REF!,#REF!,#REF!)&amp;" "&amp;$Q1063</f>
        <v>#VALUE!</v>
      </c>
      <c r="S1063" s="1">
        <f t="shared" si="3"/>
        <v>2</v>
      </c>
      <c r="T1063" s="1" t="str">
        <f t="array" ref="T1063">IFERROR(INDEX(#REF!,MATCH($B1063,#REF!,0)),"")</f>
        <v/>
      </c>
      <c r="U1063" s="1" t="str">
        <f t="array" ref="U1063">IFERROR(INDEX(#REF!,MATCH($B1063,#REF!,0)),"")</f>
        <v/>
      </c>
      <c r="V1063" s="76">
        <f t="array" ref="V1063">AVERAGEIFS($E$2:$E2248,$B$2:$B2248,$B1063,$P$2:$P2248,"&lt;="&amp;$P1063,$P$2:$P2248,"&gt;"&amp;$P1063-7)</f>
        <v>6.6304347826086953</v>
      </c>
      <c r="W1063" s="76">
        <f ca="1">IFERROR(__xludf.DUMMYFUNCTION("iferror(stdevp(filter($D$2:$D2250,$B$2:$B2250=$B1063,$O$2:$O2250&lt;=$O1063,$O$2:$O2250&gt;$O1063-7)),0)"),0.451753951452625)</f>
        <v>0.45175395145262498</v>
      </c>
      <c r="X1063" s="77">
        <f t="shared" ca="1" si="4"/>
        <v>0.81806748165225651</v>
      </c>
      <c r="Y1063" s="77">
        <f t="shared" ca="1" si="5"/>
        <v>3</v>
      </c>
      <c r="Z1063" s="76">
        <f t="array" ref="Z1063">AVERAGEIFS($F$2:$F2248,$B$2:$B2248,$B1063,$P$2:$P2248,"&lt;="&amp;$P1063,$P$2:$P2248,"&gt;"&amp;$P1063-7)</f>
        <v>7.6956521739130439</v>
      </c>
      <c r="AA1063" s="76">
        <f ca="1">IFERROR(__xludf.DUMMYFUNCTION("iferror(stdevp(filter($E$2:$E2250,$B$2:$B2250=$B1063,$O$2:$O2250&lt;=$O1063,$O$2:$O2250&gt;$O1063-7)),0)"),0.699854212223765)</f>
        <v>0.69985421222376498</v>
      </c>
      <c r="AB1063" s="77">
        <f t="shared" ca="1" si="6"/>
        <v>-0.99399583765114563</v>
      </c>
      <c r="AC1063" s="77">
        <f t="shared" ca="1" si="7"/>
        <v>2</v>
      </c>
      <c r="AD1063" s="76">
        <f t="array" ref="AD1063">AVERAGEIFS($G$2:$G2248,$B$2:$B2248,$B1063,$P$2:$P2248,"&lt;="&amp;$P1063,$P$2:$P2248,"&gt;"&amp;$P1063-7)</f>
        <v>8.2608695652173907</v>
      </c>
      <c r="AE1063" s="76">
        <f ca="1">IFERROR(__xludf.DUMMYFUNCTION("iferror(stdevp(filter($F$2:$F2250,$B$2:$B2250=$B1063,$O$2:$O2250&lt;=$O1063,$O$2:$O2250&gt;$O1063-7)),0)"),0.494871659305393)</f>
        <v>0.49487165930539301</v>
      </c>
      <c r="AF1063" s="77">
        <f t="shared" ca="1" si="8"/>
        <v>1.4935800442079477</v>
      </c>
      <c r="AG1063" s="77">
        <f t="shared" ca="1" si="9"/>
        <v>4</v>
      </c>
      <c r="AH1063" s="76">
        <f t="array" ref="AH1063">AVERAGEIFS($I$2:$I2248,$B$2:$B2248,$B1063,$P$2:$P2248,"&lt;="&amp;$P1063,$P$2:$P2248,"&gt;"&amp;$P1063-7)</f>
        <v>5.7391304347826084</v>
      </c>
      <c r="AI1063" s="76">
        <f ca="1">IFERROR(__xludf.DUMMYFUNCTION("iferror(stdevp(filter($H$2:$H2250,$B$2:$B2250=$B1063,$O$2:$O2250&lt;=$O1063,$O$2:$O2250&gt;$O1063-7)),0)"),0.699854212223765)</f>
        <v>0.69985421222376498</v>
      </c>
      <c r="AJ1063" s="77">
        <f t="shared" ca="1" si="10"/>
        <v>0.37274843911917976</v>
      </c>
      <c r="AK1063" s="77">
        <f t="shared" ca="1" si="11"/>
        <v>3</v>
      </c>
      <c r="AL1063" s="76">
        <f t="array" ref="AL1063">AVERAGEIFS($J$2:$J2248,$B$2:$B2248,$B1063,$P$2:$P2248,"&lt;="&amp;$P1063,$P$2:$P2248,"&gt;"&amp;$P1063-7)</f>
        <v>6.5434782608695654</v>
      </c>
      <c r="AM1063" s="76">
        <f ca="1">IFERROR(__xludf.DUMMYFUNCTION("iferror(stdevp(filter($I$2:$I2250,$B$2:$B2250=$B1063,$O$2:$O2250&lt;=$O1063,$O$2:$O2250&gt;$O1063-7)),0)"),0)</f>
        <v>0</v>
      </c>
      <c r="AN1063" s="77">
        <f t="shared" ref="AN1063:AN1234" ca="1" si="13">IFERROR(STANDARDIZE($J1063,$AL1063,$AM1063),0)</f>
        <v>0</v>
      </c>
      <c r="AO1063" s="77">
        <f t="shared" ref="AO1063:AO1234" ca="1" si="14">IF($AN1063&gt;=1,4,IF($AN1063&gt;=0,3,IF($AN1063&gt;-1,2,IF($AN1063&lt;=-1,1))))</f>
        <v>3</v>
      </c>
      <c r="AP1063" s="76">
        <f t="array" ref="AP1063">AVERAGEIFS($K$2:$K2248,$B$2:$B2248,$B1063,$P$2:$P2248,"&lt;="&amp;$P1063,$P$2:$P2248,"&gt;"&amp;$P1063-7)</f>
        <v>6.6086956521739131</v>
      </c>
      <c r="AQ1063" s="76">
        <f ca="1">IFERROR(__xludf.DUMMYFUNCTION("iferror(stdevp(filter($J$2:$J2250,$B$2:$B2250=$B1063,$O$2:$O2250&lt;=$O1063,$O$2:$O2250&gt;$O1063-7)),0)"),0)</f>
        <v>0</v>
      </c>
      <c r="AR1063" s="77">
        <f t="shared" ref="AR1063:AR1234" ca="1" si="15">IFERROR(STANDARDIZE($K1063,$AP1063,$AQ1063),0)</f>
        <v>0</v>
      </c>
      <c r="AS1063" s="77">
        <f t="shared" ref="AS1063:AS1234" ca="1" si="16">IF($AR1063&gt;=1,4,IF($AR1063&gt;=0,3,IF($AR1063&gt;-1,2,IF($AR1063&lt;=-1,1))))</f>
        <v>3</v>
      </c>
      <c r="AT1063" s="78">
        <f t="shared" ca="1" si="12"/>
        <v>0.75</v>
      </c>
    </row>
    <row r="1064" spans="1:46" ht="12.5" x14ac:dyDescent="0.25">
      <c r="A1064" s="75">
        <v>44959.342643773147</v>
      </c>
      <c r="B1064" s="1" t="s">
        <v>29</v>
      </c>
      <c r="C1064" s="1" t="str">
        <f>INDEX(TBL_Name,MATCH(Table2[[#This Row],[Athlete Name]],listNames,0),2)</f>
        <v>Athlete 18</v>
      </c>
      <c r="D1064" s="1" t="s">
        <v>130</v>
      </c>
      <c r="E1064" s="1">
        <v>9</v>
      </c>
      <c r="F1064" s="1">
        <v>9</v>
      </c>
      <c r="G1064" s="1">
        <v>8</v>
      </c>
      <c r="H1064" s="1" t="s">
        <v>415</v>
      </c>
      <c r="I1064" s="1">
        <v>9</v>
      </c>
      <c r="J1064" s="1">
        <v>9</v>
      </c>
      <c r="K1064" s="1">
        <v>8</v>
      </c>
      <c r="L1064" s="1">
        <v>90</v>
      </c>
      <c r="M1064" s="1" t="e">
        <f t="shared" ca="1" si="0"/>
        <v>#NAME?</v>
      </c>
      <c r="N1064" s="1" t="e">
        <f t="shared" si="1"/>
        <v>#VALUE!</v>
      </c>
      <c r="O1064" s="1" t="e">
        <f ca="1">IF($N1064=_xludf.MINIFS($N$2:$N2250,$R$2:$R2250,$R1064),1,
($N1064-_xludf.MINIFS($N$2:$N2250,$R$2:$R2250,$R1064))+1)</f>
        <v>#VALUE!</v>
      </c>
      <c r="P1064" s="13" t="e">
        <f t="shared" si="2"/>
        <v>#VALUE!</v>
      </c>
      <c r="Q1064" s="1" t="e">
        <f>RIGHT(YEAR($A1064),2)-(MONTH($A1064)&lt;=#REF!)
 &amp;"-"&amp;
 RIGHT(YEAR($A1064),2)+(MONTH($A1064)&gt;=#REF!)</f>
        <v>#REF!</v>
      </c>
      <c r="R1064" s="1" t="e">
        <f>CHOOSE(MONTH($P1064),#REF!,#REF!,#REF!,#REF!,#REF!,#REF!,#REF!,#REF!,#REF!,#REF!,#REF!,#REF!)&amp;" "&amp;$Q1064</f>
        <v>#VALUE!</v>
      </c>
      <c r="S1064" s="1">
        <f t="shared" si="3"/>
        <v>1</v>
      </c>
      <c r="T1064" s="1" t="str">
        <f t="array" ref="T1064">IFERROR(INDEX(#REF!,MATCH($B1064,#REF!,0)),"")</f>
        <v/>
      </c>
      <c r="U1064" s="1" t="str">
        <f t="array" ref="U1064">IFERROR(INDEX(#REF!,MATCH($B1064,#REF!,0)),"")</f>
        <v/>
      </c>
      <c r="V1064" s="76">
        <f t="array" ref="V1064">AVERAGEIFS($E$2:$E2248,$B$2:$B2248,$B1064,$P$2:$P2248,"&lt;="&amp;$P1064,$P$2:$P2248,"&gt;"&amp;$P1064-7)</f>
        <v>8.53125</v>
      </c>
      <c r="W1064" s="76">
        <f ca="1">IFERROR(__xludf.DUMMYFUNCTION("iferror(stdevp(filter($D$2:$D2250,$B$2:$B2250=$B1064,$O$2:$O2250&lt;=$O1064,$O$2:$O2250&gt;$O1064-7)),0)"),0.632455532033675)</f>
        <v>0.63245553203367499</v>
      </c>
      <c r="X1064" s="77">
        <f t="shared" ca="1" si="4"/>
        <v>0.74115882660196497</v>
      </c>
      <c r="Y1064" s="77">
        <f t="shared" ca="1" si="5"/>
        <v>3</v>
      </c>
      <c r="Z1064" s="76">
        <f t="array" ref="Z1064">AVERAGEIFS($F$2:$F2248,$B$2:$B2248,$B1064,$P$2:$P2248,"&lt;="&amp;$P1064,$P$2:$P2248,"&gt;"&amp;$P1064-7)</f>
        <v>8.125</v>
      </c>
      <c r="AA1064" s="76">
        <f ca="1">IFERROR(__xludf.DUMMYFUNCTION("iferror(stdevp(filter($E$2:$E2250,$B$2:$B2250=$B1064,$O$2:$O2250&lt;=$O1064,$O$2:$O2250&gt;$O1064-7)),0)"),0.489897948556635)</f>
        <v>0.48989794855663499</v>
      </c>
      <c r="AB1064" s="77">
        <f t="shared" ca="1" si="6"/>
        <v>1.786086270779403</v>
      </c>
      <c r="AC1064" s="77">
        <f t="shared" ca="1" si="7"/>
        <v>4</v>
      </c>
      <c r="AD1064" s="76">
        <f t="array" ref="AD1064">AVERAGEIFS($G$2:$G2248,$B$2:$B2248,$B1064,$P$2:$P2248,"&lt;="&amp;$P1064,$P$2:$P2248,"&gt;"&amp;$P1064-7)</f>
        <v>8.09375</v>
      </c>
      <c r="AE1064" s="76">
        <f ca="1">IFERROR(__xludf.DUMMYFUNCTION("iferror(stdevp(filter($F$2:$F2250,$B$2:$B2250=$B1064,$O$2:$O2250&lt;=$O1064,$O$2:$O2250&gt;$O1064-7)),0)"),0)</f>
        <v>0</v>
      </c>
      <c r="AF1064" s="77">
        <f t="shared" ca="1" si="8"/>
        <v>0</v>
      </c>
      <c r="AG1064" s="77">
        <f t="shared" ca="1" si="9"/>
        <v>3</v>
      </c>
      <c r="AH1064" s="76">
        <f t="array" ref="AH1064">AVERAGEIFS($I$2:$I2248,$B$2:$B2248,$B1064,$P$2:$P2248,"&lt;="&amp;$P1064,$P$2:$P2248,"&gt;"&amp;$P1064-7)</f>
        <v>7.875</v>
      </c>
      <c r="AI1064" s="76">
        <f ca="1">IFERROR(__xludf.DUMMYFUNCTION("iferror(stdevp(filter($H$2:$H2250,$B$2:$B2250=$B1064,$O$2:$O2250&lt;=$O1064,$O$2:$O2250&gt;$O1064-7)),0)"),1.26491106406735)</f>
        <v>1.26491106406735</v>
      </c>
      <c r="AJ1064" s="77">
        <f t="shared" ca="1" si="10"/>
        <v>0.88939059192235792</v>
      </c>
      <c r="AK1064" s="77">
        <f t="shared" ca="1" si="11"/>
        <v>3</v>
      </c>
      <c r="AL1064" s="76">
        <f t="array" ref="AL1064">AVERAGEIFS($J$2:$J2248,$B$2:$B2248,$B1064,$P$2:$P2248,"&lt;="&amp;$P1064,$P$2:$P2248,"&gt;"&amp;$P1064-7)</f>
        <v>8.34375</v>
      </c>
      <c r="AM1064" s="76">
        <f ca="1">IFERROR(__xludf.DUMMYFUNCTION("iferror(stdevp(filter($I$2:$I2250,$B$2:$B2250=$B1064,$O$2:$O2250&lt;=$O1064,$O$2:$O2250&gt;$O1064-7)),0)"),0)</f>
        <v>0</v>
      </c>
      <c r="AN1064" s="77">
        <f t="shared" ca="1" si="13"/>
        <v>0</v>
      </c>
      <c r="AO1064" s="77">
        <f t="shared" ca="1" si="14"/>
        <v>3</v>
      </c>
      <c r="AP1064" s="76">
        <f t="array" ref="AP1064">AVERAGEIFS($K$2:$K2248,$B$2:$B2248,$B1064,$P$2:$P2248,"&lt;="&amp;$P1064,$P$2:$P2248,"&gt;"&amp;$P1064-7)</f>
        <v>8.46875</v>
      </c>
      <c r="AQ1064" s="76">
        <f ca="1">IFERROR(__xludf.DUMMYFUNCTION("iferror(stdevp(filter($J$2:$J2250,$B$2:$B2250=$B1064,$O$2:$O2250&lt;=$O1064,$O$2:$O2250&gt;$O1064-7)),0)"),0)</f>
        <v>0</v>
      </c>
      <c r="AR1064" s="77">
        <f t="shared" ca="1" si="15"/>
        <v>0</v>
      </c>
      <c r="AS1064" s="77">
        <f t="shared" ca="1" si="16"/>
        <v>3</v>
      </c>
      <c r="AT1064" s="78">
        <f t="shared" ca="1" si="12"/>
        <v>0.79166666666666663</v>
      </c>
    </row>
    <row r="1065" spans="1:46" ht="12.5" x14ac:dyDescent="0.25">
      <c r="A1065" s="75">
        <v>44959.357692013888</v>
      </c>
      <c r="B1065" s="1" t="s">
        <v>16</v>
      </c>
      <c r="C1065" s="1" t="str">
        <f>INDEX(TBL_Name,MATCH(Table2[[#This Row],[Athlete Name]],listNames,0),2)</f>
        <v>Athlete 9</v>
      </c>
      <c r="D1065" s="1" t="s">
        <v>130</v>
      </c>
      <c r="E1065" s="1">
        <v>9</v>
      </c>
      <c r="F1065" s="1">
        <v>8</v>
      </c>
      <c r="G1065" s="1">
        <v>8</v>
      </c>
      <c r="H1065" s="1" t="s">
        <v>1498</v>
      </c>
      <c r="I1065" s="1">
        <v>6</v>
      </c>
      <c r="J1065" s="1">
        <v>6</v>
      </c>
      <c r="K1065" s="1">
        <v>9</v>
      </c>
      <c r="L1065" s="1">
        <v>8</v>
      </c>
      <c r="M1065" s="1" t="e">
        <f t="shared" ca="1" si="0"/>
        <v>#NAME?</v>
      </c>
      <c r="N1065" s="1" t="e">
        <f t="shared" si="1"/>
        <v>#VALUE!</v>
      </c>
      <c r="O1065" s="1" t="e">
        <f ca="1">IF($N1065=_xludf.MINIFS($N$2:$N2251,$R$2:$R2251,$R1065),1,
($N1065-_xludf.MINIFS($N$2:$N2251,$R$2:$R2251,$R1065))+1)</f>
        <v>#VALUE!</v>
      </c>
      <c r="P1065" s="13" t="e">
        <f t="shared" si="2"/>
        <v>#VALUE!</v>
      </c>
      <c r="Q1065" s="1" t="e">
        <f>RIGHT(YEAR($A1065),2)-(MONTH($A1065)&lt;=#REF!)
 &amp;"-"&amp;
 RIGHT(YEAR($A1065),2)+(MONTH($A1065)&gt;=#REF!)</f>
        <v>#REF!</v>
      </c>
      <c r="R1065" s="1" t="e">
        <f>CHOOSE(MONTH($P1065),#REF!,#REF!,#REF!,#REF!,#REF!,#REF!,#REF!,#REF!,#REF!,#REF!,#REF!,#REF!)&amp;" "&amp;$Q1065</f>
        <v>#VALUE!</v>
      </c>
      <c r="S1065" s="1">
        <f t="shared" si="3"/>
        <v>1</v>
      </c>
      <c r="T1065" s="1" t="str">
        <f t="array" ref="T1065">IFERROR(INDEX(#REF!,MATCH($B1065,#REF!,0)),"")</f>
        <v/>
      </c>
      <c r="U1065" s="1" t="str">
        <f t="array" ref="U1065">IFERROR(INDEX(#REF!,MATCH($B1065,#REF!,0)),"")</f>
        <v/>
      </c>
      <c r="V1065" s="76">
        <f t="array" ref="V1065">AVERAGEIFS($E$2:$E2248,$B$2:$B2248,$B1065,$P$2:$P2248,"&lt;="&amp;$P1065,$P$2:$P2248,"&gt;"&amp;$P1065-7)</f>
        <v>8.9600000000000009</v>
      </c>
      <c r="W1065" s="76">
        <f ca="1">IFERROR(__xludf.DUMMYFUNCTION("iferror(stdevp(filter($D$2:$D2250,$B$2:$B2250=$B1065,$O$2:$O2250&lt;=$O1065,$O$2:$O2250&gt;$O1065-7)),0)"),0.471404520791031)</f>
        <v>0.47140452079103101</v>
      </c>
      <c r="X1065" s="77">
        <f t="shared" ca="1" si="4"/>
        <v>8.4852813742384015E-2</v>
      </c>
      <c r="Y1065" s="77">
        <f t="shared" ca="1" si="5"/>
        <v>3</v>
      </c>
      <c r="Z1065" s="76">
        <f t="array" ref="Z1065">AVERAGEIFS($F$2:$F2248,$B$2:$B2248,$B1065,$P$2:$P2248,"&lt;="&amp;$P1065,$P$2:$P2248,"&gt;"&amp;$P1065-7)</f>
        <v>7.48</v>
      </c>
      <c r="AA1065" s="76">
        <f ca="1">IFERROR(__xludf.DUMMYFUNCTION("iferror(stdevp(filter($E$2:$E2250,$B$2:$B2250=$B1065,$O$2:$O2250&lt;=$O1065,$O$2:$O2250&gt;$O1065-7)),0)"),1.24721912892464)</f>
        <v>1.2472191289246399</v>
      </c>
      <c r="AB1065" s="77">
        <f t="shared" ca="1" si="6"/>
        <v>0.41692753738338412</v>
      </c>
      <c r="AC1065" s="77">
        <f t="shared" ca="1" si="7"/>
        <v>3</v>
      </c>
      <c r="AD1065" s="76">
        <f t="array" ref="AD1065">AVERAGEIFS($G$2:$G2248,$B$2:$B2248,$B1065,$P$2:$P2248,"&lt;="&amp;$P1065,$P$2:$P2248,"&gt;"&amp;$P1065-7)</f>
        <v>7.56</v>
      </c>
      <c r="AE1065" s="76">
        <f ca="1">IFERROR(__xludf.DUMMYFUNCTION("iferror(stdevp(filter($F$2:$F2250,$B$2:$B2250=$B1065,$O$2:$O2250&lt;=$O1065,$O$2:$O2250&gt;$O1065-7)),0)"),1.41421356237309)</f>
        <v>1.41421356237309</v>
      </c>
      <c r="AF1065" s="77">
        <f t="shared" ca="1" si="8"/>
        <v>0.31112698372208231</v>
      </c>
      <c r="AG1065" s="77">
        <f t="shared" ca="1" si="9"/>
        <v>3</v>
      </c>
      <c r="AH1065" s="76">
        <f t="array" ref="AH1065">AVERAGEIFS($I$2:$I2248,$B$2:$B2248,$B1065,$P$2:$P2248,"&lt;="&amp;$P1065,$P$2:$P2248,"&gt;"&amp;$P1065-7)</f>
        <v>5.8</v>
      </c>
      <c r="AI1065" s="76">
        <f ca="1">IFERROR(__xludf.DUMMYFUNCTION("iferror(stdevp(filter($H$2:$H2250,$B$2:$B2250=$B1065,$O$2:$O2250&lt;=$O1065,$O$2:$O2250&gt;$O1065-7)),0)"),0.942809041582063)</f>
        <v>0.94280904158206302</v>
      </c>
      <c r="AJ1065" s="77">
        <f t="shared" ca="1" si="10"/>
        <v>0.21213203435596453</v>
      </c>
      <c r="AK1065" s="77">
        <f t="shared" ca="1" si="11"/>
        <v>3</v>
      </c>
      <c r="AL1065" s="76">
        <f t="array" ref="AL1065">AVERAGEIFS($J$2:$J2248,$B$2:$B2248,$B1065,$P$2:$P2248,"&lt;="&amp;$P1065,$P$2:$P2248,"&gt;"&amp;$P1065-7)</f>
        <v>7.8</v>
      </c>
      <c r="AM1065" s="76">
        <f ca="1">IFERROR(__xludf.DUMMYFUNCTION("iferror(stdevp(filter($I$2:$I2250,$B$2:$B2250=$B1065,$O$2:$O2250&lt;=$O1065,$O$2:$O2250&gt;$O1065-7)),0)"),0)</f>
        <v>0</v>
      </c>
      <c r="AN1065" s="77">
        <f t="shared" ca="1" si="13"/>
        <v>0</v>
      </c>
      <c r="AO1065" s="77">
        <f t="shared" ca="1" si="14"/>
        <v>3</v>
      </c>
      <c r="AP1065" s="76">
        <f t="array" ref="AP1065">AVERAGEIFS($K$2:$K2248,$B$2:$B2248,$B1065,$P$2:$P2248,"&lt;="&amp;$P1065,$P$2:$P2248,"&gt;"&amp;$P1065-7)</f>
        <v>8.6</v>
      </c>
      <c r="AQ1065" s="76">
        <f ca="1">IFERROR(__xludf.DUMMYFUNCTION("iferror(stdevp(filter($J$2:$J2250,$B$2:$B2250=$B1065,$O$2:$O2250&lt;=$O1065,$O$2:$O2250&gt;$O1065-7)),0)"),0)</f>
        <v>0</v>
      </c>
      <c r="AR1065" s="77">
        <f t="shared" ca="1" si="15"/>
        <v>0</v>
      </c>
      <c r="AS1065" s="77">
        <f t="shared" ca="1" si="16"/>
        <v>3</v>
      </c>
      <c r="AT1065" s="78">
        <f t="shared" ca="1" si="12"/>
        <v>0.75</v>
      </c>
    </row>
    <row r="1066" spans="1:46" ht="12.5" x14ac:dyDescent="0.25">
      <c r="A1066" s="75">
        <v>44959.368894803236</v>
      </c>
      <c r="B1066" s="1" t="s">
        <v>17</v>
      </c>
      <c r="C1066" s="1" t="str">
        <f>INDEX(TBL_Name,MATCH(Table2[[#This Row],[Athlete Name]],listNames,0),2)</f>
        <v>Athlete 10</v>
      </c>
      <c r="D1066" s="1" t="s">
        <v>130</v>
      </c>
      <c r="E1066" s="1">
        <v>6</v>
      </c>
      <c r="F1066" s="1">
        <v>9</v>
      </c>
      <c r="G1066" s="1">
        <v>9</v>
      </c>
      <c r="H1066" s="1" t="s">
        <v>1319</v>
      </c>
      <c r="I1066" s="1">
        <v>5</v>
      </c>
      <c r="J1066" s="1">
        <v>7</v>
      </c>
      <c r="K1066" s="1">
        <v>7</v>
      </c>
      <c r="L1066" s="1">
        <v>75</v>
      </c>
      <c r="M1066" s="1" t="e">
        <f t="shared" ca="1" si="0"/>
        <v>#NAME?</v>
      </c>
      <c r="N1066" s="1" t="e">
        <f t="shared" si="1"/>
        <v>#VALUE!</v>
      </c>
      <c r="O1066" s="1" t="e">
        <f ca="1">IF($N1066=_xludf.MINIFS($N$2:$N2252,$R$2:$R2252,$R1066),1,
($N1066-_xludf.MINIFS($N$2:$N2252,$R$2:$R2252,$R1066))+1)</f>
        <v>#VALUE!</v>
      </c>
      <c r="P1066" s="13" t="e">
        <f t="shared" si="2"/>
        <v>#VALUE!</v>
      </c>
      <c r="Q1066" s="1" t="e">
        <f>RIGHT(YEAR($A1066),2)-(MONTH($A1066)&lt;=#REF!)
 &amp;"-"&amp;
 RIGHT(YEAR($A1066),2)+(MONTH($A1066)&gt;=#REF!)</f>
        <v>#REF!</v>
      </c>
      <c r="R1066" s="1" t="e">
        <f>CHOOSE(MONTH($P1066),#REF!,#REF!,#REF!,#REF!,#REF!,#REF!,#REF!,#REF!,#REF!,#REF!,#REF!,#REF!)&amp;" "&amp;$Q1066</f>
        <v>#VALUE!</v>
      </c>
      <c r="S1066" s="1">
        <f t="shared" si="3"/>
        <v>1</v>
      </c>
      <c r="T1066" s="1" t="str">
        <f t="array" ref="T1066">IFERROR(INDEX(#REF!,MATCH($B1066,#REF!,0)),"")</f>
        <v/>
      </c>
      <c r="U1066" s="1" t="str">
        <f t="array" ref="U1066">IFERROR(INDEX(#REF!,MATCH($B1066,#REF!,0)),"")</f>
        <v/>
      </c>
      <c r="V1066" s="76">
        <f t="array" ref="V1066">AVERAGEIFS($E$2:$E2248,$B$2:$B2248,$B1066,$P$2:$P2248,"&lt;="&amp;$P1066,$P$2:$P2248,"&gt;"&amp;$P1066-7)</f>
        <v>6.9024390243902438</v>
      </c>
      <c r="W1066" s="76">
        <f ca="1">IFERROR(__xludf.DUMMYFUNCTION("iferror(stdevp(filter($D$2:$D2250,$B$2:$B2250=$B1066,$O$2:$O2250&lt;=$O1066,$O$2:$O2250&gt;$O1066-7)),0)"),1.24721912892464)</f>
        <v>1.2472191289246399</v>
      </c>
      <c r="X1066" s="77">
        <f t="shared" ca="1" si="4"/>
        <v>-0.72356092322632382</v>
      </c>
      <c r="Y1066" s="77">
        <f t="shared" ca="1" si="5"/>
        <v>2</v>
      </c>
      <c r="Z1066" s="76">
        <f t="array" ref="Z1066">AVERAGEIFS($F$2:$F2248,$B$2:$B2248,$B1066,$P$2:$P2248,"&lt;="&amp;$P1066,$P$2:$P2248,"&gt;"&amp;$P1066-7)</f>
        <v>7.2926829268292686</v>
      </c>
      <c r="AA1066" s="76">
        <f ca="1">IFERROR(__xludf.DUMMYFUNCTION("iferror(stdevp(filter($E$2:$E2250,$B$2:$B2250=$B1066,$O$2:$O2250&lt;=$O1066,$O$2:$O2250&gt;$O1066-7)),0)"),0.942809041582063)</f>
        <v>0.94280904158206302</v>
      </c>
      <c r="AB1066" s="77">
        <f t="shared" ca="1" si="6"/>
        <v>1.8108832201118903</v>
      </c>
      <c r="AC1066" s="77">
        <f t="shared" ca="1" si="7"/>
        <v>4</v>
      </c>
      <c r="AD1066" s="76">
        <f t="array" ref="AD1066">AVERAGEIFS($G$2:$G2248,$B$2:$B2248,$B1066,$P$2:$P2248,"&lt;="&amp;$P1066,$P$2:$P2248,"&gt;"&amp;$P1066-7)</f>
        <v>7.8048780487804876</v>
      </c>
      <c r="AE1066" s="76">
        <f ca="1">IFERROR(__xludf.DUMMYFUNCTION("iferror(stdevp(filter($F$2:$F2250,$B$2:$B2250=$B1066,$O$2:$O2250&lt;=$O1066,$O$2:$O2250&gt;$O1066-7)),0)"),0.942809041582063)</f>
        <v>0.94280904158206302</v>
      </c>
      <c r="AF1066" s="77">
        <f t="shared" ca="1" si="8"/>
        <v>1.2676182540783236</v>
      </c>
      <c r="AG1066" s="77">
        <f t="shared" ca="1" si="9"/>
        <v>4</v>
      </c>
      <c r="AH1066" s="76">
        <f t="array" ref="AH1066">AVERAGEIFS($I$2:$I2248,$B$2:$B2248,$B1066,$P$2:$P2248,"&lt;="&amp;$P1066,$P$2:$P2248,"&gt;"&amp;$P1066-7)</f>
        <v>6.3170731707317076</v>
      </c>
      <c r="AI1066" s="76">
        <f ca="1">IFERROR(__xludf.DUMMYFUNCTION("iferror(stdevp(filter($H$2:$H2250,$B$2:$B2250=$B1066,$O$2:$O2250&lt;=$O1066,$O$2:$O2250&gt;$O1066-7)),0)"),1.24721912892464)</f>
        <v>1.2472191289246399</v>
      </c>
      <c r="AJ1066" s="77">
        <f t="shared" ca="1" si="10"/>
        <v>-1.0560078338978782</v>
      </c>
      <c r="AK1066" s="77">
        <f t="shared" ca="1" si="11"/>
        <v>1</v>
      </c>
      <c r="AL1066" s="76">
        <f t="array" ref="AL1066">AVERAGEIFS($J$2:$J2248,$B$2:$B2248,$B1066,$P$2:$P2248,"&lt;="&amp;$P1066,$P$2:$P2248,"&gt;"&amp;$P1066-7)</f>
        <v>6.9024390243902438</v>
      </c>
      <c r="AM1066" s="76">
        <f ca="1">IFERROR(__xludf.DUMMYFUNCTION("iferror(stdevp(filter($I$2:$I2250,$B$2:$B2250=$B1066,$O$2:$O2250&lt;=$O1066,$O$2:$O2250&gt;$O1066-7)),0)"),0)</f>
        <v>0</v>
      </c>
      <c r="AN1066" s="77">
        <f t="shared" ca="1" si="13"/>
        <v>0</v>
      </c>
      <c r="AO1066" s="77">
        <f t="shared" ca="1" si="14"/>
        <v>3</v>
      </c>
      <c r="AP1066" s="76">
        <f t="array" ref="AP1066">AVERAGEIFS($K$2:$K2248,$B$2:$B2248,$B1066,$P$2:$P2248,"&lt;="&amp;$P1066,$P$2:$P2248,"&gt;"&amp;$P1066-7)</f>
        <v>8</v>
      </c>
      <c r="AQ1066" s="76">
        <f ca="1">IFERROR(__xludf.DUMMYFUNCTION("iferror(stdevp(filter($J$2:$J2250,$B$2:$B2250=$B1066,$O$2:$O2250&lt;=$O1066,$O$2:$O2250&gt;$O1066-7)),0)"),0)</f>
        <v>0</v>
      </c>
      <c r="AR1066" s="77">
        <f t="shared" ca="1" si="15"/>
        <v>0</v>
      </c>
      <c r="AS1066" s="77">
        <f t="shared" ca="1" si="16"/>
        <v>3</v>
      </c>
      <c r="AT1066" s="78">
        <f t="shared" ca="1" si="12"/>
        <v>0.70833333333333337</v>
      </c>
    </row>
    <row r="1067" spans="1:46" ht="12.5" x14ac:dyDescent="0.25">
      <c r="A1067" s="75">
        <v>44959.412122962967</v>
      </c>
      <c r="B1067" s="1" t="s">
        <v>10</v>
      </c>
      <c r="C1067" s="1" t="str">
        <f>INDEX(TBL_Name,MATCH(Table2[[#This Row],[Athlete Name]],listNames,0),2)</f>
        <v>Athlete 5</v>
      </c>
      <c r="D1067" s="1" t="s">
        <v>130</v>
      </c>
      <c r="E1067" s="1">
        <v>9</v>
      </c>
      <c r="F1067" s="1">
        <v>9</v>
      </c>
      <c r="G1067" s="1">
        <v>9</v>
      </c>
      <c r="H1067" s="1" t="s">
        <v>226</v>
      </c>
      <c r="I1067" s="1">
        <v>5</v>
      </c>
      <c r="J1067" s="1">
        <v>7</v>
      </c>
      <c r="K1067" s="1">
        <v>8</v>
      </c>
      <c r="L1067" s="1">
        <v>86</v>
      </c>
      <c r="M1067" s="1" t="e">
        <f t="shared" ca="1" si="0"/>
        <v>#NAME?</v>
      </c>
      <c r="N1067" s="1" t="e">
        <f t="shared" si="1"/>
        <v>#VALUE!</v>
      </c>
      <c r="O1067" s="1" t="e">
        <f ca="1">IF($N1067=_xludf.MINIFS($N$2:$N2253,$R$2:$R2253,$R1067),1,
($N1067-_xludf.MINIFS($N$2:$N2253,$R$2:$R2253,$R1067))+1)</f>
        <v>#VALUE!</v>
      </c>
      <c r="P1067" s="13" t="e">
        <f t="shared" si="2"/>
        <v>#VALUE!</v>
      </c>
      <c r="Q1067" s="1" t="e">
        <f>RIGHT(YEAR($A1067),2)-(MONTH($A1067)&lt;=#REF!)
 &amp;"-"&amp;
 RIGHT(YEAR($A1067),2)+(MONTH($A1067)&gt;=#REF!)</f>
        <v>#REF!</v>
      </c>
      <c r="R1067" s="1" t="e">
        <f>CHOOSE(MONTH($P1067),#REF!,#REF!,#REF!,#REF!,#REF!,#REF!,#REF!,#REF!,#REF!,#REF!,#REF!,#REF!)&amp;" "&amp;$Q1067</f>
        <v>#VALUE!</v>
      </c>
      <c r="S1067" s="1">
        <f t="shared" si="3"/>
        <v>1</v>
      </c>
      <c r="T1067" s="1" t="str">
        <f t="array" ref="T1067">IFERROR(INDEX(#REF!,MATCH($B1067,#REF!,0)),"")</f>
        <v/>
      </c>
      <c r="U1067" s="1" t="str">
        <f t="array" ref="U1067">IFERROR(INDEX(#REF!,MATCH($B1067,#REF!,0)),"")</f>
        <v/>
      </c>
      <c r="V1067" s="76">
        <f t="array" ref="V1067">AVERAGEIFS($E$2:$E2248,$B$2:$B2248,$B1067,$P$2:$P2248,"&lt;="&amp;$P1067,$P$2:$P2248,"&gt;"&amp;$P1067-7)</f>
        <v>8.4042553191489358</v>
      </c>
      <c r="W1067" s="76">
        <f ca="1">IFERROR(__xludf.DUMMYFUNCTION("iferror(stdevp(filter($D$2:$D2250,$B$2:$B2250=$B1067,$O$2:$O2250&lt;=$O1067,$O$2:$O2250&gt;$O1067-7)),0)"),1.04978131833564)</f>
        <v>1.0497813183356399</v>
      </c>
      <c r="X1067" s="77">
        <f t="shared" ca="1" si="4"/>
        <v>0.56749407752423975</v>
      </c>
      <c r="Y1067" s="77">
        <f t="shared" ca="1" si="5"/>
        <v>3</v>
      </c>
      <c r="Z1067" s="76">
        <f t="array" ref="Z1067">AVERAGEIFS($F$2:$F2248,$B$2:$B2248,$B1067,$P$2:$P2248,"&lt;="&amp;$P1067,$P$2:$P2248,"&gt;"&amp;$P1067-7)</f>
        <v>8.085106382978724</v>
      </c>
      <c r="AA1067" s="76">
        <f ca="1">IFERROR(__xludf.DUMMYFUNCTION("iferror(stdevp(filter($E$2:$E2250,$B$2:$B2250=$B1067,$O$2:$O2250&lt;=$O1067,$O$2:$O2250&gt;$O1067-7)),0)"),0.903507902905251)</f>
        <v>0.90350790290525096</v>
      </c>
      <c r="AB1067" s="77">
        <f t="shared" ca="1" si="6"/>
        <v>1.0126016762879595</v>
      </c>
      <c r="AC1067" s="77">
        <f t="shared" ca="1" si="7"/>
        <v>4</v>
      </c>
      <c r="AD1067" s="76">
        <f t="array" ref="AD1067">AVERAGEIFS($G$2:$G2248,$B$2:$B2248,$B1067,$P$2:$P2248,"&lt;="&amp;$P1067,$P$2:$P2248,"&gt;"&amp;$P1067-7)</f>
        <v>8.0638297872340434</v>
      </c>
      <c r="AE1067" s="76">
        <f ca="1">IFERROR(__xludf.DUMMYFUNCTION("iferror(stdevp(filter($F$2:$F2250,$B$2:$B2250=$B1067,$O$2:$O2250&lt;=$O1067,$O$2:$O2250&gt;$O1067-7)),0)"),0.903507902905251)</f>
        <v>0.90350790290525096</v>
      </c>
      <c r="AF1067" s="77">
        <f t="shared" ca="1" si="8"/>
        <v>1.0361505524807024</v>
      </c>
      <c r="AG1067" s="77">
        <f t="shared" ca="1" si="9"/>
        <v>4</v>
      </c>
      <c r="AH1067" s="76">
        <f t="array" ref="AH1067">AVERAGEIFS($I$2:$I2248,$B$2:$B2248,$B1067,$P$2:$P2248,"&lt;="&amp;$P1067,$P$2:$P2248,"&gt;"&amp;$P1067-7)</f>
        <v>6.7446808510638299</v>
      </c>
      <c r="AI1067" s="76">
        <f ca="1">IFERROR(__xludf.DUMMYFUNCTION("iferror(stdevp(filter($H$2:$H2250,$B$2:$B2250=$B1067,$O$2:$O2250&lt;=$O1067,$O$2:$O2250&gt;$O1067-7)),0)"),1.98976975388344)</f>
        <v>1.98976975388344</v>
      </c>
      <c r="AJ1067" s="77">
        <f t="shared" ca="1" si="10"/>
        <v>-0.87682549584379332</v>
      </c>
      <c r="AK1067" s="77">
        <f t="shared" ca="1" si="11"/>
        <v>2</v>
      </c>
      <c r="AL1067" s="76">
        <f t="array" ref="AL1067">AVERAGEIFS($J$2:$J2248,$B$2:$B2248,$B1067,$P$2:$P2248,"&lt;="&amp;$P1067,$P$2:$P2248,"&gt;"&amp;$P1067-7)</f>
        <v>8.1063829787234045</v>
      </c>
      <c r="AM1067" s="76">
        <f ca="1">IFERROR(__xludf.DUMMYFUNCTION("iferror(stdevp(filter($I$2:$I2250,$B$2:$B2250=$B1067,$O$2:$O2250&lt;=$O1067,$O$2:$O2250&gt;$O1067-7)),0)"),0)</f>
        <v>0</v>
      </c>
      <c r="AN1067" s="77">
        <f t="shared" ca="1" si="13"/>
        <v>0</v>
      </c>
      <c r="AO1067" s="77">
        <f t="shared" ca="1" si="14"/>
        <v>3</v>
      </c>
      <c r="AP1067" s="76">
        <f t="array" ref="AP1067">AVERAGEIFS($K$2:$K2248,$B$2:$B2248,$B1067,$P$2:$P2248,"&lt;="&amp;$P1067,$P$2:$P2248,"&gt;"&amp;$P1067-7)</f>
        <v>8.2978723404255312</v>
      </c>
      <c r="AQ1067" s="76">
        <f ca="1">IFERROR(__xludf.DUMMYFUNCTION("iferror(stdevp(filter($J$2:$J2250,$B$2:$B2250=$B1067,$O$2:$O2250&lt;=$O1067,$O$2:$O2250&gt;$O1067-7)),0)"),0)</f>
        <v>0</v>
      </c>
      <c r="AR1067" s="77">
        <f t="shared" ca="1" si="15"/>
        <v>0</v>
      </c>
      <c r="AS1067" s="77">
        <f t="shared" ca="1" si="16"/>
        <v>3</v>
      </c>
      <c r="AT1067" s="78">
        <f t="shared" ca="1" si="12"/>
        <v>0.79166666666666663</v>
      </c>
    </row>
    <row r="1068" spans="1:46" ht="12.5" x14ac:dyDescent="0.25">
      <c r="A1068" s="75">
        <v>44959.420326261577</v>
      </c>
      <c r="B1068" s="1" t="s">
        <v>19</v>
      </c>
      <c r="C1068" s="1" t="str">
        <f>INDEX(TBL_Name,MATCH(Table2[[#This Row],[Athlete Name]],listNames,0),2)</f>
        <v>Athlete 11</v>
      </c>
      <c r="D1068" s="1" t="s">
        <v>130</v>
      </c>
      <c r="E1068" s="1">
        <v>4</v>
      </c>
      <c r="F1068" s="1">
        <v>8</v>
      </c>
      <c r="G1068" s="1">
        <v>8</v>
      </c>
      <c r="H1068" s="1" t="s">
        <v>1499</v>
      </c>
      <c r="I1068" s="1">
        <v>4</v>
      </c>
      <c r="J1068" s="1">
        <v>3</v>
      </c>
      <c r="K1068" s="1">
        <v>2</v>
      </c>
      <c r="L1068" s="1">
        <v>65</v>
      </c>
      <c r="M1068" s="1" t="e">
        <f t="shared" ca="1" si="0"/>
        <v>#NAME?</v>
      </c>
      <c r="N1068" s="1" t="e">
        <f t="shared" si="1"/>
        <v>#VALUE!</v>
      </c>
      <c r="O1068" s="1" t="e">
        <f ca="1">IF($N1068=_xludf.MINIFS($N$2:$N2254,$R$2:$R2254,$R1068),1,
($N1068-_xludf.MINIFS($N$2:$N2254,$R$2:$R2254,$R1068))+1)</f>
        <v>#VALUE!</v>
      </c>
      <c r="P1068" s="13" t="e">
        <f t="shared" si="2"/>
        <v>#VALUE!</v>
      </c>
      <c r="Q1068" s="1" t="e">
        <f>RIGHT(YEAR($A1068),2)-(MONTH($A1068)&lt;=#REF!)
 &amp;"-"&amp;
 RIGHT(YEAR($A1068),2)+(MONTH($A1068)&gt;=#REF!)</f>
        <v>#REF!</v>
      </c>
      <c r="R1068" s="1" t="e">
        <f>CHOOSE(MONTH($P1068),#REF!,#REF!,#REF!,#REF!,#REF!,#REF!,#REF!,#REF!,#REF!,#REF!,#REF!,#REF!)&amp;" "&amp;$Q1068</f>
        <v>#VALUE!</v>
      </c>
      <c r="S1068" s="1">
        <f t="shared" si="3"/>
        <v>1</v>
      </c>
      <c r="T1068" s="1" t="str">
        <f t="array" ref="T1068">IFERROR(INDEX(#REF!,MATCH($B1068,#REF!,0)),"")</f>
        <v/>
      </c>
      <c r="U1068" s="1" t="str">
        <f t="array" ref="U1068">IFERROR(INDEX(#REF!,MATCH($B1068,#REF!,0)),"")</f>
        <v/>
      </c>
      <c r="V1068" s="76">
        <f t="array" ref="V1068">AVERAGEIFS($E$2:$E2248,$B$2:$B2248,$B1068,$P$2:$P2248,"&lt;="&amp;$P1068,$P$2:$P2248,"&gt;"&amp;$P1068-7)</f>
        <v>4.6538461538461542</v>
      </c>
      <c r="W1068" s="76">
        <f ca="1">IFERROR(__xludf.DUMMYFUNCTION("iferror(stdevp(filter($D$2:$D2250,$B$2:$B2250=$B1068,$O$2:$O2250&lt;=$O1068,$O$2:$O2250&gt;$O1068-7)),0)"),1.16619037896906)</f>
        <v>1.16619037896906</v>
      </c>
      <c r="X1068" s="77">
        <f t="shared" ca="1" si="4"/>
        <v>-0.56066845142743305</v>
      </c>
      <c r="Y1068" s="77">
        <f t="shared" ca="1" si="5"/>
        <v>2</v>
      </c>
      <c r="Z1068" s="76">
        <f t="array" ref="Z1068">AVERAGEIFS($F$2:$F2248,$B$2:$B2248,$B1068,$P$2:$P2248,"&lt;="&amp;$P1068,$P$2:$P2248,"&gt;"&amp;$P1068-7)</f>
        <v>6.8461538461538458</v>
      </c>
      <c r="AA1068" s="76">
        <f ca="1">IFERROR(__xludf.DUMMYFUNCTION("iferror(stdevp(filter($E$2:$E2250,$B$2:$B2250=$B1068,$O$2:$O2250&lt;=$O1068,$O$2:$O2250&gt;$O1068-7)),0)"),1.72046505340852)</f>
        <v>1.72046505340852</v>
      </c>
      <c r="AB1068" s="77">
        <f t="shared" ca="1" si="6"/>
        <v>0.67065945429126739</v>
      </c>
      <c r="AC1068" s="77">
        <f t="shared" ca="1" si="7"/>
        <v>3</v>
      </c>
      <c r="AD1068" s="76">
        <f t="array" ref="AD1068">AVERAGEIFS($G$2:$G2248,$B$2:$B2248,$B1068,$P$2:$P2248,"&lt;="&amp;$P1068,$P$2:$P2248,"&gt;"&amp;$P1068-7)</f>
        <v>7.2692307692307692</v>
      </c>
      <c r="AE1068" s="76">
        <f ca="1">IFERROR(__xludf.DUMMYFUNCTION("iferror(stdevp(filter($F$2:$F2250,$B$2:$B2250=$B1068,$O$2:$O2250&lt;=$O1068,$O$2:$O2250&gt;$O1068-7)),0)"),0.632455532033676)</f>
        <v>0.63245553203367599</v>
      </c>
      <c r="AF1068" s="77">
        <f t="shared" ca="1" si="8"/>
        <v>1.1554476065999846</v>
      </c>
      <c r="AG1068" s="77">
        <f t="shared" ca="1" si="9"/>
        <v>4</v>
      </c>
      <c r="AH1068" s="76">
        <f t="array" ref="AH1068">AVERAGEIFS($I$2:$I2248,$B$2:$B2248,$B1068,$P$2:$P2248,"&lt;="&amp;$P1068,$P$2:$P2248,"&gt;"&amp;$P1068-7)</f>
        <v>4.9230769230769234</v>
      </c>
      <c r="AI1068" s="76">
        <f ca="1">IFERROR(__xludf.DUMMYFUNCTION("iferror(stdevp(filter($H$2:$H2250,$B$2:$B2250=$B1068,$O$2:$O2250&lt;=$O1068,$O$2:$O2250&gt;$O1068-7)),0)"),1.35646599662505)</f>
        <v>1.3564659966250501</v>
      </c>
      <c r="AJ1068" s="77">
        <f t="shared" ca="1" si="10"/>
        <v>-0.68050133609952723</v>
      </c>
      <c r="AK1068" s="77">
        <f t="shared" ca="1" si="11"/>
        <v>2</v>
      </c>
      <c r="AL1068" s="76">
        <f t="array" ref="AL1068">AVERAGEIFS($J$2:$J2248,$B$2:$B2248,$B1068,$P$2:$P2248,"&lt;="&amp;$P1068,$P$2:$P2248,"&gt;"&amp;$P1068-7)</f>
        <v>7.5769230769230766</v>
      </c>
      <c r="AM1068" s="76">
        <f ca="1">IFERROR(__xludf.DUMMYFUNCTION("iferror(stdevp(filter($I$2:$I2250,$B$2:$B2250=$B1068,$O$2:$O2250&lt;=$O1068,$O$2:$O2250&gt;$O1068-7)),0)"),0)</f>
        <v>0</v>
      </c>
      <c r="AN1068" s="77">
        <f t="shared" ca="1" si="13"/>
        <v>0</v>
      </c>
      <c r="AO1068" s="77">
        <f t="shared" ca="1" si="14"/>
        <v>3</v>
      </c>
      <c r="AP1068" s="76">
        <f t="array" ref="AP1068">AVERAGEIFS($K$2:$K2248,$B$2:$B2248,$B1068,$P$2:$P2248,"&lt;="&amp;$P1068,$P$2:$P2248,"&gt;"&amp;$P1068-7)</f>
        <v>8</v>
      </c>
      <c r="AQ1068" s="76">
        <f ca="1">IFERROR(__xludf.DUMMYFUNCTION("iferror(stdevp(filter($J$2:$J2250,$B$2:$B2250=$B1068,$O$2:$O2250&lt;=$O1068,$O$2:$O2250&gt;$O1068-7)),0)"),0)</f>
        <v>0</v>
      </c>
      <c r="AR1068" s="77">
        <f t="shared" ca="1" si="15"/>
        <v>0</v>
      </c>
      <c r="AS1068" s="77">
        <f t="shared" ca="1" si="16"/>
        <v>3</v>
      </c>
      <c r="AT1068" s="78">
        <f t="shared" ca="1" si="12"/>
        <v>0.70833333333333337</v>
      </c>
    </row>
    <row r="1069" spans="1:46" ht="12.5" x14ac:dyDescent="0.25">
      <c r="A1069" s="75">
        <v>44959.442186944449</v>
      </c>
      <c r="B1069" s="1" t="s">
        <v>13</v>
      </c>
      <c r="C1069" s="1" t="str">
        <f>INDEX(TBL_Name,MATCH(Table2[[#This Row],[Athlete Name]],listNames,0),2)</f>
        <v>Athlete 7</v>
      </c>
      <c r="D1069" s="1" t="s">
        <v>130</v>
      </c>
      <c r="E1069" s="1">
        <v>4</v>
      </c>
      <c r="F1069" s="1">
        <v>8</v>
      </c>
      <c r="G1069" s="1">
        <v>8</v>
      </c>
      <c r="H1069" s="1" t="s">
        <v>69</v>
      </c>
      <c r="I1069" s="1">
        <v>6</v>
      </c>
      <c r="J1069" s="1">
        <v>9</v>
      </c>
      <c r="K1069" s="1">
        <v>10</v>
      </c>
      <c r="L1069" s="1">
        <v>75</v>
      </c>
      <c r="M1069" s="1" t="e">
        <f t="shared" ca="1" si="0"/>
        <v>#NAME?</v>
      </c>
      <c r="N1069" s="1" t="e">
        <f t="shared" si="1"/>
        <v>#VALUE!</v>
      </c>
      <c r="O1069" s="1" t="e">
        <f ca="1">IF($N1069=_xludf.MINIFS($N$2:$N2255,$R$2:$R2255,$R1069),1,
($N1069-_xludf.MINIFS($N$2:$N2255,$R$2:$R2255,$R1069))+1)</f>
        <v>#VALUE!</v>
      </c>
      <c r="P1069" s="13" t="e">
        <f t="shared" si="2"/>
        <v>#VALUE!</v>
      </c>
      <c r="Q1069" s="1" t="e">
        <f>RIGHT(YEAR($A1069),2)-(MONTH($A1069)&lt;=#REF!)
 &amp;"-"&amp;
 RIGHT(YEAR($A1069),2)+(MONTH($A1069)&gt;=#REF!)</f>
        <v>#REF!</v>
      </c>
      <c r="R1069" s="1" t="e">
        <f>CHOOSE(MONTH($P1069),#REF!,#REF!,#REF!,#REF!,#REF!,#REF!,#REF!,#REF!,#REF!,#REF!,#REF!,#REF!)&amp;" "&amp;$Q1069</f>
        <v>#VALUE!</v>
      </c>
      <c r="S1069" s="1">
        <f t="shared" si="3"/>
        <v>1</v>
      </c>
      <c r="T1069" s="1" t="str">
        <f t="array" ref="T1069">IFERROR(INDEX(#REF!,MATCH($B1069,#REF!,0)),"")</f>
        <v/>
      </c>
      <c r="U1069" s="1" t="str">
        <f t="array" ref="U1069">IFERROR(INDEX(#REF!,MATCH($B1069,#REF!,0)),"")</f>
        <v/>
      </c>
      <c r="V1069" s="76">
        <f t="array" ref="V1069">AVERAGEIFS($E$2:$E2248,$B$2:$B2248,$B1069,$P$2:$P2248,"&lt;="&amp;$P1069,$P$2:$P2248,"&gt;"&amp;$P1069-7)</f>
        <v>7.6857142857142859</v>
      </c>
      <c r="W1069" s="76">
        <f ca="1">IFERROR(__xludf.DUMMYFUNCTION("iferror(stdevp(filter($D$2:$D2250,$B$2:$B2250=$B1069,$O$2:$O2250&lt;=$O1069,$O$2:$O2250&gt;$O1069-7)),0)"),1.49666295470957)</f>
        <v>1.49666295470957</v>
      </c>
      <c r="X1069" s="77">
        <f t="shared" ca="1" si="4"/>
        <v>-2.4626214433359213</v>
      </c>
      <c r="Y1069" s="77">
        <f t="shared" ca="1" si="5"/>
        <v>1</v>
      </c>
      <c r="Z1069" s="76">
        <f t="array" ref="Z1069">AVERAGEIFS($F$2:$F2248,$B$2:$B2248,$B1069,$P$2:$P2248,"&lt;="&amp;$P1069,$P$2:$P2248,"&gt;"&amp;$P1069-7)</f>
        <v>7.0857142857142854</v>
      </c>
      <c r="AA1069" s="76">
        <f ca="1">IFERROR(__xludf.DUMMYFUNCTION("iferror(stdevp(filter($E$2:$E2250,$B$2:$B2250=$B1069,$O$2:$O2250&lt;=$O1069,$O$2:$O2250&gt;$O1069-7)),0)"),1.83303027798233)</f>
        <v>1.83303027798233</v>
      </c>
      <c r="AB1069" s="77">
        <f t="shared" ca="1" si="6"/>
        <v>0.49878374911084156</v>
      </c>
      <c r="AC1069" s="77">
        <f t="shared" ca="1" si="7"/>
        <v>3</v>
      </c>
      <c r="AD1069" s="76">
        <f t="array" ref="AD1069">AVERAGEIFS($G$2:$G2248,$B$2:$B2248,$B1069,$P$2:$P2248,"&lt;="&amp;$P1069,$P$2:$P2248,"&gt;"&amp;$P1069-7)</f>
        <v>7.1428571428571432</v>
      </c>
      <c r="AE1069" s="76">
        <f ca="1">IFERROR(__xludf.DUMMYFUNCTION("iferror(stdevp(filter($F$2:$F2250,$B$2:$B2250=$B1069,$O$2:$O2250&lt;=$O1069,$O$2:$O2250&gt;$O1069-7)),0)"),0.489897948556635)</f>
        <v>0.48989794855663499</v>
      </c>
      <c r="AF1069" s="77">
        <f t="shared" ca="1" si="8"/>
        <v>1.7496355305594145</v>
      </c>
      <c r="AG1069" s="77">
        <f t="shared" ca="1" si="9"/>
        <v>4</v>
      </c>
      <c r="AH1069" s="76">
        <f t="array" ref="AH1069">AVERAGEIFS($I$2:$I2248,$B$2:$B2248,$B1069,$P$2:$P2248,"&lt;="&amp;$P1069,$P$2:$P2248,"&gt;"&amp;$P1069-7)</f>
        <v>7.0285714285714285</v>
      </c>
      <c r="AI1069" s="76">
        <f ca="1">IFERROR(__xludf.DUMMYFUNCTION("iferror(stdevp(filter($H$2:$H2250,$B$2:$B2250=$B1069,$O$2:$O2250&lt;=$O1069,$O$2:$O2250&gt;$O1069-7)),0)"),1.6)</f>
        <v>1.6</v>
      </c>
      <c r="AJ1069" s="77">
        <f t="shared" ca="1" si="10"/>
        <v>-0.64285714285714279</v>
      </c>
      <c r="AK1069" s="77">
        <f t="shared" ca="1" si="11"/>
        <v>2</v>
      </c>
      <c r="AL1069" s="76">
        <f t="array" ref="AL1069">AVERAGEIFS($J$2:$J2248,$B$2:$B2248,$B1069,$P$2:$P2248,"&lt;="&amp;$P1069,$P$2:$P2248,"&gt;"&amp;$P1069-7)</f>
        <v>9.742857142857142</v>
      </c>
      <c r="AM1069" s="76">
        <f ca="1">IFERROR(__xludf.DUMMYFUNCTION("iferror(stdevp(filter($I$2:$I2250,$B$2:$B2250=$B1069,$O$2:$O2250&lt;=$O1069,$O$2:$O2250&gt;$O1069-7)),0)"),0)</f>
        <v>0</v>
      </c>
      <c r="AN1069" s="77">
        <f t="shared" ca="1" si="13"/>
        <v>0</v>
      </c>
      <c r="AO1069" s="77">
        <f t="shared" ca="1" si="14"/>
        <v>3</v>
      </c>
      <c r="AP1069" s="76">
        <f t="array" ref="AP1069">AVERAGEIFS($K$2:$K2248,$B$2:$B2248,$B1069,$P$2:$P2248,"&lt;="&amp;$P1069,$P$2:$P2248,"&gt;"&amp;$P1069-7)</f>
        <v>9.4285714285714288</v>
      </c>
      <c r="AQ1069" s="76">
        <f ca="1">IFERROR(__xludf.DUMMYFUNCTION("iferror(stdevp(filter($J$2:$J2250,$B$2:$B2250=$B1069,$O$2:$O2250&lt;=$O1069,$O$2:$O2250&gt;$O1069-7)),0)"),0)</f>
        <v>0</v>
      </c>
      <c r="AR1069" s="77">
        <f t="shared" ca="1" si="15"/>
        <v>0</v>
      </c>
      <c r="AS1069" s="77">
        <f t="shared" ca="1" si="16"/>
        <v>3</v>
      </c>
      <c r="AT1069" s="78">
        <f t="shared" ca="1" si="12"/>
        <v>0.66666666666666663</v>
      </c>
    </row>
    <row r="1070" spans="1:46" ht="12.5" x14ac:dyDescent="0.25">
      <c r="A1070" s="75">
        <v>44959.447886458336</v>
      </c>
      <c r="B1070" s="1" t="s">
        <v>15</v>
      </c>
      <c r="C1070" s="1" t="str">
        <f>INDEX(TBL_Name,MATCH(Table2[[#This Row],[Athlete Name]],listNames,0),2)</f>
        <v>Athlete 8</v>
      </c>
      <c r="D1070" s="1" t="s">
        <v>130</v>
      </c>
      <c r="E1070" s="1">
        <v>10</v>
      </c>
      <c r="F1070" s="1">
        <v>10</v>
      </c>
      <c r="G1070" s="1">
        <v>8</v>
      </c>
      <c r="H1070" s="1" t="s">
        <v>1292</v>
      </c>
      <c r="I1070" s="1">
        <v>6</v>
      </c>
      <c r="J1070" s="1">
        <v>7</v>
      </c>
      <c r="K1070" s="1">
        <v>10</v>
      </c>
      <c r="L1070" s="1">
        <v>7</v>
      </c>
      <c r="M1070" s="1" t="e">
        <f t="shared" ca="1" si="0"/>
        <v>#NAME?</v>
      </c>
      <c r="N1070" s="1" t="e">
        <f t="shared" si="1"/>
        <v>#VALUE!</v>
      </c>
      <c r="O1070" s="1" t="e">
        <f ca="1">IF($N1070=_xludf.MINIFS($N$2:$N2256,$R$2:$R2256,$R1070),1,
($N1070-_xludf.MINIFS($N$2:$N2256,$R$2:$R2256,$R1070))+1)</f>
        <v>#VALUE!</v>
      </c>
      <c r="P1070" s="13" t="e">
        <f t="shared" si="2"/>
        <v>#VALUE!</v>
      </c>
      <c r="Q1070" s="1" t="e">
        <f>RIGHT(YEAR($A1070),2)-(MONTH($A1070)&lt;=#REF!)
 &amp;"-"&amp;
 RIGHT(YEAR($A1070),2)+(MONTH($A1070)&gt;=#REF!)</f>
        <v>#REF!</v>
      </c>
      <c r="R1070" s="1" t="e">
        <f>CHOOSE(MONTH($P1070),#REF!,#REF!,#REF!,#REF!,#REF!,#REF!,#REF!,#REF!,#REF!,#REF!,#REF!,#REF!)&amp;" "&amp;$Q1070</f>
        <v>#VALUE!</v>
      </c>
      <c r="S1070" s="1">
        <f t="shared" si="3"/>
        <v>1</v>
      </c>
      <c r="T1070" s="1" t="str">
        <f t="array" ref="T1070">IFERROR(INDEX(#REF!,MATCH($B1070,#REF!,0)),"")</f>
        <v/>
      </c>
      <c r="U1070" s="1" t="str">
        <f t="array" ref="U1070">IFERROR(INDEX(#REF!,MATCH($B1070,#REF!,0)),"")</f>
        <v/>
      </c>
      <c r="V1070" s="76">
        <f t="array" ref="V1070">AVERAGEIFS($E$2:$E2248,$B$2:$B2248,$B1070,$P$2:$P2248,"&lt;="&amp;$P1070,$P$2:$P2248,"&gt;"&amp;$P1070-7)</f>
        <v>8.935483870967742</v>
      </c>
      <c r="W1070" s="76">
        <f ca="1">IFERROR(__xludf.DUMMYFUNCTION("iferror(stdevp(filter($D$2:$D2250,$B$2:$B2250=$B1070,$O$2:$O2250&lt;=$O1070,$O$2:$O2250&gt;$O1070-7)),0)"),0.866025403784438)</f>
        <v>0.86602540378443804</v>
      </c>
      <c r="X1070" s="77">
        <f t="shared" ca="1" si="4"/>
        <v>1.229197347306946</v>
      </c>
      <c r="Y1070" s="77">
        <f t="shared" ca="1" si="5"/>
        <v>4</v>
      </c>
      <c r="Z1070" s="76">
        <f t="array" ref="Z1070">AVERAGEIFS($F$2:$F2248,$B$2:$B2248,$B1070,$P$2:$P2248,"&lt;="&amp;$P1070,$P$2:$P2248,"&gt;"&amp;$P1070-7)</f>
        <v>8.741935483870968</v>
      </c>
      <c r="AA1070" s="76">
        <f ca="1">IFERROR(__xludf.DUMMYFUNCTION("iferror(stdevp(filter($E$2:$E2250,$B$2:$B2250=$B1070,$O$2:$O2250&lt;=$O1070,$O$2:$O2250&gt;$O1070-7)),0)"),0)</f>
        <v>0</v>
      </c>
      <c r="AB1070" s="77">
        <f t="shared" ca="1" si="6"/>
        <v>0</v>
      </c>
      <c r="AC1070" s="77">
        <f t="shared" ca="1" si="7"/>
        <v>3</v>
      </c>
      <c r="AD1070" s="76">
        <f t="array" ref="AD1070">AVERAGEIFS($G$2:$G2248,$B$2:$B2248,$B1070,$P$2:$P2248,"&lt;="&amp;$P1070,$P$2:$P2248,"&gt;"&amp;$P1070-7)</f>
        <v>7.32258064516129</v>
      </c>
      <c r="AE1070" s="76">
        <f ca="1">IFERROR(__xludf.DUMMYFUNCTION("iferror(stdevp(filter($F$2:$F2250,$B$2:$B2250=$B1070,$O$2:$O2250&lt;=$O1070,$O$2:$O2250&gt;$O1070-7)),0)"),1.22474487139158)</f>
        <v>1.2247448713915801</v>
      </c>
      <c r="AF1070" s="77">
        <f t="shared" ca="1" si="8"/>
        <v>0.55311058708007677</v>
      </c>
      <c r="AG1070" s="77">
        <f t="shared" ca="1" si="9"/>
        <v>3</v>
      </c>
      <c r="AH1070" s="76">
        <f t="array" ref="AH1070">AVERAGEIFS($I$2:$I2248,$B$2:$B2248,$B1070,$P$2:$P2248,"&lt;="&amp;$P1070,$P$2:$P2248,"&gt;"&amp;$P1070-7)</f>
        <v>6.419354838709677</v>
      </c>
      <c r="AI1070" s="76">
        <f ca="1">IFERROR(__xludf.DUMMYFUNCTION("iferror(stdevp(filter($H$2:$H2250,$B$2:$B2250=$B1070,$O$2:$O2250&lt;=$O1070,$O$2:$O2250&gt;$O1070-7)),0)"),1.73205080756887)</f>
        <v>1.7320508075688701</v>
      </c>
      <c r="AJ1070" s="77">
        <f t="shared" ca="1" si="10"/>
        <v>-0.24211462901500513</v>
      </c>
      <c r="AK1070" s="77">
        <f t="shared" ca="1" si="11"/>
        <v>2</v>
      </c>
      <c r="AL1070" s="76">
        <f t="array" ref="AL1070">AVERAGEIFS($J$2:$J2248,$B$2:$B2248,$B1070,$P$2:$P2248,"&lt;="&amp;$P1070,$P$2:$P2248,"&gt;"&amp;$P1070-7)</f>
        <v>9.612903225806452</v>
      </c>
      <c r="AM1070" s="76">
        <f ca="1">IFERROR(__xludf.DUMMYFUNCTION("iferror(stdevp(filter($I$2:$I2250,$B$2:$B2250=$B1070,$O$2:$O2250&lt;=$O1070,$O$2:$O2250&gt;$O1070-7)),0)"),0)</f>
        <v>0</v>
      </c>
      <c r="AN1070" s="77">
        <f t="shared" ca="1" si="13"/>
        <v>0</v>
      </c>
      <c r="AO1070" s="77">
        <f t="shared" ca="1" si="14"/>
        <v>3</v>
      </c>
      <c r="AP1070" s="76">
        <f t="array" ref="AP1070">AVERAGEIFS($K$2:$K2248,$B$2:$B2248,$B1070,$P$2:$P2248,"&lt;="&amp;$P1070,$P$2:$P2248,"&gt;"&amp;$P1070-7)</f>
        <v>10</v>
      </c>
      <c r="AQ1070" s="76">
        <f ca="1">IFERROR(__xludf.DUMMYFUNCTION("iferror(stdevp(filter($J$2:$J2250,$B$2:$B2250=$B1070,$O$2:$O2250&lt;=$O1070,$O$2:$O2250&gt;$O1070-7)),0)"),0)</f>
        <v>0</v>
      </c>
      <c r="AR1070" s="77">
        <f t="shared" ca="1" si="15"/>
        <v>0</v>
      </c>
      <c r="AS1070" s="77">
        <f t="shared" ca="1" si="16"/>
        <v>3</v>
      </c>
      <c r="AT1070" s="78">
        <f t="shared" ca="1" si="12"/>
        <v>0.75</v>
      </c>
    </row>
    <row r="1071" spans="1:46" ht="12.5" x14ac:dyDescent="0.25">
      <c r="A1071" s="75">
        <v>44959.471287395834</v>
      </c>
      <c r="B1071" s="1" t="s">
        <v>12</v>
      </c>
      <c r="C1071" s="1" t="str">
        <f>INDEX(TBL_Name,MATCH(Table2[[#This Row],[Athlete Name]],listNames,0),2)</f>
        <v>Athlete 6</v>
      </c>
      <c r="D1071" s="1" t="s">
        <v>130</v>
      </c>
      <c r="E1071" s="1">
        <v>10</v>
      </c>
      <c r="F1071" s="1">
        <v>8</v>
      </c>
      <c r="G1071" s="1">
        <v>8</v>
      </c>
      <c r="H1071" s="1" t="s">
        <v>1319</v>
      </c>
      <c r="I1071" s="1">
        <v>6</v>
      </c>
      <c r="J1071" s="1">
        <v>6</v>
      </c>
      <c r="K1071" s="1">
        <v>6</v>
      </c>
      <c r="L1071" s="1">
        <v>10</v>
      </c>
      <c r="M1071" s="1" t="e">
        <f t="shared" ca="1" si="0"/>
        <v>#NAME?</v>
      </c>
      <c r="N1071" s="1" t="e">
        <f t="shared" si="1"/>
        <v>#VALUE!</v>
      </c>
      <c r="O1071" s="1" t="e">
        <f ca="1">IF($N1071=_xludf.MINIFS($N$2:$N2257,$R$2:$R2257,$R1071),1,
($N1071-_xludf.MINIFS($N$2:$N2257,$R$2:$R2257,$R1071))+1)</f>
        <v>#VALUE!</v>
      </c>
      <c r="P1071" s="13" t="e">
        <f t="shared" si="2"/>
        <v>#VALUE!</v>
      </c>
      <c r="Q1071" s="1" t="e">
        <f>RIGHT(YEAR($A1071),2)-(MONTH($A1071)&lt;=#REF!)
 &amp;"-"&amp;
 RIGHT(YEAR($A1071),2)+(MONTH($A1071)&gt;=#REF!)</f>
        <v>#REF!</v>
      </c>
      <c r="R1071" s="1" t="e">
        <f>CHOOSE(MONTH($P1071),#REF!,#REF!,#REF!,#REF!,#REF!,#REF!,#REF!,#REF!,#REF!,#REF!,#REF!,#REF!)&amp;" "&amp;$Q1071</f>
        <v>#VALUE!</v>
      </c>
      <c r="S1071" s="1">
        <f t="shared" si="3"/>
        <v>1</v>
      </c>
      <c r="T1071" s="1" t="str">
        <f t="array" ref="T1071">IFERROR(INDEX(#REF!,MATCH($B1071,#REF!,0)),"")</f>
        <v/>
      </c>
      <c r="U1071" s="1" t="str">
        <f t="array" ref="U1071">IFERROR(INDEX(#REF!,MATCH($B1071,#REF!,0)),"")</f>
        <v/>
      </c>
      <c r="V1071" s="76">
        <f t="array" ref="V1071">AVERAGEIFS($E$2:$E2248,$B$2:$B2248,$B1071,$P$2:$P2248,"&lt;="&amp;$P1071,$P$2:$P2248,"&gt;"&amp;$P1071-7)</f>
        <v>9.75</v>
      </c>
      <c r="W1071" s="76">
        <f ca="1">IFERROR(__xludf.DUMMYFUNCTION("iferror(stdevp(filter($D$2:$D2250,$B$2:$B2250=$B1071,$O$2:$O2250&lt;=$O1071,$O$2:$O2250&gt;$O1071-7)),0)"),0)</f>
        <v>0</v>
      </c>
      <c r="X1071" s="77">
        <f t="shared" ca="1" si="4"/>
        <v>0</v>
      </c>
      <c r="Y1071" s="77">
        <f t="shared" ca="1" si="5"/>
        <v>3</v>
      </c>
      <c r="Z1071" s="76">
        <f t="array" ref="Z1071">AVERAGEIFS($F$2:$F2248,$B$2:$B2248,$B1071,$P$2:$P2248,"&lt;="&amp;$P1071,$P$2:$P2248,"&gt;"&amp;$P1071-7)</f>
        <v>7.083333333333333</v>
      </c>
      <c r="AA1071" s="76">
        <f ca="1">IFERROR(__xludf.DUMMYFUNCTION("iferror(stdevp(filter($E$2:$E2250,$B$2:$B2250=$B1071,$O$2:$O2250&lt;=$O1071,$O$2:$O2250&gt;$O1071-7)),0)"),0.471404520791031)</f>
        <v>0.47140452079103101</v>
      </c>
      <c r="AB1071" s="77">
        <f t="shared" ca="1" si="6"/>
        <v>1.9445436482630092</v>
      </c>
      <c r="AC1071" s="77">
        <f t="shared" ca="1" si="7"/>
        <v>4</v>
      </c>
      <c r="AD1071" s="76">
        <f t="array" ref="AD1071">AVERAGEIFS($G$2:$G2248,$B$2:$B2248,$B1071,$P$2:$P2248,"&lt;="&amp;$P1071,$P$2:$P2248,"&gt;"&amp;$P1071-7)</f>
        <v>7.083333333333333</v>
      </c>
      <c r="AE1071" s="76">
        <f ca="1">IFERROR(__xludf.DUMMYFUNCTION("iferror(stdevp(filter($F$2:$F2250,$B$2:$B2250=$B1071,$O$2:$O2250&lt;=$O1071,$O$2:$O2250&gt;$O1071-7)),0)"),0.471404520791031)</f>
        <v>0.47140452079103101</v>
      </c>
      <c r="AF1071" s="77">
        <f t="shared" ca="1" si="8"/>
        <v>1.9445436482630092</v>
      </c>
      <c r="AG1071" s="77">
        <f t="shared" ca="1" si="9"/>
        <v>4</v>
      </c>
      <c r="AH1071" s="76">
        <f t="array" ref="AH1071">AVERAGEIFS($I$2:$I2248,$B$2:$B2248,$B1071,$P$2:$P2248,"&lt;="&amp;$P1071,$P$2:$P2248,"&gt;"&amp;$P1071-7)</f>
        <v>6.583333333333333</v>
      </c>
      <c r="AI1071" s="76">
        <f ca="1">IFERROR(__xludf.DUMMYFUNCTION("iferror(stdevp(filter($H$2:$H2250,$B$2:$B2250=$B1071,$O$2:$O2250&lt;=$O1071,$O$2:$O2250&gt;$O1071-7)),0)"),1.69967317119759)</f>
        <v>1.6996731711975901</v>
      </c>
      <c r="AJ1071" s="77">
        <f t="shared" ca="1" si="10"/>
        <v>-0.34320323649182288</v>
      </c>
      <c r="AK1071" s="77">
        <f t="shared" ca="1" si="11"/>
        <v>2</v>
      </c>
      <c r="AL1071" s="76">
        <f t="array" ref="AL1071">AVERAGEIFS($J$2:$J2248,$B$2:$B2248,$B1071,$P$2:$P2248,"&lt;="&amp;$P1071,$P$2:$P2248,"&gt;"&amp;$P1071-7)</f>
        <v>6.666666666666667</v>
      </c>
      <c r="AM1071" s="76">
        <f ca="1">IFERROR(__xludf.DUMMYFUNCTION("iferror(stdevp(filter($I$2:$I2250,$B$2:$B2250=$B1071,$O$2:$O2250&lt;=$O1071,$O$2:$O2250&gt;$O1071-7)),0)"),0)</f>
        <v>0</v>
      </c>
      <c r="AN1071" s="77">
        <f t="shared" ca="1" si="13"/>
        <v>0</v>
      </c>
      <c r="AO1071" s="77">
        <f t="shared" ca="1" si="14"/>
        <v>3</v>
      </c>
      <c r="AP1071" s="76">
        <f t="array" ref="AP1071">AVERAGEIFS($K$2:$K2248,$B$2:$B2248,$B1071,$P$2:$P2248,"&lt;="&amp;$P1071,$P$2:$P2248,"&gt;"&amp;$P1071-7)</f>
        <v>8.25</v>
      </c>
      <c r="AQ1071" s="76">
        <f ca="1">IFERROR(__xludf.DUMMYFUNCTION("iferror(stdevp(filter($J$2:$J2250,$B$2:$B2250=$B1071,$O$2:$O2250&lt;=$O1071,$O$2:$O2250&gt;$O1071-7)),0)"),0)</f>
        <v>0</v>
      </c>
      <c r="AR1071" s="77">
        <f t="shared" ca="1" si="15"/>
        <v>0</v>
      </c>
      <c r="AS1071" s="77">
        <f t="shared" ca="1" si="16"/>
        <v>3</v>
      </c>
      <c r="AT1071" s="78">
        <f t="shared" ca="1" si="12"/>
        <v>0.79166666666666663</v>
      </c>
    </row>
    <row r="1072" spans="1:46" ht="12.5" x14ac:dyDescent="0.25">
      <c r="A1072" s="75">
        <v>44959.506641863423</v>
      </c>
      <c r="B1072" s="1" t="s">
        <v>6</v>
      </c>
      <c r="C1072" s="1" t="str">
        <f>INDEX(TBL_Name,MATCH(Table2[[#This Row],[Athlete Name]],listNames,0),2)</f>
        <v>Athlete 2</v>
      </c>
      <c r="D1072" s="1" t="s">
        <v>130</v>
      </c>
      <c r="E1072" s="1">
        <v>10</v>
      </c>
      <c r="F1072" s="1">
        <v>8</v>
      </c>
      <c r="G1072" s="1">
        <v>7</v>
      </c>
      <c r="H1072" s="1" t="s">
        <v>1435</v>
      </c>
      <c r="I1072" s="1">
        <v>7</v>
      </c>
      <c r="J1072" s="1">
        <v>6</v>
      </c>
      <c r="K1072" s="1">
        <v>7</v>
      </c>
      <c r="L1072" s="1">
        <v>99</v>
      </c>
      <c r="M1072" s="1" t="e">
        <f t="shared" ca="1" si="0"/>
        <v>#NAME?</v>
      </c>
      <c r="N1072" s="1" t="e">
        <f t="shared" si="1"/>
        <v>#VALUE!</v>
      </c>
      <c r="O1072" s="1" t="e">
        <f ca="1">IF($N1072=_xludf.MINIFS($N$2:$N2258,$R$2:$R2258,$R1072),1,
($N1072-_xludf.MINIFS($N$2:$N2258,$R$2:$R2258,$R1072))+1)</f>
        <v>#VALUE!</v>
      </c>
      <c r="P1072" s="13" t="e">
        <f t="shared" si="2"/>
        <v>#VALUE!</v>
      </c>
      <c r="Q1072" s="1" t="e">
        <f>RIGHT(YEAR($A1072),2)-(MONTH($A1072)&lt;=#REF!)
 &amp;"-"&amp;
 RIGHT(YEAR($A1072),2)+(MONTH($A1072)&gt;=#REF!)</f>
        <v>#REF!</v>
      </c>
      <c r="R1072" s="1" t="e">
        <f>CHOOSE(MONTH($P1072),#REF!,#REF!,#REF!,#REF!,#REF!,#REF!,#REF!,#REF!,#REF!,#REF!,#REF!,#REF!)&amp;" "&amp;$Q1072</f>
        <v>#VALUE!</v>
      </c>
      <c r="S1072" s="1">
        <f t="shared" si="3"/>
        <v>1</v>
      </c>
      <c r="T1072" s="1" t="str">
        <f t="array" ref="T1072">IFERROR(INDEX(#REF!,MATCH($B1072,#REF!,0)),"")</f>
        <v/>
      </c>
      <c r="U1072" s="1" t="str">
        <f t="array" ref="U1072">IFERROR(INDEX(#REF!,MATCH($B1072,#REF!,0)),"")</f>
        <v/>
      </c>
      <c r="V1072" s="76">
        <f t="array" ref="V1072">AVERAGEIFS($E$2:$E2248,$B$2:$B2248,$B1072,$P$2:$P2248,"&lt;="&amp;$P1072,$P$2:$P2248,"&gt;"&amp;$P1072-7)</f>
        <v>9.7441860465116275</v>
      </c>
      <c r="W1072" s="76">
        <f ca="1">IFERROR(__xludf.DUMMYFUNCTION("iferror(stdevp(filter($D$2:$D2250,$B$2:$B2250=$B1072,$O$2:$O2250&lt;=$O1072,$O$2:$O2250&gt;$O1072-7)),0)"),0.942809041582063)</f>
        <v>0.94280904158206302</v>
      </c>
      <c r="X1072" s="77">
        <f t="shared" ca="1" si="4"/>
        <v>0.27133167185065254</v>
      </c>
      <c r="Y1072" s="77">
        <f t="shared" ca="1" si="5"/>
        <v>3</v>
      </c>
      <c r="Z1072" s="76">
        <f t="array" ref="Z1072">AVERAGEIFS($F$2:$F2248,$B$2:$B2248,$B1072,$P$2:$P2248,"&lt;="&amp;$P1072,$P$2:$P2248,"&gt;"&amp;$P1072-7)</f>
        <v>8.279069767441861</v>
      </c>
      <c r="AA1072" s="76">
        <f ca="1">IFERROR(__xludf.DUMMYFUNCTION("iferror(stdevp(filter($E$2:$E2250,$B$2:$B2250=$B1072,$O$2:$O2250&lt;=$O1072,$O$2:$O2250&gt;$O1072-7)),0)"),0.471404520791031)</f>
        <v>0.47140452079103101</v>
      </c>
      <c r="AB1072" s="77">
        <f t="shared" ca="1" si="6"/>
        <v>-0.59199637494687884</v>
      </c>
      <c r="AC1072" s="77">
        <f t="shared" ca="1" si="7"/>
        <v>2</v>
      </c>
      <c r="AD1072" s="76">
        <f t="array" ref="AD1072">AVERAGEIFS($G$2:$G2248,$B$2:$B2248,$B1072,$P$2:$P2248,"&lt;="&amp;$P1072,$P$2:$P2248,"&gt;"&amp;$P1072-7)</f>
        <v>8.604651162790697</v>
      </c>
      <c r="AE1072" s="76">
        <f ca="1">IFERROR(__xludf.DUMMYFUNCTION("iferror(stdevp(filter($F$2:$F2250,$B$2:$B2250=$B1072,$O$2:$O2250&lt;=$O1072,$O$2:$O2250&gt;$O1072-7)),0)"),0.471404520791031)</f>
        <v>0.47140452079103101</v>
      </c>
      <c r="AF1072" s="77">
        <f t="shared" ca="1" si="8"/>
        <v>-3.4039791559445463</v>
      </c>
      <c r="AG1072" s="77">
        <f t="shared" ca="1" si="9"/>
        <v>1</v>
      </c>
      <c r="AH1072" s="76">
        <f t="array" ref="AH1072">AVERAGEIFS($I$2:$I2248,$B$2:$B2248,$B1072,$P$2:$P2248,"&lt;="&amp;$P1072,$P$2:$P2248,"&gt;"&amp;$P1072-7)</f>
        <v>8.3488372093023262</v>
      </c>
      <c r="AI1072" s="76">
        <f ca="1">IFERROR(__xludf.DUMMYFUNCTION("iferror(stdevp(filter($H$2:$H2250,$B$2:$B2250=$B1072,$O$2:$O2250&lt;=$O1072,$O$2:$O2250&gt;$O1072-7)),0)"),1.24721912892464)</f>
        <v>1.2472191289246399</v>
      </c>
      <c r="AJ1072" s="77">
        <f t="shared" ca="1" si="10"/>
        <v>-1.0814757230874914</v>
      </c>
      <c r="AK1072" s="77">
        <f t="shared" ca="1" si="11"/>
        <v>1</v>
      </c>
      <c r="AL1072" s="76">
        <f t="array" ref="AL1072">AVERAGEIFS($J$2:$J2248,$B$2:$B2248,$B1072,$P$2:$P2248,"&lt;="&amp;$P1072,$P$2:$P2248,"&gt;"&amp;$P1072-7)</f>
        <v>8.3023255813953494</v>
      </c>
      <c r="AM1072" s="76">
        <f ca="1">IFERROR(__xludf.DUMMYFUNCTION("iferror(stdevp(filter($I$2:$I2250,$B$2:$B2250=$B1072,$O$2:$O2250&lt;=$O1072,$O$2:$O2250&gt;$O1072-7)),0)"),0)</f>
        <v>0</v>
      </c>
      <c r="AN1072" s="77">
        <f t="shared" ca="1" si="13"/>
        <v>0</v>
      </c>
      <c r="AO1072" s="77">
        <f t="shared" ca="1" si="14"/>
        <v>3</v>
      </c>
      <c r="AP1072" s="76">
        <f t="array" ref="AP1072">AVERAGEIFS($K$2:$K2248,$B$2:$B2248,$B1072,$P$2:$P2248,"&lt;="&amp;$P1072,$P$2:$P2248,"&gt;"&amp;$P1072-7)</f>
        <v>8.9069767441860463</v>
      </c>
      <c r="AQ1072" s="76">
        <f ca="1">IFERROR(__xludf.DUMMYFUNCTION("iferror(stdevp(filter($J$2:$J2250,$B$2:$B2250=$B1072,$O$2:$O2250&lt;=$O1072,$O$2:$O2250&gt;$O1072-7)),0)"),0)</f>
        <v>0</v>
      </c>
      <c r="AR1072" s="77">
        <f t="shared" ca="1" si="15"/>
        <v>0</v>
      </c>
      <c r="AS1072" s="77">
        <f t="shared" ca="1" si="16"/>
        <v>3</v>
      </c>
      <c r="AT1072" s="78">
        <f t="shared" ca="1" si="12"/>
        <v>0.54166666666666663</v>
      </c>
    </row>
    <row r="1073" spans="1:46" ht="12.5" x14ac:dyDescent="0.25">
      <c r="A1073" s="75">
        <v>44959.516718067127</v>
      </c>
      <c r="B1073" s="1" t="s">
        <v>24</v>
      </c>
      <c r="C1073" s="1" t="str">
        <f>INDEX(TBL_Name,MATCH(Table2[[#This Row],[Athlete Name]],listNames,0),2)</f>
        <v>Athlete 16</v>
      </c>
      <c r="D1073" s="1" t="s">
        <v>130</v>
      </c>
      <c r="E1073" s="1">
        <v>5</v>
      </c>
      <c r="F1073" s="1">
        <v>5</v>
      </c>
      <c r="G1073" s="1">
        <v>7</v>
      </c>
      <c r="H1073" s="1" t="s">
        <v>1500</v>
      </c>
      <c r="I1073" s="1">
        <v>6</v>
      </c>
      <c r="J1073" s="1">
        <v>5</v>
      </c>
      <c r="K1073" s="1">
        <v>4</v>
      </c>
      <c r="L1073" s="1">
        <v>85</v>
      </c>
      <c r="M1073" s="1" t="e">
        <f t="shared" ca="1" si="0"/>
        <v>#NAME?</v>
      </c>
      <c r="N1073" s="1" t="e">
        <f t="shared" si="1"/>
        <v>#VALUE!</v>
      </c>
      <c r="O1073" s="1" t="e">
        <f ca="1">IF($N1073=_xludf.MINIFS($N$2:$N2259,$R$2:$R2259,$R1073),1,
($N1073-_xludf.MINIFS($N$2:$N2259,$R$2:$R2259,$R1073))+1)</f>
        <v>#VALUE!</v>
      </c>
      <c r="P1073" s="13" t="e">
        <f t="shared" si="2"/>
        <v>#VALUE!</v>
      </c>
      <c r="Q1073" s="1" t="e">
        <f>RIGHT(YEAR($A1073),2)-(MONTH($A1073)&lt;=#REF!)
 &amp;"-"&amp;
 RIGHT(YEAR($A1073),2)+(MONTH($A1073)&gt;=#REF!)</f>
        <v>#REF!</v>
      </c>
      <c r="R1073" s="1" t="e">
        <f>CHOOSE(MONTH($P1073),#REF!,#REF!,#REF!,#REF!,#REF!,#REF!,#REF!,#REF!,#REF!,#REF!,#REF!,#REF!)&amp;" "&amp;$Q1073</f>
        <v>#VALUE!</v>
      </c>
      <c r="S1073" s="1">
        <f t="shared" si="3"/>
        <v>1</v>
      </c>
      <c r="T1073" s="1" t="str">
        <f t="array" ref="T1073">IFERROR(INDEX(#REF!,MATCH($B1073,#REF!,0)),"")</f>
        <v/>
      </c>
      <c r="U1073" s="1" t="str">
        <f t="array" ref="U1073">IFERROR(INDEX(#REF!,MATCH($B1073,#REF!,0)),"")</f>
        <v/>
      </c>
      <c r="V1073" s="76">
        <f t="array" ref="V1073">AVERAGEIFS($E$2:$E2248,$B$2:$B2248,$B1073,$P$2:$P2248,"&lt;="&amp;$P1073,$P$2:$P2248,"&gt;"&amp;$P1073-7)</f>
        <v>4.1818181818181817</v>
      </c>
      <c r="W1073" s="76">
        <f ca="1">IFERROR(__xludf.DUMMYFUNCTION("iferror(stdevp(filter($D$2:$D2250,$B$2:$B2250=$B1073,$O$2:$O2250&lt;=$O1073,$O$2:$O2250&gt;$O1073-7)),0)"),1.41421356237309)</f>
        <v>1.41421356237309</v>
      </c>
      <c r="X1073" s="77">
        <f t="shared" ca="1" si="4"/>
        <v>0.57854191187990467</v>
      </c>
      <c r="Y1073" s="77">
        <f t="shared" ca="1" si="5"/>
        <v>3</v>
      </c>
      <c r="Z1073" s="76">
        <f t="array" ref="Z1073">AVERAGEIFS($F$2:$F2248,$B$2:$B2248,$B1073,$P$2:$P2248,"&lt;="&amp;$P1073,$P$2:$P2248,"&gt;"&amp;$P1073-7)</f>
        <v>6</v>
      </c>
      <c r="AA1073" s="76">
        <f ca="1">IFERROR(__xludf.DUMMYFUNCTION("iferror(stdevp(filter($E$2:$E2250,$B$2:$B2250=$B1073,$O$2:$O2250&lt;=$O1073,$O$2:$O2250&gt;$O1073-7)),0)"),0.942809041582063)</f>
        <v>0.94280904158206302</v>
      </c>
      <c r="AB1073" s="77">
        <f t="shared" ca="1" si="6"/>
        <v>-1.0606601717798216</v>
      </c>
      <c r="AC1073" s="77">
        <f t="shared" ca="1" si="7"/>
        <v>1</v>
      </c>
      <c r="AD1073" s="76">
        <f t="array" ref="AD1073">AVERAGEIFS($G$2:$G2248,$B$2:$B2248,$B1073,$P$2:$P2248,"&lt;="&amp;$P1073,$P$2:$P2248,"&gt;"&amp;$P1073-7)</f>
        <v>5.9090909090909092</v>
      </c>
      <c r="AE1073" s="76">
        <f ca="1">IFERROR(__xludf.DUMMYFUNCTION("iferror(stdevp(filter($F$2:$F2250,$B$2:$B2250=$B1073,$O$2:$O2250&lt;=$O1073,$O$2:$O2250&gt;$O1073-7)),0)"),0.816496580927726)</f>
        <v>0.81649658092772603</v>
      </c>
      <c r="AF1073" s="77">
        <f t="shared" ca="1" si="8"/>
        <v>1.3360853142453697</v>
      </c>
      <c r="AG1073" s="77">
        <f t="shared" ca="1" si="9"/>
        <v>4</v>
      </c>
      <c r="AH1073" s="76">
        <f t="array" ref="AH1073">AVERAGEIFS($I$2:$I2248,$B$2:$B2248,$B1073,$P$2:$P2248,"&lt;="&amp;$P1073,$P$2:$P2248,"&gt;"&amp;$P1073-7)</f>
        <v>4.9545454545454541</v>
      </c>
      <c r="AI1073" s="76">
        <f ca="1">IFERROR(__xludf.DUMMYFUNCTION("iferror(stdevp(filter($H$2:$H2250,$B$2:$B2250=$B1073,$O$2:$O2250&lt;=$O1073,$O$2:$O2250&gt;$O1073-7)),0)"),0.942809041582063)</f>
        <v>0.94280904158206302</v>
      </c>
      <c r="AJ1073" s="77">
        <f t="shared" ca="1" si="10"/>
        <v>1.108871997769814</v>
      </c>
      <c r="AK1073" s="77">
        <f t="shared" ca="1" si="11"/>
        <v>4</v>
      </c>
      <c r="AL1073" s="76">
        <f t="array" ref="AL1073">AVERAGEIFS($J$2:$J2248,$B$2:$B2248,$B1073,$P$2:$P2248,"&lt;="&amp;$P1073,$P$2:$P2248,"&gt;"&amp;$P1073-7)</f>
        <v>6.9090909090909092</v>
      </c>
      <c r="AM1073" s="76">
        <f ca="1">IFERROR(__xludf.DUMMYFUNCTION("iferror(stdevp(filter($I$2:$I2250,$B$2:$B2250=$B1073,$O$2:$O2250&lt;=$O1073,$O$2:$O2250&gt;$O1073-7)),0)"),0)</f>
        <v>0</v>
      </c>
      <c r="AN1073" s="77">
        <f t="shared" ca="1" si="13"/>
        <v>0</v>
      </c>
      <c r="AO1073" s="77">
        <f t="shared" ca="1" si="14"/>
        <v>3</v>
      </c>
      <c r="AP1073" s="76">
        <f t="array" ref="AP1073">AVERAGEIFS($K$2:$K2248,$B$2:$B2248,$B1073,$P$2:$P2248,"&lt;="&amp;$P1073,$P$2:$P2248,"&gt;"&amp;$P1073-7)</f>
        <v>6.7272727272727275</v>
      </c>
      <c r="AQ1073" s="76">
        <f ca="1">IFERROR(__xludf.DUMMYFUNCTION("iferror(stdevp(filter($J$2:$J2250,$B$2:$B2250=$B1073,$O$2:$O2250&lt;=$O1073,$O$2:$O2250&gt;$O1073-7)),0)"),0)</f>
        <v>0</v>
      </c>
      <c r="AR1073" s="77">
        <f t="shared" ca="1" si="15"/>
        <v>0</v>
      </c>
      <c r="AS1073" s="77">
        <f t="shared" ca="1" si="16"/>
        <v>3</v>
      </c>
      <c r="AT1073" s="78">
        <f t="shared" ca="1" si="12"/>
        <v>0.75</v>
      </c>
    </row>
    <row r="1074" spans="1:46" ht="12.5" x14ac:dyDescent="0.25">
      <c r="A1074" s="75">
        <v>44959.517402060184</v>
      </c>
      <c r="B1074" s="1" t="s">
        <v>22</v>
      </c>
      <c r="C1074" s="1" t="str">
        <f>INDEX(TBL_Name,MATCH(Table2[[#This Row],[Athlete Name]],listNames,0),2)</f>
        <v>Athlete 14</v>
      </c>
      <c r="D1074" s="1" t="s">
        <v>130</v>
      </c>
      <c r="E1074" s="1">
        <v>6</v>
      </c>
      <c r="F1074" s="1">
        <v>5</v>
      </c>
      <c r="G1074" s="1">
        <v>6</v>
      </c>
      <c r="H1074" s="1" t="s">
        <v>1501</v>
      </c>
      <c r="I1074" s="1">
        <v>3</v>
      </c>
      <c r="J1074" s="1">
        <v>5</v>
      </c>
      <c r="K1074" s="1">
        <v>7</v>
      </c>
      <c r="L1074" s="1">
        <v>6</v>
      </c>
      <c r="M1074" s="1" t="e">
        <f t="shared" ca="1" si="0"/>
        <v>#NAME?</v>
      </c>
      <c r="N1074" s="1" t="e">
        <f t="shared" si="1"/>
        <v>#VALUE!</v>
      </c>
      <c r="O1074" s="1" t="e">
        <f ca="1">IF($N1074=_xludf.MINIFS($N$2:$N2260,$R$2:$R2260,$R1074),1,
($N1074-_xludf.MINIFS($N$2:$N2260,$R$2:$R2260,$R1074))+1)</f>
        <v>#VALUE!</v>
      </c>
      <c r="P1074" s="13" t="e">
        <f t="shared" si="2"/>
        <v>#VALUE!</v>
      </c>
      <c r="Q1074" s="1" t="e">
        <f>RIGHT(YEAR($A1074),2)-(MONTH($A1074)&lt;=#REF!)
 &amp;"-"&amp;
 RIGHT(YEAR($A1074),2)+(MONTH($A1074)&gt;=#REF!)</f>
        <v>#REF!</v>
      </c>
      <c r="R1074" s="1" t="e">
        <f>CHOOSE(MONTH($P1074),#REF!,#REF!,#REF!,#REF!,#REF!,#REF!,#REF!,#REF!,#REF!,#REF!,#REF!,#REF!)&amp;" "&amp;$Q1074</f>
        <v>#VALUE!</v>
      </c>
      <c r="S1074" s="1">
        <f t="shared" si="3"/>
        <v>1</v>
      </c>
      <c r="T1074" s="1" t="str">
        <f t="array" ref="T1074">IFERROR(INDEX(#REF!,MATCH($B1074,#REF!,0)),"")</f>
        <v/>
      </c>
      <c r="U1074" s="1" t="str">
        <f t="array" ref="U1074">IFERROR(INDEX(#REF!,MATCH($B1074,#REF!,0)),"")</f>
        <v/>
      </c>
      <c r="V1074" s="76">
        <f t="array" ref="V1074">AVERAGEIFS($E$2:$E2248,$B$2:$B2248,$B1074,$P$2:$P2248,"&lt;="&amp;$P1074,$P$2:$P2248,"&gt;"&amp;$P1074-7)</f>
        <v>5.791666666666667</v>
      </c>
      <c r="W1074" s="76">
        <f ca="1">IFERROR(__xludf.DUMMYFUNCTION("iferror(stdevp(filter($D$2:$D2250,$B$2:$B2250=$B1074,$O$2:$O2250&lt;=$O1074,$O$2:$O2250&gt;$O1074-7)),0)"),0.82915619758885)</f>
        <v>0.82915619758884995</v>
      </c>
      <c r="X1074" s="77">
        <f t="shared" ca="1" si="4"/>
        <v>0.25125945381480269</v>
      </c>
      <c r="Y1074" s="77">
        <f t="shared" ca="1" si="5"/>
        <v>3</v>
      </c>
      <c r="Z1074" s="76">
        <f t="array" ref="Z1074">AVERAGEIFS($F$2:$F2248,$B$2:$B2248,$B1074,$P$2:$P2248,"&lt;="&amp;$P1074,$P$2:$P2248,"&gt;"&amp;$P1074-7)</f>
        <v>5.458333333333333</v>
      </c>
      <c r="AA1074" s="76">
        <f ca="1">IFERROR(__xludf.DUMMYFUNCTION("iferror(stdevp(filter($E$2:$E2250,$B$2:$B2250=$B1074,$O$2:$O2250&lt;=$O1074,$O$2:$O2250&gt;$O1074-7)),0)"),0.5)</f>
        <v>0.5</v>
      </c>
      <c r="AB1074" s="77">
        <f t="shared" ca="1" si="6"/>
        <v>-0.91666666666666607</v>
      </c>
      <c r="AC1074" s="77">
        <f t="shared" ca="1" si="7"/>
        <v>2</v>
      </c>
      <c r="AD1074" s="76">
        <f t="array" ref="AD1074">AVERAGEIFS($G$2:$G2248,$B$2:$B2248,$B1074,$P$2:$P2248,"&lt;="&amp;$P1074,$P$2:$P2248,"&gt;"&amp;$P1074-7)</f>
        <v>6.833333333333333</v>
      </c>
      <c r="AE1074" s="76">
        <f ca="1">IFERROR(__xludf.DUMMYFUNCTION("iferror(stdevp(filter($F$2:$F2250,$B$2:$B2250=$B1074,$O$2:$O2250&lt;=$O1074,$O$2:$O2250&gt;$O1074-7)),0)"),0.433012701892219)</f>
        <v>0.43301270189221902</v>
      </c>
      <c r="AF1074" s="77">
        <f t="shared" ca="1" si="8"/>
        <v>-1.9245008972987532</v>
      </c>
      <c r="AG1074" s="77">
        <f t="shared" ca="1" si="9"/>
        <v>1</v>
      </c>
      <c r="AH1074" s="76">
        <f t="array" ref="AH1074">AVERAGEIFS($I$2:$I2248,$B$2:$B2248,$B1074,$P$2:$P2248,"&lt;="&amp;$P1074,$P$2:$P2248,"&gt;"&amp;$P1074-7)</f>
        <v>5.125</v>
      </c>
      <c r="AI1074" s="76">
        <f ca="1">IFERROR(__xludf.DUMMYFUNCTION("iferror(stdevp(filter($H$2:$H2250,$B$2:$B2250=$B1074,$O$2:$O2250&lt;=$O1074,$O$2:$O2250&gt;$O1074-7)),0)"),1.49999999999999)</f>
        <v>1.49999999999999</v>
      </c>
      <c r="AJ1074" s="77">
        <f t="shared" ca="1" si="10"/>
        <v>-1.4166666666666761</v>
      </c>
      <c r="AK1074" s="77">
        <f t="shared" ca="1" si="11"/>
        <v>1</v>
      </c>
      <c r="AL1074" s="76">
        <f t="array" ref="AL1074">AVERAGEIFS($J$2:$J2248,$B$2:$B2248,$B1074,$P$2:$P2248,"&lt;="&amp;$P1074,$P$2:$P2248,"&gt;"&amp;$P1074-7)</f>
        <v>7.125</v>
      </c>
      <c r="AM1074" s="76">
        <f ca="1">IFERROR(__xludf.DUMMYFUNCTION("iferror(stdevp(filter($I$2:$I2250,$B$2:$B2250=$B1074,$O$2:$O2250&lt;=$O1074,$O$2:$O2250&gt;$O1074-7)),0)"),0)</f>
        <v>0</v>
      </c>
      <c r="AN1074" s="77">
        <f t="shared" ca="1" si="13"/>
        <v>0</v>
      </c>
      <c r="AO1074" s="77">
        <f t="shared" ca="1" si="14"/>
        <v>3</v>
      </c>
      <c r="AP1074" s="76">
        <f t="array" ref="AP1074">AVERAGEIFS($K$2:$K2248,$B$2:$B2248,$B1074,$P$2:$P2248,"&lt;="&amp;$P1074,$P$2:$P2248,"&gt;"&amp;$P1074-7)</f>
        <v>7.083333333333333</v>
      </c>
      <c r="AQ1074" s="76">
        <f ca="1">IFERROR(__xludf.DUMMYFUNCTION("iferror(stdevp(filter($J$2:$J2250,$B$2:$B2250=$B1074,$O$2:$O2250&lt;=$O1074,$O$2:$O2250&gt;$O1074-7)),0)"),0)</f>
        <v>0</v>
      </c>
      <c r="AR1074" s="77">
        <f t="shared" ca="1" si="15"/>
        <v>0</v>
      </c>
      <c r="AS1074" s="77">
        <f t="shared" ca="1" si="16"/>
        <v>3</v>
      </c>
      <c r="AT1074" s="78">
        <f t="shared" ca="1" si="12"/>
        <v>0.54166666666666663</v>
      </c>
    </row>
    <row r="1075" spans="1:46" ht="12.5" x14ac:dyDescent="0.25">
      <c r="A1075" s="75">
        <v>44959.51804855324</v>
      </c>
      <c r="B1075" s="1" t="s">
        <v>7</v>
      </c>
      <c r="C1075" s="1" t="str">
        <f>INDEX(TBL_Name,MATCH(Table2[[#This Row],[Athlete Name]],listNames,0),2)</f>
        <v>Athlete 3</v>
      </c>
      <c r="D1075" s="1" t="s">
        <v>143</v>
      </c>
      <c r="E1075" s="1">
        <v>4</v>
      </c>
      <c r="F1075" s="1">
        <v>7</v>
      </c>
      <c r="G1075" s="1">
        <v>9</v>
      </c>
      <c r="H1075" s="86"/>
      <c r="I1075" s="1">
        <v>10</v>
      </c>
      <c r="J1075" s="1">
        <v>5</v>
      </c>
      <c r="K1075" s="1">
        <v>9</v>
      </c>
      <c r="L1075" s="1">
        <v>70</v>
      </c>
      <c r="M1075" s="1" t="e">
        <f t="shared" ca="1" si="0"/>
        <v>#NAME?</v>
      </c>
      <c r="N1075" s="1" t="e">
        <f t="shared" si="1"/>
        <v>#VALUE!</v>
      </c>
      <c r="O1075" s="1" t="e">
        <f ca="1">IF($N1075=_xludf.MINIFS($N$2:$N2261,$R$2:$R2261,$R1075),1,
($N1075-_xludf.MINIFS($N$2:$N2261,$R$2:$R2261,$R1075))+1)</f>
        <v>#VALUE!</v>
      </c>
      <c r="P1075" s="13" t="e">
        <f t="shared" si="2"/>
        <v>#VALUE!</v>
      </c>
      <c r="Q1075" s="1" t="e">
        <f>RIGHT(YEAR($A1075),2)-(MONTH($A1075)&lt;=#REF!)
 &amp;"-"&amp;
 RIGHT(YEAR($A1075),2)+(MONTH($A1075)&gt;=#REF!)</f>
        <v>#REF!</v>
      </c>
      <c r="R1075" s="1" t="e">
        <f>CHOOSE(MONTH($P1075),#REF!,#REF!,#REF!,#REF!,#REF!,#REF!,#REF!,#REF!,#REF!,#REF!,#REF!,#REF!)&amp;" "&amp;$Q1075</f>
        <v>#VALUE!</v>
      </c>
      <c r="S1075" s="1">
        <f t="shared" si="3"/>
        <v>2</v>
      </c>
      <c r="T1075" s="1" t="str">
        <f t="array" ref="T1075">IFERROR(INDEX(#REF!,MATCH($B1075,#REF!,0)),"")</f>
        <v/>
      </c>
      <c r="U1075" s="1" t="str">
        <f t="array" ref="U1075">IFERROR(INDEX(#REF!,MATCH($B1075,#REF!,0)),"")</f>
        <v/>
      </c>
      <c r="V1075" s="76">
        <f t="array" ref="V1075">AVERAGEIFS($E$2:$E2248,$B$2:$B2248,$B1075,$P$2:$P2248,"&lt;="&amp;$P1075,$P$2:$P2248,"&gt;"&amp;$P1075-7)</f>
        <v>6</v>
      </c>
      <c r="W1075" s="76">
        <f ca="1">IFERROR(__xludf.DUMMYFUNCTION("iferror(stdevp(filter($D$2:$D2250,$B$2:$B2250=$B1075,$O$2:$O2250&lt;=$O1075,$O$2:$O2250&gt;$O1075-7)),0)"),1)</f>
        <v>1</v>
      </c>
      <c r="X1075" s="77">
        <f t="shared" ca="1" si="4"/>
        <v>-2</v>
      </c>
      <c r="Y1075" s="77">
        <f t="shared" ca="1" si="5"/>
        <v>1</v>
      </c>
      <c r="Z1075" s="76">
        <f t="array" ref="Z1075">AVERAGEIFS($F$2:$F2248,$B$2:$B2248,$B1075,$P$2:$P2248,"&lt;="&amp;$P1075,$P$2:$P2248,"&gt;"&amp;$P1075-7)</f>
        <v>7.3703703703703702</v>
      </c>
      <c r="AA1075" s="76">
        <f ca="1">IFERROR(__xludf.DUMMYFUNCTION("iferror(stdevp(filter($E$2:$E2250,$B$2:$B2250=$B1075,$O$2:$O2250&lt;=$O1075,$O$2:$O2250&gt;$O1075-7)),0)"),0.5)</f>
        <v>0.5</v>
      </c>
      <c r="AB1075" s="77">
        <f t="shared" ca="1" si="6"/>
        <v>-0.74074074074074048</v>
      </c>
      <c r="AC1075" s="77">
        <f t="shared" ca="1" si="7"/>
        <v>2</v>
      </c>
      <c r="AD1075" s="76">
        <f t="array" ref="AD1075">AVERAGEIFS($G$2:$G2248,$B$2:$B2248,$B1075,$P$2:$P2248,"&lt;="&amp;$P1075,$P$2:$P2248,"&gt;"&amp;$P1075-7)</f>
        <v>7.7777777777777777</v>
      </c>
      <c r="AE1075" s="76">
        <f ca="1">IFERROR(__xludf.DUMMYFUNCTION("iferror(stdevp(filter($F$2:$F2250,$B$2:$B2250=$B1075,$O$2:$O2250&lt;=$O1075,$O$2:$O2250&gt;$O1075-7)),0)"),0)</f>
        <v>0</v>
      </c>
      <c r="AF1075" s="77">
        <f t="shared" ca="1" si="8"/>
        <v>0</v>
      </c>
      <c r="AG1075" s="77">
        <f t="shared" ca="1" si="9"/>
        <v>3</v>
      </c>
      <c r="AH1075" s="76">
        <f t="array" ref="AH1075">AVERAGEIFS($I$2:$I2248,$B$2:$B2248,$B1075,$P$2:$P2248,"&lt;="&amp;$P1075,$P$2:$P2248,"&gt;"&amp;$P1075-7)</f>
        <v>6.333333333333333</v>
      </c>
      <c r="AI1075" s="76">
        <f ca="1">IFERROR(__xludf.DUMMYFUNCTION("iferror(stdevp(filter($H$2:$H2250,$B$2:$B2250=$B1075,$O$2:$O2250&lt;=$O1075,$O$2:$O2250&gt;$O1075-7)),0)"),1)</f>
        <v>1</v>
      </c>
      <c r="AJ1075" s="77">
        <f t="shared" ca="1" si="10"/>
        <v>3.666666666666667</v>
      </c>
      <c r="AK1075" s="77">
        <f t="shared" ca="1" si="11"/>
        <v>4</v>
      </c>
      <c r="AL1075" s="76">
        <f t="array" ref="AL1075">AVERAGEIFS($J$2:$J2248,$B$2:$B2248,$B1075,$P$2:$P2248,"&lt;="&amp;$P1075,$P$2:$P2248,"&gt;"&amp;$P1075-7)</f>
        <v>5.4230769230769234</v>
      </c>
      <c r="AM1075" s="76">
        <f ca="1">IFERROR(__xludf.DUMMYFUNCTION("iferror(stdevp(filter($I$2:$I2250,$B$2:$B2250=$B1075,$O$2:$O2250&lt;=$O1075,$O$2:$O2250&gt;$O1075-7)),0)"),0)</f>
        <v>0</v>
      </c>
      <c r="AN1075" s="77">
        <f t="shared" ca="1" si="13"/>
        <v>0</v>
      </c>
      <c r="AO1075" s="77">
        <f t="shared" ca="1" si="14"/>
        <v>3</v>
      </c>
      <c r="AP1075" s="76">
        <f t="array" ref="AP1075">AVERAGEIFS($K$2:$K2248,$B$2:$B2248,$B1075,$P$2:$P2248,"&lt;="&amp;$P1075,$P$2:$P2248,"&gt;"&amp;$P1075-7)</f>
        <v>7.5769230769230766</v>
      </c>
      <c r="AQ1075" s="76">
        <f ca="1">IFERROR(__xludf.DUMMYFUNCTION("iferror(stdevp(filter($J$2:$J2250,$B$2:$B2250=$B1075,$O$2:$O2250&lt;=$O1075,$O$2:$O2250&gt;$O1075-7)),0)"),0)</f>
        <v>0</v>
      </c>
      <c r="AR1075" s="77">
        <f t="shared" ca="1" si="15"/>
        <v>0</v>
      </c>
      <c r="AS1075" s="77">
        <f t="shared" ca="1" si="16"/>
        <v>3</v>
      </c>
      <c r="AT1075" s="78">
        <f t="shared" ca="1" si="12"/>
        <v>0.66666666666666663</v>
      </c>
    </row>
    <row r="1076" spans="1:46" ht="12.5" x14ac:dyDescent="0.25">
      <c r="A1076" s="75">
        <v>44960.37967091435</v>
      </c>
      <c r="B1076" s="1" t="s">
        <v>19</v>
      </c>
      <c r="C1076" s="1" t="str">
        <f>INDEX(TBL_Name,MATCH(Table2[[#This Row],[Athlete Name]],listNames,0),2)</f>
        <v>Athlete 11</v>
      </c>
      <c r="D1076" s="1" t="s">
        <v>130</v>
      </c>
      <c r="E1076" s="1">
        <v>8</v>
      </c>
      <c r="F1076" s="1">
        <v>7</v>
      </c>
      <c r="G1076" s="1">
        <v>7</v>
      </c>
      <c r="H1076" s="1" t="s">
        <v>1502</v>
      </c>
      <c r="I1076" s="1">
        <v>6</v>
      </c>
      <c r="J1076" s="1">
        <v>8</v>
      </c>
      <c r="K1076" s="1">
        <v>10</v>
      </c>
      <c r="L1076" s="1">
        <v>72</v>
      </c>
      <c r="M1076" s="1" t="e">
        <f t="shared" ca="1" si="0"/>
        <v>#NAME?</v>
      </c>
      <c r="N1076" s="1" t="e">
        <f t="shared" si="1"/>
        <v>#VALUE!</v>
      </c>
      <c r="O1076" s="1" t="e">
        <f ca="1">IF($N1076=_xludf.MINIFS($N$2:$N2262,$R$2:$R2262,$R1076),1,
($N1076-_xludf.MINIFS($N$2:$N2262,$R$2:$R2262,$R1076))+1)</f>
        <v>#VALUE!</v>
      </c>
      <c r="P1076" s="13" t="e">
        <f t="shared" si="2"/>
        <v>#VALUE!</v>
      </c>
      <c r="Q1076" s="1" t="e">
        <f>RIGHT(YEAR($A1076),2)-(MONTH($A1076)&lt;=#REF!)
 &amp;"-"&amp;
 RIGHT(YEAR($A1076),2)+(MONTH($A1076)&gt;=#REF!)</f>
        <v>#REF!</v>
      </c>
      <c r="R1076" s="1" t="e">
        <f>CHOOSE(MONTH($P1076),#REF!,#REF!,#REF!,#REF!,#REF!,#REF!,#REF!,#REF!,#REF!,#REF!,#REF!,#REF!)&amp;" "&amp;$Q1076</f>
        <v>#VALUE!</v>
      </c>
      <c r="S1076" s="1">
        <f t="shared" si="3"/>
        <v>1</v>
      </c>
      <c r="T1076" s="1" t="str">
        <f t="array" ref="T1076">IFERROR(INDEX(#REF!,MATCH($B1076,#REF!,0)),"")</f>
        <v/>
      </c>
      <c r="U1076" s="1" t="str">
        <f t="array" ref="U1076">IFERROR(INDEX(#REF!,MATCH($B1076,#REF!,0)),"")</f>
        <v/>
      </c>
      <c r="V1076" s="76">
        <f t="array" ref="V1076">AVERAGEIFS($E$2:$E2248,$B$2:$B2248,$B1076,$P$2:$P2248,"&lt;="&amp;$P1076,$P$2:$P2248,"&gt;"&amp;$P1076-7)</f>
        <v>4.6538461538461542</v>
      </c>
      <c r="W1076" s="76">
        <f ca="1">IFERROR(__xludf.DUMMYFUNCTION("iferror(stdevp(filter($D$2:$D2250,$B$2:$B2250=$B1076,$O$2:$O2250&lt;=$O1076,$O$2:$O2250&gt;$O1076-7)),0)"),1.41421356237309)</f>
        <v>1.41421356237309</v>
      </c>
      <c r="X1076" s="77">
        <f t="shared" ca="1" si="4"/>
        <v>2.36608807550884</v>
      </c>
      <c r="Y1076" s="77">
        <f t="shared" ca="1" si="5"/>
        <v>4</v>
      </c>
      <c r="Z1076" s="76">
        <f t="array" ref="Z1076">AVERAGEIFS($F$2:$F2248,$B$2:$B2248,$B1076,$P$2:$P2248,"&lt;="&amp;$P1076,$P$2:$P2248,"&gt;"&amp;$P1076-7)</f>
        <v>6.8461538461538458</v>
      </c>
      <c r="AA1076" s="76">
        <f ca="1">IFERROR(__xludf.DUMMYFUNCTION("iferror(stdevp(filter($E$2:$E2250,$B$2:$B2250=$B1076,$O$2:$O2250&lt;=$O1076,$O$2:$O2250&gt;$O1076-7)),0)"),0.748331477354788)</f>
        <v>0.748331477354788</v>
      </c>
      <c r="AB1076" s="77">
        <f t="shared" ca="1" si="6"/>
        <v>0.20558557070186545</v>
      </c>
      <c r="AC1076" s="77">
        <f t="shared" ca="1" si="7"/>
        <v>3</v>
      </c>
      <c r="AD1076" s="76">
        <f t="array" ref="AD1076">AVERAGEIFS($G$2:$G2248,$B$2:$B2248,$B1076,$P$2:$P2248,"&lt;="&amp;$P1076,$P$2:$P2248,"&gt;"&amp;$P1076-7)</f>
        <v>7.2692307692307692</v>
      </c>
      <c r="AE1076" s="76">
        <f ca="1">IFERROR(__xludf.DUMMYFUNCTION("iferror(stdevp(filter($F$2:$F2250,$B$2:$B2250=$B1076,$O$2:$O2250&lt;=$O1076,$O$2:$O2250&gt;$O1076-7)),0)"),0.748331477354788)</f>
        <v>0.748331477354788</v>
      </c>
      <c r="AF1076" s="77">
        <f t="shared" ca="1" si="8"/>
        <v>-0.35977474872826365</v>
      </c>
      <c r="AG1076" s="77">
        <f t="shared" ca="1" si="9"/>
        <v>2</v>
      </c>
      <c r="AH1076" s="76">
        <f t="array" ref="AH1076">AVERAGEIFS($I$2:$I2248,$B$2:$B2248,$B1076,$P$2:$P2248,"&lt;="&amp;$P1076,$P$2:$P2248,"&gt;"&amp;$P1076-7)</f>
        <v>4.9230769230769234</v>
      </c>
      <c r="AI1076" s="76">
        <f ca="1">IFERROR(__xludf.DUMMYFUNCTION("iferror(stdevp(filter($H$2:$H2250,$B$2:$B2250=$B1076,$O$2:$O2250&lt;=$O1076,$O$2:$O2250&gt;$O1076-7)),0)"),1.32664991614216)</f>
        <v>1.3266499161421601</v>
      </c>
      <c r="AJ1076" s="77">
        <f t="shared" ca="1" si="10"/>
        <v>0.81176131232474791</v>
      </c>
      <c r="AK1076" s="77">
        <f t="shared" ca="1" si="11"/>
        <v>3</v>
      </c>
      <c r="AL1076" s="76">
        <f t="array" ref="AL1076">AVERAGEIFS($J$2:$J2248,$B$2:$B2248,$B1076,$P$2:$P2248,"&lt;="&amp;$P1076,$P$2:$P2248,"&gt;"&amp;$P1076-7)</f>
        <v>7.5769230769230766</v>
      </c>
      <c r="AM1076" s="76">
        <f ca="1">IFERROR(__xludf.DUMMYFUNCTION("iferror(stdevp(filter($I$2:$I2250,$B$2:$B2250=$B1076,$O$2:$O2250&lt;=$O1076,$O$2:$O2250&gt;$O1076-7)),0)"),2.5)</f>
        <v>2.5</v>
      </c>
      <c r="AN1076" s="77">
        <f t="shared" ca="1" si="13"/>
        <v>0.16923076923076935</v>
      </c>
      <c r="AO1076" s="77">
        <f t="shared" ca="1" si="14"/>
        <v>3</v>
      </c>
      <c r="AP1076" s="76">
        <f t="array" ref="AP1076">AVERAGEIFS($K$2:$K2248,$B$2:$B2248,$B1076,$P$2:$P2248,"&lt;="&amp;$P1076,$P$2:$P2248,"&gt;"&amp;$P1076-7)</f>
        <v>8</v>
      </c>
      <c r="AQ1076" s="76">
        <f ca="1">IFERROR(__xludf.DUMMYFUNCTION("iferror(stdevp(filter($J$2:$J2250,$B$2:$B2250=$B1076,$O$2:$O2250&lt;=$O1076,$O$2:$O2250&gt;$O1076-7)),0)"),4)</f>
        <v>4</v>
      </c>
      <c r="AR1076" s="77">
        <f t="shared" ca="1" si="15"/>
        <v>0.5</v>
      </c>
      <c r="AS1076" s="77">
        <f t="shared" ca="1" si="16"/>
        <v>3</v>
      </c>
      <c r="AT1076" s="78">
        <f t="shared" ca="1" si="12"/>
        <v>0.75</v>
      </c>
    </row>
    <row r="1077" spans="1:46" ht="12.5" x14ac:dyDescent="0.25">
      <c r="A1077" s="75">
        <v>44960.450909479172</v>
      </c>
      <c r="B1077" s="1" t="s">
        <v>7</v>
      </c>
      <c r="C1077" s="1" t="str">
        <f>INDEX(TBL_Name,MATCH(Table2[[#This Row],[Athlete Name]],listNames,0),2)</f>
        <v>Athlete 3</v>
      </c>
      <c r="D1077" s="1" t="s">
        <v>143</v>
      </c>
      <c r="E1077" s="1">
        <v>8</v>
      </c>
      <c r="F1077" s="1">
        <v>5</v>
      </c>
      <c r="G1077" s="1">
        <v>8</v>
      </c>
      <c r="H1077" s="86"/>
      <c r="I1077" s="1">
        <v>9</v>
      </c>
      <c r="J1077" s="1">
        <v>5</v>
      </c>
      <c r="K1077" s="1">
        <v>6</v>
      </c>
      <c r="L1077" s="1">
        <v>89</v>
      </c>
      <c r="M1077" s="1" t="e">
        <f t="shared" ca="1" si="0"/>
        <v>#NAME?</v>
      </c>
      <c r="N1077" s="1" t="e">
        <f t="shared" si="1"/>
        <v>#VALUE!</v>
      </c>
      <c r="O1077" s="1" t="e">
        <f ca="1">IF($N1077=_xludf.MINIFS($N$2:$N2263,$R$2:$R2263,$R1077),1,
($N1077-_xludf.MINIFS($N$2:$N2263,$R$2:$R2263,$R1077))+1)</f>
        <v>#VALUE!</v>
      </c>
      <c r="P1077" s="13" t="e">
        <f t="shared" si="2"/>
        <v>#VALUE!</v>
      </c>
      <c r="Q1077" s="1" t="e">
        <f>RIGHT(YEAR($A1077),2)-(MONTH($A1077)&lt;=#REF!)
 &amp;"-"&amp;
 RIGHT(YEAR($A1077),2)+(MONTH($A1077)&gt;=#REF!)</f>
        <v>#REF!</v>
      </c>
      <c r="R1077" s="1" t="e">
        <f>CHOOSE(MONTH($P1077),#REF!,#REF!,#REF!,#REF!,#REF!,#REF!,#REF!,#REF!,#REF!,#REF!,#REF!,#REF!)&amp;" "&amp;$Q1077</f>
        <v>#VALUE!</v>
      </c>
      <c r="S1077" s="1">
        <f t="shared" si="3"/>
        <v>2</v>
      </c>
      <c r="T1077" s="1" t="str">
        <f t="array" ref="T1077">IFERROR(INDEX(#REF!,MATCH($B1077,#REF!,0)),"")</f>
        <v/>
      </c>
      <c r="U1077" s="1" t="str">
        <f t="array" ref="U1077">IFERROR(INDEX(#REF!,MATCH($B1077,#REF!,0)),"")</f>
        <v/>
      </c>
      <c r="V1077" s="76">
        <f t="array" ref="V1077">AVERAGEIFS($E$2:$E2248,$B$2:$B2248,$B1077,$P$2:$P2248,"&lt;="&amp;$P1077,$P$2:$P2248,"&gt;"&amp;$P1077-7)</f>
        <v>6</v>
      </c>
      <c r="W1077" s="76">
        <f ca="1">IFERROR(__xludf.DUMMYFUNCTION("iferror(stdevp(filter($D$2:$D2250,$B$2:$B2250=$B1077,$O$2:$O2250&lt;=$O1077,$O$2:$O2250&gt;$O1077-7)),0)"),1.63299316185545)</f>
        <v>1.6329931618554501</v>
      </c>
      <c r="X1077" s="77">
        <f t="shared" ca="1" si="4"/>
        <v>1.2247448713915905</v>
      </c>
      <c r="Y1077" s="77">
        <f t="shared" ca="1" si="5"/>
        <v>4</v>
      </c>
      <c r="Z1077" s="76">
        <f t="array" ref="Z1077">AVERAGEIFS($F$2:$F2248,$B$2:$B2248,$B1077,$P$2:$P2248,"&lt;="&amp;$P1077,$P$2:$P2248,"&gt;"&amp;$P1077-7)</f>
        <v>7.3703703703703702</v>
      </c>
      <c r="AA1077" s="76">
        <f ca="1">IFERROR(__xludf.DUMMYFUNCTION("iferror(stdevp(filter($E$2:$E2250,$B$2:$B2250=$B1077,$O$2:$O2250&lt;=$O1077,$O$2:$O2250&gt;$O1077-7)),0)"),1.24721912892464)</f>
        <v>1.2472191289246399</v>
      </c>
      <c r="AB1077" s="77">
        <f t="shared" ca="1" si="6"/>
        <v>-1.9005243869328066</v>
      </c>
      <c r="AC1077" s="77">
        <f t="shared" ca="1" si="7"/>
        <v>1</v>
      </c>
      <c r="AD1077" s="76">
        <f t="array" ref="AD1077">AVERAGEIFS($G$2:$G2248,$B$2:$B2248,$B1077,$P$2:$P2248,"&lt;="&amp;$P1077,$P$2:$P2248,"&gt;"&amp;$P1077-7)</f>
        <v>7.7777777777777777</v>
      </c>
      <c r="AE1077" s="76">
        <f ca="1">IFERROR(__xludf.DUMMYFUNCTION("iferror(stdevp(filter($F$2:$F2250,$B$2:$B2250=$B1077,$O$2:$O2250&lt;=$O1077,$O$2:$O2250&gt;$O1077-7)),0)"),0.471404520791031)</f>
        <v>0.47140452079103101</v>
      </c>
      <c r="AF1077" s="77">
        <f t="shared" ca="1" si="8"/>
        <v>0.47140452079103257</v>
      </c>
      <c r="AG1077" s="77">
        <f t="shared" ca="1" si="9"/>
        <v>3</v>
      </c>
      <c r="AH1077" s="76">
        <f t="array" ref="AH1077">AVERAGEIFS($I$2:$I2248,$B$2:$B2248,$B1077,$P$2:$P2248,"&lt;="&amp;$P1077,$P$2:$P2248,"&gt;"&amp;$P1077-7)</f>
        <v>6.333333333333333</v>
      </c>
      <c r="AI1077" s="76">
        <f ca="1">IFERROR(__xludf.DUMMYFUNCTION("iferror(stdevp(filter($H$2:$H2250,$B$2:$B2250=$B1077,$O$2:$O2250&lt;=$O1077,$O$2:$O2250&gt;$O1077-7)),0)"),0.816496580927726)</f>
        <v>0.81649658092772603</v>
      </c>
      <c r="AJ1077" s="77">
        <f t="shared" ca="1" si="10"/>
        <v>3.2659863237109046</v>
      </c>
      <c r="AK1077" s="77">
        <f t="shared" ca="1" si="11"/>
        <v>4</v>
      </c>
      <c r="AL1077" s="76">
        <f t="array" ref="AL1077">AVERAGEIFS($J$2:$J2248,$B$2:$B2248,$B1077,$P$2:$P2248,"&lt;="&amp;$P1077,$P$2:$P2248,"&gt;"&amp;$P1077-7)</f>
        <v>5.4230769230769234</v>
      </c>
      <c r="AM1077" s="76">
        <f ca="1">IFERROR(__xludf.DUMMYFUNCTION("iferror(stdevp(filter($I$2:$I2250,$B$2:$B2250=$B1077,$O$2:$O2250&lt;=$O1077,$O$2:$O2250&gt;$O1077-7)),0)"),0)</f>
        <v>0</v>
      </c>
      <c r="AN1077" s="77">
        <f t="shared" ca="1" si="13"/>
        <v>0</v>
      </c>
      <c r="AO1077" s="77">
        <f t="shared" ca="1" si="14"/>
        <v>3</v>
      </c>
      <c r="AP1077" s="76">
        <f t="array" ref="AP1077">AVERAGEIFS($K$2:$K2248,$B$2:$B2248,$B1077,$P$2:$P2248,"&lt;="&amp;$P1077,$P$2:$P2248,"&gt;"&amp;$P1077-7)</f>
        <v>7.5769230769230766</v>
      </c>
      <c r="AQ1077" s="76">
        <f ca="1">IFERROR(__xludf.DUMMYFUNCTION("iferror(stdevp(filter($J$2:$J2250,$B$2:$B2250=$B1077,$O$2:$O2250&lt;=$O1077,$O$2:$O2250&gt;$O1077-7)),0)"),1.5)</f>
        <v>1.5</v>
      </c>
      <c r="AR1077" s="77">
        <f t="shared" ca="1" si="15"/>
        <v>-1.0512820512820511</v>
      </c>
      <c r="AS1077" s="77">
        <f t="shared" ca="1" si="16"/>
        <v>1</v>
      </c>
      <c r="AT1077" s="78">
        <f t="shared" ca="1" si="12"/>
        <v>0.66666666666666663</v>
      </c>
    </row>
    <row r="1078" spans="1:46" ht="12.5" x14ac:dyDescent="0.25">
      <c r="A1078" s="75">
        <v>44960.450943344906</v>
      </c>
      <c r="B1078" s="1" t="s">
        <v>4</v>
      </c>
      <c r="C1078" s="1" t="str">
        <f>INDEX(TBL_Name,MATCH(Table2[[#This Row],[Athlete Name]],listNames,0),2)</f>
        <v>Athlete 1</v>
      </c>
      <c r="D1078" s="1" t="s">
        <v>130</v>
      </c>
      <c r="E1078" s="1">
        <v>8</v>
      </c>
      <c r="F1078" s="1">
        <v>6</v>
      </c>
      <c r="G1078" s="1">
        <v>6</v>
      </c>
      <c r="H1078" s="1" t="s">
        <v>1503</v>
      </c>
      <c r="I1078" s="1">
        <v>8</v>
      </c>
      <c r="J1078" s="1">
        <v>5</v>
      </c>
      <c r="K1078" s="1">
        <v>5</v>
      </c>
      <c r="L1078" s="1">
        <v>6</v>
      </c>
      <c r="M1078" s="1" t="e">
        <f t="shared" ca="1" si="0"/>
        <v>#NAME?</v>
      </c>
      <c r="N1078" s="1" t="e">
        <f t="shared" si="1"/>
        <v>#VALUE!</v>
      </c>
      <c r="O1078" s="1" t="e">
        <f ca="1">IF($N1078=_xludf.MINIFS($N$2:$N2264,$R$2:$R2264,$R1078),1,
($N1078-_xludf.MINIFS($N$2:$N2264,$R$2:$R2264,$R1078))+1)</f>
        <v>#VALUE!</v>
      </c>
      <c r="P1078" s="13" t="e">
        <f t="shared" si="2"/>
        <v>#VALUE!</v>
      </c>
      <c r="Q1078" s="1" t="e">
        <f>RIGHT(YEAR($A1078),2)-(MONTH($A1078)&lt;=#REF!)
 &amp;"-"&amp;
 RIGHT(YEAR($A1078),2)+(MONTH($A1078)&gt;=#REF!)</f>
        <v>#REF!</v>
      </c>
      <c r="R1078" s="1" t="e">
        <f>CHOOSE(MONTH($P1078),#REF!,#REF!,#REF!,#REF!,#REF!,#REF!,#REF!,#REF!,#REF!,#REF!,#REF!,#REF!)&amp;" "&amp;$Q1078</f>
        <v>#VALUE!</v>
      </c>
      <c r="S1078" s="1">
        <f t="shared" si="3"/>
        <v>1</v>
      </c>
      <c r="T1078" s="1" t="str">
        <f t="array" ref="T1078">IFERROR(INDEX(#REF!,MATCH($B1078,#REF!,0)),"")</f>
        <v/>
      </c>
      <c r="U1078" s="1" t="str">
        <f t="array" ref="U1078">IFERROR(INDEX(#REF!,MATCH($B1078,#REF!,0)),"")</f>
        <v/>
      </c>
      <c r="V1078" s="76">
        <f t="array" ref="V1078">AVERAGEIFS($E$2:$E2248,$B$2:$B2248,$B1078,$P$2:$P2248,"&lt;="&amp;$P1078,$P$2:$P2248,"&gt;"&amp;$P1078-7)</f>
        <v>8.3809523809523814</v>
      </c>
      <c r="W1078" s="76">
        <f ca="1">IFERROR(__xludf.DUMMYFUNCTION("iferror(stdevp(filter($D$2:$D2250,$B$2:$B2250=$B1078,$O$2:$O2250&lt;=$O1078,$O$2:$O2250&gt;$O1078-7)),0)"),0.816496580927726)</f>
        <v>0.81649658092772603</v>
      </c>
      <c r="X1078" s="77">
        <f t="shared" ca="1" si="4"/>
        <v>-0.46656947481584399</v>
      </c>
      <c r="Y1078" s="77">
        <f t="shared" ca="1" si="5"/>
        <v>2</v>
      </c>
      <c r="Z1078" s="76">
        <f t="array" ref="Z1078">AVERAGEIFS($F$2:$F2248,$B$2:$B2248,$B1078,$P$2:$P2248,"&lt;="&amp;$P1078,$P$2:$P2248,"&gt;"&amp;$P1078-7)</f>
        <v>6.8571428571428568</v>
      </c>
      <c r="AA1078" s="76">
        <f ca="1">IFERROR(__xludf.DUMMYFUNCTION("iferror(stdevp(filter($E$2:$E2250,$B$2:$B2250=$B1078,$O$2:$O2250&lt;=$O1078,$O$2:$O2250&gt;$O1078-7)),0)"),0.816496580927726)</f>
        <v>0.81649658092772603</v>
      </c>
      <c r="AB1078" s="77">
        <f t="shared" ca="1" si="6"/>
        <v>-1.0497813183356473</v>
      </c>
      <c r="AC1078" s="77">
        <f t="shared" ca="1" si="7"/>
        <v>1</v>
      </c>
      <c r="AD1078" s="76">
        <f t="array" ref="AD1078">AVERAGEIFS($G$2:$G2248,$B$2:$B2248,$B1078,$P$2:$P2248,"&lt;="&amp;$P1078,$P$2:$P2248,"&gt;"&amp;$P1078-7)</f>
        <v>5.7619047619047619</v>
      </c>
      <c r="AE1078" s="76">
        <f ca="1">IFERROR(__xludf.DUMMYFUNCTION("iferror(stdevp(filter($F$2:$F2250,$B$2:$B2250=$B1078,$O$2:$O2250&lt;=$O1078,$O$2:$O2250&gt;$O1078-7)),0)"),0)</f>
        <v>0</v>
      </c>
      <c r="AF1078" s="77">
        <f t="shared" ca="1" si="8"/>
        <v>0</v>
      </c>
      <c r="AG1078" s="77">
        <f t="shared" ca="1" si="9"/>
        <v>3</v>
      </c>
      <c r="AH1078" s="76">
        <f t="array" ref="AH1078">AVERAGEIFS($I$2:$I2248,$B$2:$B2248,$B1078,$P$2:$P2248,"&lt;="&amp;$P1078,$P$2:$P2248,"&gt;"&amp;$P1078-7)</f>
        <v>6.8571428571428568</v>
      </c>
      <c r="AI1078" s="76">
        <f ca="1">IFERROR(__xludf.DUMMYFUNCTION("iferror(stdevp(filter($H$2:$H2250,$B$2:$B2250=$B1078,$O$2:$O2250&lt;=$O1078,$O$2:$O2250&gt;$O1078-7)),0)"),0.471404520791031)</f>
        <v>0.47140452079103101</v>
      </c>
      <c r="AJ1078" s="77">
        <f t="shared" ca="1" si="10"/>
        <v>2.42436610692531</v>
      </c>
      <c r="AK1078" s="77">
        <f t="shared" ca="1" si="11"/>
        <v>4</v>
      </c>
      <c r="AL1078" s="76">
        <f t="array" ref="AL1078">AVERAGEIFS($J$2:$J2248,$B$2:$B2248,$B1078,$P$2:$P2248,"&lt;="&amp;$P1078,$P$2:$P2248,"&gt;"&amp;$P1078-7)</f>
        <v>5.0952380952380949</v>
      </c>
      <c r="AM1078" s="76">
        <f ca="1">IFERROR(__xludf.DUMMYFUNCTION("iferror(stdevp(filter($I$2:$I2250,$B$2:$B2250=$B1078,$O$2:$O2250&lt;=$O1078,$O$2:$O2250&gt;$O1078-7)),0)"),0)</f>
        <v>0</v>
      </c>
      <c r="AN1078" s="77">
        <f t="shared" ca="1" si="13"/>
        <v>0</v>
      </c>
      <c r="AO1078" s="77">
        <f t="shared" ca="1" si="14"/>
        <v>3</v>
      </c>
      <c r="AP1078" s="76">
        <f t="array" ref="AP1078">AVERAGEIFS($K$2:$K2248,$B$2:$B2248,$B1078,$P$2:$P2248,"&lt;="&amp;$P1078,$P$2:$P2248,"&gt;"&amp;$P1078-7)</f>
        <v>5.3809523809523814</v>
      </c>
      <c r="AQ1078" s="76">
        <f ca="1">IFERROR(__xludf.DUMMYFUNCTION("iferror(stdevp(filter($J$2:$J2250,$B$2:$B2250=$B1078,$O$2:$O2250&lt;=$O1078,$O$2:$O2250&gt;$O1078-7)),0)"),0)</f>
        <v>0</v>
      </c>
      <c r="AR1078" s="77">
        <f t="shared" ca="1" si="15"/>
        <v>0</v>
      </c>
      <c r="AS1078" s="77">
        <f t="shared" ca="1" si="16"/>
        <v>3</v>
      </c>
      <c r="AT1078" s="78">
        <f t="shared" ca="1" si="12"/>
        <v>0.66666666666666663</v>
      </c>
    </row>
    <row r="1079" spans="1:46" ht="12.5" x14ac:dyDescent="0.25">
      <c r="A1079" s="75">
        <v>44960.451090833332</v>
      </c>
      <c r="B1079" s="1" t="s">
        <v>6</v>
      </c>
      <c r="C1079" s="1" t="str">
        <f>INDEX(TBL_Name,MATCH(Table2[[#This Row],[Athlete Name]],listNames,0),2)</f>
        <v>Athlete 2</v>
      </c>
      <c r="D1079" s="1" t="s">
        <v>130</v>
      </c>
      <c r="E1079" s="1">
        <v>10</v>
      </c>
      <c r="F1079" s="1">
        <v>9</v>
      </c>
      <c r="G1079" s="1">
        <v>10</v>
      </c>
      <c r="H1079" s="1" t="s">
        <v>1504</v>
      </c>
      <c r="I1079" s="1">
        <v>7</v>
      </c>
      <c r="J1079" s="1">
        <v>7</v>
      </c>
      <c r="K1079" s="1">
        <v>7</v>
      </c>
      <c r="L1079" s="1">
        <v>98</v>
      </c>
      <c r="M1079" s="1" t="e">
        <f t="shared" ca="1" si="0"/>
        <v>#NAME?</v>
      </c>
      <c r="N1079" s="1" t="e">
        <f t="shared" si="1"/>
        <v>#VALUE!</v>
      </c>
      <c r="O1079" s="1" t="e">
        <f ca="1">IF($N1079=_xludf.MINIFS($N$2:$N2265,$R$2:$R2265,$R1079),1,
($N1079-_xludf.MINIFS($N$2:$N2265,$R$2:$R2265,$R1079))+1)</f>
        <v>#VALUE!</v>
      </c>
      <c r="P1079" s="13" t="e">
        <f t="shared" si="2"/>
        <v>#VALUE!</v>
      </c>
      <c r="Q1079" s="1" t="e">
        <f>RIGHT(YEAR($A1079),2)-(MONTH($A1079)&lt;=#REF!)
 &amp;"-"&amp;
 RIGHT(YEAR($A1079),2)+(MONTH($A1079)&gt;=#REF!)</f>
        <v>#REF!</v>
      </c>
      <c r="R1079" s="1" t="e">
        <f>CHOOSE(MONTH($P1079),#REF!,#REF!,#REF!,#REF!,#REF!,#REF!,#REF!,#REF!,#REF!,#REF!,#REF!,#REF!)&amp;" "&amp;$Q1079</f>
        <v>#VALUE!</v>
      </c>
      <c r="S1079" s="1">
        <f t="shared" si="3"/>
        <v>1</v>
      </c>
      <c r="T1079" s="1" t="str">
        <f t="array" ref="T1079">IFERROR(INDEX(#REF!,MATCH($B1079,#REF!,0)),"")</f>
        <v/>
      </c>
      <c r="U1079" s="1" t="str">
        <f t="array" ref="U1079">IFERROR(INDEX(#REF!,MATCH($B1079,#REF!,0)),"")</f>
        <v/>
      </c>
      <c r="V1079" s="76">
        <f t="array" ref="V1079">AVERAGEIFS($E$2:$E2248,$B$2:$B2248,$B1079,$P$2:$P2248,"&lt;="&amp;$P1079,$P$2:$P2248,"&gt;"&amp;$P1079-7)</f>
        <v>9.7441860465116275</v>
      </c>
      <c r="W1079" s="76">
        <f ca="1">IFERROR(__xludf.DUMMYFUNCTION("iferror(stdevp(filter($D$2:$D2250,$B$2:$B2250=$B1079,$O$2:$O2250&lt;=$O1079,$O$2:$O2250&gt;$O1079-7)),0)"),1)</f>
        <v>1</v>
      </c>
      <c r="X1079" s="77">
        <f t="shared" ca="1" si="4"/>
        <v>0.25581395348837255</v>
      </c>
      <c r="Y1079" s="77">
        <f t="shared" ca="1" si="5"/>
        <v>3</v>
      </c>
      <c r="Z1079" s="76">
        <f t="array" ref="Z1079">AVERAGEIFS($F$2:$F2248,$B$2:$B2248,$B1079,$P$2:$P2248,"&lt;="&amp;$P1079,$P$2:$P2248,"&gt;"&amp;$P1079-7)</f>
        <v>8.279069767441861</v>
      </c>
      <c r="AA1079" s="76">
        <f ca="1">IFERROR(__xludf.DUMMYFUNCTION("iferror(stdevp(filter($E$2:$E2250,$B$2:$B2250=$B1079,$O$2:$O2250&lt;=$O1079,$O$2:$O2250&gt;$O1079-7)),0)"),0.82915619758885)</f>
        <v>0.82915619758884995</v>
      </c>
      <c r="AB1079" s="77">
        <f t="shared" ca="1" si="6"/>
        <v>0.86947457506145731</v>
      </c>
      <c r="AC1079" s="77">
        <f t="shared" ca="1" si="7"/>
        <v>3</v>
      </c>
      <c r="AD1079" s="76">
        <f t="array" ref="AD1079">AVERAGEIFS($G$2:$G2248,$B$2:$B2248,$B1079,$P$2:$P2248,"&lt;="&amp;$P1079,$P$2:$P2248,"&gt;"&amp;$P1079-7)</f>
        <v>8.604651162790697</v>
      </c>
      <c r="AE1079" s="76">
        <f ca="1">IFERROR(__xludf.DUMMYFUNCTION("iferror(stdevp(filter($F$2:$F2250,$B$2:$B2250=$B1079,$O$2:$O2250&lt;=$O1079,$O$2:$O2250&gt;$O1079-7)),0)"),1.49999999999999)</f>
        <v>1.49999999999999</v>
      </c>
      <c r="AF1079" s="77">
        <f t="shared" ca="1" si="8"/>
        <v>0.93023255813954153</v>
      </c>
      <c r="AG1079" s="77">
        <f t="shared" ca="1" si="9"/>
        <v>3</v>
      </c>
      <c r="AH1079" s="76">
        <f t="array" ref="AH1079">AVERAGEIFS($I$2:$I2248,$B$2:$B2248,$B1079,$P$2:$P2248,"&lt;="&amp;$P1079,$P$2:$P2248,"&gt;"&amp;$P1079-7)</f>
        <v>8.3488372093023262</v>
      </c>
      <c r="AI1079" s="76">
        <f ca="1">IFERROR(__xludf.DUMMYFUNCTION("iferror(stdevp(filter($H$2:$H2250,$B$2:$B2250=$B1079,$O$2:$O2250&lt;=$O1079,$O$2:$O2250&gt;$O1079-7)),0)"),1.08972473588516)</f>
        <v>1.0897247358851601</v>
      </c>
      <c r="AJ1079" s="77">
        <f t="shared" ca="1" si="10"/>
        <v>-1.2377779129760642</v>
      </c>
      <c r="AK1079" s="77">
        <f t="shared" ca="1" si="11"/>
        <v>1</v>
      </c>
      <c r="AL1079" s="76">
        <f t="array" ref="AL1079">AVERAGEIFS($J$2:$J2248,$B$2:$B2248,$B1079,$P$2:$P2248,"&lt;="&amp;$P1079,$P$2:$P2248,"&gt;"&amp;$P1079-7)</f>
        <v>8.3023255813953494</v>
      </c>
      <c r="AM1079" s="76">
        <f ca="1">IFERROR(__xludf.DUMMYFUNCTION("iferror(stdevp(filter($I$2:$I2250,$B$2:$B2250=$B1079,$O$2:$O2250&lt;=$O1079,$O$2:$O2250&gt;$O1079-7)),0)"),0.5)</f>
        <v>0.5</v>
      </c>
      <c r="AN1079" s="77">
        <f t="shared" ca="1" si="13"/>
        <v>-2.6046511627906987</v>
      </c>
      <c r="AO1079" s="77">
        <f t="shared" ca="1" si="14"/>
        <v>1</v>
      </c>
      <c r="AP1079" s="76">
        <f t="array" ref="AP1079">AVERAGEIFS($K$2:$K2248,$B$2:$B2248,$B1079,$P$2:$P2248,"&lt;="&amp;$P1079,$P$2:$P2248,"&gt;"&amp;$P1079-7)</f>
        <v>8.9069767441860463</v>
      </c>
      <c r="AQ1079" s="76">
        <f ca="1">IFERROR(__xludf.DUMMYFUNCTION("iferror(stdevp(filter($J$2:$J2250,$B$2:$B2250=$B1079,$O$2:$O2250&lt;=$O1079,$O$2:$O2250&gt;$O1079-7)),0)"),0)</f>
        <v>0</v>
      </c>
      <c r="AR1079" s="77">
        <f t="shared" ca="1" si="15"/>
        <v>0</v>
      </c>
      <c r="AS1079" s="77">
        <f t="shared" ca="1" si="16"/>
        <v>3</v>
      </c>
      <c r="AT1079" s="78">
        <f t="shared" ca="1" si="12"/>
        <v>0.58333333333333337</v>
      </c>
    </row>
    <row r="1080" spans="1:46" ht="12.5" x14ac:dyDescent="0.25">
      <c r="A1080" s="75">
        <v>44960.451158020835</v>
      </c>
      <c r="B1080" s="1" t="s">
        <v>17</v>
      </c>
      <c r="C1080" s="1" t="str">
        <f>INDEX(TBL_Name,MATCH(Table2[[#This Row],[Athlete Name]],listNames,0),2)</f>
        <v>Athlete 10</v>
      </c>
      <c r="D1080" s="1" t="s">
        <v>130</v>
      </c>
      <c r="E1080" s="1">
        <v>6</v>
      </c>
      <c r="F1080" s="1">
        <v>8</v>
      </c>
      <c r="G1080" s="1">
        <v>9</v>
      </c>
      <c r="H1080" s="1" t="s">
        <v>1505</v>
      </c>
      <c r="I1080" s="1">
        <v>7</v>
      </c>
      <c r="J1080" s="1">
        <v>6</v>
      </c>
      <c r="K1080" s="1">
        <v>7</v>
      </c>
      <c r="L1080" s="1">
        <v>84</v>
      </c>
      <c r="M1080" s="1" t="e">
        <f t="shared" ca="1" si="0"/>
        <v>#NAME?</v>
      </c>
      <c r="N1080" s="1" t="e">
        <f t="shared" si="1"/>
        <v>#VALUE!</v>
      </c>
      <c r="O1080" s="1" t="e">
        <f ca="1">IF($N1080=_xludf.MINIFS($N$2:$N2266,$R$2:$R2266,$R1080),1,
($N1080-_xludf.MINIFS($N$2:$N2266,$R$2:$R2266,$R1080))+1)</f>
        <v>#VALUE!</v>
      </c>
      <c r="P1080" s="13" t="e">
        <f t="shared" si="2"/>
        <v>#VALUE!</v>
      </c>
      <c r="Q1080" s="1" t="e">
        <f>RIGHT(YEAR($A1080),2)-(MONTH($A1080)&lt;=#REF!)
 &amp;"-"&amp;
 RIGHT(YEAR($A1080),2)+(MONTH($A1080)&gt;=#REF!)</f>
        <v>#REF!</v>
      </c>
      <c r="R1080" s="1" t="e">
        <f>CHOOSE(MONTH($P1080),#REF!,#REF!,#REF!,#REF!,#REF!,#REF!,#REF!,#REF!,#REF!,#REF!,#REF!,#REF!)&amp;" "&amp;$Q1080</f>
        <v>#VALUE!</v>
      </c>
      <c r="S1080" s="1">
        <f t="shared" si="3"/>
        <v>1</v>
      </c>
      <c r="T1080" s="1" t="str">
        <f t="array" ref="T1080">IFERROR(INDEX(#REF!,MATCH($B1080,#REF!,0)),"")</f>
        <v/>
      </c>
      <c r="U1080" s="1" t="str">
        <f t="array" ref="U1080">IFERROR(INDEX(#REF!,MATCH($B1080,#REF!,0)),"")</f>
        <v/>
      </c>
      <c r="V1080" s="76">
        <f t="array" ref="V1080">AVERAGEIFS($E$2:$E2248,$B$2:$B2248,$B1080,$P$2:$P2248,"&lt;="&amp;$P1080,$P$2:$P2248,"&gt;"&amp;$P1080-7)</f>
        <v>6.9024390243902438</v>
      </c>
      <c r="W1080" s="76">
        <f ca="1">IFERROR(__xludf.DUMMYFUNCTION("iferror(stdevp(filter($D$2:$D2250,$B$2:$B2250=$B1080,$O$2:$O2250&lt;=$O1080,$O$2:$O2250&gt;$O1080-7)),0)"),1.29903810567665)</f>
        <v>1.29903810567665</v>
      </c>
      <c r="X1080" s="77">
        <f t="shared" ca="1" si="4"/>
        <v>-0.69469788487857831</v>
      </c>
      <c r="Y1080" s="77">
        <f t="shared" ca="1" si="5"/>
        <v>2</v>
      </c>
      <c r="Z1080" s="76">
        <f t="array" ref="Z1080">AVERAGEIFS($F$2:$F2248,$B$2:$B2248,$B1080,$P$2:$P2248,"&lt;="&amp;$P1080,$P$2:$P2248,"&gt;"&amp;$P1080-7)</f>
        <v>7.2926829268292686</v>
      </c>
      <c r="AA1080" s="76">
        <f ca="1">IFERROR(__xludf.DUMMYFUNCTION("iferror(stdevp(filter($E$2:$E2250,$B$2:$B2250=$B1080,$O$2:$O2250&lt;=$O1080,$O$2:$O2250&gt;$O1080-7)),0)"),0.829156197588849)</f>
        <v>0.82915619758884895</v>
      </c>
      <c r="AB1080" s="77">
        <f t="shared" ca="1" si="6"/>
        <v>0.8530564870980637</v>
      </c>
      <c r="AC1080" s="77">
        <f t="shared" ca="1" si="7"/>
        <v>3</v>
      </c>
      <c r="AD1080" s="76">
        <f t="array" ref="AD1080">AVERAGEIFS($G$2:$G2248,$B$2:$B2248,$B1080,$P$2:$P2248,"&lt;="&amp;$P1080,$P$2:$P2248,"&gt;"&amp;$P1080-7)</f>
        <v>7.8048780487804876</v>
      </c>
      <c r="AE1080" s="76">
        <f ca="1">IFERROR(__xludf.DUMMYFUNCTION("iferror(stdevp(filter($F$2:$F2250,$B$2:$B2250=$B1080,$O$2:$O2250&lt;=$O1080,$O$2:$O2250&gt;$O1080-7)),0)"),0.866025403784438)</f>
        <v>0.86602540378443804</v>
      </c>
      <c r="AF1080" s="77">
        <f t="shared" ca="1" si="8"/>
        <v>1.3800079605020334</v>
      </c>
      <c r="AG1080" s="77">
        <f t="shared" ca="1" si="9"/>
        <v>4</v>
      </c>
      <c r="AH1080" s="76">
        <f t="array" ref="AH1080">AVERAGEIFS($I$2:$I2248,$B$2:$B2248,$B1080,$P$2:$P2248,"&lt;="&amp;$P1080,$P$2:$P2248,"&gt;"&amp;$P1080-7)</f>
        <v>6.3170731707317076</v>
      </c>
      <c r="AI1080" s="76">
        <f ca="1">IFERROR(__xludf.DUMMYFUNCTION("iferror(stdevp(filter($H$2:$H2250,$B$2:$B2250=$B1080,$O$2:$O2250&lt;=$O1080,$O$2:$O2250&gt;$O1080-7)),0)"),1.08972473588516)</f>
        <v>1.0897247358851601</v>
      </c>
      <c r="AJ1080" s="77">
        <f t="shared" ca="1" si="10"/>
        <v>0.62669663886592941</v>
      </c>
      <c r="AK1080" s="77">
        <f t="shared" ca="1" si="11"/>
        <v>3</v>
      </c>
      <c r="AL1080" s="76">
        <f t="array" ref="AL1080">AVERAGEIFS($J$2:$J2248,$B$2:$B2248,$B1080,$P$2:$P2248,"&lt;="&amp;$P1080,$P$2:$P2248,"&gt;"&amp;$P1080-7)</f>
        <v>6.9024390243902438</v>
      </c>
      <c r="AM1080" s="76">
        <f ca="1">IFERROR(__xludf.DUMMYFUNCTION("iferror(stdevp(filter($I$2:$I2250,$B$2:$B2250=$B1080,$O$2:$O2250&lt;=$O1080,$O$2:$O2250&gt;$O1080-7)),0)"),0.5)</f>
        <v>0.5</v>
      </c>
      <c r="AN1080" s="77">
        <f t="shared" ca="1" si="13"/>
        <v>-1.8048780487804876</v>
      </c>
      <c r="AO1080" s="77">
        <f t="shared" ca="1" si="14"/>
        <v>1</v>
      </c>
      <c r="AP1080" s="76">
        <f t="array" ref="AP1080">AVERAGEIFS($K$2:$K2248,$B$2:$B2248,$B1080,$P$2:$P2248,"&lt;="&amp;$P1080,$P$2:$P2248,"&gt;"&amp;$P1080-7)</f>
        <v>8</v>
      </c>
      <c r="AQ1080" s="76">
        <f ca="1">IFERROR(__xludf.DUMMYFUNCTION("iferror(stdevp(filter($J$2:$J2250,$B$2:$B2250=$B1080,$O$2:$O2250&lt;=$O1080,$O$2:$O2250&gt;$O1080-7)),0)"),0)</f>
        <v>0</v>
      </c>
      <c r="AR1080" s="77">
        <f t="shared" ca="1" si="15"/>
        <v>0</v>
      </c>
      <c r="AS1080" s="77">
        <f t="shared" ca="1" si="16"/>
        <v>3</v>
      </c>
      <c r="AT1080" s="78">
        <f t="shared" ca="1" si="12"/>
        <v>0.66666666666666663</v>
      </c>
    </row>
    <row r="1081" spans="1:46" ht="12.5" x14ac:dyDescent="0.25">
      <c r="A1081" s="75">
        <v>44960.454847881949</v>
      </c>
      <c r="B1081" s="1" t="s">
        <v>13</v>
      </c>
      <c r="C1081" s="1" t="str">
        <f>INDEX(TBL_Name,MATCH(Table2[[#This Row],[Athlete Name]],listNames,0),2)</f>
        <v>Athlete 7</v>
      </c>
      <c r="D1081" s="1" t="s">
        <v>130</v>
      </c>
      <c r="E1081" s="1">
        <v>8</v>
      </c>
      <c r="F1081" s="1">
        <v>5</v>
      </c>
      <c r="G1081" s="1">
        <v>7</v>
      </c>
      <c r="H1081" s="1" t="s">
        <v>326</v>
      </c>
      <c r="I1081" s="1">
        <v>4</v>
      </c>
      <c r="J1081" s="1">
        <v>10</v>
      </c>
      <c r="K1081" s="1">
        <v>10</v>
      </c>
      <c r="L1081" s="1">
        <v>60</v>
      </c>
      <c r="M1081" s="1" t="e">
        <f t="shared" ca="1" si="0"/>
        <v>#NAME?</v>
      </c>
      <c r="N1081" s="1" t="e">
        <f t="shared" si="1"/>
        <v>#VALUE!</v>
      </c>
      <c r="O1081" s="1" t="e">
        <f ca="1">IF($N1081=_xludf.MINIFS($N$2:$N2267,$R$2:$R2267,$R1081),1,
($N1081-_xludf.MINIFS($N$2:$N2267,$R$2:$R2267,$R1081))+1)</f>
        <v>#VALUE!</v>
      </c>
      <c r="P1081" s="13" t="e">
        <f t="shared" si="2"/>
        <v>#VALUE!</v>
      </c>
      <c r="Q1081" s="1" t="e">
        <f>RIGHT(YEAR($A1081),2)-(MONTH($A1081)&lt;=#REF!)
 &amp;"-"&amp;
 RIGHT(YEAR($A1081),2)+(MONTH($A1081)&gt;=#REF!)</f>
        <v>#REF!</v>
      </c>
      <c r="R1081" s="1" t="e">
        <f>CHOOSE(MONTH($P1081),#REF!,#REF!,#REF!,#REF!,#REF!,#REF!,#REF!,#REF!,#REF!,#REF!,#REF!,#REF!)&amp;" "&amp;$Q1081</f>
        <v>#VALUE!</v>
      </c>
      <c r="S1081" s="1">
        <f t="shared" si="3"/>
        <v>1</v>
      </c>
      <c r="T1081" s="1" t="str">
        <f t="array" ref="T1081">IFERROR(INDEX(#REF!,MATCH($B1081,#REF!,0)),"")</f>
        <v/>
      </c>
      <c r="U1081" s="1" t="str">
        <f t="array" ref="U1081">IFERROR(INDEX(#REF!,MATCH($B1081,#REF!,0)),"")</f>
        <v/>
      </c>
      <c r="V1081" s="76">
        <f t="array" ref="V1081">AVERAGEIFS($E$2:$E2248,$B$2:$B2248,$B1081,$P$2:$P2248,"&lt;="&amp;$P1081,$P$2:$P2248,"&gt;"&amp;$P1081-7)</f>
        <v>7.6857142857142859</v>
      </c>
      <c r="W1081" s="76">
        <f ca="1">IFERROR(__xludf.DUMMYFUNCTION("iferror(stdevp(filter($D$2:$D2250,$B$2:$B2250=$B1081,$O$2:$O2250&lt;=$O1081,$O$2:$O2250&gt;$O1081-7)),0)"),1.49666295470957)</f>
        <v>1.49666295470957</v>
      </c>
      <c r="X1081" s="77">
        <f t="shared" ca="1" si="4"/>
        <v>0.2099909757883342</v>
      </c>
      <c r="Y1081" s="77">
        <f t="shared" ca="1" si="5"/>
        <v>3</v>
      </c>
      <c r="Z1081" s="76">
        <f t="array" ref="Z1081">AVERAGEIFS($F$2:$F2248,$B$2:$B2248,$B1081,$P$2:$P2248,"&lt;="&amp;$P1081,$P$2:$P2248,"&gt;"&amp;$P1081-7)</f>
        <v>7.0857142857142854</v>
      </c>
      <c r="AA1081" s="76">
        <f ca="1">IFERROR(__xludf.DUMMYFUNCTION("iferror(stdevp(filter($E$2:$E2250,$B$2:$B2250=$B1081,$O$2:$O2250&lt;=$O1081,$O$2:$O2250&gt;$O1081-7)),0)"),1.2)</f>
        <v>1.2</v>
      </c>
      <c r="AB1081" s="77">
        <f t="shared" ca="1" si="6"/>
        <v>-1.7380952380952379</v>
      </c>
      <c r="AC1081" s="77">
        <f t="shared" ca="1" si="7"/>
        <v>1</v>
      </c>
      <c r="AD1081" s="76">
        <f t="array" ref="AD1081">AVERAGEIFS($G$2:$G2248,$B$2:$B2248,$B1081,$P$2:$P2248,"&lt;="&amp;$P1081,$P$2:$P2248,"&gt;"&amp;$P1081-7)</f>
        <v>7.1428571428571432</v>
      </c>
      <c r="AE1081" s="76">
        <f ca="1">IFERROR(__xludf.DUMMYFUNCTION("iferror(stdevp(filter($F$2:$F2250,$B$2:$B2250=$B1081,$O$2:$O2250&lt;=$O1081,$O$2:$O2250&gt;$O1081-7)),0)"),0.489897948556635)</f>
        <v>0.48989794855663499</v>
      </c>
      <c r="AF1081" s="77">
        <f t="shared" ca="1" si="8"/>
        <v>-0.2916059217599033</v>
      </c>
      <c r="AG1081" s="77">
        <f t="shared" ca="1" si="9"/>
        <v>2</v>
      </c>
      <c r="AH1081" s="76">
        <f t="array" ref="AH1081">AVERAGEIFS($I$2:$I2248,$B$2:$B2248,$B1081,$P$2:$P2248,"&lt;="&amp;$P1081,$P$2:$P2248,"&gt;"&amp;$P1081-7)</f>
        <v>7.0285714285714285</v>
      </c>
      <c r="AI1081" s="76">
        <f ca="1">IFERROR(__xludf.DUMMYFUNCTION("iferror(stdevp(filter($H$2:$H2250,$B$2:$B2250=$B1081,$O$2:$O2250&lt;=$O1081,$O$2:$O2250&gt;$O1081-7)),0)"),1.89736659610102)</f>
        <v>1.89736659610102</v>
      </c>
      <c r="AJ1081" s="77">
        <f t="shared" ca="1" si="10"/>
        <v>-1.5961972951326169</v>
      </c>
      <c r="AK1081" s="77">
        <f t="shared" ca="1" si="11"/>
        <v>1</v>
      </c>
      <c r="AL1081" s="76">
        <f t="array" ref="AL1081">AVERAGEIFS($J$2:$J2248,$B$2:$B2248,$B1081,$P$2:$P2248,"&lt;="&amp;$P1081,$P$2:$P2248,"&gt;"&amp;$P1081-7)</f>
        <v>9.742857142857142</v>
      </c>
      <c r="AM1081" s="76">
        <f ca="1">IFERROR(__xludf.DUMMYFUNCTION("iferror(stdevp(filter($I$2:$I2250,$B$2:$B2250=$B1081,$O$2:$O2250&lt;=$O1081,$O$2:$O2250&gt;$O1081-7)),0)"),0.5)</f>
        <v>0.5</v>
      </c>
      <c r="AN1081" s="77">
        <f t="shared" ca="1" si="13"/>
        <v>0.51428571428571601</v>
      </c>
      <c r="AO1081" s="77">
        <f t="shared" ca="1" si="14"/>
        <v>3</v>
      </c>
      <c r="AP1081" s="76">
        <f t="array" ref="AP1081">AVERAGEIFS($K$2:$K2248,$B$2:$B2248,$B1081,$P$2:$P2248,"&lt;="&amp;$P1081,$P$2:$P2248,"&gt;"&amp;$P1081-7)</f>
        <v>9.4285714285714288</v>
      </c>
      <c r="AQ1081" s="76">
        <f ca="1">IFERROR(__xludf.DUMMYFUNCTION("iferror(stdevp(filter($J$2:$J2250,$B$2:$B2250=$B1081,$O$2:$O2250&lt;=$O1081,$O$2:$O2250&gt;$O1081-7)),0)"),0)</f>
        <v>0</v>
      </c>
      <c r="AR1081" s="77">
        <f t="shared" ca="1" si="15"/>
        <v>0</v>
      </c>
      <c r="AS1081" s="77">
        <f t="shared" ca="1" si="16"/>
        <v>3</v>
      </c>
      <c r="AT1081" s="78">
        <f t="shared" ca="1" si="12"/>
        <v>0.54166666666666663</v>
      </c>
    </row>
    <row r="1082" spans="1:46" ht="12.5" x14ac:dyDescent="0.25">
      <c r="A1082" s="75">
        <v>44960.455712592593</v>
      </c>
      <c r="B1082" s="1" t="s">
        <v>20</v>
      </c>
      <c r="C1082" s="1" t="str">
        <f>INDEX(TBL_Name,MATCH(Table2[[#This Row],[Athlete Name]],listNames,0),2)</f>
        <v>Athlete 12</v>
      </c>
      <c r="D1082" s="1" t="s">
        <v>143</v>
      </c>
      <c r="E1082" s="1">
        <v>9</v>
      </c>
      <c r="F1082" s="1">
        <v>9</v>
      </c>
      <c r="G1082" s="1">
        <v>9</v>
      </c>
      <c r="H1082" s="1" t="s">
        <v>1504</v>
      </c>
      <c r="I1082" s="1">
        <v>7</v>
      </c>
      <c r="J1082" s="1">
        <v>6</v>
      </c>
      <c r="K1082" s="1">
        <v>9</v>
      </c>
      <c r="L1082" s="1">
        <v>80</v>
      </c>
      <c r="M1082" s="1" t="e">
        <f t="shared" ca="1" si="0"/>
        <v>#NAME?</v>
      </c>
      <c r="N1082" s="1" t="e">
        <f t="shared" si="1"/>
        <v>#VALUE!</v>
      </c>
      <c r="O1082" s="1" t="e">
        <f ca="1">IF($N1082=_xludf.MINIFS($N$2:$N2268,$R$2:$R2268,$R1082),1,
($N1082-_xludf.MINIFS($N$2:$N2268,$R$2:$R2268,$R1082))+1)</f>
        <v>#VALUE!</v>
      </c>
      <c r="P1082" s="13" t="e">
        <f t="shared" si="2"/>
        <v>#VALUE!</v>
      </c>
      <c r="Q1082" s="1" t="e">
        <f>RIGHT(YEAR($A1082),2)-(MONTH($A1082)&lt;=#REF!)
 &amp;"-"&amp;
 RIGHT(YEAR($A1082),2)+(MONTH($A1082)&gt;=#REF!)</f>
        <v>#REF!</v>
      </c>
      <c r="R1082" s="1" t="e">
        <f>CHOOSE(MONTH($P1082),#REF!,#REF!,#REF!,#REF!,#REF!,#REF!,#REF!,#REF!,#REF!,#REF!,#REF!,#REF!)&amp;" "&amp;$Q1082</f>
        <v>#VALUE!</v>
      </c>
      <c r="S1082" s="1">
        <f t="shared" si="3"/>
        <v>2</v>
      </c>
      <c r="T1082" s="1" t="str">
        <f t="array" ref="T1082">IFERROR(INDEX(#REF!,MATCH($B1082,#REF!,0)),"")</f>
        <v/>
      </c>
      <c r="U1082" s="1" t="str">
        <f t="array" ref="U1082">IFERROR(INDEX(#REF!,MATCH($B1082,#REF!,0)),"")</f>
        <v/>
      </c>
      <c r="V1082" s="76">
        <f t="array" ref="V1082">AVERAGEIFS($E$2:$E2248,$B$2:$B2248,$B1082,$P$2:$P2248,"&lt;="&amp;$P1082,$P$2:$P2248,"&gt;"&amp;$P1082-7)</f>
        <v>7.4761904761904763</v>
      </c>
      <c r="W1082" s="76">
        <f ca="1">IFERROR(__xludf.DUMMYFUNCTION("iferror(stdevp(filter($D$2:$D2250,$B$2:$B2250=$B1082,$O$2:$O2250&lt;=$O1082,$O$2:$O2250&gt;$O1082-7)),0)"),0)</f>
        <v>0</v>
      </c>
      <c r="X1082" s="77">
        <f t="shared" ca="1" si="4"/>
        <v>0</v>
      </c>
      <c r="Y1082" s="77">
        <f t="shared" ca="1" si="5"/>
        <v>3</v>
      </c>
      <c r="Z1082" s="76">
        <f t="array" ref="Z1082">AVERAGEIFS($F$2:$F2248,$B$2:$B2248,$B1082,$P$2:$P2248,"&lt;="&amp;$P1082,$P$2:$P2248,"&gt;"&amp;$P1082-7)</f>
        <v>8.1904761904761898</v>
      </c>
      <c r="AA1082" s="76">
        <f ca="1">IFERROR(__xludf.DUMMYFUNCTION("iferror(stdevp(filter($E$2:$E2250,$B$2:$B2250=$B1082,$O$2:$O2250&lt;=$O1082,$O$2:$O2250&gt;$O1082-7)),0)"),0.942809041582063)</f>
        <v>0.94280904158206302</v>
      </c>
      <c r="AB1082" s="77">
        <f t="shared" ca="1" si="6"/>
        <v>0.85862966286938014</v>
      </c>
      <c r="AC1082" s="77">
        <f t="shared" ca="1" si="7"/>
        <v>3</v>
      </c>
      <c r="AD1082" s="76">
        <f t="array" ref="AD1082">AVERAGEIFS($G$2:$G2248,$B$2:$B2248,$B1082,$P$2:$P2248,"&lt;="&amp;$P1082,$P$2:$P2248,"&gt;"&amp;$P1082-7)</f>
        <v>8.5714285714285712</v>
      </c>
      <c r="AE1082" s="76">
        <f ca="1">IFERROR(__xludf.DUMMYFUNCTION("iferror(stdevp(filter($F$2:$F2250,$B$2:$B2250=$B1082,$O$2:$O2250&lt;=$O1082,$O$2:$O2250&gt;$O1082-7)),0)"),0.471404520791031)</f>
        <v>0.47140452079103101</v>
      </c>
      <c r="AF1082" s="77">
        <f t="shared" ca="1" si="8"/>
        <v>0.90913729009699151</v>
      </c>
      <c r="AG1082" s="77">
        <f t="shared" ca="1" si="9"/>
        <v>3</v>
      </c>
      <c r="AH1082" s="76">
        <f t="array" ref="AH1082">AVERAGEIFS($I$2:$I2248,$B$2:$B2248,$B1082,$P$2:$P2248,"&lt;="&amp;$P1082,$P$2:$P2248,"&gt;"&amp;$P1082-7)</f>
        <v>5.6190476190476186</v>
      </c>
      <c r="AI1082" s="76">
        <f ca="1">IFERROR(__xludf.DUMMYFUNCTION("iferror(stdevp(filter($H$2:$H2250,$B$2:$B2250=$B1082,$O$2:$O2250&lt;=$O1082,$O$2:$O2250&gt;$O1082-7)),0)"),0.471404520791031)</f>
        <v>0.47140452079103101</v>
      </c>
      <c r="AJ1082" s="77">
        <f t="shared" ca="1" si="10"/>
        <v>2.9294423792014164</v>
      </c>
      <c r="AK1082" s="77">
        <f t="shared" ca="1" si="11"/>
        <v>4</v>
      </c>
      <c r="AL1082" s="76">
        <f t="array" ref="AL1082">AVERAGEIFS($J$2:$J2248,$B$2:$B2248,$B1082,$P$2:$P2248,"&lt;="&amp;$P1082,$P$2:$P2248,"&gt;"&amp;$P1082-7)</f>
        <v>7</v>
      </c>
      <c r="AM1082" s="76">
        <f ca="1">IFERROR(__xludf.DUMMYFUNCTION("iferror(stdevp(filter($I$2:$I2250,$B$2:$B2250=$B1082,$O$2:$O2250&lt;=$O1082,$O$2:$O2250&gt;$O1082-7)),0)"),0)</f>
        <v>0</v>
      </c>
      <c r="AN1082" s="77">
        <f t="shared" ca="1" si="13"/>
        <v>0</v>
      </c>
      <c r="AO1082" s="77">
        <f t="shared" ca="1" si="14"/>
        <v>3</v>
      </c>
      <c r="AP1082" s="76">
        <f t="array" ref="AP1082">AVERAGEIFS($K$2:$K2248,$B$2:$B2248,$B1082,$P$2:$P2248,"&lt;="&amp;$P1082,$P$2:$P2248,"&gt;"&amp;$P1082-7)</f>
        <v>7.4285714285714288</v>
      </c>
      <c r="AQ1082" s="76">
        <f ca="1">IFERROR(__xludf.DUMMYFUNCTION("iferror(stdevp(filter($J$2:$J2250,$B$2:$B2250=$B1082,$O$2:$O2250&lt;=$O1082,$O$2:$O2250&gt;$O1082-7)),0)"),0)</f>
        <v>0</v>
      </c>
      <c r="AR1082" s="77">
        <f t="shared" ca="1" si="15"/>
        <v>0</v>
      </c>
      <c r="AS1082" s="77">
        <f t="shared" ca="1" si="16"/>
        <v>3</v>
      </c>
      <c r="AT1082" s="78">
        <f t="shared" ca="1" si="12"/>
        <v>0.79166666666666663</v>
      </c>
    </row>
    <row r="1083" spans="1:46" ht="12.5" x14ac:dyDescent="0.25">
      <c r="A1083" s="75">
        <v>44960.458689050924</v>
      </c>
      <c r="B1083" s="1" t="s">
        <v>16</v>
      </c>
      <c r="C1083" s="1" t="str">
        <f>INDEX(TBL_Name,MATCH(Table2[[#This Row],[Athlete Name]],listNames,0),2)</f>
        <v>Athlete 9</v>
      </c>
      <c r="D1083" s="1" t="s">
        <v>130</v>
      </c>
      <c r="E1083" s="1">
        <v>9</v>
      </c>
      <c r="F1083" s="1">
        <v>8</v>
      </c>
      <c r="G1083" s="1">
        <v>8</v>
      </c>
      <c r="H1083" s="1" t="s">
        <v>1506</v>
      </c>
      <c r="I1083" s="1">
        <v>5</v>
      </c>
      <c r="J1083" s="1">
        <v>7</v>
      </c>
      <c r="K1083" s="1">
        <v>9</v>
      </c>
      <c r="L1083" s="1">
        <v>85</v>
      </c>
      <c r="M1083" s="1" t="e">
        <f t="shared" ca="1" si="0"/>
        <v>#NAME?</v>
      </c>
      <c r="N1083" s="1" t="e">
        <f t="shared" si="1"/>
        <v>#VALUE!</v>
      </c>
      <c r="O1083" s="1" t="e">
        <f ca="1">IF($N1083=_xludf.MINIFS($N$2:$N2269,$R$2:$R2269,$R1083),1,
($N1083-_xludf.MINIFS($N$2:$N2269,$R$2:$R2269,$R1083))+1)</f>
        <v>#VALUE!</v>
      </c>
      <c r="P1083" s="13" t="e">
        <f t="shared" si="2"/>
        <v>#VALUE!</v>
      </c>
      <c r="Q1083" s="1" t="e">
        <f>RIGHT(YEAR($A1083),2)-(MONTH($A1083)&lt;=#REF!)
 &amp;"-"&amp;
 RIGHT(YEAR($A1083),2)+(MONTH($A1083)&gt;=#REF!)</f>
        <v>#REF!</v>
      </c>
      <c r="R1083" s="1" t="e">
        <f>CHOOSE(MONTH($P1083),#REF!,#REF!,#REF!,#REF!,#REF!,#REF!,#REF!,#REF!,#REF!,#REF!,#REF!,#REF!)&amp;" "&amp;$Q1083</f>
        <v>#VALUE!</v>
      </c>
      <c r="S1083" s="1">
        <f t="shared" si="3"/>
        <v>1</v>
      </c>
      <c r="T1083" s="1" t="str">
        <f t="array" ref="T1083">IFERROR(INDEX(#REF!,MATCH($B1083,#REF!,0)),"")</f>
        <v/>
      </c>
      <c r="U1083" s="1" t="str">
        <f t="array" ref="U1083">IFERROR(INDEX(#REF!,MATCH($B1083,#REF!,0)),"")</f>
        <v/>
      </c>
      <c r="V1083" s="76">
        <f t="array" ref="V1083">AVERAGEIFS($E$2:$E2248,$B$2:$B2248,$B1083,$P$2:$P2248,"&lt;="&amp;$P1083,$P$2:$P2248,"&gt;"&amp;$P1083-7)</f>
        <v>8.9600000000000009</v>
      </c>
      <c r="W1083" s="76">
        <f ca="1">IFERROR(__xludf.DUMMYFUNCTION("iferror(stdevp(filter($D$2:$D2250,$B$2:$B2250=$B1083,$O$2:$O2250&lt;=$O1083,$O$2:$O2250&gt;$O1083-7)),0)"),0.499999999999999)</f>
        <v>0.499999999999999</v>
      </c>
      <c r="X1083" s="77">
        <f t="shared" ca="1" si="4"/>
        <v>7.9999999999998461E-2</v>
      </c>
      <c r="Y1083" s="77">
        <f t="shared" ca="1" si="5"/>
        <v>3</v>
      </c>
      <c r="Z1083" s="76">
        <f t="array" ref="Z1083">AVERAGEIFS($F$2:$F2248,$B$2:$B2248,$B1083,$P$2:$P2248,"&lt;="&amp;$P1083,$P$2:$P2248,"&gt;"&amp;$P1083-7)</f>
        <v>7.48</v>
      </c>
      <c r="AA1083" s="76">
        <f ca="1">IFERROR(__xludf.DUMMYFUNCTION("iferror(stdevp(filter($E$2:$E2250,$B$2:$B2250=$B1083,$O$2:$O2250&lt;=$O1083,$O$2:$O2250&gt;$O1083-7)),0)"),1.29903810567665)</f>
        <v>1.29903810567665</v>
      </c>
      <c r="AB1083" s="77">
        <f t="shared" ca="1" si="6"/>
        <v>0.40029618663814265</v>
      </c>
      <c r="AC1083" s="77">
        <f t="shared" ca="1" si="7"/>
        <v>3</v>
      </c>
      <c r="AD1083" s="76">
        <f t="array" ref="AD1083">AVERAGEIFS($G$2:$G2248,$B$2:$B2248,$B1083,$P$2:$P2248,"&lt;="&amp;$P1083,$P$2:$P2248,"&gt;"&amp;$P1083-7)</f>
        <v>7.56</v>
      </c>
      <c r="AE1083" s="76">
        <f ca="1">IFERROR(__xludf.DUMMYFUNCTION("iferror(stdevp(filter($F$2:$F2250,$B$2:$B2250=$B1083,$O$2:$O2250&lt;=$O1083,$O$2:$O2250&gt;$O1083-7)),0)"),1.29903810567665)</f>
        <v>1.29903810567665</v>
      </c>
      <c r="AF1083" s="77">
        <f t="shared" ca="1" si="8"/>
        <v>0.33871215792458281</v>
      </c>
      <c r="AG1083" s="77">
        <f t="shared" ca="1" si="9"/>
        <v>3</v>
      </c>
      <c r="AH1083" s="76">
        <f t="array" ref="AH1083">AVERAGEIFS($I$2:$I2248,$B$2:$B2248,$B1083,$P$2:$P2248,"&lt;="&amp;$P1083,$P$2:$P2248,"&gt;"&amp;$P1083-7)</f>
        <v>5.8</v>
      </c>
      <c r="AI1083" s="76">
        <f ca="1">IFERROR(__xludf.DUMMYFUNCTION("iferror(stdevp(filter($H$2:$H2250,$B$2:$B2250=$B1083,$O$2:$O2250&lt;=$O1083,$O$2:$O2250&gt;$O1083-7)),0)"),1.08972473588516)</f>
        <v>1.0897247358851601</v>
      </c>
      <c r="AJ1083" s="77">
        <f t="shared" ca="1" si="10"/>
        <v>-0.73413034838580316</v>
      </c>
      <c r="AK1083" s="77">
        <f t="shared" ca="1" si="11"/>
        <v>2</v>
      </c>
      <c r="AL1083" s="76">
        <f t="array" ref="AL1083">AVERAGEIFS($J$2:$J2248,$B$2:$B2248,$B1083,$P$2:$P2248,"&lt;="&amp;$P1083,$P$2:$P2248,"&gt;"&amp;$P1083-7)</f>
        <v>7.8</v>
      </c>
      <c r="AM1083" s="76">
        <f ca="1">IFERROR(__xludf.DUMMYFUNCTION("iferror(stdevp(filter($I$2:$I2250,$B$2:$B2250=$B1083,$O$2:$O2250&lt;=$O1083,$O$2:$O2250&gt;$O1083-7)),0)"),0.5)</f>
        <v>0.5</v>
      </c>
      <c r="AN1083" s="77">
        <f t="shared" ca="1" si="13"/>
        <v>-1.5999999999999996</v>
      </c>
      <c r="AO1083" s="77">
        <f t="shared" ca="1" si="14"/>
        <v>1</v>
      </c>
      <c r="AP1083" s="76">
        <f t="array" ref="AP1083">AVERAGEIFS($K$2:$K2248,$B$2:$B2248,$B1083,$P$2:$P2248,"&lt;="&amp;$P1083,$P$2:$P2248,"&gt;"&amp;$P1083-7)</f>
        <v>8.6</v>
      </c>
      <c r="AQ1083" s="76">
        <f ca="1">IFERROR(__xludf.DUMMYFUNCTION("iferror(stdevp(filter($J$2:$J2250,$B$2:$B2250=$B1083,$O$2:$O2250&lt;=$O1083,$O$2:$O2250&gt;$O1083-7)),0)"),0)</f>
        <v>0</v>
      </c>
      <c r="AR1083" s="77">
        <f t="shared" ca="1" si="15"/>
        <v>0</v>
      </c>
      <c r="AS1083" s="77">
        <f t="shared" ca="1" si="16"/>
        <v>3</v>
      </c>
      <c r="AT1083" s="78">
        <f t="shared" ca="1" si="12"/>
        <v>0.625</v>
      </c>
    </row>
    <row r="1084" spans="1:46" ht="12.5" x14ac:dyDescent="0.25">
      <c r="A1084" s="75">
        <v>44960.46122409722</v>
      </c>
      <c r="B1084" s="1" t="s">
        <v>10</v>
      </c>
      <c r="C1084" s="1" t="str">
        <f>INDEX(TBL_Name,MATCH(Table2[[#This Row],[Athlete Name]],listNames,0),2)</f>
        <v>Athlete 5</v>
      </c>
      <c r="D1084" s="1" t="s">
        <v>130</v>
      </c>
      <c r="E1084" s="1">
        <v>9</v>
      </c>
      <c r="F1084" s="1">
        <v>9</v>
      </c>
      <c r="G1084" s="1">
        <v>9</v>
      </c>
      <c r="H1084" s="1" t="s">
        <v>193</v>
      </c>
      <c r="I1084" s="1">
        <v>2</v>
      </c>
      <c r="J1084" s="1">
        <v>7</v>
      </c>
      <c r="K1084" s="1">
        <v>7</v>
      </c>
      <c r="L1084" s="1">
        <v>88</v>
      </c>
      <c r="M1084" s="1" t="e">
        <f t="shared" ca="1" si="0"/>
        <v>#NAME?</v>
      </c>
      <c r="N1084" s="1" t="e">
        <f t="shared" si="1"/>
        <v>#VALUE!</v>
      </c>
      <c r="O1084" s="1" t="e">
        <f ca="1">IF($N1084=_xludf.MINIFS($N$2:$N2270,$R$2:$R2270,$R1084),1,
($N1084-_xludf.MINIFS($N$2:$N2270,$R$2:$R2270,$R1084))+1)</f>
        <v>#VALUE!</v>
      </c>
      <c r="P1084" s="13" t="e">
        <f t="shared" si="2"/>
        <v>#VALUE!</v>
      </c>
      <c r="Q1084" s="1" t="e">
        <f>RIGHT(YEAR($A1084),2)-(MONTH($A1084)&lt;=#REF!)
 &amp;"-"&amp;
 RIGHT(YEAR($A1084),2)+(MONTH($A1084)&gt;=#REF!)</f>
        <v>#REF!</v>
      </c>
      <c r="R1084" s="1" t="e">
        <f>CHOOSE(MONTH($P1084),#REF!,#REF!,#REF!,#REF!,#REF!,#REF!,#REF!,#REF!,#REF!,#REF!,#REF!,#REF!)&amp;" "&amp;$Q1084</f>
        <v>#VALUE!</v>
      </c>
      <c r="S1084" s="1">
        <f t="shared" si="3"/>
        <v>1</v>
      </c>
      <c r="T1084" s="1" t="str">
        <f t="array" ref="T1084">IFERROR(INDEX(#REF!,MATCH($B1084,#REF!,0)),"")</f>
        <v/>
      </c>
      <c r="U1084" s="1" t="str">
        <f t="array" ref="U1084">IFERROR(INDEX(#REF!,MATCH($B1084,#REF!,0)),"")</f>
        <v/>
      </c>
      <c r="V1084" s="76">
        <f t="array" ref="V1084">AVERAGEIFS($E$2:$E2248,$B$2:$B2248,$B1084,$P$2:$P2248,"&lt;="&amp;$P1084,$P$2:$P2248,"&gt;"&amp;$P1084-7)</f>
        <v>8.4042553191489358</v>
      </c>
      <c r="W1084" s="76">
        <f ca="1">IFERROR(__xludf.DUMMYFUNCTION("iferror(stdevp(filter($D$2:$D2250,$B$2:$B2250=$B1084,$O$2:$O2250&lt;=$O1084,$O$2:$O2250&gt;$O1084-7)),0)"),1.04978131833564)</f>
        <v>1.0497813183356399</v>
      </c>
      <c r="X1084" s="77">
        <f t="shared" ca="1" si="4"/>
        <v>0.56749407752423975</v>
      </c>
      <c r="Y1084" s="77">
        <f t="shared" ca="1" si="5"/>
        <v>3</v>
      </c>
      <c r="Z1084" s="76">
        <f t="array" ref="Z1084">AVERAGEIFS($F$2:$F2248,$B$2:$B2248,$B1084,$P$2:$P2248,"&lt;="&amp;$P1084,$P$2:$P2248,"&gt;"&amp;$P1084-7)</f>
        <v>8.085106382978724</v>
      </c>
      <c r="AA1084" s="76">
        <f ca="1">IFERROR(__xludf.DUMMYFUNCTION("iferror(stdevp(filter($E$2:$E2250,$B$2:$B2250=$B1084,$O$2:$O2250&lt;=$O1084,$O$2:$O2250&gt;$O1084-7)),0)"),1.03015750727542)</f>
        <v>1.0301575072754201</v>
      </c>
      <c r="AB1084" s="77">
        <f t="shared" ca="1" si="6"/>
        <v>0.88811042055209966</v>
      </c>
      <c r="AC1084" s="77">
        <f t="shared" ca="1" si="7"/>
        <v>3</v>
      </c>
      <c r="AD1084" s="76">
        <f t="array" ref="AD1084">AVERAGEIFS($G$2:$G2248,$B$2:$B2248,$B1084,$P$2:$P2248,"&lt;="&amp;$P1084,$P$2:$P2248,"&gt;"&amp;$P1084-7)</f>
        <v>8.0638297872340434</v>
      </c>
      <c r="AE1084" s="76">
        <f ca="1">IFERROR(__xludf.DUMMYFUNCTION("iferror(stdevp(filter($F$2:$F2250,$B$2:$B2250=$B1084,$O$2:$O2250&lt;=$O1084,$O$2:$O2250&gt;$O1084-7)),0)"),1.03015750727542)</f>
        <v>1.0301575072754201</v>
      </c>
      <c r="AF1084" s="77">
        <f t="shared" ca="1" si="8"/>
        <v>0.90876415126261334</v>
      </c>
      <c r="AG1084" s="77">
        <f t="shared" ca="1" si="9"/>
        <v>3</v>
      </c>
      <c r="AH1084" s="76">
        <f t="array" ref="AH1084">AVERAGEIFS($I$2:$I2248,$B$2:$B2248,$B1084,$P$2:$P2248,"&lt;="&amp;$P1084,$P$2:$P2248,"&gt;"&amp;$P1084-7)</f>
        <v>6.7446808510638299</v>
      </c>
      <c r="AI1084" s="76">
        <f ca="1">IFERROR(__xludf.DUMMYFUNCTION("iferror(stdevp(filter($H$2:$H2250,$B$2:$B2250=$B1084,$O$2:$O2250&lt;=$O1084,$O$2:$O2250&gt;$O1084-7)),0)"),2.61080955464243)</f>
        <v>2.6108095546424299</v>
      </c>
      <c r="AJ1084" s="77">
        <f t="shared" ca="1" si="10"/>
        <v>-1.8173216972593964</v>
      </c>
      <c r="AK1084" s="77">
        <f t="shared" ca="1" si="11"/>
        <v>1</v>
      </c>
      <c r="AL1084" s="76">
        <f t="array" ref="AL1084">AVERAGEIFS($J$2:$J2248,$B$2:$B2248,$B1084,$P$2:$P2248,"&lt;="&amp;$P1084,$P$2:$P2248,"&gt;"&amp;$P1084-7)</f>
        <v>8.1063829787234045</v>
      </c>
      <c r="AM1084" s="76">
        <f ca="1">IFERROR(__xludf.DUMMYFUNCTION("iferror(stdevp(filter($I$2:$I2250,$B$2:$B2250=$B1084,$O$2:$O2250&lt;=$O1084,$O$2:$O2250&gt;$O1084-7)),0)"),0)</f>
        <v>0</v>
      </c>
      <c r="AN1084" s="77">
        <f t="shared" ca="1" si="13"/>
        <v>0</v>
      </c>
      <c r="AO1084" s="77">
        <f t="shared" ca="1" si="14"/>
        <v>3</v>
      </c>
      <c r="AP1084" s="76">
        <f t="array" ref="AP1084">AVERAGEIFS($K$2:$K2248,$B$2:$B2248,$B1084,$P$2:$P2248,"&lt;="&amp;$P1084,$P$2:$P2248,"&gt;"&amp;$P1084-7)</f>
        <v>8.2978723404255312</v>
      </c>
      <c r="AQ1084" s="76">
        <f ca="1">IFERROR(__xludf.DUMMYFUNCTION("iferror(stdevp(filter($J$2:$J2250,$B$2:$B2250=$B1084,$O$2:$O2250&lt;=$O1084,$O$2:$O2250&gt;$O1084-7)),0)"),0.5)</f>
        <v>0.5</v>
      </c>
      <c r="AR1084" s="77">
        <f t="shared" ca="1" si="15"/>
        <v>-2.5957446808510625</v>
      </c>
      <c r="AS1084" s="77">
        <f t="shared" ca="1" si="16"/>
        <v>1</v>
      </c>
      <c r="AT1084" s="78">
        <f t="shared" ca="1" si="12"/>
        <v>0.58333333333333337</v>
      </c>
    </row>
    <row r="1085" spans="1:46" ht="12.5" x14ac:dyDescent="0.25">
      <c r="A1085" s="75">
        <v>44960.461477384262</v>
      </c>
      <c r="B1085" s="1" t="s">
        <v>22</v>
      </c>
      <c r="C1085" s="1" t="str">
        <f>INDEX(TBL_Name,MATCH(Table2[[#This Row],[Athlete Name]],listNames,0),2)</f>
        <v>Athlete 14</v>
      </c>
      <c r="D1085" s="1" t="s">
        <v>130</v>
      </c>
      <c r="E1085" s="1">
        <v>6</v>
      </c>
      <c r="F1085" s="1">
        <v>7</v>
      </c>
      <c r="G1085" s="1">
        <v>8</v>
      </c>
      <c r="H1085" s="1" t="s">
        <v>1507</v>
      </c>
      <c r="I1085" s="1">
        <v>3</v>
      </c>
      <c r="J1085" s="1">
        <v>8</v>
      </c>
      <c r="K1085" s="1">
        <v>6</v>
      </c>
      <c r="L1085" s="1">
        <v>50</v>
      </c>
      <c r="M1085" s="1" t="e">
        <f t="shared" ca="1" si="0"/>
        <v>#NAME?</v>
      </c>
      <c r="N1085" s="1" t="e">
        <f t="shared" si="1"/>
        <v>#VALUE!</v>
      </c>
      <c r="O1085" s="1" t="e">
        <f ca="1">IF($N1085=_xludf.MINIFS($N$2:$N2271,$R$2:$R2271,$R1085),1,
($N1085-_xludf.MINIFS($N$2:$N2271,$R$2:$R2271,$R1085))+1)</f>
        <v>#VALUE!</v>
      </c>
      <c r="P1085" s="13" t="e">
        <f t="shared" si="2"/>
        <v>#VALUE!</v>
      </c>
      <c r="Q1085" s="1" t="e">
        <f>RIGHT(YEAR($A1085),2)-(MONTH($A1085)&lt;=#REF!)
 &amp;"-"&amp;
 RIGHT(YEAR($A1085),2)+(MONTH($A1085)&gt;=#REF!)</f>
        <v>#REF!</v>
      </c>
      <c r="R1085" s="1" t="e">
        <f>CHOOSE(MONTH($P1085),#REF!,#REF!,#REF!,#REF!,#REF!,#REF!,#REF!,#REF!,#REF!,#REF!,#REF!,#REF!)&amp;" "&amp;$Q1085</f>
        <v>#VALUE!</v>
      </c>
      <c r="S1085" s="1">
        <f t="shared" si="3"/>
        <v>1</v>
      </c>
      <c r="T1085" s="1" t="str">
        <f t="array" ref="T1085">IFERROR(INDEX(#REF!,MATCH($B1085,#REF!,0)),"")</f>
        <v/>
      </c>
      <c r="U1085" s="1" t="str">
        <f t="array" ref="U1085">IFERROR(INDEX(#REF!,MATCH($B1085,#REF!,0)),"")</f>
        <v/>
      </c>
      <c r="V1085" s="76">
        <f t="array" ref="V1085">AVERAGEIFS($E$2:$E2248,$B$2:$B2248,$B1085,$P$2:$P2248,"&lt;="&amp;$P1085,$P$2:$P2248,"&gt;"&amp;$P1085-7)</f>
        <v>5.791666666666667</v>
      </c>
      <c r="W1085" s="76">
        <f ca="1">IFERROR(__xludf.DUMMYFUNCTION("iferror(stdevp(filter($D$2:$D2250,$B$2:$B2250=$B1085,$O$2:$O2250&lt;=$O1085,$O$2:$O2250&gt;$O1085-7)),0)"),0.748331477354788)</f>
        <v>0.748331477354788</v>
      </c>
      <c r="X1085" s="77">
        <f t="shared" ca="1" si="4"/>
        <v>0.27839712699210845</v>
      </c>
      <c r="Y1085" s="77">
        <f t="shared" ca="1" si="5"/>
        <v>3</v>
      </c>
      <c r="Z1085" s="76">
        <f t="array" ref="Z1085">AVERAGEIFS($F$2:$F2248,$B$2:$B2248,$B1085,$P$2:$P2248,"&lt;="&amp;$P1085,$P$2:$P2248,"&gt;"&amp;$P1085-7)</f>
        <v>5.458333333333333</v>
      </c>
      <c r="AA1085" s="76">
        <f ca="1">IFERROR(__xludf.DUMMYFUNCTION("iferror(stdevp(filter($E$2:$E2250,$B$2:$B2250=$B1085,$O$2:$O2250&lt;=$O1085,$O$2:$O2250&gt;$O1085-7)),0)"),1.09544511501033)</f>
        <v>1.0954451150103299</v>
      </c>
      <c r="AB1085" s="77">
        <f t="shared" ca="1" si="6"/>
        <v>1.4073426824785551</v>
      </c>
      <c r="AC1085" s="77">
        <f t="shared" ca="1" si="7"/>
        <v>4</v>
      </c>
      <c r="AD1085" s="76">
        <f t="array" ref="AD1085">AVERAGEIFS($G$2:$G2248,$B$2:$B2248,$B1085,$P$2:$P2248,"&lt;="&amp;$P1085,$P$2:$P2248,"&gt;"&amp;$P1085-7)</f>
        <v>6.833333333333333</v>
      </c>
      <c r="AE1085" s="76">
        <f ca="1">IFERROR(__xludf.DUMMYFUNCTION("iferror(stdevp(filter($F$2:$F2250,$B$2:$B2250=$B1085,$O$2:$O2250&lt;=$O1085,$O$2:$O2250&gt;$O1085-7)),0)"),0.8)</f>
        <v>0.8</v>
      </c>
      <c r="AF1085" s="77">
        <f t="shared" ca="1" si="8"/>
        <v>1.4583333333333337</v>
      </c>
      <c r="AG1085" s="77">
        <f t="shared" ca="1" si="9"/>
        <v>4</v>
      </c>
      <c r="AH1085" s="76">
        <f t="array" ref="AH1085">AVERAGEIFS($I$2:$I2248,$B$2:$B2248,$B1085,$P$2:$P2248,"&lt;="&amp;$P1085,$P$2:$P2248,"&gt;"&amp;$P1085-7)</f>
        <v>5.125</v>
      </c>
      <c r="AI1085" s="76">
        <f ca="1">IFERROR(__xludf.DUMMYFUNCTION("iferror(stdevp(filter($H$2:$H2250,$B$2:$B2250=$B1085,$O$2:$O2250&lt;=$O1085,$O$2:$O2250&gt;$O1085-7)),0)"),1.67332005306815)</f>
        <v>1.67332005306815</v>
      </c>
      <c r="AJ1085" s="77">
        <f t="shared" ca="1" si="10"/>
        <v>-1.269930397417794</v>
      </c>
      <c r="AK1085" s="77">
        <f t="shared" ca="1" si="11"/>
        <v>1</v>
      </c>
      <c r="AL1085" s="76">
        <f t="array" ref="AL1085">AVERAGEIFS($J$2:$J2248,$B$2:$B2248,$B1085,$P$2:$P2248,"&lt;="&amp;$P1085,$P$2:$P2248,"&gt;"&amp;$P1085-7)</f>
        <v>7.125</v>
      </c>
      <c r="AM1085" s="76">
        <f ca="1">IFERROR(__xludf.DUMMYFUNCTION("iferror(stdevp(filter($I$2:$I2250,$B$2:$B2250=$B1085,$O$2:$O2250&lt;=$O1085,$O$2:$O2250&gt;$O1085-7)),0)"),1.5)</f>
        <v>1.5</v>
      </c>
      <c r="AN1085" s="77">
        <f t="shared" ca="1" si="13"/>
        <v>0.58333333333333337</v>
      </c>
      <c r="AO1085" s="77">
        <f t="shared" ca="1" si="14"/>
        <v>3</v>
      </c>
      <c r="AP1085" s="76">
        <f t="array" ref="AP1085">AVERAGEIFS($K$2:$K2248,$B$2:$B2248,$B1085,$P$2:$P2248,"&lt;="&amp;$P1085,$P$2:$P2248,"&gt;"&amp;$P1085-7)</f>
        <v>7.083333333333333</v>
      </c>
      <c r="AQ1085" s="76">
        <f ca="1">IFERROR(__xludf.DUMMYFUNCTION("iferror(stdevp(filter($J$2:$J2250,$B$2:$B2250=$B1085,$O$2:$O2250&lt;=$O1085,$O$2:$O2250&gt;$O1085-7)),0)"),0.5)</f>
        <v>0.5</v>
      </c>
      <c r="AR1085" s="77">
        <f t="shared" ca="1" si="15"/>
        <v>-2.1666666666666661</v>
      </c>
      <c r="AS1085" s="77">
        <f t="shared" ca="1" si="16"/>
        <v>1</v>
      </c>
      <c r="AT1085" s="78">
        <f t="shared" ca="1" si="12"/>
        <v>0.66666666666666663</v>
      </c>
    </row>
    <row r="1086" spans="1:46" ht="12.5" x14ac:dyDescent="0.25">
      <c r="A1086" s="75">
        <v>44960.462673391201</v>
      </c>
      <c r="B1086" s="1" t="s">
        <v>12</v>
      </c>
      <c r="C1086" s="1" t="str">
        <f>INDEX(TBL_Name,MATCH(Table2[[#This Row],[Athlete Name]],listNames,0),2)</f>
        <v>Athlete 6</v>
      </c>
      <c r="D1086" s="1" t="s">
        <v>130</v>
      </c>
      <c r="E1086" s="1">
        <v>10</v>
      </c>
      <c r="F1086" s="1">
        <v>8</v>
      </c>
      <c r="G1086" s="1">
        <v>8</v>
      </c>
      <c r="H1086" s="1" t="s">
        <v>1508</v>
      </c>
      <c r="I1086" s="1">
        <v>8</v>
      </c>
      <c r="J1086" s="1">
        <v>7</v>
      </c>
      <c r="K1086" s="1">
        <v>10</v>
      </c>
      <c r="L1086" s="1">
        <v>53</v>
      </c>
      <c r="M1086" s="1" t="e">
        <f t="shared" ca="1" si="0"/>
        <v>#NAME?</v>
      </c>
      <c r="N1086" s="1" t="e">
        <f t="shared" si="1"/>
        <v>#VALUE!</v>
      </c>
      <c r="O1086" s="1" t="e">
        <f ca="1">IF($N1086=_xludf.MINIFS($N$2:$N2272,$R$2:$R2272,$R1086),1,
($N1086-_xludf.MINIFS($N$2:$N2272,$R$2:$R2272,$R1086))+1)</f>
        <v>#VALUE!</v>
      </c>
      <c r="P1086" s="13" t="e">
        <f t="shared" si="2"/>
        <v>#VALUE!</v>
      </c>
      <c r="Q1086" s="1" t="e">
        <f>RIGHT(YEAR($A1086),2)-(MONTH($A1086)&lt;=#REF!)
 &amp;"-"&amp;
 RIGHT(YEAR($A1086),2)+(MONTH($A1086)&gt;=#REF!)</f>
        <v>#REF!</v>
      </c>
      <c r="R1086" s="1" t="e">
        <f>CHOOSE(MONTH($P1086),#REF!,#REF!,#REF!,#REF!,#REF!,#REF!,#REF!,#REF!,#REF!,#REF!,#REF!,#REF!)&amp;" "&amp;$Q1086</f>
        <v>#VALUE!</v>
      </c>
      <c r="S1086" s="1">
        <f t="shared" si="3"/>
        <v>1</v>
      </c>
      <c r="T1086" s="1" t="str">
        <f t="array" ref="T1086">IFERROR(INDEX(#REF!,MATCH($B1086,#REF!,0)),"")</f>
        <v/>
      </c>
      <c r="U1086" s="1" t="str">
        <f t="array" ref="U1086">IFERROR(INDEX(#REF!,MATCH($B1086,#REF!,0)),"")</f>
        <v/>
      </c>
      <c r="V1086" s="76">
        <f t="array" ref="V1086">AVERAGEIFS($E$2:$E2248,$B$2:$B2248,$B1086,$P$2:$P2248,"&lt;="&amp;$P1086,$P$2:$P2248,"&gt;"&amp;$P1086-7)</f>
        <v>9.75</v>
      </c>
      <c r="W1086" s="76">
        <f ca="1">IFERROR(__xludf.DUMMYFUNCTION("iferror(stdevp(filter($D$2:$D2250,$B$2:$B2250=$B1086,$O$2:$O2250&lt;=$O1086,$O$2:$O2250&gt;$O1086-7)),0)"),0)</f>
        <v>0</v>
      </c>
      <c r="X1086" s="77">
        <f t="shared" ca="1" si="4"/>
        <v>0</v>
      </c>
      <c r="Y1086" s="77">
        <f t="shared" ca="1" si="5"/>
        <v>3</v>
      </c>
      <c r="Z1086" s="76">
        <f t="array" ref="Z1086">AVERAGEIFS($F$2:$F2248,$B$2:$B2248,$B1086,$P$2:$P2248,"&lt;="&amp;$P1086,$P$2:$P2248,"&gt;"&amp;$P1086-7)</f>
        <v>7.083333333333333</v>
      </c>
      <c r="AA1086" s="76">
        <f ca="1">IFERROR(__xludf.DUMMYFUNCTION("iferror(stdevp(filter($E$2:$E2250,$B$2:$B2250=$B1086,$O$2:$O2250&lt;=$O1086,$O$2:$O2250&gt;$O1086-7)),0)"),0.433012701892219)</f>
        <v>0.43301270189221902</v>
      </c>
      <c r="AB1086" s="77">
        <f t="shared" ca="1" si="6"/>
        <v>2.11695098702863</v>
      </c>
      <c r="AC1086" s="77">
        <f t="shared" ca="1" si="7"/>
        <v>4</v>
      </c>
      <c r="AD1086" s="76">
        <f t="array" ref="AD1086">AVERAGEIFS($G$2:$G2248,$B$2:$B2248,$B1086,$P$2:$P2248,"&lt;="&amp;$P1086,$P$2:$P2248,"&gt;"&amp;$P1086-7)</f>
        <v>7.083333333333333</v>
      </c>
      <c r="AE1086" s="76">
        <f ca="1">IFERROR(__xludf.DUMMYFUNCTION("iferror(stdevp(filter($F$2:$F2250,$B$2:$B2250=$B1086,$O$2:$O2250&lt;=$O1086,$O$2:$O2250&gt;$O1086-7)),0)"),0.499999999999999)</f>
        <v>0.499999999999999</v>
      </c>
      <c r="AF1086" s="77">
        <f t="shared" ca="1" si="8"/>
        <v>1.8333333333333375</v>
      </c>
      <c r="AG1086" s="77">
        <f t="shared" ca="1" si="9"/>
        <v>4</v>
      </c>
      <c r="AH1086" s="76">
        <f t="array" ref="AH1086">AVERAGEIFS($I$2:$I2248,$B$2:$B2248,$B1086,$P$2:$P2248,"&lt;="&amp;$P1086,$P$2:$P2248,"&gt;"&amp;$P1086-7)</f>
        <v>6.583333333333333</v>
      </c>
      <c r="AI1086" s="76">
        <f ca="1">IFERROR(__xludf.DUMMYFUNCTION("iferror(stdevp(filter($H$2:$H2250,$B$2:$B2250=$B1086,$O$2:$O2250&lt;=$O1086,$O$2:$O2250&gt;$O1086-7)),0)"),1.4790199457749)</f>
        <v>1.4790199457749</v>
      </c>
      <c r="AJ1086" s="77">
        <f t="shared" ca="1" si="10"/>
        <v>0.95784148869232155</v>
      </c>
      <c r="AK1086" s="77">
        <f t="shared" ca="1" si="11"/>
        <v>3</v>
      </c>
      <c r="AL1086" s="76">
        <f t="array" ref="AL1086">AVERAGEIFS($J$2:$J2248,$B$2:$B2248,$B1086,$P$2:$P2248,"&lt;="&amp;$P1086,$P$2:$P2248,"&gt;"&amp;$P1086-7)</f>
        <v>6.666666666666667</v>
      </c>
      <c r="AM1086" s="76">
        <f ca="1">IFERROR(__xludf.DUMMYFUNCTION("iferror(stdevp(filter($I$2:$I2250,$B$2:$B2250=$B1086,$O$2:$O2250&lt;=$O1086,$O$2:$O2250&gt;$O1086-7)),0)"),0.5)</f>
        <v>0.5</v>
      </c>
      <c r="AN1086" s="77">
        <f t="shared" ca="1" si="13"/>
        <v>0.66666666666666607</v>
      </c>
      <c r="AO1086" s="77">
        <f t="shared" ca="1" si="14"/>
        <v>3</v>
      </c>
      <c r="AP1086" s="76">
        <f t="array" ref="AP1086">AVERAGEIFS($K$2:$K2248,$B$2:$B2248,$B1086,$P$2:$P2248,"&lt;="&amp;$P1086,$P$2:$P2248,"&gt;"&amp;$P1086-7)</f>
        <v>8.25</v>
      </c>
      <c r="AQ1086" s="76">
        <f ca="1">IFERROR(__xludf.DUMMYFUNCTION("iferror(stdevp(filter($J$2:$J2250,$B$2:$B2250=$B1086,$O$2:$O2250&lt;=$O1086,$O$2:$O2250&gt;$O1086-7)),0)"),2)</f>
        <v>2</v>
      </c>
      <c r="AR1086" s="77">
        <f t="shared" ca="1" si="15"/>
        <v>0.875</v>
      </c>
      <c r="AS1086" s="77">
        <f t="shared" ca="1" si="16"/>
        <v>3</v>
      </c>
      <c r="AT1086" s="78">
        <f t="shared" ca="1" si="12"/>
        <v>0.83333333333333337</v>
      </c>
    </row>
    <row r="1087" spans="1:46" ht="12.5" x14ac:dyDescent="0.25">
      <c r="A1087" s="75">
        <v>44960.46359086805</v>
      </c>
      <c r="B1087" s="1" t="s">
        <v>21</v>
      </c>
      <c r="C1087" s="1" t="str">
        <f>INDEX(TBL_Name,MATCH(Table2[[#This Row],[Athlete Name]],listNames,0),2)</f>
        <v>Athlete 13</v>
      </c>
      <c r="D1087" s="1" t="s">
        <v>143</v>
      </c>
      <c r="E1087" s="1">
        <v>8</v>
      </c>
      <c r="F1087" s="1">
        <v>8</v>
      </c>
      <c r="G1087" s="1">
        <v>8</v>
      </c>
      <c r="H1087" s="1" t="s">
        <v>1509</v>
      </c>
      <c r="I1087" s="1">
        <v>6</v>
      </c>
      <c r="J1087" s="1">
        <v>4</v>
      </c>
      <c r="K1087" s="1">
        <v>6</v>
      </c>
      <c r="L1087" s="1">
        <v>80</v>
      </c>
      <c r="M1087" s="1" t="e">
        <f t="shared" ca="1" si="0"/>
        <v>#NAME?</v>
      </c>
      <c r="N1087" s="1" t="e">
        <f t="shared" si="1"/>
        <v>#VALUE!</v>
      </c>
      <c r="O1087" s="1" t="e">
        <f ca="1">IF($N1087=_xludf.MINIFS($N$2:$N2273,$R$2:$R2273,$R1087),1,
($N1087-_xludf.MINIFS($N$2:$N2273,$R$2:$R2273,$R1087))+1)</f>
        <v>#VALUE!</v>
      </c>
      <c r="P1087" s="13" t="e">
        <f t="shared" si="2"/>
        <v>#VALUE!</v>
      </c>
      <c r="Q1087" s="1" t="e">
        <f>RIGHT(YEAR($A1087),2)-(MONTH($A1087)&lt;=#REF!)
 &amp;"-"&amp;
 RIGHT(YEAR($A1087),2)+(MONTH($A1087)&gt;=#REF!)</f>
        <v>#REF!</v>
      </c>
      <c r="R1087" s="1" t="e">
        <f>CHOOSE(MONTH($P1087),#REF!,#REF!,#REF!,#REF!,#REF!,#REF!,#REF!,#REF!,#REF!,#REF!,#REF!,#REF!)&amp;" "&amp;$Q1087</f>
        <v>#VALUE!</v>
      </c>
      <c r="S1087" s="1">
        <f t="shared" si="3"/>
        <v>2</v>
      </c>
      <c r="T1087" s="1" t="str">
        <f t="array" ref="T1087">IFERROR(INDEX(#REF!,MATCH($B1087,#REF!,0)),"")</f>
        <v/>
      </c>
      <c r="U1087" s="1" t="str">
        <f t="array" ref="U1087">IFERROR(INDEX(#REF!,MATCH($B1087,#REF!,0)),"")</f>
        <v/>
      </c>
      <c r="V1087" s="76">
        <f t="array" ref="V1087">AVERAGEIFS($E$2:$E2248,$B$2:$B2248,$B1087,$P$2:$P2248,"&lt;="&amp;$P1087,$P$2:$P2248,"&gt;"&amp;$P1087-7)</f>
        <v>6.6304347826086953</v>
      </c>
      <c r="W1087" s="76">
        <f ca="1">IFERROR(__xludf.DUMMYFUNCTION("iferror(stdevp(filter($D$2:$D2250,$B$2:$B2250=$B1087,$O$2:$O2250&lt;=$O1087,$O$2:$O2250&gt;$O1087-7)),0)"),0.451753951452625)</f>
        <v>0.45175395145262498</v>
      </c>
      <c r="X1087" s="77">
        <f t="shared" ca="1" si="4"/>
        <v>3.031661843770125</v>
      </c>
      <c r="Y1087" s="77">
        <f t="shared" ca="1" si="5"/>
        <v>4</v>
      </c>
      <c r="Z1087" s="76">
        <f t="array" ref="Z1087">AVERAGEIFS($F$2:$F2248,$B$2:$B2248,$B1087,$P$2:$P2248,"&lt;="&amp;$P1087,$P$2:$P2248,"&gt;"&amp;$P1087-7)</f>
        <v>7.6956521739130439</v>
      </c>
      <c r="AA1087" s="76">
        <f ca="1">IFERROR(__xludf.DUMMYFUNCTION("iferror(stdevp(filter($E$2:$E2250,$B$2:$B2250=$B1087,$O$2:$O2250&lt;=$O1087,$O$2:$O2250&gt;$O1087-7)),0)"),0.699854212223764)</f>
        <v>0.69985421222376398</v>
      </c>
      <c r="AB1087" s="77">
        <f t="shared" ca="1" si="6"/>
        <v>0.43487317897237593</v>
      </c>
      <c r="AC1087" s="77">
        <f t="shared" ca="1" si="7"/>
        <v>3</v>
      </c>
      <c r="AD1087" s="76">
        <f t="array" ref="AD1087">AVERAGEIFS($G$2:$G2248,$B$2:$B2248,$B1087,$P$2:$P2248,"&lt;="&amp;$P1087,$P$2:$P2248,"&gt;"&amp;$P1087-7)</f>
        <v>8.2608695652173907</v>
      </c>
      <c r="AE1087" s="76">
        <f ca="1">IFERROR(__xludf.DUMMYFUNCTION("iferror(stdevp(filter($F$2:$F2250,$B$2:$B2250=$B1087,$O$2:$O2250&lt;=$O1087,$O$2:$O2250&gt;$O1087-7)),0)"),0.494871659305393)</f>
        <v>0.49487165930539301</v>
      </c>
      <c r="AF1087" s="77">
        <f t="shared" ca="1" si="8"/>
        <v>-0.52714589795574451</v>
      </c>
      <c r="AG1087" s="77">
        <f t="shared" ca="1" si="9"/>
        <v>2</v>
      </c>
      <c r="AH1087" s="76">
        <f t="array" ref="AH1087">AVERAGEIFS($I$2:$I2248,$B$2:$B2248,$B1087,$P$2:$P2248,"&lt;="&amp;$P1087,$P$2:$P2248,"&gt;"&amp;$P1087-7)</f>
        <v>5.7391304347826084</v>
      </c>
      <c r="AI1087" s="76">
        <f ca="1">IFERROR(__xludf.DUMMYFUNCTION("iferror(stdevp(filter($H$2:$H2250,$B$2:$B2250=$B1087,$O$2:$O2250&lt;=$O1087,$O$2:$O2250&gt;$O1087-7)),0)"),0.638876564999939)</f>
        <v>0.63887656499993895</v>
      </c>
      <c r="AJ1087" s="77">
        <f t="shared" ca="1" si="10"/>
        <v>0.40832545676083221</v>
      </c>
      <c r="AK1087" s="77">
        <f t="shared" ca="1" si="11"/>
        <v>3</v>
      </c>
      <c r="AL1087" s="76">
        <f t="array" ref="AL1087">AVERAGEIFS($J$2:$J2248,$B$2:$B2248,$B1087,$P$2:$P2248,"&lt;="&amp;$P1087,$P$2:$P2248,"&gt;"&amp;$P1087-7)</f>
        <v>6.5434782608695654</v>
      </c>
      <c r="AM1087" s="76">
        <f ca="1">IFERROR(__xludf.DUMMYFUNCTION("iferror(stdevp(filter($I$2:$I2250,$B$2:$B2250=$B1087,$O$2:$O2250&lt;=$O1087,$O$2:$O2250&gt;$O1087-7)),0)"),1)</f>
        <v>1</v>
      </c>
      <c r="AN1087" s="77">
        <f t="shared" ca="1" si="13"/>
        <v>-2.5434782608695654</v>
      </c>
      <c r="AO1087" s="77">
        <f t="shared" ca="1" si="14"/>
        <v>1</v>
      </c>
      <c r="AP1087" s="76">
        <f t="array" ref="AP1087">AVERAGEIFS($K$2:$K2248,$B$2:$B2248,$B1087,$P$2:$P2248,"&lt;="&amp;$P1087,$P$2:$P2248,"&gt;"&amp;$P1087-7)</f>
        <v>6.6086956521739131</v>
      </c>
      <c r="AQ1087" s="76">
        <f ca="1">IFERROR(__xludf.DUMMYFUNCTION("iferror(stdevp(filter($J$2:$J2250,$B$2:$B2250=$B1087,$O$2:$O2250&lt;=$O1087,$O$2:$O2250&gt;$O1087-7)),0)"),0)</f>
        <v>0</v>
      </c>
      <c r="AR1087" s="77">
        <f t="shared" ca="1" si="15"/>
        <v>0</v>
      </c>
      <c r="AS1087" s="77">
        <f t="shared" ca="1" si="16"/>
        <v>3</v>
      </c>
      <c r="AT1087" s="78">
        <f t="shared" ca="1" si="12"/>
        <v>0.66666666666666663</v>
      </c>
    </row>
    <row r="1088" spans="1:46" ht="12.5" x14ac:dyDescent="0.25">
      <c r="A1088" s="75">
        <v>44960.506656192127</v>
      </c>
      <c r="B1088" s="1" t="s">
        <v>15</v>
      </c>
      <c r="C1088" s="1" t="str">
        <f>INDEX(TBL_Name,MATCH(Table2[[#This Row],[Athlete Name]],listNames,0),2)</f>
        <v>Athlete 8</v>
      </c>
      <c r="D1088" s="1" t="s">
        <v>130</v>
      </c>
      <c r="E1088" s="1">
        <v>10</v>
      </c>
      <c r="F1088" s="1">
        <v>10</v>
      </c>
      <c r="G1088" s="1">
        <v>8</v>
      </c>
      <c r="H1088" s="1" t="s">
        <v>193</v>
      </c>
      <c r="I1088" s="1">
        <v>6</v>
      </c>
      <c r="J1088" s="1">
        <v>6</v>
      </c>
      <c r="K1088" s="1">
        <v>10</v>
      </c>
      <c r="L1088" s="1">
        <v>81</v>
      </c>
      <c r="M1088" s="1" t="e">
        <f t="shared" ca="1" si="0"/>
        <v>#NAME?</v>
      </c>
      <c r="N1088" s="1" t="e">
        <f t="shared" si="1"/>
        <v>#VALUE!</v>
      </c>
      <c r="O1088" s="1" t="e">
        <f ca="1">IF($N1088=_xludf.MINIFS($N$2:$N2274,$R$2:$R2274,$R1088),1,
($N1088-_xludf.MINIFS($N$2:$N2274,$R$2:$R2274,$R1088))+1)</f>
        <v>#VALUE!</v>
      </c>
      <c r="P1088" s="13" t="e">
        <f t="shared" si="2"/>
        <v>#VALUE!</v>
      </c>
      <c r="Q1088" s="1" t="e">
        <f>RIGHT(YEAR($A1088),2)-(MONTH($A1088)&lt;=#REF!)
 &amp;"-"&amp;
 RIGHT(YEAR($A1088),2)+(MONTH($A1088)&gt;=#REF!)</f>
        <v>#REF!</v>
      </c>
      <c r="R1088" s="1" t="e">
        <f>CHOOSE(MONTH($P1088),#REF!,#REF!,#REF!,#REF!,#REF!,#REF!,#REF!,#REF!,#REF!,#REF!,#REF!,#REF!)&amp;" "&amp;$Q1088</f>
        <v>#VALUE!</v>
      </c>
      <c r="S1088" s="1">
        <f t="shared" si="3"/>
        <v>1</v>
      </c>
      <c r="T1088" s="1" t="str">
        <f t="array" ref="T1088">IFERROR(INDEX(#REF!,MATCH($B1088,#REF!,0)),"")</f>
        <v/>
      </c>
      <c r="U1088" s="1" t="str">
        <f t="array" ref="U1088">IFERROR(INDEX(#REF!,MATCH($B1088,#REF!,0)),"")</f>
        <v/>
      </c>
      <c r="V1088" s="76">
        <f t="array" ref="V1088">AVERAGEIFS($E$2:$E2248,$B$2:$B2248,$B1088,$P$2:$P2248,"&lt;="&amp;$P1088,$P$2:$P2248,"&gt;"&amp;$P1088-7)</f>
        <v>8.935483870967742</v>
      </c>
      <c r="W1088" s="76">
        <f ca="1">IFERROR(__xludf.DUMMYFUNCTION("iferror(stdevp(filter($D$2:$D2250,$B$2:$B2250=$B1088,$O$2:$O2250&lt;=$O1088,$O$2:$O2250&gt;$O1088-7)),0)"),0.979795897113271)</f>
        <v>0.97979589711327097</v>
      </c>
      <c r="X1088" s="77">
        <f t="shared" ca="1" si="4"/>
        <v>1.0864672246215712</v>
      </c>
      <c r="Y1088" s="77">
        <f t="shared" ca="1" si="5"/>
        <v>4</v>
      </c>
      <c r="Z1088" s="76">
        <f t="array" ref="Z1088">AVERAGEIFS($F$2:$F2248,$B$2:$B2248,$B1088,$P$2:$P2248,"&lt;="&amp;$P1088,$P$2:$P2248,"&gt;"&amp;$P1088-7)</f>
        <v>8.741935483870968</v>
      </c>
      <c r="AA1088" s="76">
        <f ca="1">IFERROR(__xludf.DUMMYFUNCTION("iferror(stdevp(filter($E$2:$E2250,$B$2:$B2250=$B1088,$O$2:$O2250&lt;=$O1088,$O$2:$O2250&gt;$O1088-7)),0)"),0)</f>
        <v>0</v>
      </c>
      <c r="AB1088" s="77">
        <f t="shared" ca="1" si="6"/>
        <v>0</v>
      </c>
      <c r="AC1088" s="77">
        <f t="shared" ca="1" si="7"/>
        <v>3</v>
      </c>
      <c r="AD1088" s="76">
        <f t="array" ref="AD1088">AVERAGEIFS($G$2:$G2248,$B$2:$B2248,$B1088,$P$2:$P2248,"&lt;="&amp;$P1088,$P$2:$P2248,"&gt;"&amp;$P1088-7)</f>
        <v>7.32258064516129</v>
      </c>
      <c r="AE1088" s="76">
        <f ca="1">IFERROR(__xludf.DUMMYFUNCTION("iferror(stdevp(filter($F$2:$F2250,$B$2:$B2250=$B1088,$O$2:$O2250&lt;=$O1088,$O$2:$O2250&gt;$O1088-7)),0)"),1.09544511501033)</f>
        <v>1.0954451150103299</v>
      </c>
      <c r="AF1088" s="77">
        <f t="shared" ca="1" si="8"/>
        <v>0.61839643589293103</v>
      </c>
      <c r="AG1088" s="77">
        <f t="shared" ca="1" si="9"/>
        <v>3</v>
      </c>
      <c r="AH1088" s="76">
        <f t="array" ref="AH1088">AVERAGEIFS($I$2:$I2248,$B$2:$B2248,$B1088,$P$2:$P2248,"&lt;="&amp;$P1088,$P$2:$P2248,"&gt;"&amp;$P1088-7)</f>
        <v>6.419354838709677</v>
      </c>
      <c r="AI1088" s="76">
        <f ca="1">IFERROR(__xludf.DUMMYFUNCTION("iferror(stdevp(filter($H$2:$H2250,$B$2:$B2250=$B1088,$O$2:$O2250&lt;=$O1088,$O$2:$O2250&gt;$O1088-7)),0)"),1.6)</f>
        <v>1.6</v>
      </c>
      <c r="AJ1088" s="77">
        <f t="shared" ca="1" si="10"/>
        <v>-0.26209677419354815</v>
      </c>
      <c r="AK1088" s="77">
        <f t="shared" ca="1" si="11"/>
        <v>2</v>
      </c>
      <c r="AL1088" s="76">
        <f t="array" ref="AL1088">AVERAGEIFS($J$2:$J2248,$B$2:$B2248,$B1088,$P$2:$P2248,"&lt;="&amp;$P1088,$P$2:$P2248,"&gt;"&amp;$P1088-7)</f>
        <v>9.612903225806452</v>
      </c>
      <c r="AM1088" s="76">
        <f ca="1">IFERROR(__xludf.DUMMYFUNCTION("iferror(stdevp(filter($I$2:$I2250,$B$2:$B2250=$B1088,$O$2:$O2250&lt;=$O1088,$O$2:$O2250&gt;$O1088-7)),0)"),0.5)</f>
        <v>0.5</v>
      </c>
      <c r="AN1088" s="77">
        <f t="shared" ca="1" si="13"/>
        <v>-7.2258064516129039</v>
      </c>
      <c r="AO1088" s="77">
        <f t="shared" ca="1" si="14"/>
        <v>1</v>
      </c>
      <c r="AP1088" s="76">
        <f t="array" ref="AP1088">AVERAGEIFS($K$2:$K2248,$B$2:$B2248,$B1088,$P$2:$P2248,"&lt;="&amp;$P1088,$P$2:$P2248,"&gt;"&amp;$P1088-7)</f>
        <v>10</v>
      </c>
      <c r="AQ1088" s="76">
        <f ca="1">IFERROR(__xludf.DUMMYFUNCTION("iferror(stdevp(filter($J$2:$J2250,$B$2:$B2250=$B1088,$O$2:$O2250&lt;=$O1088,$O$2:$O2250&gt;$O1088-7)),0)"),0)</f>
        <v>0</v>
      </c>
      <c r="AR1088" s="77">
        <f t="shared" ca="1" si="15"/>
        <v>0</v>
      </c>
      <c r="AS1088" s="77">
        <f t="shared" ca="1" si="16"/>
        <v>3</v>
      </c>
      <c r="AT1088" s="78">
        <f t="shared" ca="1" si="12"/>
        <v>0.66666666666666663</v>
      </c>
    </row>
    <row r="1089" spans="1:46" ht="12.5" x14ac:dyDescent="0.25">
      <c r="A1089" s="75">
        <v>44960.573765381945</v>
      </c>
      <c r="B1089" s="1" t="s">
        <v>9</v>
      </c>
      <c r="C1089" s="1" t="str">
        <f>INDEX(TBL_Name,MATCH(Table2[[#This Row],[Athlete Name]],listNames,0),2)</f>
        <v>Athlete 4</v>
      </c>
      <c r="D1089" s="1" t="s">
        <v>130</v>
      </c>
      <c r="E1089" s="1">
        <v>8</v>
      </c>
      <c r="F1089" s="1">
        <v>8</v>
      </c>
      <c r="G1089" s="1">
        <v>8</v>
      </c>
      <c r="H1089" s="1" t="s">
        <v>1510</v>
      </c>
      <c r="I1089" s="1">
        <v>7</v>
      </c>
      <c r="J1089" s="1">
        <v>8</v>
      </c>
      <c r="K1089" s="1">
        <v>7</v>
      </c>
      <c r="L1089" s="1">
        <v>100</v>
      </c>
      <c r="M1089" s="1" t="e">
        <f t="shared" ca="1" si="0"/>
        <v>#NAME?</v>
      </c>
      <c r="N1089" s="1" t="e">
        <f t="shared" si="1"/>
        <v>#VALUE!</v>
      </c>
      <c r="O1089" s="1" t="e">
        <f ca="1">IF($N1089=_xludf.MINIFS($N$2:$N2275,$R$2:$R2275,$R1089),1,
($N1089-_xludf.MINIFS($N$2:$N2275,$R$2:$R2275,$R1089))+1)</f>
        <v>#VALUE!</v>
      </c>
      <c r="P1089" s="13" t="e">
        <f t="shared" si="2"/>
        <v>#VALUE!</v>
      </c>
      <c r="Q1089" s="1" t="e">
        <f>RIGHT(YEAR($A1089),2)-(MONTH($A1089)&lt;=#REF!)
 &amp;"-"&amp;
 RIGHT(YEAR($A1089),2)+(MONTH($A1089)&gt;=#REF!)</f>
        <v>#REF!</v>
      </c>
      <c r="R1089" s="1" t="e">
        <f>CHOOSE(MONTH($P1089),#REF!,#REF!,#REF!,#REF!,#REF!,#REF!,#REF!,#REF!,#REF!,#REF!,#REF!,#REF!)&amp;" "&amp;$Q1089</f>
        <v>#VALUE!</v>
      </c>
      <c r="S1089" s="1">
        <f t="shared" si="3"/>
        <v>1</v>
      </c>
      <c r="T1089" s="1" t="str">
        <f t="array" ref="T1089">IFERROR(INDEX(#REF!,MATCH($B1089,#REF!,0)),"")</f>
        <v/>
      </c>
      <c r="U1089" s="1" t="str">
        <f t="array" ref="U1089">IFERROR(INDEX(#REF!,MATCH($B1089,#REF!,0)),"")</f>
        <v/>
      </c>
      <c r="V1089" s="76">
        <f t="array" ref="V1089">AVERAGEIFS($E$2:$E2248,$B$2:$B2248,$B1089,$P$2:$P2248,"&lt;="&amp;$P1089,$P$2:$P2248,"&gt;"&amp;$P1089-7)</f>
        <v>7.4230769230769234</v>
      </c>
      <c r="W1089" s="76">
        <f ca="1">IFERROR(__xludf.DUMMYFUNCTION("iferror(stdevp(filter($D$2:$D2250,$B$2:$B2250=$B1089,$O$2:$O2250&lt;=$O1089,$O$2:$O2250&gt;$O1089-7)),0)"),2.16506350946109)</f>
        <v>2.1650635094610902</v>
      </c>
      <c r="X1089" s="77">
        <f t="shared" ca="1" si="4"/>
        <v>0.26646935501059715</v>
      </c>
      <c r="Y1089" s="77">
        <f t="shared" ca="1" si="5"/>
        <v>3</v>
      </c>
      <c r="Z1089" s="76">
        <f t="array" ref="Z1089">AVERAGEIFS($F$2:$F2248,$B$2:$B2248,$B1089,$P$2:$P2248,"&lt;="&amp;$P1089,$P$2:$P2248,"&gt;"&amp;$P1089-7)</f>
        <v>7.1538461538461542</v>
      </c>
      <c r="AA1089" s="76">
        <f ca="1">IFERROR(__xludf.DUMMYFUNCTION("iferror(stdevp(filter($E$2:$E2250,$B$2:$B2250=$B1089,$O$2:$O2250&lt;=$O1089,$O$2:$O2250&gt;$O1089-7)),0)"),0.707106781186547)</f>
        <v>0.70710678118654702</v>
      </c>
      <c r="AB1089" s="77">
        <f t="shared" ca="1" si="6"/>
        <v>1.196642245084927</v>
      </c>
      <c r="AC1089" s="77">
        <f t="shared" ca="1" si="7"/>
        <v>4</v>
      </c>
      <c r="AD1089" s="76">
        <f t="array" ref="AD1089">AVERAGEIFS($G$2:$G2248,$B$2:$B2248,$B1089,$P$2:$P2248,"&lt;="&amp;$P1089,$P$2:$P2248,"&gt;"&amp;$P1089-7)</f>
        <v>7.615384615384615</v>
      </c>
      <c r="AE1089" s="76">
        <f ca="1">IFERROR(__xludf.DUMMYFUNCTION("iferror(stdevp(filter($F$2:$F2250,$B$2:$B2250=$B1089,$O$2:$O2250&lt;=$O1089,$O$2:$O2250&gt;$O1089-7)),0)"),0.433012701892219)</f>
        <v>0.43301270189221902</v>
      </c>
      <c r="AF1089" s="77">
        <f t="shared" ca="1" si="8"/>
        <v>0.88823118336865658</v>
      </c>
      <c r="AG1089" s="77">
        <f t="shared" ca="1" si="9"/>
        <v>3</v>
      </c>
      <c r="AH1089" s="76">
        <f t="array" ref="AH1089">AVERAGEIFS($I$2:$I2248,$B$2:$B2248,$B1089,$P$2:$P2248,"&lt;="&amp;$P1089,$P$2:$P2248,"&gt;"&amp;$P1089-7)</f>
        <v>5.1923076923076925</v>
      </c>
      <c r="AI1089" s="76">
        <f ca="1">IFERROR(__xludf.DUMMYFUNCTION("iferror(stdevp(filter($H$2:$H2250,$B$2:$B2250=$B1089,$O$2:$O2250&lt;=$O1089,$O$2:$O2250&gt;$O1089-7)),0)"),1.29903810567665)</f>
        <v>1.29903810567665</v>
      </c>
      <c r="AJ1089" s="77">
        <f t="shared" ca="1" si="10"/>
        <v>1.3915621872775679</v>
      </c>
      <c r="AK1089" s="77">
        <f t="shared" ca="1" si="11"/>
        <v>4</v>
      </c>
      <c r="AL1089" s="76">
        <f t="array" ref="AL1089">AVERAGEIFS($J$2:$J2248,$B$2:$B2248,$B1089,$P$2:$P2248,"&lt;="&amp;$P1089,$P$2:$P2248,"&gt;"&amp;$P1089-7)</f>
        <v>7.6923076923076925</v>
      </c>
      <c r="AM1089" s="76">
        <f ca="1">IFERROR(__xludf.DUMMYFUNCTION("iferror(stdevp(filter($I$2:$I2250,$B$2:$B2250=$B1089,$O$2:$O2250&lt;=$O1089,$O$2:$O2250&gt;$O1089-7)),0)"),0)</f>
        <v>0</v>
      </c>
      <c r="AN1089" s="77">
        <f t="shared" ca="1" si="13"/>
        <v>0</v>
      </c>
      <c r="AO1089" s="77">
        <f t="shared" ca="1" si="14"/>
        <v>3</v>
      </c>
      <c r="AP1089" s="76">
        <f t="array" ref="AP1089">AVERAGEIFS($K$2:$K2248,$B$2:$B2248,$B1089,$P$2:$P2248,"&lt;="&amp;$P1089,$P$2:$P2248,"&gt;"&amp;$P1089-7)</f>
        <v>7.8461538461538458</v>
      </c>
      <c r="AQ1089" s="76">
        <f ca="1">IFERROR(__xludf.DUMMYFUNCTION("iferror(stdevp(filter($J$2:$J2250,$B$2:$B2250=$B1089,$O$2:$O2250&lt;=$O1089,$O$2:$O2250&gt;$O1089-7)),0)"),0)</f>
        <v>0</v>
      </c>
      <c r="AR1089" s="77">
        <f t="shared" ca="1" si="15"/>
        <v>0</v>
      </c>
      <c r="AS1089" s="77">
        <f t="shared" ca="1" si="16"/>
        <v>3</v>
      </c>
      <c r="AT1089" s="78">
        <f t="shared" ca="1" si="12"/>
        <v>0.83333333333333337</v>
      </c>
    </row>
    <row r="1090" spans="1:46" ht="12.5" x14ac:dyDescent="0.25">
      <c r="A1090" s="75">
        <v>44961.69966528935</v>
      </c>
      <c r="B1090" s="1" t="s">
        <v>6</v>
      </c>
      <c r="C1090" s="1" t="str">
        <f>INDEX(TBL_Name,MATCH(Table2[[#This Row],[Athlete Name]],listNames,0),2)</f>
        <v>Athlete 2</v>
      </c>
      <c r="D1090" s="1" t="s">
        <v>130</v>
      </c>
      <c r="E1090" s="1">
        <v>10</v>
      </c>
      <c r="F1090" s="1">
        <v>9</v>
      </c>
      <c r="G1090" s="1">
        <v>10</v>
      </c>
      <c r="H1090" s="1" t="s">
        <v>181</v>
      </c>
      <c r="I1090" s="1">
        <v>8</v>
      </c>
      <c r="J1090" s="1">
        <v>6</v>
      </c>
      <c r="K1090" s="1">
        <v>7</v>
      </c>
      <c r="L1090" s="1">
        <v>99</v>
      </c>
      <c r="M1090" s="1" t="e">
        <f t="shared" ca="1" si="0"/>
        <v>#NAME?</v>
      </c>
      <c r="N1090" s="1" t="e">
        <f t="shared" si="1"/>
        <v>#VALUE!</v>
      </c>
      <c r="O1090" s="1" t="e">
        <f ca="1">IF($N1090=_xludf.MINIFS($N$2:$N2276,$R$2:$R2276,$R1090),1,
($N1090-_xludf.MINIFS($N$2:$N2276,$R$2:$R2276,$R1090))+1)</f>
        <v>#VALUE!</v>
      </c>
      <c r="P1090" s="13" t="e">
        <f t="shared" si="2"/>
        <v>#VALUE!</v>
      </c>
      <c r="Q1090" s="1" t="e">
        <f>RIGHT(YEAR($A1090),2)-(MONTH($A1090)&lt;=#REF!)
 &amp;"-"&amp;
 RIGHT(YEAR($A1090),2)+(MONTH($A1090)&gt;=#REF!)</f>
        <v>#REF!</v>
      </c>
      <c r="R1090" s="1" t="e">
        <f>CHOOSE(MONTH($P1090),#REF!,#REF!,#REF!,#REF!,#REF!,#REF!,#REF!,#REF!,#REF!,#REF!,#REF!,#REF!)&amp;" "&amp;$Q1090</f>
        <v>#VALUE!</v>
      </c>
      <c r="S1090" s="1">
        <f t="shared" si="3"/>
        <v>1</v>
      </c>
      <c r="T1090" s="1" t="str">
        <f t="array" ref="T1090">IFERROR(INDEX(#REF!,MATCH($B1090,#REF!,0)),"")</f>
        <v/>
      </c>
      <c r="U1090" s="1" t="str">
        <f t="array" ref="U1090">IFERROR(INDEX(#REF!,MATCH($B1090,#REF!,0)),"")</f>
        <v/>
      </c>
      <c r="V1090" s="76">
        <f t="array" ref="V1090">AVERAGEIFS($E$2:$E2248,$B$2:$B2248,$B1090,$P$2:$P2248,"&lt;="&amp;$P1090,$P$2:$P2248,"&gt;"&amp;$P1090-7)</f>
        <v>9.7441860465116275</v>
      </c>
      <c r="W1090" s="76">
        <f ca="1">IFERROR(__xludf.DUMMYFUNCTION("iferror(stdevp(filter($D$2:$D2250,$B$2:$B2250=$B1090,$O$2:$O2250&lt;=$O1090,$O$2:$O2250&gt;$O1090-7)),0)"),0.979795897113271)</f>
        <v>0.97979589711327097</v>
      </c>
      <c r="X1090" s="77">
        <f t="shared" ca="1" si="4"/>
        <v>0.26108902297107572</v>
      </c>
      <c r="Y1090" s="77">
        <f t="shared" ca="1" si="5"/>
        <v>3</v>
      </c>
      <c r="Z1090" s="76">
        <f t="array" ref="Z1090">AVERAGEIFS($F$2:$F2248,$B$2:$B2248,$B1090,$P$2:$P2248,"&lt;="&amp;$P1090,$P$2:$P2248,"&gt;"&amp;$P1090-7)</f>
        <v>8.279069767441861</v>
      </c>
      <c r="AA1090" s="76">
        <f ca="1">IFERROR(__xludf.DUMMYFUNCTION("iferror(stdevp(filter($E$2:$E2250,$B$2:$B2250=$B1090,$O$2:$O2250&lt;=$O1090,$O$2:$O2250&gt;$O1090-7)),0)"),0.894427190999916)</f>
        <v>0.89442719099991597</v>
      </c>
      <c r="AB1090" s="77">
        <f t="shared" ca="1" si="6"/>
        <v>0.80602450351736543</v>
      </c>
      <c r="AC1090" s="77">
        <f t="shared" ca="1" si="7"/>
        <v>3</v>
      </c>
      <c r="AD1090" s="76">
        <f t="array" ref="AD1090">AVERAGEIFS($G$2:$G2248,$B$2:$B2248,$B1090,$P$2:$P2248,"&lt;="&amp;$P1090,$P$2:$P2248,"&gt;"&amp;$P1090-7)</f>
        <v>8.604651162790697</v>
      </c>
      <c r="AE1090" s="76">
        <f ca="1">IFERROR(__xludf.DUMMYFUNCTION("iferror(stdevp(filter($F$2:$F2250,$B$2:$B2250=$B1090,$O$2:$O2250&lt;=$O1090,$O$2:$O2250&gt;$O1090-7)),0)"),1.67332005306815)</f>
        <v>1.67332005306815</v>
      </c>
      <c r="AF1090" s="77">
        <f t="shared" ca="1" si="8"/>
        <v>0.83388042511701976</v>
      </c>
      <c r="AG1090" s="77">
        <f t="shared" ca="1" si="9"/>
        <v>3</v>
      </c>
      <c r="AH1090" s="76">
        <f t="array" ref="AH1090">AVERAGEIFS($I$2:$I2248,$B$2:$B2248,$B1090,$P$2:$P2248,"&lt;="&amp;$P1090,$P$2:$P2248,"&gt;"&amp;$P1090-7)</f>
        <v>8.3488372093023262</v>
      </c>
      <c r="AI1090" s="76">
        <f ca="1">IFERROR(__xludf.DUMMYFUNCTION("iferror(stdevp(filter($H$2:$H2250,$B$2:$B2250=$B1090,$O$2:$O2250&lt;=$O1090,$O$2:$O2250&gt;$O1090-7)),0)"),1.09544511501033)</f>
        <v>1.0954451150103299</v>
      </c>
      <c r="AJ1090" s="77">
        <f t="shared" ca="1" si="10"/>
        <v>-0.31844334738672569</v>
      </c>
      <c r="AK1090" s="77">
        <f t="shared" ca="1" si="11"/>
        <v>2</v>
      </c>
      <c r="AL1090" s="76">
        <f t="array" ref="AL1090">AVERAGEIFS($J$2:$J2248,$B$2:$B2248,$B1090,$P$2:$P2248,"&lt;="&amp;$P1090,$P$2:$P2248,"&gt;"&amp;$P1090-7)</f>
        <v>8.3023255813953494</v>
      </c>
      <c r="AM1090" s="76">
        <f ca="1">IFERROR(__xludf.DUMMYFUNCTION("iferror(stdevp(filter($I$2:$I2250,$B$2:$B2250=$B1090,$O$2:$O2250&lt;=$O1090,$O$2:$O2250&gt;$O1090-7)),0)"),0.471404520791031)</f>
        <v>0.47140452079103101</v>
      </c>
      <c r="AN1090" s="77">
        <f t="shared" ca="1" si="13"/>
        <v>-4.8839700933117429</v>
      </c>
      <c r="AO1090" s="77">
        <f t="shared" ca="1" si="14"/>
        <v>1</v>
      </c>
      <c r="AP1090" s="76">
        <f t="array" ref="AP1090">AVERAGEIFS($K$2:$K2248,$B$2:$B2248,$B1090,$P$2:$P2248,"&lt;="&amp;$P1090,$P$2:$P2248,"&gt;"&amp;$P1090-7)</f>
        <v>8.9069767441860463</v>
      </c>
      <c r="AQ1090" s="76">
        <f ca="1">IFERROR(__xludf.DUMMYFUNCTION("iferror(stdevp(filter($J$2:$J2250,$B$2:$B2250=$B1090,$O$2:$O2250&lt;=$O1090,$O$2:$O2250&gt;$O1090-7)),0)"),0)</f>
        <v>0</v>
      </c>
      <c r="AR1090" s="77">
        <f t="shared" ca="1" si="15"/>
        <v>0</v>
      </c>
      <c r="AS1090" s="77">
        <f t="shared" ca="1" si="16"/>
        <v>3</v>
      </c>
      <c r="AT1090" s="78">
        <f t="shared" ca="1" si="12"/>
        <v>0.625</v>
      </c>
    </row>
    <row r="1091" spans="1:46" ht="12.5" x14ac:dyDescent="0.25">
      <c r="A1091" s="75">
        <v>44961.699852175923</v>
      </c>
      <c r="B1091" s="1" t="s">
        <v>21</v>
      </c>
      <c r="C1091" s="1" t="str">
        <f>INDEX(TBL_Name,MATCH(Table2[[#This Row],[Athlete Name]],listNames,0),2)</f>
        <v>Athlete 13</v>
      </c>
      <c r="D1091" s="1" t="s">
        <v>143</v>
      </c>
      <c r="E1091" s="1">
        <v>7</v>
      </c>
      <c r="F1091" s="1">
        <v>8</v>
      </c>
      <c r="G1091" s="1">
        <v>8</v>
      </c>
      <c r="H1091" s="1" t="s">
        <v>1279</v>
      </c>
      <c r="I1091" s="1">
        <v>5</v>
      </c>
      <c r="J1091" s="1">
        <v>5</v>
      </c>
      <c r="K1091" s="1">
        <v>5</v>
      </c>
      <c r="L1091" s="1">
        <v>80</v>
      </c>
      <c r="M1091" s="1" t="e">
        <f t="shared" ca="1" si="0"/>
        <v>#NAME?</v>
      </c>
      <c r="N1091" s="1" t="e">
        <f t="shared" si="1"/>
        <v>#VALUE!</v>
      </c>
      <c r="O1091" s="1" t="e">
        <f ca="1">IF($N1091=_xludf.MINIFS($N$2:$N2277,$R$2:$R2277,$R1091),1,
($N1091-_xludf.MINIFS($N$2:$N2277,$R$2:$R2277,$R1091))+1)</f>
        <v>#VALUE!</v>
      </c>
      <c r="P1091" s="13" t="e">
        <f t="shared" si="2"/>
        <v>#VALUE!</v>
      </c>
      <c r="Q1091" s="1" t="e">
        <f>RIGHT(YEAR($A1091),2)-(MONTH($A1091)&lt;=#REF!)
 &amp;"-"&amp;
 RIGHT(YEAR($A1091),2)+(MONTH($A1091)&gt;=#REF!)</f>
        <v>#REF!</v>
      </c>
      <c r="R1091" s="1" t="e">
        <f>CHOOSE(MONTH($P1091),#REF!,#REF!,#REF!,#REF!,#REF!,#REF!,#REF!,#REF!,#REF!,#REF!,#REF!,#REF!)&amp;" "&amp;$Q1091</f>
        <v>#VALUE!</v>
      </c>
      <c r="S1091" s="1">
        <f t="shared" si="3"/>
        <v>2</v>
      </c>
      <c r="T1091" s="1" t="str">
        <f t="array" ref="T1091">IFERROR(INDEX(#REF!,MATCH($B1091,#REF!,0)),"")</f>
        <v/>
      </c>
      <c r="U1091" s="1" t="str">
        <f t="array" ref="U1091">IFERROR(INDEX(#REF!,MATCH($B1091,#REF!,0)),"")</f>
        <v/>
      </c>
      <c r="V1091" s="76">
        <f t="array" ref="V1091">AVERAGEIFS($E$2:$E2248,$B$2:$B2248,$B1091,$P$2:$P2248,"&lt;="&amp;$P1091,$P$2:$P2248,"&gt;"&amp;$P1091-7)</f>
        <v>6.6304347826086953</v>
      </c>
      <c r="W1091" s="76">
        <f ca="1">IFERROR(__xludf.DUMMYFUNCTION("iferror(stdevp(filter($D$2:$D2250,$B$2:$B2250=$B1091,$O$2:$O2250&lt;=$O1091,$O$2:$O2250&gt;$O1091-7)),0)"),0.494871659305393)</f>
        <v>0.49487165930539301</v>
      </c>
      <c r="X1091" s="77">
        <f t="shared" ca="1" si="4"/>
        <v>0.74679002210397383</v>
      </c>
      <c r="Y1091" s="77">
        <f t="shared" ca="1" si="5"/>
        <v>3</v>
      </c>
      <c r="Z1091" s="76">
        <f t="array" ref="Z1091">AVERAGEIFS($F$2:$F2248,$B$2:$B2248,$B1091,$P$2:$P2248,"&lt;="&amp;$P1091,$P$2:$P2248,"&gt;"&amp;$P1091-7)</f>
        <v>7.6956521739130439</v>
      </c>
      <c r="AA1091" s="76">
        <f ca="1">IFERROR(__xludf.DUMMYFUNCTION("iferror(stdevp(filter($E$2:$E2250,$B$2:$B2250=$B1091,$O$2:$O2250&lt;=$O1091,$O$2:$O2250&gt;$O1091-7)),0)"),0.638876564999939)</f>
        <v>0.63887656499993895</v>
      </c>
      <c r="AB1091" s="77">
        <f t="shared" ca="1" si="6"/>
        <v>0.47637969955430309</v>
      </c>
      <c r="AC1091" s="77">
        <f t="shared" ca="1" si="7"/>
        <v>3</v>
      </c>
      <c r="AD1091" s="76">
        <f t="array" ref="AD1091">AVERAGEIFS($G$2:$G2248,$B$2:$B2248,$B1091,$P$2:$P2248,"&lt;="&amp;$P1091,$P$2:$P2248,"&gt;"&amp;$P1091-7)</f>
        <v>8.2608695652173907</v>
      </c>
      <c r="AE1091" s="76">
        <f ca="1">IFERROR(__xludf.DUMMYFUNCTION("iferror(stdevp(filter($F$2:$F2250,$B$2:$B2250=$B1091,$O$2:$O2250&lt;=$O1091,$O$2:$O2250&gt;$O1091-7)),0)"),0.494871659305393)</f>
        <v>0.49487165930539301</v>
      </c>
      <c r="AF1091" s="77">
        <f t="shared" ca="1" si="8"/>
        <v>-0.52714589795574451</v>
      </c>
      <c r="AG1091" s="77">
        <f t="shared" ca="1" si="9"/>
        <v>2</v>
      </c>
      <c r="AH1091" s="76">
        <f t="array" ref="AH1091">AVERAGEIFS($I$2:$I2248,$B$2:$B2248,$B1091,$P$2:$P2248,"&lt;="&amp;$P1091,$P$2:$P2248,"&gt;"&amp;$P1091-7)</f>
        <v>5.7391304347826084</v>
      </c>
      <c r="AI1091" s="76">
        <f ca="1">IFERROR(__xludf.DUMMYFUNCTION("iferror(stdevp(filter($H$2:$H2250,$B$2:$B2250=$B1091,$O$2:$O2250&lt;=$O1091,$O$2:$O2250&gt;$O1091-7)),0)"),0.638876564999939)</f>
        <v>0.63887656499993895</v>
      </c>
      <c r="AJ1091" s="77">
        <f t="shared" ca="1" si="10"/>
        <v>-1.1569221274890229</v>
      </c>
      <c r="AK1091" s="77">
        <f t="shared" ca="1" si="11"/>
        <v>1</v>
      </c>
      <c r="AL1091" s="76">
        <f t="array" ref="AL1091">AVERAGEIFS($J$2:$J2248,$B$2:$B2248,$B1091,$P$2:$P2248,"&lt;="&amp;$P1091,$P$2:$P2248,"&gt;"&amp;$P1091-7)</f>
        <v>6.5434782608695654</v>
      </c>
      <c r="AM1091" s="76">
        <f ca="1">IFERROR(__xludf.DUMMYFUNCTION("iferror(stdevp(filter($I$2:$I2250,$B$2:$B2250=$B1091,$O$2:$O2250&lt;=$O1091,$O$2:$O2250&gt;$O1091-7)),0)"),0.816496580927726)</f>
        <v>0.81649658092772603</v>
      </c>
      <c r="AN1091" s="77">
        <f t="shared" ca="1" si="13"/>
        <v>-1.8903670841044093</v>
      </c>
      <c r="AO1091" s="77">
        <f t="shared" ca="1" si="14"/>
        <v>1</v>
      </c>
      <c r="AP1091" s="76">
        <f t="array" ref="AP1091">AVERAGEIFS($K$2:$K2248,$B$2:$B2248,$B1091,$P$2:$P2248,"&lt;="&amp;$P1091,$P$2:$P2248,"&gt;"&amp;$P1091-7)</f>
        <v>6.6086956521739131</v>
      </c>
      <c r="AQ1091" s="76">
        <f ca="1">IFERROR(__xludf.DUMMYFUNCTION("iferror(stdevp(filter($J$2:$J2250,$B$2:$B2250=$B1091,$O$2:$O2250&lt;=$O1091,$O$2:$O2250&gt;$O1091-7)),0)"),0.471404520791031)</f>
        <v>0.47140452079103101</v>
      </c>
      <c r="AR1091" s="77">
        <f t="shared" ca="1" si="15"/>
        <v>-3.4125588135524736</v>
      </c>
      <c r="AS1091" s="77">
        <f t="shared" ca="1" si="16"/>
        <v>1</v>
      </c>
      <c r="AT1091" s="78">
        <f t="shared" ca="1" si="12"/>
        <v>0.45833333333333331</v>
      </c>
    </row>
    <row r="1092" spans="1:46" ht="12.5" x14ac:dyDescent="0.25">
      <c r="A1092" s="75">
        <v>44961.851977928236</v>
      </c>
      <c r="B1092" s="1" t="s">
        <v>10</v>
      </c>
      <c r="C1092" s="1" t="str">
        <f>INDEX(TBL_Name,MATCH(Table2[[#This Row],[Athlete Name]],listNames,0),2)</f>
        <v>Athlete 5</v>
      </c>
      <c r="D1092" s="1" t="s">
        <v>130</v>
      </c>
      <c r="E1092" s="1">
        <v>9</v>
      </c>
      <c r="F1092" s="1">
        <v>9</v>
      </c>
      <c r="G1092" s="1">
        <v>9</v>
      </c>
      <c r="H1092" s="1" t="s">
        <v>415</v>
      </c>
      <c r="I1092" s="1">
        <v>4</v>
      </c>
      <c r="J1092" s="1">
        <v>9</v>
      </c>
      <c r="K1092" s="1">
        <v>8</v>
      </c>
      <c r="L1092" s="1">
        <v>92</v>
      </c>
      <c r="M1092" s="1" t="e">
        <f t="shared" ca="1" si="0"/>
        <v>#NAME?</v>
      </c>
      <c r="N1092" s="1" t="e">
        <f t="shared" si="1"/>
        <v>#VALUE!</v>
      </c>
      <c r="O1092" s="1" t="e">
        <f ca="1">IF($N1092=_xludf.MINIFS($N$2:$N2278,$R$2:$R2278,$R1092),1,
($N1092-_xludf.MINIFS($N$2:$N2278,$R$2:$R2278,$R1092))+1)</f>
        <v>#VALUE!</v>
      </c>
      <c r="P1092" s="13" t="e">
        <f t="shared" si="2"/>
        <v>#VALUE!</v>
      </c>
      <c r="Q1092" s="1" t="e">
        <f>RIGHT(YEAR($A1092),2)-(MONTH($A1092)&lt;=#REF!)
 &amp;"-"&amp;
 RIGHT(YEAR($A1092),2)+(MONTH($A1092)&gt;=#REF!)</f>
        <v>#REF!</v>
      </c>
      <c r="R1092" s="1" t="e">
        <f>CHOOSE(MONTH($P1092),#REF!,#REF!,#REF!,#REF!,#REF!,#REF!,#REF!,#REF!,#REF!,#REF!,#REF!,#REF!)&amp;" "&amp;$Q1092</f>
        <v>#VALUE!</v>
      </c>
      <c r="S1092" s="1">
        <f t="shared" si="3"/>
        <v>1</v>
      </c>
      <c r="T1092" s="1" t="str">
        <f t="array" ref="T1092">IFERROR(INDEX(#REF!,MATCH($B1092,#REF!,0)),"")</f>
        <v/>
      </c>
      <c r="U1092" s="1" t="str">
        <f t="array" ref="U1092">IFERROR(INDEX(#REF!,MATCH($B1092,#REF!,0)),"")</f>
        <v/>
      </c>
      <c r="V1092" s="76">
        <f t="array" ref="V1092">AVERAGEIFS($E$2:$E2248,$B$2:$B2248,$B1092,$P$2:$P2248,"&lt;="&amp;$P1092,$P$2:$P2248,"&gt;"&amp;$P1092-7)</f>
        <v>8.4042553191489358</v>
      </c>
      <c r="W1092" s="76">
        <f ca="1">IFERROR(__xludf.DUMMYFUNCTION("iferror(stdevp(filter($D$2:$D2250,$B$2:$B2250=$B1092,$O$2:$O2250&lt;=$O1092,$O$2:$O2250&gt;$O1092-7)),0)"),1.04978131833564)</f>
        <v>1.0497813183356399</v>
      </c>
      <c r="X1092" s="77">
        <f t="shared" ca="1" si="4"/>
        <v>0.56749407752423975</v>
      </c>
      <c r="Y1092" s="77">
        <f t="shared" ca="1" si="5"/>
        <v>3</v>
      </c>
      <c r="Z1092" s="76">
        <f t="array" ref="Z1092">AVERAGEIFS($F$2:$F2248,$B$2:$B2248,$B1092,$P$2:$P2248,"&lt;="&amp;$P1092,$P$2:$P2248,"&gt;"&amp;$P1092-7)</f>
        <v>8.085106382978724</v>
      </c>
      <c r="AA1092" s="76">
        <f ca="1">IFERROR(__xludf.DUMMYFUNCTION("iferror(stdevp(filter($E$2:$E2250,$B$2:$B2250=$B1092,$O$2:$O2250&lt;=$O1092,$O$2:$O2250&gt;$O1092-7)),0)"),1.12485826771597)</f>
        <v>1.12485826771597</v>
      </c>
      <c r="AB1092" s="77">
        <f t="shared" ca="1" si="6"/>
        <v>0.81334123887356213</v>
      </c>
      <c r="AC1092" s="77">
        <f t="shared" ca="1" si="7"/>
        <v>3</v>
      </c>
      <c r="AD1092" s="76">
        <f t="array" ref="AD1092">AVERAGEIFS($G$2:$G2248,$B$2:$B2248,$B1092,$P$2:$P2248,"&lt;="&amp;$P1092,$P$2:$P2248,"&gt;"&amp;$P1092-7)</f>
        <v>8.0638297872340434</v>
      </c>
      <c r="AE1092" s="76">
        <f ca="1">IFERROR(__xludf.DUMMYFUNCTION("iferror(stdevp(filter($F$2:$F2250,$B$2:$B2250=$B1092,$O$2:$O2250&lt;=$O1092,$O$2:$O2250&gt;$O1092-7)),0)"),1.12485826771597)</f>
        <v>1.12485826771597</v>
      </c>
      <c r="AF1092" s="77">
        <f t="shared" ca="1" si="8"/>
        <v>0.83225615140550513</v>
      </c>
      <c r="AG1092" s="77">
        <f t="shared" ca="1" si="9"/>
        <v>3</v>
      </c>
      <c r="AH1092" s="76">
        <f t="array" ref="AH1092">AVERAGEIFS($I$2:$I2248,$B$2:$B2248,$B1092,$P$2:$P2248,"&lt;="&amp;$P1092,$P$2:$P2248,"&gt;"&amp;$P1092-7)</f>
        <v>6.7446808510638299</v>
      </c>
      <c r="AI1092" s="76">
        <f ca="1">IFERROR(__xludf.DUMMYFUNCTION("iferror(stdevp(filter($H$2:$H2250,$B$2:$B2250=$B1092,$O$2:$O2250&lt;=$O1092,$O$2:$O2250&gt;$O1092-7)),0)"),2.72554057547698)</f>
        <v>2.7255405754769799</v>
      </c>
      <c r="AJ1092" s="77">
        <f t="shared" ca="1" si="10"/>
        <v>-1.0070225612339307</v>
      </c>
      <c r="AK1092" s="77">
        <f t="shared" ca="1" si="11"/>
        <v>1</v>
      </c>
      <c r="AL1092" s="76">
        <f t="array" ref="AL1092">AVERAGEIFS($J$2:$J2248,$B$2:$B2248,$B1092,$P$2:$P2248,"&lt;="&amp;$P1092,$P$2:$P2248,"&gt;"&amp;$P1092-7)</f>
        <v>8.1063829787234045</v>
      </c>
      <c r="AM1092" s="76">
        <f ca="1">IFERROR(__xludf.DUMMYFUNCTION("iferror(stdevp(filter($I$2:$I2250,$B$2:$B2250=$B1092,$O$2:$O2250&lt;=$O1092,$O$2:$O2250&gt;$O1092-7)),0)"),0.942809041582063)</f>
        <v>0.94280904158206302</v>
      </c>
      <c r="AN1092" s="77">
        <f t="shared" ca="1" si="13"/>
        <v>0.94782398329260631</v>
      </c>
      <c r="AO1092" s="77">
        <f t="shared" ca="1" si="14"/>
        <v>3</v>
      </c>
      <c r="AP1092" s="76">
        <f t="array" ref="AP1092">AVERAGEIFS($K$2:$K2248,$B$2:$B2248,$B1092,$P$2:$P2248,"&lt;="&amp;$P1092,$P$2:$P2248,"&gt;"&amp;$P1092-7)</f>
        <v>8.2978723404255312</v>
      </c>
      <c r="AQ1092" s="76">
        <f ca="1">IFERROR(__xludf.DUMMYFUNCTION("iferror(stdevp(filter($J$2:$J2250,$B$2:$B2250=$B1092,$O$2:$O2250&lt;=$O1092,$O$2:$O2250&gt;$O1092-7)),0)"),0.471404520791031)</f>
        <v>0.47140452079103101</v>
      </c>
      <c r="AR1092" s="77">
        <f t="shared" ca="1" si="15"/>
        <v>-0.63188265552840361</v>
      </c>
      <c r="AS1092" s="77">
        <f t="shared" ca="1" si="16"/>
        <v>2</v>
      </c>
      <c r="AT1092" s="78">
        <f t="shared" ca="1" si="12"/>
        <v>0.625</v>
      </c>
    </row>
    <row r="1093" spans="1:46" ht="12.5" x14ac:dyDescent="0.25">
      <c r="A1093" s="75">
        <v>44962.452072465283</v>
      </c>
      <c r="B1093" s="1" t="s">
        <v>21</v>
      </c>
      <c r="C1093" s="1" t="str">
        <f>INDEX(TBL_Name,MATCH(Table2[[#This Row],[Athlete Name]],listNames,0),2)</f>
        <v>Athlete 13</v>
      </c>
      <c r="D1093" s="1" t="s">
        <v>143</v>
      </c>
      <c r="E1093" s="1">
        <v>7</v>
      </c>
      <c r="F1093" s="1">
        <v>9</v>
      </c>
      <c r="G1093" s="1">
        <v>9</v>
      </c>
      <c r="H1093" s="1" t="s">
        <v>1062</v>
      </c>
      <c r="I1093" s="1">
        <v>7</v>
      </c>
      <c r="J1093" s="1">
        <v>5</v>
      </c>
      <c r="K1093" s="1">
        <v>7</v>
      </c>
      <c r="L1093" s="1">
        <v>75</v>
      </c>
      <c r="M1093" s="1" t="e">
        <f t="shared" ca="1" si="0"/>
        <v>#NAME?</v>
      </c>
      <c r="N1093" s="1" t="e">
        <f t="shared" si="1"/>
        <v>#VALUE!</v>
      </c>
      <c r="O1093" s="1" t="e">
        <f ca="1">IF($N1093=_xludf.MINIFS($N$2:$N2279,$R$2:$R2279,$R1093),1,
($N1093-_xludf.MINIFS($N$2:$N2279,$R$2:$R2279,$R1093))+1)</f>
        <v>#VALUE!</v>
      </c>
      <c r="P1093" s="13" t="e">
        <f t="shared" si="2"/>
        <v>#VALUE!</v>
      </c>
      <c r="Q1093" s="1" t="e">
        <f>RIGHT(YEAR($A1093),2)-(MONTH($A1093)&lt;=#REF!)
 &amp;"-"&amp;
 RIGHT(YEAR($A1093),2)+(MONTH($A1093)&gt;=#REF!)</f>
        <v>#REF!</v>
      </c>
      <c r="R1093" s="1" t="e">
        <f>CHOOSE(MONTH($P1093),#REF!,#REF!,#REF!,#REF!,#REF!,#REF!,#REF!,#REF!,#REF!,#REF!,#REF!,#REF!)&amp;" "&amp;$Q1093</f>
        <v>#VALUE!</v>
      </c>
      <c r="S1093" s="1">
        <f t="shared" si="3"/>
        <v>2</v>
      </c>
      <c r="T1093" s="1" t="str">
        <f t="array" ref="T1093">IFERROR(INDEX(#REF!,MATCH($B1093,#REF!,0)),"")</f>
        <v/>
      </c>
      <c r="U1093" s="1" t="str">
        <f t="array" ref="U1093">IFERROR(INDEX(#REF!,MATCH($B1093,#REF!,0)),"")</f>
        <v/>
      </c>
      <c r="V1093" s="76">
        <f t="array" ref="V1093">AVERAGEIFS($E$2:$E2248,$B$2:$B2248,$B1093,$P$2:$P2248,"&lt;="&amp;$P1093,$P$2:$P2248,"&gt;"&amp;$P1093-7)</f>
        <v>6.6304347826086953</v>
      </c>
      <c r="W1093" s="76">
        <f ca="1">IFERROR(__xludf.DUMMYFUNCTION("iferror(stdevp(filter($D$2:$D2250,$B$2:$B2250=$B1093,$O$2:$O2250&lt;=$O1093,$O$2:$O2250&gt;$O1093-7)),0)"),0.494871659305393)</f>
        <v>0.49487165930539301</v>
      </c>
      <c r="X1093" s="77">
        <f t="shared" ca="1" si="4"/>
        <v>0.74679002210397383</v>
      </c>
      <c r="Y1093" s="77">
        <f t="shared" ca="1" si="5"/>
        <v>3</v>
      </c>
      <c r="Z1093" s="76">
        <f t="array" ref="Z1093">AVERAGEIFS($F$2:$F2248,$B$2:$B2248,$B1093,$P$2:$P2248,"&lt;="&amp;$P1093,$P$2:$P2248,"&gt;"&amp;$P1093-7)</f>
        <v>7.6956521739130439</v>
      </c>
      <c r="AA1093" s="76">
        <f ca="1">IFERROR(__xludf.DUMMYFUNCTION("iferror(stdevp(filter($E$2:$E2250,$B$2:$B2250=$B1093,$O$2:$O2250&lt;=$O1093,$O$2:$O2250&gt;$O1093-7)),0)"),0.63887656499994)</f>
        <v>0.63887656499994006</v>
      </c>
      <c r="AB1093" s="77">
        <f t="shared" ca="1" si="6"/>
        <v>2.0416272838041545</v>
      </c>
      <c r="AC1093" s="77">
        <f t="shared" ca="1" si="7"/>
        <v>4</v>
      </c>
      <c r="AD1093" s="76">
        <f t="array" ref="AD1093">AVERAGEIFS($G$2:$G2248,$B$2:$B2248,$B1093,$P$2:$P2248,"&lt;="&amp;$P1093,$P$2:$P2248,"&gt;"&amp;$P1093-7)</f>
        <v>8.2608695652173907</v>
      </c>
      <c r="AE1093" s="76">
        <f ca="1">IFERROR(__xludf.DUMMYFUNCTION("iferror(stdevp(filter($F$2:$F2250,$B$2:$B2250=$B1093,$O$2:$O2250&lt;=$O1093,$O$2:$O2250&gt;$O1093-7)),0)"),0.494871659305393)</f>
        <v>0.49487165930539301</v>
      </c>
      <c r="AF1093" s="77">
        <f t="shared" ca="1" si="8"/>
        <v>1.4935800442079477</v>
      </c>
      <c r="AG1093" s="77">
        <f t="shared" ca="1" si="9"/>
        <v>4</v>
      </c>
      <c r="AH1093" s="76">
        <f t="array" ref="AH1093">AVERAGEIFS($I$2:$I2248,$B$2:$B2248,$B1093,$P$2:$P2248,"&lt;="&amp;$P1093,$P$2:$P2248,"&gt;"&amp;$P1093-7)</f>
        <v>5.7391304347826084</v>
      </c>
      <c r="AI1093" s="76">
        <f ca="1">IFERROR(__xludf.DUMMYFUNCTION("iferror(stdevp(filter($H$2:$H2250,$B$2:$B2250=$B1093,$O$2:$O2250&lt;=$O1093,$O$2:$O2250&gt;$O1093-7)),0)"),0.63887656499994)</f>
        <v>0.63887656499994006</v>
      </c>
      <c r="AJ1093" s="77">
        <f t="shared" ca="1" si="10"/>
        <v>1.973573041010684</v>
      </c>
      <c r="AK1093" s="77">
        <f t="shared" ca="1" si="11"/>
        <v>4</v>
      </c>
      <c r="AL1093" s="76">
        <f t="array" ref="AL1093">AVERAGEIFS($J$2:$J2248,$B$2:$B2248,$B1093,$P$2:$P2248,"&lt;="&amp;$P1093,$P$2:$P2248,"&gt;"&amp;$P1093-7)</f>
        <v>6.5434782608695654</v>
      </c>
      <c r="AM1093" s="76">
        <f ca="1">IFERROR(__xludf.DUMMYFUNCTION("iferror(stdevp(filter($I$2:$I2250,$B$2:$B2250=$B1093,$O$2:$O2250&lt;=$O1093,$O$2:$O2250&gt;$O1093-7)),0)"),0.707106781186547)</f>
        <v>0.70710678118654702</v>
      </c>
      <c r="AN1093" s="77">
        <f t="shared" ca="1" si="13"/>
        <v>-2.1828078897497791</v>
      </c>
      <c r="AO1093" s="77">
        <f t="shared" ca="1" si="14"/>
        <v>1</v>
      </c>
      <c r="AP1093" s="76">
        <f t="array" ref="AP1093">AVERAGEIFS($K$2:$K2248,$B$2:$B2248,$B1093,$P$2:$P2248,"&lt;="&amp;$P1093,$P$2:$P2248,"&gt;"&amp;$P1093-7)</f>
        <v>6.6086956521739131</v>
      </c>
      <c r="AQ1093" s="76">
        <f ca="1">IFERROR(__xludf.DUMMYFUNCTION("iferror(stdevp(filter($J$2:$J2250,$B$2:$B2250=$B1093,$O$2:$O2250&lt;=$O1093,$O$2:$O2250&gt;$O1093-7)),0)"),0.707106781186547)</f>
        <v>0.70710678118654702</v>
      </c>
      <c r="AR1093" s="77">
        <f t="shared" ca="1" si="15"/>
        <v>0.55338791571121149</v>
      </c>
      <c r="AS1093" s="77">
        <f t="shared" ca="1" si="16"/>
        <v>3</v>
      </c>
      <c r="AT1093" s="78">
        <f t="shared" ca="1" si="12"/>
        <v>0.79166666666666663</v>
      </c>
    </row>
    <row r="1094" spans="1:46" ht="12.5" x14ac:dyDescent="0.25">
      <c r="A1094" s="75">
        <v>44962.671213622685</v>
      </c>
      <c r="B1094" s="1" t="s">
        <v>6</v>
      </c>
      <c r="C1094" s="1" t="str">
        <f>INDEX(TBL_Name,MATCH(Table2[[#This Row],[Athlete Name]],listNames,0),2)</f>
        <v>Athlete 2</v>
      </c>
      <c r="D1094" s="1" t="s">
        <v>130</v>
      </c>
      <c r="E1094" s="1">
        <v>10</v>
      </c>
      <c r="F1094" s="1">
        <v>9</v>
      </c>
      <c r="G1094" s="1">
        <v>10</v>
      </c>
      <c r="H1094" s="86"/>
      <c r="I1094" s="1">
        <v>9</v>
      </c>
      <c r="J1094" s="1">
        <v>6</v>
      </c>
      <c r="K1094" s="1">
        <v>6</v>
      </c>
      <c r="L1094" s="1">
        <v>99</v>
      </c>
      <c r="M1094" s="1" t="e">
        <f t="shared" ca="1" si="0"/>
        <v>#NAME?</v>
      </c>
      <c r="N1094" s="1" t="e">
        <f t="shared" si="1"/>
        <v>#VALUE!</v>
      </c>
      <c r="O1094" s="1" t="e">
        <f ca="1">IF($N1094=_xludf.MINIFS($N$2:$N2280,$R$2:$R2280,$R1094),1,
($N1094-_xludf.MINIFS($N$2:$N2280,$R$2:$R2280,$R1094))+1)</f>
        <v>#VALUE!</v>
      </c>
      <c r="P1094" s="13" t="e">
        <f t="shared" si="2"/>
        <v>#VALUE!</v>
      </c>
      <c r="Q1094" s="1" t="e">
        <f>RIGHT(YEAR($A1094),2)-(MONTH($A1094)&lt;=#REF!)
 &amp;"-"&amp;
 RIGHT(YEAR($A1094),2)+(MONTH($A1094)&gt;=#REF!)</f>
        <v>#REF!</v>
      </c>
      <c r="R1094" s="1" t="e">
        <f>CHOOSE(MONTH($P1094),#REF!,#REF!,#REF!,#REF!,#REF!,#REF!,#REF!,#REF!,#REF!,#REF!,#REF!,#REF!)&amp;" "&amp;$Q1094</f>
        <v>#VALUE!</v>
      </c>
      <c r="S1094" s="1">
        <f t="shared" si="3"/>
        <v>1</v>
      </c>
      <c r="T1094" s="1" t="str">
        <f t="array" ref="T1094">IFERROR(INDEX(#REF!,MATCH($B1094,#REF!,0)),"")</f>
        <v/>
      </c>
      <c r="U1094" s="1" t="str">
        <f t="array" ref="U1094">IFERROR(INDEX(#REF!,MATCH($B1094,#REF!,0)),"")</f>
        <v/>
      </c>
      <c r="V1094" s="76">
        <f t="array" ref="V1094">AVERAGEIFS($E$2:$E2248,$B$2:$B2248,$B1094,$P$2:$P2248,"&lt;="&amp;$P1094,$P$2:$P2248,"&gt;"&amp;$P1094-7)</f>
        <v>9.7441860465116275</v>
      </c>
      <c r="W1094" s="76">
        <f ca="1">IFERROR(__xludf.DUMMYFUNCTION("iferror(stdevp(filter($D$2:$D2250,$B$2:$B2250=$B1094,$O$2:$O2250&lt;=$O1094,$O$2:$O2250&gt;$O1094-7)),0)"),0.942809041582063)</f>
        <v>0.94280904158206302</v>
      </c>
      <c r="X1094" s="77">
        <f t="shared" ca="1" si="4"/>
        <v>0.27133167185065254</v>
      </c>
      <c r="Y1094" s="77">
        <f t="shared" ca="1" si="5"/>
        <v>3</v>
      </c>
      <c r="Z1094" s="76">
        <f t="array" ref="Z1094">AVERAGEIFS($F$2:$F2248,$B$2:$B2248,$B1094,$P$2:$P2248,"&lt;="&amp;$P1094,$P$2:$P2248,"&gt;"&amp;$P1094-7)</f>
        <v>8.279069767441861</v>
      </c>
      <c r="AA1094" s="76">
        <f ca="1">IFERROR(__xludf.DUMMYFUNCTION("iferror(stdevp(filter($E$2:$E2250,$B$2:$B2250=$B1094,$O$2:$O2250&lt;=$O1094,$O$2:$O2250&gt;$O1094-7)),0)"),0.89752746785575)</f>
        <v>0.89752746785574999</v>
      </c>
      <c r="AB1094" s="77">
        <f t="shared" ca="1" si="6"/>
        <v>0.80324030002166624</v>
      </c>
      <c r="AC1094" s="77">
        <f t="shared" ca="1" si="7"/>
        <v>3</v>
      </c>
      <c r="AD1094" s="76">
        <f t="array" ref="AD1094">AVERAGEIFS($G$2:$G2248,$B$2:$B2248,$B1094,$P$2:$P2248,"&lt;="&amp;$P1094,$P$2:$P2248,"&gt;"&amp;$P1094-7)</f>
        <v>8.604651162790697</v>
      </c>
      <c r="AE1094" s="76">
        <f ca="1">IFERROR(__xludf.DUMMYFUNCTION("iferror(stdevp(filter($F$2:$F2250,$B$2:$B2250=$B1094,$O$2:$O2250&lt;=$O1094,$O$2:$O2250&gt;$O1094-7)),0)"),1.69967317119759)</f>
        <v>1.6996731711975901</v>
      </c>
      <c r="AF1094" s="77">
        <f t="shared" ca="1" si="8"/>
        <v>0.82095126336914526</v>
      </c>
      <c r="AG1094" s="77">
        <f t="shared" ca="1" si="9"/>
        <v>3</v>
      </c>
      <c r="AH1094" s="76">
        <f t="array" ref="AH1094">AVERAGEIFS($I$2:$I2248,$B$2:$B2248,$B1094,$P$2:$P2248,"&lt;="&amp;$P1094,$P$2:$P2248,"&gt;"&amp;$P1094-7)</f>
        <v>8.3488372093023262</v>
      </c>
      <c r="AI1094" s="76">
        <f ca="1">IFERROR(__xludf.DUMMYFUNCTION("iferror(stdevp(filter($H$2:$H2250,$B$2:$B2250=$B1094,$O$2:$O2250&lt;=$O1094,$O$2:$O2250&gt;$O1094-7)),0)"),1.24721912892464)</f>
        <v>1.2472191289246399</v>
      </c>
      <c r="AJ1094" s="77">
        <f t="shared" ca="1" si="10"/>
        <v>0.52209172838706408</v>
      </c>
      <c r="AK1094" s="77">
        <f t="shared" ca="1" si="11"/>
        <v>3</v>
      </c>
      <c r="AL1094" s="76">
        <f t="array" ref="AL1094">AVERAGEIFS($J$2:$J2248,$B$2:$B2248,$B1094,$P$2:$P2248,"&lt;="&amp;$P1094,$P$2:$P2248,"&gt;"&amp;$P1094-7)</f>
        <v>8.3023255813953494</v>
      </c>
      <c r="AM1094" s="76">
        <f ca="1">IFERROR(__xludf.DUMMYFUNCTION("iferror(stdevp(filter($I$2:$I2250,$B$2:$B2250=$B1094,$O$2:$O2250&lt;=$O1094,$O$2:$O2250&gt;$O1094-7)),0)"),0.433012701892219)</f>
        <v>0.43301270189221902</v>
      </c>
      <c r="AN1094" s="77">
        <f t="shared" ca="1" si="13"/>
        <v>-5.31699317672307</v>
      </c>
      <c r="AO1094" s="77">
        <f t="shared" ca="1" si="14"/>
        <v>1</v>
      </c>
      <c r="AP1094" s="76">
        <f t="array" ref="AP1094">AVERAGEIFS($K$2:$K2248,$B$2:$B2248,$B1094,$P$2:$P2248,"&lt;="&amp;$P1094,$P$2:$P2248,"&gt;"&amp;$P1094-7)</f>
        <v>8.9069767441860463</v>
      </c>
      <c r="AQ1094" s="76">
        <f ca="1">IFERROR(__xludf.DUMMYFUNCTION("iferror(stdevp(filter($J$2:$J2250,$B$2:$B2250=$B1094,$O$2:$O2250&lt;=$O1094,$O$2:$O2250&gt;$O1094-7)),0)"),0.433012701892219)</f>
        <v>0.43301270189221902</v>
      </c>
      <c r="AR1094" s="77">
        <f t="shared" ca="1" si="15"/>
        <v>-6.7133752231351878</v>
      </c>
      <c r="AS1094" s="77">
        <f t="shared" ca="1" si="16"/>
        <v>1</v>
      </c>
      <c r="AT1094" s="78">
        <f t="shared" ca="1" si="12"/>
        <v>0.58333333333333337</v>
      </c>
    </row>
    <row r="1095" spans="1:46" ht="12.5" x14ac:dyDescent="0.25">
      <c r="A1095" s="75">
        <v>44963.331355358794</v>
      </c>
      <c r="B1095" s="1" t="s">
        <v>10</v>
      </c>
      <c r="C1095" s="1" t="str">
        <f>INDEX(TBL_Name,MATCH(Table2[[#This Row],[Athlete Name]],listNames,0),2)</f>
        <v>Athlete 5</v>
      </c>
      <c r="D1095" s="1" t="s">
        <v>130</v>
      </c>
      <c r="E1095" s="1">
        <v>9</v>
      </c>
      <c r="F1095" s="1">
        <v>7</v>
      </c>
      <c r="G1095" s="1">
        <v>7</v>
      </c>
      <c r="H1095" s="1" t="s">
        <v>226</v>
      </c>
      <c r="I1095" s="1">
        <v>8</v>
      </c>
      <c r="J1095" s="1">
        <v>6</v>
      </c>
      <c r="K1095" s="1">
        <v>7</v>
      </c>
      <c r="L1095" s="1">
        <v>82</v>
      </c>
      <c r="M1095" s="1" t="e">
        <f t="shared" ca="1" si="0"/>
        <v>#NAME?</v>
      </c>
      <c r="N1095" s="1" t="e">
        <f t="shared" si="1"/>
        <v>#VALUE!</v>
      </c>
      <c r="O1095" s="1" t="e">
        <f ca="1">IF($N1095=_xludf.MINIFS($N$2:$N2281,$R$2:$R2281,$R1095),1,
($N1095-_xludf.MINIFS($N$2:$N2281,$R$2:$R2281,$R1095))+1)</f>
        <v>#VALUE!</v>
      </c>
      <c r="P1095" s="13" t="e">
        <f t="shared" si="2"/>
        <v>#VALUE!</v>
      </c>
      <c r="Q1095" s="1" t="e">
        <f>RIGHT(YEAR($A1095),2)-(MONTH($A1095)&lt;=#REF!)
 &amp;"-"&amp;
 RIGHT(YEAR($A1095),2)+(MONTH($A1095)&gt;=#REF!)</f>
        <v>#REF!</v>
      </c>
      <c r="R1095" s="1" t="e">
        <f>CHOOSE(MONTH($P1095),#REF!,#REF!,#REF!,#REF!,#REF!,#REF!,#REF!,#REF!,#REF!,#REF!,#REF!,#REF!)&amp;" "&amp;$Q1095</f>
        <v>#VALUE!</v>
      </c>
      <c r="S1095" s="1">
        <f t="shared" si="3"/>
        <v>1</v>
      </c>
      <c r="T1095" s="1" t="str">
        <f t="array" ref="T1095">IFERROR(INDEX(#REF!,MATCH($B1095,#REF!,0)),"")</f>
        <v/>
      </c>
      <c r="U1095" s="1" t="str">
        <f t="array" ref="U1095">IFERROR(INDEX(#REF!,MATCH($B1095,#REF!,0)),"")</f>
        <v/>
      </c>
      <c r="V1095" s="76">
        <f t="array" ref="V1095">AVERAGEIFS($E$2:$E2248,$B$2:$B2248,$B1095,$P$2:$P2248,"&lt;="&amp;$P1095,$P$2:$P2248,"&gt;"&amp;$P1095-7)</f>
        <v>8.4042553191489358</v>
      </c>
      <c r="W1095" s="76">
        <f ca="1">IFERROR(__xludf.DUMMYFUNCTION("iferror(stdevp(filter($D$2:$D2250,$B$2:$B2250=$B1095,$O$2:$O2250&lt;=$O1095,$O$2:$O2250&gt;$O1095-7)),0)"),1.11803398874989)</f>
        <v>1.11803398874989</v>
      </c>
      <c r="X1095" s="77">
        <f t="shared" ca="1" si="4"/>
        <v>0.53285024144676107</v>
      </c>
      <c r="Y1095" s="77">
        <f t="shared" ca="1" si="5"/>
        <v>3</v>
      </c>
      <c r="Z1095" s="76">
        <f t="array" ref="Z1095">AVERAGEIFS($F$2:$F2248,$B$2:$B2248,$B1095,$P$2:$P2248,"&lt;="&amp;$P1095,$P$2:$P2248,"&gt;"&amp;$P1095-7)</f>
        <v>8.085106382978724</v>
      </c>
      <c r="AA1095" s="76">
        <f ca="1">IFERROR(__xludf.DUMMYFUNCTION("iferror(stdevp(filter($E$2:$E2250,$B$2:$B2250=$B1095,$O$2:$O2250&lt;=$O1095,$O$2:$O2250&gt;$O1095-7)),0)"),1.21335164821342)</f>
        <v>1.2133516482134199</v>
      </c>
      <c r="AB1095" s="77">
        <f t="shared" ca="1" si="6"/>
        <v>-0.89430494826167783</v>
      </c>
      <c r="AC1095" s="77">
        <f t="shared" ca="1" si="7"/>
        <v>2</v>
      </c>
      <c r="AD1095" s="76">
        <f t="array" ref="AD1095">AVERAGEIFS($G$2:$G2248,$B$2:$B2248,$B1095,$P$2:$P2248,"&lt;="&amp;$P1095,$P$2:$P2248,"&gt;"&amp;$P1095-7)</f>
        <v>8.0638297872340434</v>
      </c>
      <c r="AE1095" s="76">
        <f ca="1">IFERROR(__xludf.DUMMYFUNCTION("iferror(stdevp(filter($F$2:$F2250,$B$2:$B2250=$B1095,$O$2:$O2250&lt;=$O1095,$O$2:$O2250&gt;$O1095-7)),0)"),1.21335164821342)</f>
        <v>1.2133516482134199</v>
      </c>
      <c r="AF1095" s="77">
        <f t="shared" ca="1" si="8"/>
        <v>-0.87676955711929228</v>
      </c>
      <c r="AG1095" s="77">
        <f t="shared" ca="1" si="9"/>
        <v>2</v>
      </c>
      <c r="AH1095" s="76">
        <f t="array" ref="AH1095">AVERAGEIFS($I$2:$I2248,$B$2:$B2248,$B1095,$P$2:$P2248,"&lt;="&amp;$P1095,$P$2:$P2248,"&gt;"&amp;$P1095-7)</f>
        <v>6.7446808510638299</v>
      </c>
      <c r="AI1095" s="76">
        <f ca="1">IFERROR(__xludf.DUMMYFUNCTION("iferror(stdevp(filter($H$2:$H2250,$B$2:$B2250=$B1095,$O$2:$O2250&lt;=$O1095,$O$2:$O2250&gt;$O1095-7)),0)"),2.42670329642683)</f>
        <v>2.42670329642683</v>
      </c>
      <c r="AJ1095" s="77">
        <f t="shared" ca="1" si="10"/>
        <v>0.51729403870038404</v>
      </c>
      <c r="AK1095" s="77">
        <f t="shared" ca="1" si="11"/>
        <v>3</v>
      </c>
      <c r="AL1095" s="76">
        <f t="array" ref="AL1095">AVERAGEIFS($J$2:$J2248,$B$2:$B2248,$B1095,$P$2:$P2248,"&lt;="&amp;$P1095,$P$2:$P2248,"&gt;"&amp;$P1095-7)</f>
        <v>8.1063829787234045</v>
      </c>
      <c r="AM1095" s="76">
        <f ca="1">IFERROR(__xludf.DUMMYFUNCTION("iferror(stdevp(filter($I$2:$I2250,$B$2:$B2250=$B1095,$O$2:$O2250&lt;=$O1095,$O$2:$O2250&gt;$O1095-7)),0)"),1.08972473588516)</f>
        <v>1.0897247358851601</v>
      </c>
      <c r="AN1095" s="77">
        <f t="shared" ca="1" si="13"/>
        <v>-1.9329495875051736</v>
      </c>
      <c r="AO1095" s="77">
        <f t="shared" ca="1" si="14"/>
        <v>1</v>
      </c>
      <c r="AP1095" s="76">
        <f t="array" ref="AP1095">AVERAGEIFS($K$2:$K2248,$B$2:$B2248,$B1095,$P$2:$P2248,"&lt;="&amp;$P1095,$P$2:$P2248,"&gt;"&amp;$P1095-7)</f>
        <v>8.2978723404255312</v>
      </c>
      <c r="AQ1095" s="76">
        <f ca="1">IFERROR(__xludf.DUMMYFUNCTION("iferror(stdevp(filter($J$2:$J2250,$B$2:$B2250=$B1095,$O$2:$O2250&lt;=$O1095,$O$2:$O2250&gt;$O1095-7)),0)"),0.5)</f>
        <v>0.5</v>
      </c>
      <c r="AR1095" s="77">
        <f t="shared" ca="1" si="15"/>
        <v>-2.5957446808510625</v>
      </c>
      <c r="AS1095" s="77">
        <f t="shared" ca="1" si="16"/>
        <v>1</v>
      </c>
      <c r="AT1095" s="78">
        <f t="shared" ca="1" si="12"/>
        <v>0.5</v>
      </c>
    </row>
    <row r="1096" spans="1:46" ht="12.5" x14ac:dyDescent="0.25">
      <c r="A1096" s="75">
        <v>44963.335482569441</v>
      </c>
      <c r="B1096" s="1" t="s">
        <v>13</v>
      </c>
      <c r="C1096" s="1" t="str">
        <f>INDEX(TBL_Name,MATCH(Table2[[#This Row],[Athlete Name]],listNames,0),2)</f>
        <v>Athlete 7</v>
      </c>
      <c r="D1096" s="1" t="s">
        <v>130</v>
      </c>
      <c r="E1096" s="1">
        <v>9</v>
      </c>
      <c r="F1096" s="1">
        <v>6</v>
      </c>
      <c r="G1096" s="1">
        <v>8</v>
      </c>
      <c r="H1096" s="1" t="s">
        <v>226</v>
      </c>
      <c r="I1096" s="1">
        <v>9</v>
      </c>
      <c r="J1096" s="1">
        <v>10</v>
      </c>
      <c r="K1096" s="1">
        <v>10</v>
      </c>
      <c r="L1096" s="1">
        <v>63</v>
      </c>
      <c r="M1096" s="1" t="e">
        <f t="shared" ca="1" si="0"/>
        <v>#NAME?</v>
      </c>
      <c r="N1096" s="1" t="e">
        <f t="shared" si="1"/>
        <v>#VALUE!</v>
      </c>
      <c r="O1096" s="1" t="e">
        <f ca="1">IF($N1096=_xludf.MINIFS($N$2:$N2282,$R$2:$R2282,$R1096),1,
($N1096-_xludf.MINIFS($N$2:$N2282,$R$2:$R2282,$R1096))+1)</f>
        <v>#VALUE!</v>
      </c>
      <c r="P1096" s="13" t="e">
        <f t="shared" si="2"/>
        <v>#VALUE!</v>
      </c>
      <c r="Q1096" s="1" t="e">
        <f>RIGHT(YEAR($A1096),2)-(MONTH($A1096)&lt;=#REF!)
 &amp;"-"&amp;
 RIGHT(YEAR($A1096),2)+(MONTH($A1096)&gt;=#REF!)</f>
        <v>#REF!</v>
      </c>
      <c r="R1096" s="1" t="e">
        <f>CHOOSE(MONTH($P1096),#REF!,#REF!,#REF!,#REF!,#REF!,#REF!,#REF!,#REF!,#REF!,#REF!,#REF!,#REF!)&amp;" "&amp;$Q1096</f>
        <v>#VALUE!</v>
      </c>
      <c r="S1096" s="1">
        <f t="shared" si="3"/>
        <v>1</v>
      </c>
      <c r="T1096" s="1" t="str">
        <f t="array" ref="T1096">IFERROR(INDEX(#REF!,MATCH($B1096,#REF!,0)),"")</f>
        <v/>
      </c>
      <c r="U1096" s="1" t="str">
        <f t="array" ref="U1096">IFERROR(INDEX(#REF!,MATCH($B1096,#REF!,0)),"")</f>
        <v/>
      </c>
      <c r="V1096" s="76">
        <f t="array" ref="V1096">AVERAGEIFS($E$2:$E2248,$B$2:$B2248,$B1096,$P$2:$P2248,"&lt;="&amp;$P1096,$P$2:$P2248,"&gt;"&amp;$P1096-7)</f>
        <v>7.6857142857142859</v>
      </c>
      <c r="W1096" s="76">
        <f ca="1">IFERROR(__xludf.DUMMYFUNCTION("iferror(stdevp(filter($D$2:$D2250,$B$2:$B2250=$B1096,$O$2:$O2250&lt;=$O1096,$O$2:$O2250&gt;$O1096-7)),0)"),1.78885438199983)</f>
        <v>1.7888543819998299</v>
      </c>
      <c r="X1096" s="77">
        <f t="shared" ca="1" si="4"/>
        <v>0.73470804974993154</v>
      </c>
      <c r="Y1096" s="77">
        <f t="shared" ca="1" si="5"/>
        <v>3</v>
      </c>
      <c r="Z1096" s="76">
        <f t="array" ref="Z1096">AVERAGEIFS($F$2:$F2248,$B$2:$B2248,$B1096,$P$2:$P2248,"&lt;="&amp;$P1096,$P$2:$P2248,"&gt;"&amp;$P1096-7)</f>
        <v>7.0857142857142854</v>
      </c>
      <c r="AA1096" s="76">
        <f ca="1">IFERROR(__xludf.DUMMYFUNCTION("iferror(stdevp(filter($E$2:$E2250,$B$2:$B2250=$B1096,$O$2:$O2250&lt;=$O1096,$O$2:$O2250&gt;$O1096-7)),0)"),1.2)</f>
        <v>1.2</v>
      </c>
      <c r="AB1096" s="77">
        <f t="shared" ca="1" si="6"/>
        <v>-0.90476190476190455</v>
      </c>
      <c r="AC1096" s="77">
        <f t="shared" ca="1" si="7"/>
        <v>2</v>
      </c>
      <c r="AD1096" s="76">
        <f t="array" ref="AD1096">AVERAGEIFS($G$2:$G2248,$B$2:$B2248,$B1096,$P$2:$P2248,"&lt;="&amp;$P1096,$P$2:$P2248,"&gt;"&amp;$P1096-7)</f>
        <v>7.1428571428571432</v>
      </c>
      <c r="AE1096" s="76">
        <f ca="1">IFERROR(__xludf.DUMMYFUNCTION("iferror(stdevp(filter($F$2:$F2250,$B$2:$B2250=$B1096,$O$2:$O2250&lt;=$O1096,$O$2:$O2250&gt;$O1096-7)),0)"),0.489897948556635)</f>
        <v>0.48989794855663499</v>
      </c>
      <c r="AF1096" s="77">
        <f t="shared" ca="1" si="8"/>
        <v>1.7496355305594145</v>
      </c>
      <c r="AG1096" s="77">
        <f t="shared" ca="1" si="9"/>
        <v>4</v>
      </c>
      <c r="AH1096" s="76">
        <f t="array" ref="AH1096">AVERAGEIFS($I$2:$I2248,$B$2:$B2248,$B1096,$P$2:$P2248,"&lt;="&amp;$P1096,$P$2:$P2248,"&gt;"&amp;$P1096-7)</f>
        <v>7.0285714285714285</v>
      </c>
      <c r="AI1096" s="76">
        <f ca="1">IFERROR(__xludf.DUMMYFUNCTION("iferror(stdevp(filter($H$2:$H2250,$B$2:$B2250=$B1096,$O$2:$O2250&lt;=$O1096,$O$2:$O2250&gt;$O1096-7)),0)"),1.89736659610102)</f>
        <v>1.89736659610102</v>
      </c>
      <c r="AJ1096" s="77">
        <f t="shared" ca="1" si="10"/>
        <v>1.0390340883410432</v>
      </c>
      <c r="AK1096" s="77">
        <f t="shared" ca="1" si="11"/>
        <v>4</v>
      </c>
      <c r="AL1096" s="76">
        <f t="array" ref="AL1096">AVERAGEIFS($J$2:$J2248,$B$2:$B2248,$B1096,$P$2:$P2248,"&lt;="&amp;$P1096,$P$2:$P2248,"&gt;"&amp;$P1096-7)</f>
        <v>9.742857142857142</v>
      </c>
      <c r="AM1096" s="76">
        <f ca="1">IFERROR(__xludf.DUMMYFUNCTION("iferror(stdevp(filter($I$2:$I2250,$B$2:$B2250=$B1096,$O$2:$O2250&lt;=$O1096,$O$2:$O2250&gt;$O1096-7)),0)"),0.471404520791031)</f>
        <v>0.47140452079103101</v>
      </c>
      <c r="AN1096" s="77">
        <f t="shared" ca="1" si="13"/>
        <v>0.54548237405819644</v>
      </c>
      <c r="AO1096" s="77">
        <f t="shared" ca="1" si="14"/>
        <v>3</v>
      </c>
      <c r="AP1096" s="76">
        <f t="array" ref="AP1096">AVERAGEIFS($K$2:$K2248,$B$2:$B2248,$B1096,$P$2:$P2248,"&lt;="&amp;$P1096,$P$2:$P2248,"&gt;"&amp;$P1096-7)</f>
        <v>9.4285714285714288</v>
      </c>
      <c r="AQ1096" s="76">
        <f ca="1">IFERROR(__xludf.DUMMYFUNCTION("iferror(stdevp(filter($J$2:$J2250,$B$2:$B2250=$B1096,$O$2:$O2250&lt;=$O1096,$O$2:$O2250&gt;$O1096-7)),0)"),0)</f>
        <v>0</v>
      </c>
      <c r="AR1096" s="77">
        <f t="shared" ca="1" si="15"/>
        <v>0</v>
      </c>
      <c r="AS1096" s="77">
        <f t="shared" ca="1" si="16"/>
        <v>3</v>
      </c>
      <c r="AT1096" s="78">
        <f t="shared" ca="1" si="12"/>
        <v>0.79166666666666663</v>
      </c>
    </row>
    <row r="1097" spans="1:46" ht="12.5" x14ac:dyDescent="0.25">
      <c r="A1097" s="75">
        <v>44963.347435011572</v>
      </c>
      <c r="B1097" s="1" t="s">
        <v>19</v>
      </c>
      <c r="C1097" s="1" t="str">
        <f>INDEX(TBL_Name,MATCH(Table2[[#This Row],[Athlete Name]],listNames,0),2)</f>
        <v>Athlete 11</v>
      </c>
      <c r="D1097" s="1" t="s">
        <v>130</v>
      </c>
      <c r="E1097" s="1">
        <v>7</v>
      </c>
      <c r="F1097" s="1">
        <v>7</v>
      </c>
      <c r="G1097" s="1">
        <v>7</v>
      </c>
      <c r="H1097" s="1" t="s">
        <v>287</v>
      </c>
      <c r="I1097" s="1">
        <v>7</v>
      </c>
      <c r="J1097" s="1">
        <v>8</v>
      </c>
      <c r="K1097" s="1">
        <v>10</v>
      </c>
      <c r="L1097" s="1">
        <v>80</v>
      </c>
      <c r="M1097" s="1" t="e">
        <f t="shared" ca="1" si="0"/>
        <v>#NAME?</v>
      </c>
      <c r="N1097" s="1" t="e">
        <f t="shared" si="1"/>
        <v>#VALUE!</v>
      </c>
      <c r="O1097" s="1" t="e">
        <f ca="1">IF($N1097=_xludf.MINIFS($N$2:$N2283,$R$2:$R2283,$R1097),1,
($N1097-_xludf.MINIFS($N$2:$N2283,$R$2:$R2283,$R1097))+1)</f>
        <v>#VALUE!</v>
      </c>
      <c r="P1097" s="13" t="e">
        <f t="shared" si="2"/>
        <v>#VALUE!</v>
      </c>
      <c r="Q1097" s="1" t="e">
        <f>RIGHT(YEAR($A1097),2)-(MONTH($A1097)&lt;=#REF!)
 &amp;"-"&amp;
 RIGHT(YEAR($A1097),2)+(MONTH($A1097)&gt;=#REF!)</f>
        <v>#REF!</v>
      </c>
      <c r="R1097" s="1" t="e">
        <f>CHOOSE(MONTH($P1097),#REF!,#REF!,#REF!,#REF!,#REF!,#REF!,#REF!,#REF!,#REF!,#REF!,#REF!,#REF!)&amp;" "&amp;$Q1097</f>
        <v>#VALUE!</v>
      </c>
      <c r="S1097" s="1">
        <f t="shared" si="3"/>
        <v>1</v>
      </c>
      <c r="T1097" s="1" t="str">
        <f t="array" ref="T1097">IFERROR(INDEX(#REF!,MATCH($B1097,#REF!,0)),"")</f>
        <v/>
      </c>
      <c r="U1097" s="1" t="str">
        <f t="array" ref="U1097">IFERROR(INDEX(#REF!,MATCH($B1097,#REF!,0)),"")</f>
        <v/>
      </c>
      <c r="V1097" s="76">
        <f t="array" ref="V1097">AVERAGEIFS($E$2:$E2248,$B$2:$B2248,$B1097,$P$2:$P2248,"&lt;="&amp;$P1097,$P$2:$P2248,"&gt;"&amp;$P1097-7)</f>
        <v>4.6538461538461542</v>
      </c>
      <c r="W1097" s="76">
        <f ca="1">IFERROR(__xludf.DUMMYFUNCTION("iferror(stdevp(filter($D$2:$D2250,$B$2:$B2250=$B1097,$O$2:$O2250&lt;=$O1097,$O$2:$O2250&gt;$O1097-7)),0)"),1.41421356237309)</f>
        <v>1.41421356237309</v>
      </c>
      <c r="X1097" s="77">
        <f t="shared" ca="1" si="4"/>
        <v>1.6589812943222901</v>
      </c>
      <c r="Y1097" s="77">
        <f t="shared" ca="1" si="5"/>
        <v>4</v>
      </c>
      <c r="Z1097" s="76">
        <f t="array" ref="Z1097">AVERAGEIFS($F$2:$F2248,$B$2:$B2248,$B1097,$P$2:$P2248,"&lt;="&amp;$P1097,$P$2:$P2248,"&gt;"&amp;$P1097-7)</f>
        <v>6.8461538461538458</v>
      </c>
      <c r="AA1097" s="76">
        <f ca="1">IFERROR(__xludf.DUMMYFUNCTION("iferror(stdevp(filter($E$2:$E2250,$B$2:$B2250=$B1097,$O$2:$O2250&lt;=$O1097,$O$2:$O2250&gt;$O1097-7)),0)"),0.489897948556635)</f>
        <v>0.48989794855663499</v>
      </c>
      <c r="AB1097" s="77">
        <f t="shared" ca="1" si="6"/>
        <v>0.31403714651066494</v>
      </c>
      <c r="AC1097" s="77">
        <f t="shared" ca="1" si="7"/>
        <v>3</v>
      </c>
      <c r="AD1097" s="76">
        <f t="array" ref="AD1097">AVERAGEIFS($G$2:$G2248,$B$2:$B2248,$B1097,$P$2:$P2248,"&lt;="&amp;$P1097,$P$2:$P2248,"&gt;"&amp;$P1097-7)</f>
        <v>7.2692307692307692</v>
      </c>
      <c r="AE1097" s="76">
        <f ca="1">IFERROR(__xludf.DUMMYFUNCTION("iferror(stdevp(filter($F$2:$F2250,$B$2:$B2250=$B1097,$O$2:$O2250&lt;=$O1097,$O$2:$O2250&gt;$O1097-7)),0)"),0.489897948556635)</f>
        <v>0.48989794855663499</v>
      </c>
      <c r="AF1097" s="77">
        <f t="shared" ca="1" si="8"/>
        <v>-0.54956500639366235</v>
      </c>
      <c r="AG1097" s="77">
        <f t="shared" ca="1" si="9"/>
        <v>2</v>
      </c>
      <c r="AH1097" s="76">
        <f t="array" ref="AH1097">AVERAGEIFS($I$2:$I2248,$B$2:$B2248,$B1097,$P$2:$P2248,"&lt;="&amp;$P1097,$P$2:$P2248,"&gt;"&amp;$P1097-7)</f>
        <v>4.9230769230769234</v>
      </c>
      <c r="AI1097" s="76">
        <f ca="1">IFERROR(__xludf.DUMMYFUNCTION("iferror(stdevp(filter($H$2:$H2250,$B$2:$B2250=$B1097,$O$2:$O2250&lt;=$O1097,$O$2:$O2250&gt;$O1097-7)),0)"),1.01980390271855)</f>
        <v>1.0198039027185499</v>
      </c>
      <c r="AJ1097" s="77">
        <f t="shared" ca="1" si="10"/>
        <v>2.0365906341273097</v>
      </c>
      <c r="AK1097" s="77">
        <f t="shared" ca="1" si="11"/>
        <v>4</v>
      </c>
      <c r="AL1097" s="76">
        <f t="array" ref="AL1097">AVERAGEIFS($J$2:$J2248,$B$2:$B2248,$B1097,$P$2:$P2248,"&lt;="&amp;$P1097,$P$2:$P2248,"&gt;"&amp;$P1097-7)</f>
        <v>7.5769230769230766</v>
      </c>
      <c r="AM1097" s="76">
        <f ca="1">IFERROR(__xludf.DUMMYFUNCTION("iferror(stdevp(filter($I$2:$I2250,$B$2:$B2250=$B1097,$O$2:$O2250&lt;=$O1097,$O$2:$O2250&gt;$O1097-7)),0)"),2.35702260395515)</f>
        <v>2.3570226039551501</v>
      </c>
      <c r="AN1097" s="77">
        <f t="shared" ca="1" si="13"/>
        <v>0.17949633676273974</v>
      </c>
      <c r="AO1097" s="77">
        <f t="shared" ca="1" si="14"/>
        <v>3</v>
      </c>
      <c r="AP1097" s="76">
        <f t="array" ref="AP1097">AVERAGEIFS($K$2:$K2248,$B$2:$B2248,$B1097,$P$2:$P2248,"&lt;="&amp;$P1097,$P$2:$P2248,"&gt;"&amp;$P1097-7)</f>
        <v>8</v>
      </c>
      <c r="AQ1097" s="76">
        <f ca="1">IFERROR(__xludf.DUMMYFUNCTION("iferror(stdevp(filter($J$2:$J2250,$B$2:$B2250=$B1097,$O$2:$O2250&lt;=$O1097,$O$2:$O2250&gt;$O1097-7)),0)"),3.77123616632825)</f>
        <v>3.7712361663282499</v>
      </c>
      <c r="AR1097" s="77">
        <f t="shared" ca="1" si="15"/>
        <v>0.53033008588991115</v>
      </c>
      <c r="AS1097" s="77">
        <f t="shared" ca="1" si="16"/>
        <v>3</v>
      </c>
      <c r="AT1097" s="78">
        <f t="shared" ca="1" si="12"/>
        <v>0.79166666666666663</v>
      </c>
    </row>
    <row r="1098" spans="1:46" ht="12.5" x14ac:dyDescent="0.25">
      <c r="A1098" s="75">
        <v>44963.358922430554</v>
      </c>
      <c r="B1098" s="1" t="s">
        <v>16</v>
      </c>
      <c r="C1098" s="1" t="str">
        <f>INDEX(TBL_Name,MATCH(Table2[[#This Row],[Athlete Name]],listNames,0),2)</f>
        <v>Athlete 9</v>
      </c>
      <c r="D1098" s="1" t="s">
        <v>130</v>
      </c>
      <c r="E1098" s="1">
        <v>10</v>
      </c>
      <c r="F1098" s="1">
        <v>8</v>
      </c>
      <c r="G1098" s="1">
        <v>8</v>
      </c>
      <c r="H1098" s="1" t="s">
        <v>415</v>
      </c>
      <c r="I1098" s="1">
        <v>7</v>
      </c>
      <c r="J1098" s="1">
        <v>6</v>
      </c>
      <c r="K1098" s="1">
        <v>9</v>
      </c>
      <c r="L1098" s="1">
        <v>90</v>
      </c>
      <c r="M1098" s="1" t="e">
        <f t="shared" ca="1" si="0"/>
        <v>#NAME?</v>
      </c>
      <c r="N1098" s="1" t="e">
        <f t="shared" si="1"/>
        <v>#VALUE!</v>
      </c>
      <c r="O1098" s="1" t="e">
        <f ca="1">IF($N1098=_xludf.MINIFS($N$2:$N2284,$R$2:$R2284,$R1098),1,
($N1098-_xludf.MINIFS($N$2:$N2284,$R$2:$R2284,$R1098))+1)</f>
        <v>#VALUE!</v>
      </c>
      <c r="P1098" s="13" t="e">
        <f t="shared" si="2"/>
        <v>#VALUE!</v>
      </c>
      <c r="Q1098" s="1" t="e">
        <f>RIGHT(YEAR($A1098),2)-(MONTH($A1098)&lt;=#REF!)
 &amp;"-"&amp;
 RIGHT(YEAR($A1098),2)+(MONTH($A1098)&gt;=#REF!)</f>
        <v>#REF!</v>
      </c>
      <c r="R1098" s="1" t="e">
        <f>CHOOSE(MONTH($P1098),#REF!,#REF!,#REF!,#REF!,#REF!,#REF!,#REF!,#REF!,#REF!,#REF!,#REF!,#REF!)&amp;" "&amp;$Q1098</f>
        <v>#VALUE!</v>
      </c>
      <c r="S1098" s="1">
        <f t="shared" si="3"/>
        <v>1</v>
      </c>
      <c r="T1098" s="1" t="str">
        <f t="array" ref="T1098">IFERROR(INDEX(#REF!,MATCH($B1098,#REF!,0)),"")</f>
        <v/>
      </c>
      <c r="U1098" s="1" t="str">
        <f t="array" ref="U1098">IFERROR(INDEX(#REF!,MATCH($B1098,#REF!,0)),"")</f>
        <v/>
      </c>
      <c r="V1098" s="76">
        <f t="array" ref="V1098">AVERAGEIFS($E$2:$E2248,$B$2:$B2248,$B1098,$P$2:$P2248,"&lt;="&amp;$P1098,$P$2:$P2248,"&gt;"&amp;$P1098-7)</f>
        <v>8.9600000000000009</v>
      </c>
      <c r="W1098" s="76">
        <f ca="1">IFERROR(__xludf.DUMMYFUNCTION("iferror(stdevp(filter($D$2:$D2250,$B$2:$B2250=$B1098,$O$2:$O2250&lt;=$O1098,$O$2:$O2250&gt;$O1098-7)),0)"),0.707106781186547)</f>
        <v>0.70710678118654702</v>
      </c>
      <c r="X1098" s="77">
        <f t="shared" ca="1" si="4"/>
        <v>1.4707821048680187</v>
      </c>
      <c r="Y1098" s="77">
        <f t="shared" ca="1" si="5"/>
        <v>4</v>
      </c>
      <c r="Z1098" s="76">
        <f t="array" ref="Z1098">AVERAGEIFS($F$2:$F2248,$B$2:$B2248,$B1098,$P$2:$P2248,"&lt;="&amp;$P1098,$P$2:$P2248,"&gt;"&amp;$P1098-7)</f>
        <v>7.48</v>
      </c>
      <c r="AA1098" s="76">
        <f ca="1">IFERROR(__xludf.DUMMYFUNCTION("iferror(stdevp(filter($E$2:$E2250,$B$2:$B2250=$B1098,$O$2:$O2250&lt;=$O1098,$O$2:$O2250&gt;$O1098-7)),0)"),1.29903810567665)</f>
        <v>1.29903810567665</v>
      </c>
      <c r="AB1098" s="77">
        <f t="shared" ca="1" si="6"/>
        <v>0.40029618663814265</v>
      </c>
      <c r="AC1098" s="77">
        <f t="shared" ca="1" si="7"/>
        <v>3</v>
      </c>
      <c r="AD1098" s="76">
        <f t="array" ref="AD1098">AVERAGEIFS($G$2:$G2248,$B$2:$B2248,$B1098,$P$2:$P2248,"&lt;="&amp;$P1098,$P$2:$P2248,"&gt;"&amp;$P1098-7)</f>
        <v>7.56</v>
      </c>
      <c r="AE1098" s="76">
        <f ca="1">IFERROR(__xludf.DUMMYFUNCTION("iferror(stdevp(filter($F$2:$F2250,$B$2:$B2250=$B1098,$O$2:$O2250&lt;=$O1098,$O$2:$O2250&gt;$O1098-7)),0)"),1.29903810567665)</f>
        <v>1.29903810567665</v>
      </c>
      <c r="AF1098" s="77">
        <f t="shared" ca="1" si="8"/>
        <v>0.33871215792458281</v>
      </c>
      <c r="AG1098" s="77">
        <f t="shared" ca="1" si="9"/>
        <v>3</v>
      </c>
      <c r="AH1098" s="76">
        <f t="array" ref="AH1098">AVERAGEIFS($I$2:$I2248,$B$2:$B2248,$B1098,$P$2:$P2248,"&lt;="&amp;$P1098,$P$2:$P2248,"&gt;"&amp;$P1098-7)</f>
        <v>5.8</v>
      </c>
      <c r="AI1098" s="76">
        <f ca="1">IFERROR(__xludf.DUMMYFUNCTION("iferror(stdevp(filter($H$2:$H2250,$B$2:$B2250=$B1098,$O$2:$O2250&lt;=$O1098,$O$2:$O2250&gt;$O1098-7)),0)"),0.707106781186547)</f>
        <v>0.70710678118654702</v>
      </c>
      <c r="AJ1098" s="77">
        <f t="shared" ca="1" si="10"/>
        <v>1.6970562748477156</v>
      </c>
      <c r="AK1098" s="77">
        <f t="shared" ca="1" si="11"/>
        <v>4</v>
      </c>
      <c r="AL1098" s="76">
        <f t="array" ref="AL1098">AVERAGEIFS($J$2:$J2248,$B$2:$B2248,$B1098,$P$2:$P2248,"&lt;="&amp;$P1098,$P$2:$P2248,"&gt;"&amp;$P1098-7)</f>
        <v>7.8</v>
      </c>
      <c r="AM1098" s="76">
        <f ca="1">IFERROR(__xludf.DUMMYFUNCTION("iferror(stdevp(filter($I$2:$I2250,$B$2:$B2250=$B1098,$O$2:$O2250&lt;=$O1098,$O$2:$O2250&gt;$O1098-7)),0)"),0.471404520791031)</f>
        <v>0.47140452079103101</v>
      </c>
      <c r="AN1098" s="77">
        <f t="shared" ca="1" si="13"/>
        <v>-3.8183766184073615</v>
      </c>
      <c r="AO1098" s="77">
        <f t="shared" ca="1" si="14"/>
        <v>1</v>
      </c>
      <c r="AP1098" s="76">
        <f t="array" ref="AP1098">AVERAGEIFS($K$2:$K2248,$B$2:$B2248,$B1098,$P$2:$P2248,"&lt;="&amp;$P1098,$P$2:$P2248,"&gt;"&amp;$P1098-7)</f>
        <v>8.6</v>
      </c>
      <c r="AQ1098" s="76">
        <f ca="1">IFERROR(__xludf.DUMMYFUNCTION("iferror(stdevp(filter($J$2:$J2250,$B$2:$B2250=$B1098,$O$2:$O2250&lt;=$O1098,$O$2:$O2250&gt;$O1098-7)),0)"),0)</f>
        <v>0</v>
      </c>
      <c r="AR1098" s="77">
        <f t="shared" ca="1" si="15"/>
        <v>0</v>
      </c>
      <c r="AS1098" s="77">
        <f t="shared" ca="1" si="16"/>
        <v>3</v>
      </c>
      <c r="AT1098" s="78">
        <f t="shared" ca="1" si="12"/>
        <v>0.75</v>
      </c>
    </row>
    <row r="1099" spans="1:46" ht="12.5" x14ac:dyDescent="0.25">
      <c r="A1099" s="75">
        <v>44963.371703101853</v>
      </c>
      <c r="B1099" s="1" t="s">
        <v>21</v>
      </c>
      <c r="C1099" s="1" t="str">
        <f>INDEX(TBL_Name,MATCH(Table2[[#This Row],[Athlete Name]],listNames,0),2)</f>
        <v>Athlete 13</v>
      </c>
      <c r="D1099" s="1" t="s">
        <v>143</v>
      </c>
      <c r="E1099" s="1">
        <v>6</v>
      </c>
      <c r="F1099" s="1">
        <v>7</v>
      </c>
      <c r="G1099" s="1">
        <v>8</v>
      </c>
      <c r="H1099" s="1" t="s">
        <v>525</v>
      </c>
      <c r="I1099" s="1">
        <v>8</v>
      </c>
      <c r="J1099" s="1">
        <v>6</v>
      </c>
      <c r="K1099" s="1">
        <v>7</v>
      </c>
      <c r="L1099" s="1">
        <v>80</v>
      </c>
      <c r="M1099" s="1" t="e">
        <f t="shared" ca="1" si="0"/>
        <v>#NAME?</v>
      </c>
      <c r="N1099" s="1" t="e">
        <f t="shared" si="1"/>
        <v>#VALUE!</v>
      </c>
      <c r="O1099" s="1" t="e">
        <f ca="1">IF($N1099=_xludf.MINIFS($N$2:$N2285,$R$2:$R2285,$R1099),1,
($N1099-_xludf.MINIFS($N$2:$N2285,$R$2:$R2285,$R1099))+1)</f>
        <v>#VALUE!</v>
      </c>
      <c r="P1099" s="13" t="e">
        <f t="shared" si="2"/>
        <v>#VALUE!</v>
      </c>
      <c r="Q1099" s="1" t="e">
        <f>RIGHT(YEAR($A1099),2)-(MONTH($A1099)&lt;=#REF!)
 &amp;"-"&amp;
 RIGHT(YEAR($A1099),2)+(MONTH($A1099)&gt;=#REF!)</f>
        <v>#REF!</v>
      </c>
      <c r="R1099" s="1" t="e">
        <f>CHOOSE(MONTH($P1099),#REF!,#REF!,#REF!,#REF!,#REF!,#REF!,#REF!,#REF!,#REF!,#REF!,#REF!,#REF!)&amp;" "&amp;$Q1099</f>
        <v>#VALUE!</v>
      </c>
      <c r="S1099" s="1">
        <f t="shared" si="3"/>
        <v>2</v>
      </c>
      <c r="T1099" s="1" t="str">
        <f t="array" ref="T1099">IFERROR(INDEX(#REF!,MATCH($B1099,#REF!,0)),"")</f>
        <v/>
      </c>
      <c r="U1099" s="1" t="str">
        <f t="array" ref="U1099">IFERROR(INDEX(#REF!,MATCH($B1099,#REF!,0)),"")</f>
        <v/>
      </c>
      <c r="V1099" s="76">
        <f t="array" ref="V1099">AVERAGEIFS($E$2:$E2248,$B$2:$B2248,$B1099,$P$2:$P2248,"&lt;="&amp;$P1099,$P$2:$P2248,"&gt;"&amp;$P1099-7)</f>
        <v>6.6304347826086953</v>
      </c>
      <c r="W1099" s="76">
        <f ca="1">IFERROR(__xludf.DUMMYFUNCTION("iferror(stdevp(filter($D$2:$D2250,$B$2:$B2250=$B1099,$O$2:$O2250&lt;=$O1099,$O$2:$O2250&gt;$O1099-7)),0)"),0.699854212223765)</f>
        <v>0.69985421222376498</v>
      </c>
      <c r="X1099" s="77">
        <f t="shared" ca="1" si="4"/>
        <v>-0.90080872787134969</v>
      </c>
      <c r="Y1099" s="77">
        <f t="shared" ca="1" si="5"/>
        <v>2</v>
      </c>
      <c r="Z1099" s="76">
        <f t="array" ref="Z1099">AVERAGEIFS($F$2:$F2248,$B$2:$B2248,$B1099,$P$2:$P2248,"&lt;="&amp;$P1099,$P$2:$P2248,"&gt;"&amp;$P1099-7)</f>
        <v>7.6956521739130439</v>
      </c>
      <c r="AA1099" s="76">
        <f ca="1">IFERROR(__xludf.DUMMYFUNCTION("iferror(stdevp(filter($E$2:$E2250,$B$2:$B2250=$B1099,$O$2:$O2250&lt;=$O1099,$O$2:$O2250&gt;$O1099-7)),0)"),0.638876564999939)</f>
        <v>0.63887656499993895</v>
      </c>
      <c r="AB1099" s="77">
        <f t="shared" ca="1" si="6"/>
        <v>-1.0888678846955522</v>
      </c>
      <c r="AC1099" s="77">
        <f t="shared" ca="1" si="7"/>
        <v>1</v>
      </c>
      <c r="AD1099" s="76">
        <f t="array" ref="AD1099">AVERAGEIFS($G$2:$G2248,$B$2:$B2248,$B1099,$P$2:$P2248,"&lt;="&amp;$P1099,$P$2:$P2248,"&gt;"&amp;$P1099-7)</f>
        <v>8.2608695652173907</v>
      </c>
      <c r="AE1099" s="76">
        <f ca="1">IFERROR(__xludf.DUMMYFUNCTION("iferror(stdevp(filter($F$2:$F2250,$B$2:$B2250=$B1099,$O$2:$O2250&lt;=$O1099,$O$2:$O2250&gt;$O1099-7)),0)"),0.494871659305393)</f>
        <v>0.49487165930539301</v>
      </c>
      <c r="AF1099" s="77">
        <f t="shared" ca="1" si="8"/>
        <v>-0.52714589795574451</v>
      </c>
      <c r="AG1099" s="77">
        <f t="shared" ca="1" si="9"/>
        <v>2</v>
      </c>
      <c r="AH1099" s="76">
        <f t="array" ref="AH1099">AVERAGEIFS($I$2:$I2248,$B$2:$B2248,$B1099,$P$2:$P2248,"&lt;="&amp;$P1099,$P$2:$P2248,"&gt;"&amp;$P1099-7)</f>
        <v>5.7391304347826084</v>
      </c>
      <c r="AI1099" s="76">
        <f ca="1">IFERROR(__xludf.DUMMYFUNCTION("iferror(stdevp(filter($H$2:$H2250,$B$2:$B2250=$B1099,$O$2:$O2250&lt;=$O1099,$O$2:$O2250&gt;$O1099-7)),0)"),0.989743318610787)</f>
        <v>0.98974331861078702</v>
      </c>
      <c r="AJ1099" s="77">
        <f t="shared" ca="1" si="10"/>
        <v>2.2842988911415629</v>
      </c>
      <c r="AK1099" s="77">
        <f t="shared" ca="1" si="11"/>
        <v>4</v>
      </c>
      <c r="AL1099" s="76">
        <f t="array" ref="AL1099">AVERAGEIFS($J$2:$J2248,$B$2:$B2248,$B1099,$P$2:$P2248,"&lt;="&amp;$P1099,$P$2:$P2248,"&gt;"&amp;$P1099-7)</f>
        <v>6.5434782608695654</v>
      </c>
      <c r="AM1099" s="76">
        <f ca="1">IFERROR(__xludf.DUMMYFUNCTION("iferror(stdevp(filter($I$2:$I2250,$B$2:$B2250=$B1099,$O$2:$O2250&lt;=$O1099,$O$2:$O2250&gt;$O1099-7)),0)"),0.748331477354788)</f>
        <v>0.748331477354788</v>
      </c>
      <c r="AN1099" s="77">
        <f t="shared" ca="1" si="13"/>
        <v>-0.72625337476202334</v>
      </c>
      <c r="AO1099" s="77">
        <f t="shared" ca="1" si="14"/>
        <v>2</v>
      </c>
      <c r="AP1099" s="76">
        <f t="array" ref="AP1099">AVERAGEIFS($K$2:$K2248,$B$2:$B2248,$B1099,$P$2:$P2248,"&lt;="&amp;$P1099,$P$2:$P2248,"&gt;"&amp;$P1099-7)</f>
        <v>6.6086956521739131</v>
      </c>
      <c r="AQ1099" s="76">
        <f ca="1">IFERROR(__xludf.DUMMYFUNCTION("iferror(stdevp(filter($J$2:$J2250,$B$2:$B2250=$B1099,$O$2:$O2250&lt;=$O1099,$O$2:$O2250&gt;$O1099-7)),0)"),0.748331477354788)</f>
        <v>0.748331477354788</v>
      </c>
      <c r="AR1099" s="77">
        <f t="shared" ca="1" si="15"/>
        <v>0.52290242982865653</v>
      </c>
      <c r="AS1099" s="77">
        <f t="shared" ca="1" si="16"/>
        <v>3</v>
      </c>
      <c r="AT1099" s="78">
        <f t="shared" ca="1" si="12"/>
        <v>0.58333333333333337</v>
      </c>
    </row>
    <row r="1100" spans="1:46" ht="12.5" x14ac:dyDescent="0.25">
      <c r="A1100" s="75">
        <v>44963.380583425926</v>
      </c>
      <c r="B1100" s="1" t="s">
        <v>23</v>
      </c>
      <c r="C1100" s="1" t="str">
        <f>INDEX(TBL_Name,MATCH(Table2[[#This Row],[Athlete Name]],listNames,0),2)</f>
        <v>Athlete 15</v>
      </c>
      <c r="D1100" s="1" t="s">
        <v>150</v>
      </c>
      <c r="E1100" s="1">
        <v>7</v>
      </c>
      <c r="F1100" s="1">
        <v>8</v>
      </c>
      <c r="G1100" s="1">
        <v>8</v>
      </c>
      <c r="H1100" s="1" t="s">
        <v>432</v>
      </c>
      <c r="I1100" s="1">
        <v>2</v>
      </c>
      <c r="J1100" s="1">
        <v>8</v>
      </c>
      <c r="K1100" s="1">
        <v>7</v>
      </c>
      <c r="L1100" s="1">
        <v>50</v>
      </c>
      <c r="M1100" s="1" t="e">
        <f t="shared" ca="1" si="0"/>
        <v>#NAME?</v>
      </c>
      <c r="N1100" s="1" t="e">
        <f t="shared" si="1"/>
        <v>#VALUE!</v>
      </c>
      <c r="O1100" s="1" t="e">
        <f ca="1">IF($N1100=_xludf.MINIFS($N$2:$N2286,$R$2:$R2286,$R1100),1,
($N1100-_xludf.MINIFS($N$2:$N2286,$R$2:$R2286,$R1100))+1)</f>
        <v>#VALUE!</v>
      </c>
      <c r="P1100" s="13" t="e">
        <f t="shared" si="2"/>
        <v>#VALUE!</v>
      </c>
      <c r="Q1100" s="1" t="e">
        <f>RIGHT(YEAR($A1100),2)-(MONTH($A1100)&lt;=#REF!)
 &amp;"-"&amp;
 RIGHT(YEAR($A1100),2)+(MONTH($A1100)&gt;=#REF!)</f>
        <v>#REF!</v>
      </c>
      <c r="R1100" s="1" t="e">
        <f>CHOOSE(MONTH($P1100),#REF!,#REF!,#REF!,#REF!,#REF!,#REF!,#REF!,#REF!,#REF!,#REF!,#REF!,#REF!)&amp;" "&amp;$Q1100</f>
        <v>#VALUE!</v>
      </c>
      <c r="S1100" s="1">
        <f t="shared" si="3"/>
        <v>3</v>
      </c>
      <c r="T1100" s="1" t="str">
        <f t="array" ref="T1100">IFERROR(INDEX(#REF!,MATCH($B1100,#REF!,0)),"")</f>
        <v/>
      </c>
      <c r="U1100" s="1" t="str">
        <f t="array" ref="U1100">IFERROR(INDEX(#REF!,MATCH($B1100,#REF!,0)),"")</f>
        <v/>
      </c>
      <c r="V1100" s="76">
        <f t="array" ref="V1100">AVERAGEIFS($E$2:$E2248,$B$2:$B2248,$B1100,$P$2:$P2248,"&lt;="&amp;$P1100,$P$2:$P2248,"&gt;"&amp;$P1100-7)</f>
        <v>4.7777777777777777</v>
      </c>
      <c r="W1100" s="76">
        <f ca="1">IFERROR(__xludf.DUMMYFUNCTION("iferror(stdevp(filter($D$2:$D2250,$B$2:$B2250=$B1100,$O$2:$O2250&lt;=$O1100,$O$2:$O2250&gt;$O1100-7)),0)"),0.5)</f>
        <v>0.5</v>
      </c>
      <c r="X1100" s="77">
        <f t="shared" ca="1" si="4"/>
        <v>4.4444444444444446</v>
      </c>
      <c r="Y1100" s="77">
        <f t="shared" ca="1" si="5"/>
        <v>4</v>
      </c>
      <c r="Z1100" s="76">
        <f t="array" ref="Z1100">AVERAGEIFS($F$2:$F2248,$B$2:$B2248,$B1100,$P$2:$P2248,"&lt;="&amp;$P1100,$P$2:$P2248,"&gt;"&amp;$P1100-7)</f>
        <v>6.4444444444444446</v>
      </c>
      <c r="AA1100" s="76">
        <f ca="1">IFERROR(__xludf.DUMMYFUNCTION("iferror(stdevp(filter($E$2:$E2250,$B$2:$B2250=$B1100,$O$2:$O2250&lt;=$O1100,$O$2:$O2250&gt;$O1100-7)),0)"),1)</f>
        <v>1</v>
      </c>
      <c r="AB1100" s="77">
        <f t="shared" ca="1" si="6"/>
        <v>1.5555555555555554</v>
      </c>
      <c r="AC1100" s="77">
        <f t="shared" ca="1" si="7"/>
        <v>4</v>
      </c>
      <c r="AD1100" s="76">
        <f t="array" ref="AD1100">AVERAGEIFS($G$2:$G2248,$B$2:$B2248,$B1100,$P$2:$P2248,"&lt;="&amp;$P1100,$P$2:$P2248,"&gt;"&amp;$P1100-7)</f>
        <v>7.4444444444444446</v>
      </c>
      <c r="AE1100" s="76">
        <f ca="1">IFERROR(__xludf.DUMMYFUNCTION("iferror(stdevp(filter($F$2:$F2250,$B$2:$B2250=$B1100,$O$2:$O2250&lt;=$O1100,$O$2:$O2250&gt;$O1100-7)),0)"),0.5)</f>
        <v>0.5</v>
      </c>
      <c r="AF1100" s="77">
        <f t="shared" ca="1" si="8"/>
        <v>1.1111111111111107</v>
      </c>
      <c r="AG1100" s="77">
        <f t="shared" ca="1" si="9"/>
        <v>4</v>
      </c>
      <c r="AH1100" s="76">
        <f t="array" ref="AH1100">AVERAGEIFS($I$2:$I2248,$B$2:$B2248,$B1100,$P$2:$P2248,"&lt;="&amp;$P1100,$P$2:$P2248,"&gt;"&amp;$P1100-7)</f>
        <v>6.7777777777777777</v>
      </c>
      <c r="AI1100" s="76">
        <f ca="1">IFERROR(__xludf.DUMMYFUNCTION("iferror(stdevp(filter($H$2:$H2250,$B$2:$B2250=$B1100,$O$2:$O2250&lt;=$O1100,$O$2:$O2250&gt;$O1100-7)),0)"),2.5)</f>
        <v>2.5</v>
      </c>
      <c r="AJ1100" s="77">
        <f t="shared" ca="1" si="10"/>
        <v>-1.911111111111111</v>
      </c>
      <c r="AK1100" s="77">
        <f t="shared" ca="1" si="11"/>
        <v>1</v>
      </c>
      <c r="AL1100" s="76">
        <f t="array" ref="AL1100">AVERAGEIFS($J$2:$J2248,$B$2:$B2248,$B1100,$P$2:$P2248,"&lt;="&amp;$P1100,$P$2:$P2248,"&gt;"&amp;$P1100-7)</f>
        <v>8.2222222222222214</v>
      </c>
      <c r="AM1100" s="76">
        <f ca="1">IFERROR(__xludf.DUMMYFUNCTION("iferror(stdevp(filter($I$2:$I2250,$B$2:$B2250=$B1100,$O$2:$O2250&lt;=$O1100,$O$2:$O2250&gt;$O1100-7)),0)"),0)</f>
        <v>0</v>
      </c>
      <c r="AN1100" s="77">
        <f t="shared" ca="1" si="13"/>
        <v>0</v>
      </c>
      <c r="AO1100" s="77">
        <f t="shared" ca="1" si="14"/>
        <v>3</v>
      </c>
      <c r="AP1100" s="76">
        <f t="array" ref="AP1100">AVERAGEIFS($K$2:$K2248,$B$2:$B2248,$B1100,$P$2:$P2248,"&lt;="&amp;$P1100,$P$2:$P2248,"&gt;"&amp;$P1100-7)</f>
        <v>8.1111111111111107</v>
      </c>
      <c r="AQ1100" s="76">
        <f ca="1">IFERROR(__xludf.DUMMYFUNCTION("iferror(stdevp(filter($J$2:$J2250,$B$2:$B2250=$B1100,$O$2:$O2250&lt;=$O1100,$O$2:$O2250&gt;$O1100-7)),0)"),0)</f>
        <v>0</v>
      </c>
      <c r="AR1100" s="77">
        <f t="shared" ca="1" si="15"/>
        <v>0</v>
      </c>
      <c r="AS1100" s="77">
        <f t="shared" ca="1" si="16"/>
        <v>3</v>
      </c>
      <c r="AT1100" s="78">
        <f t="shared" ca="1" si="12"/>
        <v>0.79166666666666663</v>
      </c>
    </row>
    <row r="1101" spans="1:46" ht="12.5" x14ac:dyDescent="0.25">
      <c r="A1101" s="75">
        <v>44963.390043923609</v>
      </c>
      <c r="B1101" s="1" t="s">
        <v>29</v>
      </c>
      <c r="C1101" s="1" t="str">
        <f>INDEX(TBL_Name,MATCH(Table2[[#This Row],[Athlete Name]],listNames,0),2)</f>
        <v>Athlete 18</v>
      </c>
      <c r="D1101" s="1" t="s">
        <v>130</v>
      </c>
      <c r="E1101" s="1">
        <v>9</v>
      </c>
      <c r="F1101" s="1">
        <v>10</v>
      </c>
      <c r="G1101" s="1">
        <v>8</v>
      </c>
      <c r="H1101" s="1" t="s">
        <v>66</v>
      </c>
      <c r="I1101" s="1">
        <v>10</v>
      </c>
      <c r="J1101" s="1">
        <v>9</v>
      </c>
      <c r="K1101" s="1">
        <v>7</v>
      </c>
      <c r="L1101" s="1">
        <v>98</v>
      </c>
      <c r="M1101" s="1" t="e">
        <f t="shared" ca="1" si="0"/>
        <v>#NAME?</v>
      </c>
      <c r="N1101" s="1" t="e">
        <f t="shared" si="1"/>
        <v>#VALUE!</v>
      </c>
      <c r="O1101" s="1" t="e">
        <f ca="1">IF($N1101=_xludf.MINIFS($N$2:$N2287,$R$2:$R2287,$R1101),1,
($N1101-_xludf.MINIFS($N$2:$N2287,$R$2:$R2287,$R1101))+1)</f>
        <v>#VALUE!</v>
      </c>
      <c r="P1101" s="13" t="e">
        <f t="shared" si="2"/>
        <v>#VALUE!</v>
      </c>
      <c r="Q1101" s="1" t="e">
        <f>RIGHT(YEAR($A1101),2)-(MONTH($A1101)&lt;=#REF!)
 &amp;"-"&amp;
 RIGHT(YEAR($A1101),2)+(MONTH($A1101)&gt;=#REF!)</f>
        <v>#REF!</v>
      </c>
      <c r="R1101" s="1" t="e">
        <f>CHOOSE(MONTH($P1101),#REF!,#REF!,#REF!,#REF!,#REF!,#REF!,#REF!,#REF!,#REF!,#REF!,#REF!,#REF!)&amp;" "&amp;$Q1101</f>
        <v>#VALUE!</v>
      </c>
      <c r="S1101" s="1">
        <f t="shared" si="3"/>
        <v>1</v>
      </c>
      <c r="T1101" s="1" t="str">
        <f t="array" ref="T1101">IFERROR(INDEX(#REF!,MATCH($B1101,#REF!,0)),"")</f>
        <v/>
      </c>
      <c r="U1101" s="1" t="str">
        <f t="array" ref="U1101">IFERROR(INDEX(#REF!,MATCH($B1101,#REF!,0)),"")</f>
        <v/>
      </c>
      <c r="V1101" s="76">
        <f t="array" ref="V1101">AVERAGEIFS($E$2:$E2248,$B$2:$B2248,$B1101,$P$2:$P2248,"&lt;="&amp;$P1101,$P$2:$P2248,"&gt;"&amp;$P1101-7)</f>
        <v>8.53125</v>
      </c>
      <c r="W1101" s="76">
        <f ca="1">IFERROR(__xludf.DUMMYFUNCTION("iferror(stdevp(filter($D$2:$D2250,$B$2:$B2250=$B1101,$O$2:$O2250&lt;=$O1101,$O$2:$O2250&gt;$O1101-7)),0)"),0.433012701892219)</f>
        <v>0.43301270189221902</v>
      </c>
      <c r="X1101" s="77">
        <f t="shared" ca="1" si="4"/>
        <v>1.0825317547305491</v>
      </c>
      <c r="Y1101" s="77">
        <f t="shared" ca="1" si="5"/>
        <v>4</v>
      </c>
      <c r="Z1101" s="76">
        <f t="array" ref="Z1101">AVERAGEIFS($F$2:$F2248,$B$2:$B2248,$B1101,$P$2:$P2248,"&lt;="&amp;$P1101,$P$2:$P2248,"&gt;"&amp;$P1101-7)</f>
        <v>8.125</v>
      </c>
      <c r="AA1101" s="76">
        <f ca="1">IFERROR(__xludf.DUMMYFUNCTION("iferror(stdevp(filter($E$2:$E2250,$B$2:$B2250=$B1101,$O$2:$O2250&lt;=$O1101,$O$2:$O2250&gt;$O1101-7)),0)"),0.5)</f>
        <v>0.5</v>
      </c>
      <c r="AB1101" s="77">
        <f t="shared" ca="1" si="6"/>
        <v>3.75</v>
      </c>
      <c r="AC1101" s="77">
        <f t="shared" ca="1" si="7"/>
        <v>4</v>
      </c>
      <c r="AD1101" s="76">
        <f t="array" ref="AD1101">AVERAGEIFS($G$2:$G2248,$B$2:$B2248,$B1101,$P$2:$P2248,"&lt;="&amp;$P1101,$P$2:$P2248,"&gt;"&amp;$P1101-7)</f>
        <v>8.09375</v>
      </c>
      <c r="AE1101" s="76">
        <f ca="1">IFERROR(__xludf.DUMMYFUNCTION("iferror(stdevp(filter($F$2:$F2250,$B$2:$B2250=$B1101,$O$2:$O2250&lt;=$O1101,$O$2:$O2250&gt;$O1101-7)),0)"),0)</f>
        <v>0</v>
      </c>
      <c r="AF1101" s="77">
        <f t="shared" ca="1" si="8"/>
        <v>0</v>
      </c>
      <c r="AG1101" s="77">
        <f t="shared" ca="1" si="9"/>
        <v>3</v>
      </c>
      <c r="AH1101" s="76">
        <f t="array" ref="AH1101">AVERAGEIFS($I$2:$I2248,$B$2:$B2248,$B1101,$P$2:$P2248,"&lt;="&amp;$P1101,$P$2:$P2248,"&gt;"&amp;$P1101-7)</f>
        <v>7.875</v>
      </c>
      <c r="AI1101" s="76">
        <f ca="1">IFERROR(__xludf.DUMMYFUNCTION("iferror(stdevp(filter($H$2:$H2250,$B$2:$B2250=$B1101,$O$2:$O2250&lt;=$O1101,$O$2:$O2250&gt;$O1101-7)),0)"),1.58113883008418)</f>
        <v>1.58113883008418</v>
      </c>
      <c r="AJ1101" s="77">
        <f t="shared" ca="1" si="10"/>
        <v>1.3439680055715695</v>
      </c>
      <c r="AK1101" s="77">
        <f t="shared" ca="1" si="11"/>
        <v>4</v>
      </c>
      <c r="AL1101" s="76">
        <f t="array" ref="AL1101">AVERAGEIFS($J$2:$J2248,$B$2:$B2248,$B1101,$P$2:$P2248,"&lt;="&amp;$P1101,$P$2:$P2248,"&gt;"&amp;$P1101-7)</f>
        <v>8.34375</v>
      </c>
      <c r="AM1101" s="76">
        <f ca="1">IFERROR(__xludf.DUMMYFUNCTION("iferror(stdevp(filter($I$2:$I2250,$B$2:$B2250=$B1101,$O$2:$O2250&lt;=$O1101,$O$2:$O2250&gt;$O1101-7)),0)"),0)</f>
        <v>0</v>
      </c>
      <c r="AN1101" s="77">
        <f t="shared" ca="1" si="13"/>
        <v>0</v>
      </c>
      <c r="AO1101" s="77">
        <f t="shared" ca="1" si="14"/>
        <v>3</v>
      </c>
      <c r="AP1101" s="76">
        <f t="array" ref="AP1101">AVERAGEIFS($K$2:$K2248,$B$2:$B2248,$B1101,$P$2:$P2248,"&lt;="&amp;$P1101,$P$2:$P2248,"&gt;"&amp;$P1101-7)</f>
        <v>8.46875</v>
      </c>
      <c r="AQ1101" s="76">
        <f ca="1">IFERROR(__xludf.DUMMYFUNCTION("iferror(stdevp(filter($J$2:$J2250,$B$2:$B2250=$B1101,$O$2:$O2250&lt;=$O1101,$O$2:$O2250&gt;$O1101-7)),0)"),0.5)</f>
        <v>0.5</v>
      </c>
      <c r="AR1101" s="77">
        <f t="shared" ca="1" si="15"/>
        <v>-2.9375</v>
      </c>
      <c r="AS1101" s="77">
        <f t="shared" ca="1" si="16"/>
        <v>1</v>
      </c>
      <c r="AT1101" s="78">
        <f t="shared" ca="1" si="12"/>
        <v>0.79166666666666663</v>
      </c>
    </row>
    <row r="1102" spans="1:46" ht="12.5" x14ac:dyDescent="0.25">
      <c r="A1102" s="75">
        <v>44963.433023148144</v>
      </c>
      <c r="B1102" s="1" t="s">
        <v>20</v>
      </c>
      <c r="C1102" s="1" t="str">
        <f>INDEX(TBL_Name,MATCH(Table2[[#This Row],[Athlete Name]],listNames,0),2)</f>
        <v>Athlete 12</v>
      </c>
      <c r="D1102" s="1" t="s">
        <v>143</v>
      </c>
      <c r="E1102" s="1">
        <v>9</v>
      </c>
      <c r="F1102" s="1">
        <v>9</v>
      </c>
      <c r="G1102" s="1">
        <v>8</v>
      </c>
      <c r="H1102" s="1" t="s">
        <v>1511</v>
      </c>
      <c r="I1102" s="1">
        <v>6</v>
      </c>
      <c r="J1102" s="1">
        <v>7</v>
      </c>
      <c r="K1102" s="1">
        <v>5</v>
      </c>
      <c r="L1102" s="1">
        <v>80</v>
      </c>
      <c r="M1102" s="1" t="e">
        <f t="shared" ca="1" si="0"/>
        <v>#NAME?</v>
      </c>
      <c r="N1102" s="1" t="e">
        <f t="shared" si="1"/>
        <v>#VALUE!</v>
      </c>
      <c r="O1102" s="1" t="e">
        <f ca="1">IF($N1102=_xludf.MINIFS($N$2:$N2288,$R$2:$R2288,$R1102),1,
($N1102-_xludf.MINIFS($N$2:$N2288,$R$2:$R2288,$R1102))+1)</f>
        <v>#VALUE!</v>
      </c>
      <c r="P1102" s="13" t="e">
        <f t="shared" si="2"/>
        <v>#VALUE!</v>
      </c>
      <c r="Q1102" s="1" t="e">
        <f>RIGHT(YEAR($A1102),2)-(MONTH($A1102)&lt;=#REF!)
 &amp;"-"&amp;
 RIGHT(YEAR($A1102),2)+(MONTH($A1102)&gt;=#REF!)</f>
        <v>#REF!</v>
      </c>
      <c r="R1102" s="1" t="e">
        <f>CHOOSE(MONTH($P1102),#REF!,#REF!,#REF!,#REF!,#REF!,#REF!,#REF!,#REF!,#REF!,#REF!,#REF!,#REF!)&amp;" "&amp;$Q1102</f>
        <v>#VALUE!</v>
      </c>
      <c r="S1102" s="1">
        <f t="shared" si="3"/>
        <v>2</v>
      </c>
      <c r="T1102" s="1" t="str">
        <f t="array" ref="T1102">IFERROR(INDEX(#REF!,MATCH($B1102,#REF!,0)),"")</f>
        <v/>
      </c>
      <c r="U1102" s="1" t="str">
        <f t="array" ref="U1102">IFERROR(INDEX(#REF!,MATCH($B1102,#REF!,0)),"")</f>
        <v/>
      </c>
      <c r="V1102" s="76">
        <f t="array" ref="V1102">AVERAGEIFS($E$2:$E2248,$B$2:$B2248,$B1102,$P$2:$P2248,"&lt;="&amp;$P1102,$P$2:$P2248,"&gt;"&amp;$P1102-7)</f>
        <v>7.4761904761904763</v>
      </c>
      <c r="W1102" s="76">
        <f ca="1">IFERROR(__xludf.DUMMYFUNCTION("iferror(stdevp(filter($D$2:$D2250,$B$2:$B2250=$B1102,$O$2:$O2250&lt;=$O1102,$O$2:$O2250&gt;$O1102-7)),0)"),0)</f>
        <v>0</v>
      </c>
      <c r="X1102" s="77">
        <f t="shared" ca="1" si="4"/>
        <v>0</v>
      </c>
      <c r="Y1102" s="77">
        <f t="shared" ca="1" si="5"/>
        <v>3</v>
      </c>
      <c r="Z1102" s="76">
        <f t="array" ref="Z1102">AVERAGEIFS($F$2:$F2248,$B$2:$B2248,$B1102,$P$2:$P2248,"&lt;="&amp;$P1102,$P$2:$P2248,"&gt;"&amp;$P1102-7)</f>
        <v>8.1904761904761898</v>
      </c>
      <c r="AA1102" s="76">
        <f ca="1">IFERROR(__xludf.DUMMYFUNCTION("iferror(stdevp(filter($E$2:$E2250,$B$2:$B2250=$B1102,$O$2:$O2250&lt;=$O1102,$O$2:$O2250&gt;$O1102-7)),0)"),0)</f>
        <v>0</v>
      </c>
      <c r="AB1102" s="77">
        <f t="shared" ca="1" si="6"/>
        <v>0</v>
      </c>
      <c r="AC1102" s="77">
        <f t="shared" ca="1" si="7"/>
        <v>3</v>
      </c>
      <c r="AD1102" s="76">
        <f t="array" ref="AD1102">AVERAGEIFS($G$2:$G2248,$B$2:$B2248,$B1102,$P$2:$P2248,"&lt;="&amp;$P1102,$P$2:$P2248,"&gt;"&amp;$P1102-7)</f>
        <v>8.5714285714285712</v>
      </c>
      <c r="AE1102" s="76">
        <f ca="1">IFERROR(__xludf.DUMMYFUNCTION("iferror(stdevp(filter($F$2:$F2250,$B$2:$B2250=$B1102,$O$2:$O2250&lt;=$O1102,$O$2:$O2250&gt;$O1102-7)),0)"),0.471404520791031)</f>
        <v>0.47140452079103101</v>
      </c>
      <c r="AF1102" s="77">
        <f t="shared" ca="1" si="8"/>
        <v>-1.2121830534626541</v>
      </c>
      <c r="AG1102" s="77">
        <f t="shared" ca="1" si="9"/>
        <v>1</v>
      </c>
      <c r="AH1102" s="76">
        <f t="array" ref="AH1102">AVERAGEIFS($I$2:$I2248,$B$2:$B2248,$B1102,$P$2:$P2248,"&lt;="&amp;$P1102,$P$2:$P2248,"&gt;"&amp;$P1102-7)</f>
        <v>5.6190476190476186</v>
      </c>
      <c r="AI1102" s="76">
        <f ca="1">IFERROR(__xludf.DUMMYFUNCTION("iferror(stdevp(filter($H$2:$H2250,$B$2:$B2250=$B1102,$O$2:$O2250&lt;=$O1102,$O$2:$O2250&gt;$O1102-7)),0)"),0.816496580927726)</f>
        <v>0.81649658092772603</v>
      </c>
      <c r="AJ1102" s="77">
        <f t="shared" ca="1" si="10"/>
        <v>0.46656947481584399</v>
      </c>
      <c r="AK1102" s="77">
        <f t="shared" ca="1" si="11"/>
        <v>3</v>
      </c>
      <c r="AL1102" s="76">
        <f t="array" ref="AL1102">AVERAGEIFS($J$2:$J2248,$B$2:$B2248,$B1102,$P$2:$P2248,"&lt;="&amp;$P1102,$P$2:$P2248,"&gt;"&amp;$P1102-7)</f>
        <v>7</v>
      </c>
      <c r="AM1102" s="76">
        <f ca="1">IFERROR(__xludf.DUMMYFUNCTION("iferror(stdevp(filter($I$2:$I2250,$B$2:$B2250=$B1102,$O$2:$O2250&lt;=$O1102,$O$2:$O2250&gt;$O1102-7)),0)"),0.5)</f>
        <v>0.5</v>
      </c>
      <c r="AN1102" s="77">
        <f t="shared" ca="1" si="13"/>
        <v>0</v>
      </c>
      <c r="AO1102" s="77">
        <f t="shared" ca="1" si="14"/>
        <v>3</v>
      </c>
      <c r="AP1102" s="76">
        <f t="array" ref="AP1102">AVERAGEIFS($K$2:$K2248,$B$2:$B2248,$B1102,$P$2:$P2248,"&lt;="&amp;$P1102,$P$2:$P2248,"&gt;"&amp;$P1102-7)</f>
        <v>7.4285714285714288</v>
      </c>
      <c r="AQ1102" s="76">
        <f ca="1">IFERROR(__xludf.DUMMYFUNCTION("iferror(stdevp(filter($J$2:$J2250,$B$2:$B2250=$B1102,$O$2:$O2250&lt;=$O1102,$O$2:$O2250&gt;$O1102-7)),0)"),2)</f>
        <v>2</v>
      </c>
      <c r="AR1102" s="77">
        <f t="shared" ca="1" si="15"/>
        <v>-1.2142857142857144</v>
      </c>
      <c r="AS1102" s="77">
        <f t="shared" ca="1" si="16"/>
        <v>1</v>
      </c>
      <c r="AT1102" s="78">
        <f t="shared" ca="1" si="12"/>
        <v>0.58333333333333337</v>
      </c>
    </row>
    <row r="1103" spans="1:46" ht="12.5" x14ac:dyDescent="0.25">
      <c r="A1103" s="75">
        <v>44963.447470358791</v>
      </c>
      <c r="B1103" s="1" t="s">
        <v>15</v>
      </c>
      <c r="C1103" s="1" t="str">
        <f>INDEX(TBL_Name,MATCH(Table2[[#This Row],[Athlete Name]],listNames,0),2)</f>
        <v>Athlete 8</v>
      </c>
      <c r="D1103" s="1" t="s">
        <v>130</v>
      </c>
      <c r="E1103" s="1">
        <v>9</v>
      </c>
      <c r="F1103" s="1">
        <v>6</v>
      </c>
      <c r="G1103" s="1">
        <v>6</v>
      </c>
      <c r="H1103" s="1" t="s">
        <v>307</v>
      </c>
      <c r="I1103" s="1">
        <v>7</v>
      </c>
      <c r="J1103" s="1">
        <v>5</v>
      </c>
      <c r="K1103" s="1">
        <v>10</v>
      </c>
      <c r="L1103" s="1">
        <v>70</v>
      </c>
      <c r="M1103" s="1" t="e">
        <f t="shared" ca="1" si="0"/>
        <v>#NAME?</v>
      </c>
      <c r="N1103" s="1" t="e">
        <f t="shared" si="1"/>
        <v>#VALUE!</v>
      </c>
      <c r="O1103" s="1" t="e">
        <f ca="1">IF($N1103=_xludf.MINIFS($N$2:$N2289,$R$2:$R2289,$R1103),1,
($N1103-_xludf.MINIFS($N$2:$N2289,$R$2:$R2289,$R1103))+1)</f>
        <v>#VALUE!</v>
      </c>
      <c r="P1103" s="13" t="e">
        <f t="shared" si="2"/>
        <v>#VALUE!</v>
      </c>
      <c r="Q1103" s="1" t="e">
        <f>RIGHT(YEAR($A1103),2)-(MONTH($A1103)&lt;=#REF!)
 &amp;"-"&amp;
 RIGHT(YEAR($A1103),2)+(MONTH($A1103)&gt;=#REF!)</f>
        <v>#REF!</v>
      </c>
      <c r="R1103" s="1" t="e">
        <f>CHOOSE(MONTH($P1103),#REF!,#REF!,#REF!,#REF!,#REF!,#REF!,#REF!,#REF!,#REF!,#REF!,#REF!,#REF!)&amp;" "&amp;$Q1103</f>
        <v>#VALUE!</v>
      </c>
      <c r="S1103" s="1">
        <f t="shared" si="3"/>
        <v>1</v>
      </c>
      <c r="T1103" s="1" t="str">
        <f t="array" ref="T1103">IFERROR(INDEX(#REF!,MATCH($B1103,#REF!,0)),"")</f>
        <v/>
      </c>
      <c r="U1103" s="1" t="str">
        <f t="array" ref="U1103">IFERROR(INDEX(#REF!,MATCH($B1103,#REF!,0)),"")</f>
        <v/>
      </c>
      <c r="V1103" s="76">
        <f t="array" ref="V1103">AVERAGEIFS($E$2:$E2248,$B$2:$B2248,$B1103,$P$2:$P2248,"&lt;="&amp;$P1103,$P$2:$P2248,"&gt;"&amp;$P1103-7)</f>
        <v>8.935483870967742</v>
      </c>
      <c r="W1103" s="76">
        <f ca="1">IFERROR(__xludf.DUMMYFUNCTION("iferror(stdevp(filter($D$2:$D2250,$B$2:$B2250=$B1103,$O$2:$O2250&lt;=$O1103,$O$2:$O2250&gt;$O1103-7)),0)"),0.894427190999916)</f>
        <v>0.89442719099991597</v>
      </c>
      <c r="X1103" s="77">
        <f t="shared" ca="1" si="4"/>
        <v>7.2131225080638309E-2</v>
      </c>
      <c r="Y1103" s="77">
        <f t="shared" ca="1" si="5"/>
        <v>3</v>
      </c>
      <c r="Z1103" s="76">
        <f t="array" ref="Z1103">AVERAGEIFS($F$2:$F2248,$B$2:$B2248,$B1103,$P$2:$P2248,"&lt;="&amp;$P1103,$P$2:$P2248,"&gt;"&amp;$P1103-7)</f>
        <v>8.741935483870968</v>
      </c>
      <c r="AA1103" s="76">
        <f ca="1">IFERROR(__xludf.DUMMYFUNCTION("iferror(stdevp(filter($E$2:$E2250,$B$2:$B2250=$B1103,$O$2:$O2250&lt;=$O1103,$O$2:$O2250&gt;$O1103-7)),0)"),1.59999999999999)</f>
        <v>1.5999999999999901</v>
      </c>
      <c r="AB1103" s="77">
        <f t="shared" ca="1" si="6"/>
        <v>-1.7137096774193656</v>
      </c>
      <c r="AC1103" s="77">
        <f t="shared" ca="1" si="7"/>
        <v>1</v>
      </c>
      <c r="AD1103" s="76">
        <f t="array" ref="AD1103">AVERAGEIFS($G$2:$G2248,$B$2:$B2248,$B1103,$P$2:$P2248,"&lt;="&amp;$P1103,$P$2:$P2248,"&gt;"&amp;$P1103-7)</f>
        <v>7.32258064516129</v>
      </c>
      <c r="AE1103" s="76">
        <f ca="1">IFERROR(__xludf.DUMMYFUNCTION("iferror(stdevp(filter($F$2:$F2250,$B$2:$B2250=$B1103,$O$2:$O2250&lt;=$O1103,$O$2:$O2250&gt;$O1103-7)),0)"),1.32664991614216)</f>
        <v>1.3266499161421601</v>
      </c>
      <c r="AF1103" s="77">
        <f t="shared" ca="1" si="8"/>
        <v>-0.99693267158776644</v>
      </c>
      <c r="AG1103" s="77">
        <f t="shared" ca="1" si="9"/>
        <v>2</v>
      </c>
      <c r="AH1103" s="76">
        <f t="array" ref="AH1103">AVERAGEIFS($I$2:$I2248,$B$2:$B2248,$B1103,$P$2:$P2248,"&lt;="&amp;$P1103,$P$2:$P2248,"&gt;"&amp;$P1103-7)</f>
        <v>6.419354838709677</v>
      </c>
      <c r="AI1103" s="76">
        <f ca="1">IFERROR(__xludf.DUMMYFUNCTION("iferror(stdevp(filter($H$2:$H2250,$B$2:$B2250=$B1103,$O$2:$O2250&lt;=$O1103,$O$2:$O2250&gt;$O1103-7)),0)"),0.399999999999999)</f>
        <v>0.39999999999999902</v>
      </c>
      <c r="AJ1103" s="77">
        <f t="shared" ca="1" si="10"/>
        <v>1.4516129032258109</v>
      </c>
      <c r="AK1103" s="77">
        <f t="shared" ca="1" si="11"/>
        <v>4</v>
      </c>
      <c r="AL1103" s="76">
        <f t="array" ref="AL1103">AVERAGEIFS($J$2:$J2248,$B$2:$B2248,$B1103,$P$2:$P2248,"&lt;="&amp;$P1103,$P$2:$P2248,"&gt;"&amp;$P1103-7)</f>
        <v>9.612903225806452</v>
      </c>
      <c r="AM1103" s="76">
        <f ca="1">IFERROR(__xludf.DUMMYFUNCTION("iferror(stdevp(filter($I$2:$I2250,$B$2:$B2250=$B1103,$O$2:$O2250&lt;=$O1103,$O$2:$O2250&gt;$O1103-7)),0)"),0.816496580927726)</f>
        <v>0.81649658092772603</v>
      </c>
      <c r="AN1103" s="77">
        <f t="shared" ca="1" si="13"/>
        <v>-5.6496295680321689</v>
      </c>
      <c r="AO1103" s="77">
        <f t="shared" ca="1" si="14"/>
        <v>1</v>
      </c>
      <c r="AP1103" s="76">
        <f t="array" ref="AP1103">AVERAGEIFS($K$2:$K2248,$B$2:$B2248,$B1103,$P$2:$P2248,"&lt;="&amp;$P1103,$P$2:$P2248,"&gt;"&amp;$P1103-7)</f>
        <v>10</v>
      </c>
      <c r="AQ1103" s="76">
        <f ca="1">IFERROR(__xludf.DUMMYFUNCTION("iferror(stdevp(filter($J$2:$J2250,$B$2:$B2250=$B1103,$O$2:$O2250&lt;=$O1103,$O$2:$O2250&gt;$O1103-7)),0)"),0)</f>
        <v>0</v>
      </c>
      <c r="AR1103" s="77">
        <f t="shared" ca="1" si="15"/>
        <v>0</v>
      </c>
      <c r="AS1103" s="77">
        <f t="shared" ca="1" si="16"/>
        <v>3</v>
      </c>
      <c r="AT1103" s="78">
        <f t="shared" ca="1" si="12"/>
        <v>0.58333333333333337</v>
      </c>
    </row>
    <row r="1104" spans="1:46" ht="12.5" x14ac:dyDescent="0.25">
      <c r="A1104" s="75">
        <v>44963.459317094908</v>
      </c>
      <c r="B1104" s="1" t="s">
        <v>12</v>
      </c>
      <c r="C1104" s="1" t="str">
        <f>INDEX(TBL_Name,MATCH(Table2[[#This Row],[Athlete Name]],listNames,0),2)</f>
        <v>Athlete 6</v>
      </c>
      <c r="D1104" s="1" t="s">
        <v>130</v>
      </c>
      <c r="E1104" s="1">
        <v>10</v>
      </c>
      <c r="F1104" s="1">
        <v>1</v>
      </c>
      <c r="G1104" s="1">
        <v>3</v>
      </c>
      <c r="H1104" s="1" t="s">
        <v>1512</v>
      </c>
      <c r="I1104" s="1">
        <v>8</v>
      </c>
      <c r="J1104" s="1">
        <v>4</v>
      </c>
      <c r="K1104" s="1">
        <v>2</v>
      </c>
      <c r="L1104" s="1">
        <v>1</v>
      </c>
      <c r="M1104" s="1" t="e">
        <f t="shared" ca="1" si="0"/>
        <v>#NAME?</v>
      </c>
      <c r="N1104" s="1" t="e">
        <f t="shared" si="1"/>
        <v>#VALUE!</v>
      </c>
      <c r="O1104" s="1" t="e">
        <f ca="1">IF($N1104=_xludf.MINIFS($N$2:$N2290,$R$2:$R2290,$R1104),1,
($N1104-_xludf.MINIFS($N$2:$N2290,$R$2:$R2290,$R1104))+1)</f>
        <v>#VALUE!</v>
      </c>
      <c r="P1104" s="13" t="e">
        <f t="shared" si="2"/>
        <v>#VALUE!</v>
      </c>
      <c r="Q1104" s="1" t="e">
        <f>RIGHT(YEAR($A1104),2)-(MONTH($A1104)&lt;=#REF!)
 &amp;"-"&amp;
 RIGHT(YEAR($A1104),2)+(MONTH($A1104)&gt;=#REF!)</f>
        <v>#REF!</v>
      </c>
      <c r="R1104" s="1" t="e">
        <f>CHOOSE(MONTH($P1104),#REF!,#REF!,#REF!,#REF!,#REF!,#REF!,#REF!,#REF!,#REF!,#REF!,#REF!,#REF!)&amp;" "&amp;$Q1104</f>
        <v>#VALUE!</v>
      </c>
      <c r="S1104" s="1">
        <f t="shared" si="3"/>
        <v>1</v>
      </c>
      <c r="T1104" s="1" t="str">
        <f t="array" ref="T1104">IFERROR(INDEX(#REF!,MATCH($B1104,#REF!,0)),"")</f>
        <v/>
      </c>
      <c r="U1104" s="1" t="str">
        <f t="array" ref="U1104">IFERROR(INDEX(#REF!,MATCH($B1104,#REF!,0)),"")</f>
        <v/>
      </c>
      <c r="V1104" s="76">
        <f t="array" ref="V1104">AVERAGEIFS($E$2:$E2248,$B$2:$B2248,$B1104,$P$2:$P2248,"&lt;="&amp;$P1104,$P$2:$P2248,"&gt;"&amp;$P1104-7)</f>
        <v>9.75</v>
      </c>
      <c r="W1104" s="76">
        <f ca="1">IFERROR(__xludf.DUMMYFUNCTION("iferror(stdevp(filter($D$2:$D2250,$B$2:$B2250=$B1104,$O$2:$O2250&lt;=$O1104,$O$2:$O2250&gt;$O1104-7)),0)"),0)</f>
        <v>0</v>
      </c>
      <c r="X1104" s="77">
        <f t="shared" ca="1" si="4"/>
        <v>0</v>
      </c>
      <c r="Y1104" s="77">
        <f t="shared" ca="1" si="5"/>
        <v>3</v>
      </c>
      <c r="Z1104" s="76">
        <f t="array" ref="Z1104">AVERAGEIFS($F$2:$F2248,$B$2:$B2248,$B1104,$P$2:$P2248,"&lt;="&amp;$P1104,$P$2:$P2248,"&gt;"&amp;$P1104-7)</f>
        <v>7.083333333333333</v>
      </c>
      <c r="AA1104" s="76">
        <f ca="1">IFERROR(__xludf.DUMMYFUNCTION("iferror(stdevp(filter($E$2:$E2250,$B$2:$B2250=$B1104,$O$2:$O2250&lt;=$O1104,$O$2:$O2250&gt;$O1104-7)),0)"),3.03108891324553)</f>
        <v>3.0310889132455299</v>
      </c>
      <c r="AB1104" s="77">
        <f t="shared" ca="1" si="6"/>
        <v>-2.0069795071829883</v>
      </c>
      <c r="AC1104" s="77">
        <f t="shared" ca="1" si="7"/>
        <v>1</v>
      </c>
      <c r="AD1104" s="76">
        <f t="array" ref="AD1104">AVERAGEIFS($G$2:$G2248,$B$2:$B2248,$B1104,$P$2:$P2248,"&lt;="&amp;$P1104,$P$2:$P2248,"&gt;"&amp;$P1104-7)</f>
        <v>7.083333333333333</v>
      </c>
      <c r="AE1104" s="76">
        <f ca="1">IFERROR(__xludf.DUMMYFUNCTION("iferror(stdevp(filter($F$2:$F2250,$B$2:$B2250=$B1104,$O$2:$O2250&lt;=$O1104,$O$2:$O2250&gt;$O1104-7)),0)"),2.34520787991171)</f>
        <v>2.34520787991171</v>
      </c>
      <c r="AF1104" s="77">
        <f t="shared" ca="1" si="8"/>
        <v>-1.7411391835708221</v>
      </c>
      <c r="AG1104" s="77">
        <f t="shared" ca="1" si="9"/>
        <v>1</v>
      </c>
      <c r="AH1104" s="76">
        <f t="array" ref="AH1104">AVERAGEIFS($I$2:$I2248,$B$2:$B2248,$B1104,$P$2:$P2248,"&lt;="&amp;$P1104,$P$2:$P2248,"&gt;"&amp;$P1104-7)</f>
        <v>6.583333333333333</v>
      </c>
      <c r="AI1104" s="76">
        <f ca="1">IFERROR(__xludf.DUMMYFUNCTION("iferror(stdevp(filter($H$2:$H2250,$B$2:$B2250=$B1104,$O$2:$O2250&lt;=$O1104,$O$2:$O2250&gt;$O1104-7)),0)"),1.08972473588516)</f>
        <v>1.0897247358851601</v>
      </c>
      <c r="AJ1104" s="77">
        <f t="shared" ca="1" si="10"/>
        <v>1.3000224919331935</v>
      </c>
      <c r="AK1104" s="77">
        <f t="shared" ca="1" si="11"/>
        <v>4</v>
      </c>
      <c r="AL1104" s="76">
        <f t="array" ref="AL1104">AVERAGEIFS($J$2:$J2248,$B$2:$B2248,$B1104,$P$2:$P2248,"&lt;="&amp;$P1104,$P$2:$P2248,"&gt;"&amp;$P1104-7)</f>
        <v>6.666666666666667</v>
      </c>
      <c r="AM1104" s="76">
        <f ca="1">IFERROR(__xludf.DUMMYFUNCTION("iferror(stdevp(filter($I$2:$I2250,$B$2:$B2250=$B1104,$O$2:$O2250&lt;=$O1104,$O$2:$O2250&gt;$O1104-7)),0)"),1.24721912892464)</f>
        <v>1.2472191289246399</v>
      </c>
      <c r="AN1104" s="77">
        <f t="shared" ca="1" si="13"/>
        <v>-2.1380899352994076</v>
      </c>
      <c r="AO1104" s="77">
        <f t="shared" ca="1" si="14"/>
        <v>1</v>
      </c>
      <c r="AP1104" s="76">
        <f t="array" ref="AP1104">AVERAGEIFS($K$2:$K2248,$B$2:$B2248,$B1104,$P$2:$P2248,"&lt;="&amp;$P1104,$P$2:$P2248,"&gt;"&amp;$P1104-7)</f>
        <v>8.25</v>
      </c>
      <c r="AQ1104" s="76">
        <f ca="1">IFERROR(__xludf.DUMMYFUNCTION("iferror(stdevp(filter($J$2:$J2250,$B$2:$B2250=$B1104,$O$2:$O2250&lt;=$O1104,$O$2:$O2250&gt;$O1104-7)),0)"),3.2659863237109)</f>
        <v>3.2659863237109001</v>
      </c>
      <c r="AR1104" s="77">
        <f t="shared" ca="1" si="15"/>
        <v>-1.9136638615493602</v>
      </c>
      <c r="AS1104" s="77">
        <f t="shared" ca="1" si="16"/>
        <v>1</v>
      </c>
      <c r="AT1104" s="78">
        <f t="shared" ca="1" si="12"/>
        <v>0.45833333333333331</v>
      </c>
    </row>
    <row r="1105" spans="1:46" ht="12.5" x14ac:dyDescent="0.25">
      <c r="A1105" s="75">
        <v>44963.50812943287</v>
      </c>
      <c r="B1105" s="1" t="s">
        <v>6</v>
      </c>
      <c r="C1105" s="1" t="str">
        <f>INDEX(TBL_Name,MATCH(Table2[[#This Row],[Athlete Name]],listNames,0),2)</f>
        <v>Athlete 2</v>
      </c>
      <c r="D1105" s="1" t="s">
        <v>143</v>
      </c>
      <c r="E1105" s="1">
        <v>10</v>
      </c>
      <c r="F1105" s="1">
        <v>8</v>
      </c>
      <c r="G1105" s="1">
        <v>8</v>
      </c>
      <c r="H1105" s="1" t="s">
        <v>181</v>
      </c>
      <c r="I1105" s="1">
        <v>9</v>
      </c>
      <c r="J1105" s="1">
        <v>5</v>
      </c>
      <c r="K1105" s="1">
        <v>8</v>
      </c>
      <c r="L1105" s="1">
        <v>99</v>
      </c>
      <c r="M1105" s="1" t="e">
        <f t="shared" ca="1" si="0"/>
        <v>#NAME?</v>
      </c>
      <c r="N1105" s="1" t="e">
        <f t="shared" si="1"/>
        <v>#VALUE!</v>
      </c>
      <c r="O1105" s="1" t="e">
        <f ca="1">IF($N1105=_xludf.MINIFS($N$2:$N2291,$R$2:$R2291,$R1105),1,
($N1105-_xludf.MINIFS($N$2:$N2291,$R$2:$R2291,$R1105))+1)</f>
        <v>#VALUE!</v>
      </c>
      <c r="P1105" s="13" t="e">
        <f t="shared" si="2"/>
        <v>#VALUE!</v>
      </c>
      <c r="Q1105" s="1" t="e">
        <f>RIGHT(YEAR($A1105),2)-(MONTH($A1105)&lt;=#REF!)
 &amp;"-"&amp;
 RIGHT(YEAR($A1105),2)+(MONTH($A1105)&gt;=#REF!)</f>
        <v>#REF!</v>
      </c>
      <c r="R1105" s="1" t="e">
        <f>CHOOSE(MONTH($P1105),#REF!,#REF!,#REF!,#REF!,#REF!,#REF!,#REF!,#REF!,#REF!,#REF!,#REF!,#REF!)&amp;" "&amp;$Q1105</f>
        <v>#VALUE!</v>
      </c>
      <c r="S1105" s="1">
        <f t="shared" si="3"/>
        <v>2</v>
      </c>
      <c r="T1105" s="1" t="str">
        <f t="array" ref="T1105">IFERROR(INDEX(#REF!,MATCH($B1105,#REF!,0)),"")</f>
        <v/>
      </c>
      <c r="U1105" s="1" t="str">
        <f t="array" ref="U1105">IFERROR(INDEX(#REF!,MATCH($B1105,#REF!,0)),"")</f>
        <v/>
      </c>
      <c r="V1105" s="76">
        <f t="array" ref="V1105">AVERAGEIFS($E$2:$E2248,$B$2:$B2248,$B1105,$P$2:$P2248,"&lt;="&amp;$P1105,$P$2:$P2248,"&gt;"&amp;$P1105-7)</f>
        <v>9.7441860465116275</v>
      </c>
      <c r="W1105" s="76">
        <f ca="1">IFERROR(__xludf.DUMMYFUNCTION("iferror(stdevp(filter($D$2:$D2250,$B$2:$B2250=$B1105,$O$2:$O2250&lt;=$O1105,$O$2:$O2250&gt;$O1105-7)),0)"),0.745355992499929)</f>
        <v>0.74535599249992901</v>
      </c>
      <c r="X1105" s="77">
        <f t="shared" ca="1" si="4"/>
        <v>0.3432104337557827</v>
      </c>
      <c r="Y1105" s="77">
        <f t="shared" ca="1" si="5"/>
        <v>3</v>
      </c>
      <c r="Z1105" s="76">
        <f t="array" ref="Z1105">AVERAGEIFS($F$2:$F2248,$B$2:$B2248,$B1105,$P$2:$P2248,"&lt;="&amp;$P1105,$P$2:$P2248,"&gt;"&amp;$P1105-7)</f>
        <v>8.279069767441861</v>
      </c>
      <c r="AA1105" s="76">
        <f ca="1">IFERROR(__xludf.DUMMYFUNCTION("iferror(stdevp(filter($E$2:$E2250,$B$2:$B2250=$B1105,$O$2:$O2250&lt;=$O1105,$O$2:$O2250&gt;$O1105-7)),0)"),0.745355992499929)</f>
        <v>0.74535599249992901</v>
      </c>
      <c r="AB1105" s="77">
        <f t="shared" ca="1" si="6"/>
        <v>-0.37441138227903564</v>
      </c>
      <c r="AC1105" s="77">
        <f t="shared" ca="1" si="7"/>
        <v>2</v>
      </c>
      <c r="AD1105" s="76">
        <f t="array" ref="AD1105">AVERAGEIFS($G$2:$G2248,$B$2:$B2248,$B1105,$P$2:$P2248,"&lt;="&amp;$P1105,$P$2:$P2248,"&gt;"&amp;$P1105-7)</f>
        <v>8.604651162790697</v>
      </c>
      <c r="AE1105" s="76">
        <f ca="1">IFERROR(__xludf.DUMMYFUNCTION("iferror(stdevp(filter($F$2:$F2250,$B$2:$B2250=$B1105,$O$2:$O2250&lt;=$O1105,$O$2:$O2250&gt;$O1105-7)),0)"),1.37436854187255)</f>
        <v>1.37436854187255</v>
      </c>
      <c r="AF1105" s="77">
        <f t="shared" ca="1" si="8"/>
        <v>-0.43994834308916275</v>
      </c>
      <c r="AG1105" s="77">
        <f t="shared" ca="1" si="9"/>
        <v>2</v>
      </c>
      <c r="AH1105" s="76">
        <f t="array" ref="AH1105">AVERAGEIFS($I$2:$I2248,$B$2:$B2248,$B1105,$P$2:$P2248,"&lt;="&amp;$P1105,$P$2:$P2248,"&gt;"&amp;$P1105-7)</f>
        <v>8.3488372093023262</v>
      </c>
      <c r="AI1105" s="76">
        <f ca="1">IFERROR(__xludf.DUMMYFUNCTION("iferror(stdevp(filter($H$2:$H2250,$B$2:$B2250=$B1105,$O$2:$O2250&lt;=$O1105,$O$2:$O2250&gt;$O1105-7)),0)"),1.38443731048634)</f>
        <v>1.3844373104863399</v>
      </c>
      <c r="AJ1105" s="77">
        <f t="shared" ca="1" si="10"/>
        <v>0.47034472833509983</v>
      </c>
      <c r="AK1105" s="77">
        <f t="shared" ca="1" si="11"/>
        <v>3</v>
      </c>
      <c r="AL1105" s="76">
        <f t="array" ref="AL1105">AVERAGEIFS($J$2:$J2248,$B$2:$B2248,$B1105,$P$2:$P2248,"&lt;="&amp;$P1105,$P$2:$P2248,"&gt;"&amp;$P1105-7)</f>
        <v>8.3023255813953494</v>
      </c>
      <c r="AM1105" s="76">
        <f ca="1">IFERROR(__xludf.DUMMYFUNCTION("iferror(stdevp(filter($I$2:$I2250,$B$2:$B2250=$B1105,$O$2:$O2250&lt;=$O1105,$O$2:$O2250&gt;$O1105-7)),0)"),0.632455532033675)</f>
        <v>0.63245553203367499</v>
      </c>
      <c r="AN1105" s="77">
        <f t="shared" ca="1" si="13"/>
        <v>-5.2214352063245411</v>
      </c>
      <c r="AO1105" s="77">
        <f t="shared" ca="1" si="14"/>
        <v>1</v>
      </c>
      <c r="AP1105" s="76">
        <f t="array" ref="AP1105">AVERAGEIFS($K$2:$K2248,$B$2:$B2248,$B1105,$P$2:$P2248,"&lt;="&amp;$P1105,$P$2:$P2248,"&gt;"&amp;$P1105-7)</f>
        <v>8.9069767441860463</v>
      </c>
      <c r="AQ1105" s="76">
        <f ca="1">IFERROR(__xludf.DUMMYFUNCTION("iferror(stdevp(filter($J$2:$J2250,$B$2:$B2250=$B1105,$O$2:$O2250&lt;=$O1105,$O$2:$O2250&gt;$O1105-7)),0)"),0.632455532033675)</f>
        <v>0.63245553203367499</v>
      </c>
      <c r="AR1105" s="77">
        <f t="shared" ca="1" si="15"/>
        <v>-1.4340561482158947</v>
      </c>
      <c r="AS1105" s="77">
        <f t="shared" ca="1" si="16"/>
        <v>1</v>
      </c>
      <c r="AT1105" s="78">
        <f t="shared" ca="1" si="12"/>
        <v>0.5</v>
      </c>
    </row>
    <row r="1106" spans="1:46" ht="12.5" x14ac:dyDescent="0.25">
      <c r="A1106" s="75">
        <v>44963.556435763894</v>
      </c>
      <c r="B1106" s="1" t="s">
        <v>17</v>
      </c>
      <c r="C1106" s="1" t="str">
        <f>INDEX(TBL_Name,MATCH(Table2[[#This Row],[Athlete Name]],listNames,0),2)</f>
        <v>Athlete 10</v>
      </c>
      <c r="D1106" s="1" t="s">
        <v>130</v>
      </c>
      <c r="E1106" s="1">
        <v>3</v>
      </c>
      <c r="F1106" s="1">
        <v>3</v>
      </c>
      <c r="G1106" s="1">
        <v>5</v>
      </c>
      <c r="H1106" s="1" t="s">
        <v>228</v>
      </c>
      <c r="I1106" s="1">
        <v>7</v>
      </c>
      <c r="J1106" s="1">
        <v>7</v>
      </c>
      <c r="K1106" s="1">
        <v>8</v>
      </c>
      <c r="L1106" s="1">
        <v>72</v>
      </c>
      <c r="M1106" s="1" t="e">
        <f t="shared" ca="1" si="0"/>
        <v>#NAME?</v>
      </c>
      <c r="N1106" s="1" t="e">
        <f t="shared" si="1"/>
        <v>#VALUE!</v>
      </c>
      <c r="O1106" s="1" t="e">
        <f ca="1">IF($N1106=_xludf.MINIFS($N$2:$N2292,$R$2:$R2292,$R1106),1,
($N1106-_xludf.MINIFS($N$2:$N2292,$R$2:$R2292,$R1106))+1)</f>
        <v>#VALUE!</v>
      </c>
      <c r="P1106" s="13" t="e">
        <f t="shared" si="2"/>
        <v>#VALUE!</v>
      </c>
      <c r="Q1106" s="1" t="e">
        <f>RIGHT(YEAR($A1106),2)-(MONTH($A1106)&lt;=#REF!)
 &amp;"-"&amp;
 RIGHT(YEAR($A1106),2)+(MONTH($A1106)&gt;=#REF!)</f>
        <v>#REF!</v>
      </c>
      <c r="R1106" s="1" t="e">
        <f>CHOOSE(MONTH($P1106),#REF!,#REF!,#REF!,#REF!,#REF!,#REF!,#REF!,#REF!,#REF!,#REF!,#REF!,#REF!)&amp;" "&amp;$Q1106</f>
        <v>#VALUE!</v>
      </c>
      <c r="S1106" s="1">
        <f t="shared" si="3"/>
        <v>1</v>
      </c>
      <c r="T1106" s="1" t="str">
        <f t="array" ref="T1106">IFERROR(INDEX(#REF!,MATCH($B1106,#REF!,0)),"")</f>
        <v/>
      </c>
      <c r="U1106" s="1" t="str">
        <f t="array" ref="U1106">IFERROR(INDEX(#REF!,MATCH($B1106,#REF!,0)),"")</f>
        <v/>
      </c>
      <c r="V1106" s="76">
        <f t="array" ref="V1106">AVERAGEIFS($E$2:$E2248,$B$2:$B2248,$B1106,$P$2:$P2248,"&lt;="&amp;$P1106,$P$2:$P2248,"&gt;"&amp;$P1106-7)</f>
        <v>6.9024390243902438</v>
      </c>
      <c r="W1106" s="76">
        <f ca="1">IFERROR(__xludf.DUMMYFUNCTION("iferror(stdevp(filter($D$2:$D2250,$B$2:$B2250=$B1106,$O$2:$O2250&lt;=$O1106,$O$2:$O2250&gt;$O1106-7)),0)"),1.78535710713571)</f>
        <v>1.7853571071357099</v>
      </c>
      <c r="X1106" s="77">
        <f t="shared" ca="1" si="4"/>
        <v>-2.1858030579949452</v>
      </c>
      <c r="Y1106" s="77">
        <f t="shared" ca="1" si="5"/>
        <v>1</v>
      </c>
      <c r="Z1106" s="76">
        <f t="array" ref="Z1106">AVERAGEIFS($F$2:$F2248,$B$2:$B2248,$B1106,$P$2:$P2248,"&lt;="&amp;$P1106,$P$2:$P2248,"&gt;"&amp;$P1106-7)</f>
        <v>7.2926829268292686</v>
      </c>
      <c r="AA1106" s="76">
        <f ca="1">IFERROR(__xludf.DUMMYFUNCTION("iferror(stdevp(filter($E$2:$E2250,$B$2:$B2250=$B1106,$O$2:$O2250&lt;=$O1106,$O$2:$O2250&gt;$O1106-7)),0)"),2.27760839478607)</f>
        <v>2.2776083947860699</v>
      </c>
      <c r="AB1106" s="77">
        <f t="shared" ca="1" si="6"/>
        <v>-1.884732659335175</v>
      </c>
      <c r="AC1106" s="77">
        <f t="shared" ca="1" si="7"/>
        <v>1</v>
      </c>
      <c r="AD1106" s="76">
        <f t="array" ref="AD1106">AVERAGEIFS($G$2:$G2248,$B$2:$B2248,$B1106,$P$2:$P2248,"&lt;="&amp;$P1106,$P$2:$P2248,"&gt;"&amp;$P1106-7)</f>
        <v>7.8048780487804876</v>
      </c>
      <c r="AE1106" s="76">
        <f ca="1">IFERROR(__xludf.DUMMYFUNCTION("iferror(stdevp(filter($F$2:$F2250,$B$2:$B2250=$B1106,$O$2:$O2250&lt;=$O1106,$O$2:$O2250&gt;$O1106-7)),0)"),1.73205080756887)</f>
        <v>1.7320508075688701</v>
      </c>
      <c r="AF1106" s="77">
        <f t="shared" ca="1" si="8"/>
        <v>-1.6193970965074935</v>
      </c>
      <c r="AG1106" s="77">
        <f t="shared" ca="1" si="9"/>
        <v>1</v>
      </c>
      <c r="AH1106" s="76">
        <f t="array" ref="AH1106">AVERAGEIFS($I$2:$I2248,$B$2:$B2248,$B1106,$P$2:$P2248,"&lt;="&amp;$P1106,$P$2:$P2248,"&gt;"&amp;$P1106-7)</f>
        <v>6.3170731707317076</v>
      </c>
      <c r="AI1106" s="76">
        <f ca="1">IFERROR(__xludf.DUMMYFUNCTION("iferror(stdevp(filter($H$2:$H2250,$B$2:$B2250=$B1106,$O$2:$O2250&lt;=$O1106,$O$2:$O2250&gt;$O1106-7)),0)"),0.866025403784438)</f>
        <v>0.86602540378443804</v>
      </c>
      <c r="AJ1106" s="77">
        <f t="shared" ca="1" si="10"/>
        <v>0.78857597742973295</v>
      </c>
      <c r="AK1106" s="77">
        <f t="shared" ca="1" si="11"/>
        <v>3</v>
      </c>
      <c r="AL1106" s="76">
        <f t="array" ref="AL1106">AVERAGEIFS($J$2:$J2248,$B$2:$B2248,$B1106,$P$2:$P2248,"&lt;="&amp;$P1106,$P$2:$P2248,"&gt;"&amp;$P1106-7)</f>
        <v>6.9024390243902438</v>
      </c>
      <c r="AM1106" s="76">
        <f ca="1">IFERROR(__xludf.DUMMYFUNCTION("iferror(stdevp(filter($I$2:$I2250,$B$2:$B2250=$B1106,$O$2:$O2250&lt;=$O1106,$O$2:$O2250&gt;$O1106-7)),0)"),0.471404520791031)</f>
        <v>0.47140452079103101</v>
      </c>
      <c r="AN1106" s="77">
        <f t="shared" ca="1" si="13"/>
        <v>0.20695808229850218</v>
      </c>
      <c r="AO1106" s="77">
        <f t="shared" ca="1" si="14"/>
        <v>3</v>
      </c>
      <c r="AP1106" s="76">
        <f t="array" ref="AP1106">AVERAGEIFS($K$2:$K2248,$B$2:$B2248,$B1106,$P$2:$P2248,"&lt;="&amp;$P1106,$P$2:$P2248,"&gt;"&amp;$P1106-7)</f>
        <v>8</v>
      </c>
      <c r="AQ1106" s="76">
        <f ca="1">IFERROR(__xludf.DUMMYFUNCTION("iferror(stdevp(filter($J$2:$J2250,$B$2:$B2250=$B1106,$O$2:$O2250&lt;=$O1106,$O$2:$O2250&gt;$O1106-7)),0)"),0.471404520791031)</f>
        <v>0.47140452079103101</v>
      </c>
      <c r="AR1106" s="77">
        <f t="shared" ca="1" si="15"/>
        <v>0</v>
      </c>
      <c r="AS1106" s="77">
        <f t="shared" ca="1" si="16"/>
        <v>3</v>
      </c>
      <c r="AT1106" s="78">
        <f t="shared" ca="1" si="12"/>
        <v>0.5</v>
      </c>
    </row>
    <row r="1107" spans="1:46" ht="12.5" x14ac:dyDescent="0.25">
      <c r="A1107" s="75">
        <v>44963.598374837966</v>
      </c>
      <c r="B1107" s="1" t="s">
        <v>4</v>
      </c>
      <c r="C1107" s="1" t="str">
        <f>INDEX(TBL_Name,MATCH(Table2[[#This Row],[Athlete Name]],listNames,0),2)</f>
        <v>Athlete 1</v>
      </c>
      <c r="D1107" s="1" t="s">
        <v>130</v>
      </c>
      <c r="E1107" s="1">
        <v>10</v>
      </c>
      <c r="F1107" s="1">
        <v>7</v>
      </c>
      <c r="G1107" s="1">
        <v>7</v>
      </c>
      <c r="H1107" s="1" t="s">
        <v>1513</v>
      </c>
      <c r="I1107" s="1">
        <v>8</v>
      </c>
      <c r="J1107" s="1">
        <v>5</v>
      </c>
      <c r="K1107" s="1">
        <v>6</v>
      </c>
      <c r="L1107" s="1">
        <v>90</v>
      </c>
      <c r="M1107" s="1" t="e">
        <f t="shared" ca="1" si="0"/>
        <v>#NAME?</v>
      </c>
      <c r="N1107" s="1" t="e">
        <f t="shared" si="1"/>
        <v>#VALUE!</v>
      </c>
      <c r="O1107" s="1" t="e">
        <f ca="1">IF($N1107=_xludf.MINIFS($N$2:$N2293,$R$2:$R2293,$R1107),1,
($N1107-_xludf.MINIFS($N$2:$N2293,$R$2:$R2293,$R1107))+1)</f>
        <v>#VALUE!</v>
      </c>
      <c r="P1107" s="13" t="e">
        <f t="shared" si="2"/>
        <v>#VALUE!</v>
      </c>
      <c r="Q1107" s="1" t="e">
        <f>RIGHT(YEAR($A1107),2)-(MONTH($A1107)&lt;=#REF!)
 &amp;"-"&amp;
 RIGHT(YEAR($A1107),2)+(MONTH($A1107)&gt;=#REF!)</f>
        <v>#REF!</v>
      </c>
      <c r="R1107" s="1" t="e">
        <f>CHOOSE(MONTH($P1107),#REF!,#REF!,#REF!,#REF!,#REF!,#REF!,#REF!,#REF!,#REF!,#REF!,#REF!,#REF!)&amp;" "&amp;$Q1107</f>
        <v>#VALUE!</v>
      </c>
      <c r="S1107" s="1">
        <f t="shared" si="3"/>
        <v>1</v>
      </c>
      <c r="T1107" s="1" t="str">
        <f t="array" ref="T1107">IFERROR(INDEX(#REF!,MATCH($B1107,#REF!,0)),"")</f>
        <v/>
      </c>
      <c r="U1107" s="1" t="str">
        <f t="array" ref="U1107">IFERROR(INDEX(#REF!,MATCH($B1107,#REF!,0)),"")</f>
        <v/>
      </c>
      <c r="V1107" s="76">
        <f t="array" ref="V1107">AVERAGEIFS($E$2:$E2248,$B$2:$B2248,$B1107,$P$2:$P2248,"&lt;="&amp;$P1107,$P$2:$P2248,"&gt;"&amp;$P1107-7)</f>
        <v>8.3809523809523814</v>
      </c>
      <c r="W1107" s="76">
        <f ca="1">IFERROR(__xludf.DUMMYFUNCTION("iferror(stdevp(filter($D$2:$D2250,$B$2:$B2250=$B1107,$O$2:$O2250&lt;=$O1107,$O$2:$O2250&gt;$O1107-7)),0)"),0.816496580927726)</f>
        <v>0.81649658092772603</v>
      </c>
      <c r="X1107" s="77">
        <f t="shared" ca="1" si="4"/>
        <v>1.9829202679673341</v>
      </c>
      <c r="Y1107" s="77">
        <f t="shared" ca="1" si="5"/>
        <v>4</v>
      </c>
      <c r="Z1107" s="76">
        <f t="array" ref="Z1107">AVERAGEIFS($F$2:$F2248,$B$2:$B2248,$B1107,$P$2:$P2248,"&lt;="&amp;$P1107,$P$2:$P2248,"&gt;"&amp;$P1107-7)</f>
        <v>6.8571428571428568</v>
      </c>
      <c r="AA1107" s="76">
        <f ca="1">IFERROR(__xludf.DUMMYFUNCTION("iferror(stdevp(filter($E$2:$E2250,$B$2:$B2250=$B1107,$O$2:$O2250&lt;=$O1107,$O$2:$O2250&gt;$O1107-7)),0)"),0.816496580927726)</f>
        <v>0.81649658092772603</v>
      </c>
      <c r="AB1107" s="77">
        <f t="shared" ca="1" si="6"/>
        <v>0.17496355305594175</v>
      </c>
      <c r="AC1107" s="77">
        <f t="shared" ca="1" si="7"/>
        <v>3</v>
      </c>
      <c r="AD1107" s="76">
        <f t="array" ref="AD1107">AVERAGEIFS($G$2:$G2248,$B$2:$B2248,$B1107,$P$2:$P2248,"&lt;="&amp;$P1107,$P$2:$P2248,"&gt;"&amp;$P1107-7)</f>
        <v>5.7619047619047619</v>
      </c>
      <c r="AE1107" s="76">
        <f ca="1">IFERROR(__xludf.DUMMYFUNCTION("iferror(stdevp(filter($F$2:$F2250,$B$2:$B2250=$B1107,$O$2:$O2250&lt;=$O1107,$O$2:$O2250&gt;$O1107-7)),0)"),0.471404520791031)</f>
        <v>0.47140452079103101</v>
      </c>
      <c r="AF1107" s="77">
        <f t="shared" ca="1" si="8"/>
        <v>2.6263966158357519</v>
      </c>
      <c r="AG1107" s="77">
        <f t="shared" ca="1" si="9"/>
        <v>4</v>
      </c>
      <c r="AH1107" s="76">
        <f t="array" ref="AH1107">AVERAGEIFS($I$2:$I2248,$B$2:$B2248,$B1107,$P$2:$P2248,"&lt;="&amp;$P1107,$P$2:$P2248,"&gt;"&amp;$P1107-7)</f>
        <v>6.8571428571428568</v>
      </c>
      <c r="AI1107" s="76">
        <f ca="1">IFERROR(__xludf.DUMMYFUNCTION("iferror(stdevp(filter($H$2:$H2250,$B$2:$B2250=$B1107,$O$2:$O2250&lt;=$O1107,$O$2:$O2250&gt;$O1107-7)),0)"),0.471404520791031)</f>
        <v>0.47140452079103101</v>
      </c>
      <c r="AJ1107" s="77">
        <f t="shared" ca="1" si="10"/>
        <v>2.42436610692531</v>
      </c>
      <c r="AK1107" s="77">
        <f t="shared" ca="1" si="11"/>
        <v>4</v>
      </c>
      <c r="AL1107" s="76">
        <f t="array" ref="AL1107">AVERAGEIFS($J$2:$J2248,$B$2:$B2248,$B1107,$P$2:$P2248,"&lt;="&amp;$P1107,$P$2:$P2248,"&gt;"&amp;$P1107-7)</f>
        <v>5.0952380952380949</v>
      </c>
      <c r="AM1107" s="76">
        <f ca="1">IFERROR(__xludf.DUMMYFUNCTION("iferror(stdevp(filter($I$2:$I2250,$B$2:$B2250=$B1107,$O$2:$O2250&lt;=$O1107,$O$2:$O2250&gt;$O1107-7)),0)"),0)</f>
        <v>0</v>
      </c>
      <c r="AN1107" s="77">
        <f t="shared" ca="1" si="13"/>
        <v>0</v>
      </c>
      <c r="AO1107" s="77">
        <f t="shared" ca="1" si="14"/>
        <v>3</v>
      </c>
      <c r="AP1107" s="76">
        <f t="array" ref="AP1107">AVERAGEIFS($K$2:$K2248,$B$2:$B2248,$B1107,$P$2:$P2248,"&lt;="&amp;$P1107,$P$2:$P2248,"&gt;"&amp;$P1107-7)</f>
        <v>5.3809523809523814</v>
      </c>
      <c r="AQ1107" s="76">
        <f ca="1">IFERROR(__xludf.DUMMYFUNCTION("iferror(stdevp(filter($J$2:$J2250,$B$2:$B2250=$B1107,$O$2:$O2250&lt;=$O1107,$O$2:$O2250&gt;$O1107-7)),0)"),0.5)</f>
        <v>0.5</v>
      </c>
      <c r="AR1107" s="77">
        <f t="shared" ca="1" si="15"/>
        <v>1.2380952380952372</v>
      </c>
      <c r="AS1107" s="77">
        <f t="shared" ca="1" si="16"/>
        <v>4</v>
      </c>
      <c r="AT1107" s="78">
        <f t="shared" ca="1" si="12"/>
        <v>0.91666666666666663</v>
      </c>
    </row>
    <row r="1108" spans="1:46" ht="12.5" x14ac:dyDescent="0.25">
      <c r="A1108" s="75">
        <v>44963.598478692133</v>
      </c>
      <c r="B1108" s="1" t="s">
        <v>7</v>
      </c>
      <c r="C1108" s="1" t="str">
        <f>INDEX(TBL_Name,MATCH(Table2[[#This Row],[Athlete Name]],listNames,0),2)</f>
        <v>Athlete 3</v>
      </c>
      <c r="D1108" s="1" t="s">
        <v>143</v>
      </c>
      <c r="E1108" s="1">
        <v>3</v>
      </c>
      <c r="F1108" s="1">
        <v>9</v>
      </c>
      <c r="G1108" s="1">
        <v>6</v>
      </c>
      <c r="H1108" s="86"/>
      <c r="I1108" s="1">
        <v>10</v>
      </c>
      <c r="J1108" s="1">
        <v>4</v>
      </c>
      <c r="K1108" s="1">
        <v>9</v>
      </c>
      <c r="L1108" s="1">
        <v>82</v>
      </c>
      <c r="M1108" s="1" t="e">
        <f t="shared" ca="1" si="0"/>
        <v>#NAME?</v>
      </c>
      <c r="N1108" s="1" t="e">
        <f t="shared" si="1"/>
        <v>#VALUE!</v>
      </c>
      <c r="O1108" s="1" t="e">
        <f ca="1">IF($N1108=_xludf.MINIFS($N$2:$N2294,$R$2:$R2294,$R1108),1,
($N1108-_xludf.MINIFS($N$2:$N2294,$R$2:$R2294,$R1108))+1)</f>
        <v>#VALUE!</v>
      </c>
      <c r="P1108" s="13" t="e">
        <f t="shared" si="2"/>
        <v>#VALUE!</v>
      </c>
      <c r="Q1108" s="1" t="e">
        <f>RIGHT(YEAR($A1108),2)-(MONTH($A1108)&lt;=#REF!)
 &amp;"-"&amp;
 RIGHT(YEAR($A1108),2)+(MONTH($A1108)&gt;=#REF!)</f>
        <v>#REF!</v>
      </c>
      <c r="R1108" s="1" t="e">
        <f>CHOOSE(MONTH($P1108),#REF!,#REF!,#REF!,#REF!,#REF!,#REF!,#REF!,#REF!,#REF!,#REF!,#REF!,#REF!)&amp;" "&amp;$Q1108</f>
        <v>#VALUE!</v>
      </c>
      <c r="S1108" s="1">
        <f t="shared" si="3"/>
        <v>2</v>
      </c>
      <c r="T1108" s="1" t="str">
        <f t="array" ref="T1108">IFERROR(INDEX(#REF!,MATCH($B1108,#REF!,0)),"")</f>
        <v/>
      </c>
      <c r="U1108" s="1" t="str">
        <f t="array" ref="U1108">IFERROR(INDEX(#REF!,MATCH($B1108,#REF!,0)),"")</f>
        <v/>
      </c>
      <c r="V1108" s="76">
        <f t="array" ref="V1108">AVERAGEIFS($E$2:$E2248,$B$2:$B2248,$B1108,$P$2:$P2248,"&lt;="&amp;$P1108,$P$2:$P2248,"&gt;"&amp;$P1108-7)</f>
        <v>6</v>
      </c>
      <c r="W1108" s="76">
        <f ca="1">IFERROR(__xludf.DUMMYFUNCTION("iferror(stdevp(filter($D$2:$D2250,$B$2:$B2250=$B1108,$O$2:$O2250&lt;=$O1108,$O$2:$O2250&gt;$O1108-7)),0)"),1.92028643696715)</f>
        <v>1.92028643696715</v>
      </c>
      <c r="X1108" s="77">
        <f t="shared" ca="1" si="4"/>
        <v>-1.5622669317698881</v>
      </c>
      <c r="Y1108" s="77">
        <f t="shared" ca="1" si="5"/>
        <v>1</v>
      </c>
      <c r="Z1108" s="76">
        <f t="array" ref="Z1108">AVERAGEIFS($F$2:$F2248,$B$2:$B2248,$B1108,$P$2:$P2248,"&lt;="&amp;$P1108,$P$2:$P2248,"&gt;"&amp;$P1108-7)</f>
        <v>7.3703703703703702</v>
      </c>
      <c r="AA1108" s="76">
        <f ca="1">IFERROR(__xludf.DUMMYFUNCTION("iferror(stdevp(filter($E$2:$E2250,$B$2:$B2250=$B1108,$O$2:$O2250&lt;=$O1108,$O$2:$O2250&gt;$O1108-7)),0)"),1.4790199457749)</f>
        <v>1.4790199457749</v>
      </c>
      <c r="AB1108" s="77">
        <f t="shared" ca="1" si="6"/>
        <v>1.1018307320905136</v>
      </c>
      <c r="AC1108" s="77">
        <f t="shared" ca="1" si="7"/>
        <v>4</v>
      </c>
      <c r="AD1108" s="76">
        <f t="array" ref="AD1108">AVERAGEIFS($G$2:$G2248,$B$2:$B2248,$B1108,$P$2:$P2248,"&lt;="&amp;$P1108,$P$2:$P2248,"&gt;"&amp;$P1108-7)</f>
        <v>7.7777777777777777</v>
      </c>
      <c r="AE1108" s="76">
        <f ca="1">IFERROR(__xludf.DUMMYFUNCTION("iferror(stdevp(filter($F$2:$F2250,$B$2:$B2250=$B1108,$O$2:$O2250&lt;=$O1108,$O$2:$O2250&gt;$O1108-7)),0)"),1.22474487139158)</f>
        <v>1.2247448713915801</v>
      </c>
      <c r="AF1108" s="77">
        <f t="shared" ca="1" si="8"/>
        <v>-1.4515494772048569</v>
      </c>
      <c r="AG1108" s="77">
        <f t="shared" ca="1" si="9"/>
        <v>1</v>
      </c>
      <c r="AH1108" s="76">
        <f t="array" ref="AH1108">AVERAGEIFS($I$2:$I2248,$B$2:$B2248,$B1108,$P$2:$P2248,"&lt;="&amp;$P1108,$P$2:$P2248,"&gt;"&amp;$P1108-7)</f>
        <v>6.333333333333333</v>
      </c>
      <c r="AI1108" s="76">
        <f ca="1">IFERROR(__xludf.DUMMYFUNCTION("iferror(stdevp(filter($H$2:$H2250,$B$2:$B2250=$B1108,$O$2:$O2250&lt;=$O1108,$O$2:$O2250&gt;$O1108-7)),0)"),0.82915619758885)</f>
        <v>0.82915619758884995</v>
      </c>
      <c r="AJ1108" s="77">
        <f t="shared" ca="1" si="10"/>
        <v>4.4221663871405337</v>
      </c>
      <c r="AK1108" s="77">
        <f t="shared" ca="1" si="11"/>
        <v>4</v>
      </c>
      <c r="AL1108" s="76">
        <f t="array" ref="AL1108">AVERAGEIFS($J$2:$J2248,$B$2:$B2248,$B1108,$P$2:$P2248,"&lt;="&amp;$P1108,$P$2:$P2248,"&gt;"&amp;$P1108-7)</f>
        <v>5.4230769230769234</v>
      </c>
      <c r="AM1108" s="76">
        <f ca="1">IFERROR(__xludf.DUMMYFUNCTION("iferror(stdevp(filter($I$2:$I2250,$B$2:$B2250=$B1108,$O$2:$O2250&lt;=$O1108,$O$2:$O2250&gt;$O1108-7)),0)"),0.471404520791031)</f>
        <v>0.47140452079103101</v>
      </c>
      <c r="AN1108" s="77">
        <f t="shared" ca="1" si="13"/>
        <v>-3.0188020273733422</v>
      </c>
      <c r="AO1108" s="77">
        <f t="shared" ca="1" si="14"/>
        <v>1</v>
      </c>
      <c r="AP1108" s="76">
        <f t="array" ref="AP1108">AVERAGEIFS($K$2:$K2248,$B$2:$B2248,$B1108,$P$2:$P2248,"&lt;="&amp;$P1108,$P$2:$P2248,"&gt;"&amp;$P1108-7)</f>
        <v>7.5769230769230766</v>
      </c>
      <c r="AQ1108" s="76">
        <f ca="1">IFERROR(__xludf.DUMMYFUNCTION("iferror(stdevp(filter($J$2:$J2250,$B$2:$B2250=$B1108,$O$2:$O2250&lt;=$O1108,$O$2:$O2250&gt;$O1108-7)),0)"),1.41421356237309)</f>
        <v>1.41421356237309</v>
      </c>
      <c r="AR1108" s="77">
        <f t="shared" ca="1" si="15"/>
        <v>1.0062673424577828</v>
      </c>
      <c r="AS1108" s="77">
        <f t="shared" ca="1" si="16"/>
        <v>4</v>
      </c>
      <c r="AT1108" s="78">
        <f t="shared" ca="1" si="12"/>
        <v>0.625</v>
      </c>
    </row>
    <row r="1109" spans="1:46" ht="12.5" x14ac:dyDescent="0.25">
      <c r="A1109" s="75">
        <v>44963.599692743053</v>
      </c>
      <c r="B1109" s="1" t="s">
        <v>22</v>
      </c>
      <c r="C1109" s="1" t="str">
        <f>INDEX(TBL_Name,MATCH(Table2[[#This Row],[Athlete Name]],listNames,0),2)</f>
        <v>Athlete 14</v>
      </c>
      <c r="D1109" s="1" t="s">
        <v>130</v>
      </c>
      <c r="E1109" s="1">
        <v>7</v>
      </c>
      <c r="F1109" s="1">
        <v>6</v>
      </c>
      <c r="G1109" s="1">
        <v>6</v>
      </c>
      <c r="H1109" s="1" t="s">
        <v>66</v>
      </c>
      <c r="I1109" s="1">
        <v>8</v>
      </c>
      <c r="J1109" s="1">
        <v>6</v>
      </c>
      <c r="K1109" s="1">
        <v>6</v>
      </c>
      <c r="L1109" s="1">
        <v>90</v>
      </c>
      <c r="M1109" s="1" t="e">
        <f t="shared" ca="1" si="0"/>
        <v>#NAME?</v>
      </c>
      <c r="N1109" s="1" t="e">
        <f t="shared" si="1"/>
        <v>#VALUE!</v>
      </c>
      <c r="O1109" s="1" t="e">
        <f ca="1">IF($N1109=_xludf.MINIFS($N$2:$N2295,$R$2:$R2295,$R1109),1,
($N1109-_xludf.MINIFS($N$2:$N2295,$R$2:$R2295,$R1109))+1)</f>
        <v>#VALUE!</v>
      </c>
      <c r="P1109" s="13" t="e">
        <f t="shared" si="2"/>
        <v>#VALUE!</v>
      </c>
      <c r="Q1109" s="1" t="e">
        <f>RIGHT(YEAR($A1109),2)-(MONTH($A1109)&lt;=#REF!)
 &amp;"-"&amp;
 RIGHT(YEAR($A1109),2)+(MONTH($A1109)&gt;=#REF!)</f>
        <v>#REF!</v>
      </c>
      <c r="R1109" s="1" t="e">
        <f>CHOOSE(MONTH($P1109),#REF!,#REF!,#REF!,#REF!,#REF!,#REF!,#REF!,#REF!,#REF!,#REF!,#REF!,#REF!)&amp;" "&amp;$Q1109</f>
        <v>#VALUE!</v>
      </c>
      <c r="S1109" s="1">
        <f t="shared" si="3"/>
        <v>1</v>
      </c>
      <c r="T1109" s="1" t="str">
        <f t="array" ref="T1109">IFERROR(INDEX(#REF!,MATCH($B1109,#REF!,0)),"")</f>
        <v/>
      </c>
      <c r="U1109" s="1" t="str">
        <f t="array" ref="U1109">IFERROR(INDEX(#REF!,MATCH($B1109,#REF!,0)),"")</f>
        <v/>
      </c>
      <c r="V1109" s="76">
        <f t="array" ref="V1109">AVERAGEIFS($E$2:$E2248,$B$2:$B2248,$B1109,$P$2:$P2248,"&lt;="&amp;$P1109,$P$2:$P2248,"&gt;"&amp;$P1109-7)</f>
        <v>5.791666666666667</v>
      </c>
      <c r="W1109" s="76">
        <f ca="1">IFERROR(__xludf.DUMMYFUNCTION("iferror(stdevp(filter($D$2:$D2250,$B$2:$B2250=$B1109,$O$2:$O2250&lt;=$O1109,$O$2:$O2250&gt;$O1109-7)),0)"),0.748331477354788)</f>
        <v>0.748331477354788</v>
      </c>
      <c r="X1109" s="77">
        <f t="shared" ca="1" si="4"/>
        <v>1.6147033365542309</v>
      </c>
      <c r="Y1109" s="77">
        <f t="shared" ca="1" si="5"/>
        <v>4</v>
      </c>
      <c r="Z1109" s="76">
        <f t="array" ref="Z1109">AVERAGEIFS($F$2:$F2248,$B$2:$B2248,$B1109,$P$2:$P2248,"&lt;="&amp;$P1109,$P$2:$P2248,"&gt;"&amp;$P1109-7)</f>
        <v>5.458333333333333</v>
      </c>
      <c r="AA1109" s="76">
        <f ca="1">IFERROR(__xludf.DUMMYFUNCTION("iferror(stdevp(filter($E$2:$E2250,$B$2:$B2250=$B1109,$O$2:$O2250&lt;=$O1109,$O$2:$O2250&gt;$O1109-7)),0)"),1.01980390271855)</f>
        <v>1.0198039027185499</v>
      </c>
      <c r="AB1109" s="77">
        <f t="shared" ca="1" si="6"/>
        <v>0.53114786599925234</v>
      </c>
      <c r="AC1109" s="77">
        <f t="shared" ca="1" si="7"/>
        <v>3</v>
      </c>
      <c r="AD1109" s="76">
        <f t="array" ref="AD1109">AVERAGEIFS($G$2:$G2248,$B$2:$B2248,$B1109,$P$2:$P2248,"&lt;="&amp;$P1109,$P$2:$P2248,"&gt;"&amp;$P1109-7)</f>
        <v>6.833333333333333</v>
      </c>
      <c r="AE1109" s="76">
        <f ca="1">IFERROR(__xludf.DUMMYFUNCTION("iferror(stdevp(filter($F$2:$F2250,$B$2:$B2250=$B1109,$O$2:$O2250&lt;=$O1109,$O$2:$O2250&gt;$O1109-7)),0)"),0.8)</f>
        <v>0.8</v>
      </c>
      <c r="AF1109" s="77">
        <f t="shared" ca="1" si="8"/>
        <v>-1.0416666666666663</v>
      </c>
      <c r="AG1109" s="77">
        <f t="shared" ca="1" si="9"/>
        <v>1</v>
      </c>
      <c r="AH1109" s="76">
        <f t="array" ref="AH1109">AVERAGEIFS($I$2:$I2248,$B$2:$B2248,$B1109,$P$2:$P2248,"&lt;="&amp;$P1109,$P$2:$P2248,"&gt;"&amp;$P1109-7)</f>
        <v>5.125</v>
      </c>
      <c r="AI1109" s="76">
        <f ca="1">IFERROR(__xludf.DUMMYFUNCTION("iferror(stdevp(filter($H$2:$H2250,$B$2:$B2250=$B1109,$O$2:$O2250&lt;=$O1109,$O$2:$O2250&gt;$O1109-7)),0)"),1.93907194296653)</f>
        <v>1.93907194296653</v>
      </c>
      <c r="AJ1109" s="77">
        <f t="shared" ca="1" si="10"/>
        <v>1.4826680414970168</v>
      </c>
      <c r="AK1109" s="77">
        <f t="shared" ca="1" si="11"/>
        <v>4</v>
      </c>
      <c r="AL1109" s="76">
        <f t="array" ref="AL1109">AVERAGEIFS($J$2:$J2248,$B$2:$B2248,$B1109,$P$2:$P2248,"&lt;="&amp;$P1109,$P$2:$P2248,"&gt;"&amp;$P1109-7)</f>
        <v>7.125</v>
      </c>
      <c r="AM1109" s="76">
        <f ca="1">IFERROR(__xludf.DUMMYFUNCTION("iferror(stdevp(filter($I$2:$I2250,$B$2:$B2250=$B1109,$O$2:$O2250&lt;=$O1109,$O$2:$O2250&gt;$O1109-7)),0)"),1.24721912892464)</f>
        <v>1.2472191289246399</v>
      </c>
      <c r="AN1109" s="77">
        <f t="shared" ca="1" si="13"/>
        <v>-0.90200669145443746</v>
      </c>
      <c r="AO1109" s="77">
        <f t="shared" ca="1" si="14"/>
        <v>2</v>
      </c>
      <c r="AP1109" s="76">
        <f t="array" ref="AP1109">AVERAGEIFS($K$2:$K2248,$B$2:$B2248,$B1109,$P$2:$P2248,"&lt;="&amp;$P1109,$P$2:$P2248,"&gt;"&amp;$P1109-7)</f>
        <v>7.083333333333333</v>
      </c>
      <c r="AQ1109" s="76">
        <f ca="1">IFERROR(__xludf.DUMMYFUNCTION("iferror(stdevp(filter($J$2:$J2250,$B$2:$B2250=$B1109,$O$2:$O2250&lt;=$O1109,$O$2:$O2250&gt;$O1109-7)),0)"),0.471404520791031)</f>
        <v>0.47140452079103101</v>
      </c>
      <c r="AR1109" s="77">
        <f t="shared" ca="1" si="15"/>
        <v>-2.298097038856282</v>
      </c>
      <c r="AS1109" s="77">
        <f t="shared" ca="1" si="16"/>
        <v>1</v>
      </c>
      <c r="AT1109" s="78">
        <f t="shared" ca="1" si="12"/>
        <v>0.625</v>
      </c>
    </row>
    <row r="1110" spans="1:46" ht="12.5" x14ac:dyDescent="0.25">
      <c r="A1110" s="75">
        <v>44964.334052129634</v>
      </c>
      <c r="B1110" s="1" t="s">
        <v>19</v>
      </c>
      <c r="C1110" s="1" t="str">
        <f>INDEX(TBL_Name,MATCH(Table2[[#This Row],[Athlete Name]],listNames,0),2)</f>
        <v>Athlete 11</v>
      </c>
      <c r="D1110" s="1" t="s">
        <v>130</v>
      </c>
      <c r="E1110" s="1">
        <v>4</v>
      </c>
      <c r="F1110" s="1">
        <v>7</v>
      </c>
      <c r="G1110" s="1">
        <v>7</v>
      </c>
      <c r="H1110" s="1" t="s">
        <v>193</v>
      </c>
      <c r="I1110" s="1">
        <v>6</v>
      </c>
      <c r="J1110" s="1">
        <v>8</v>
      </c>
      <c r="K1110" s="1">
        <v>10</v>
      </c>
      <c r="L1110" s="1">
        <v>73</v>
      </c>
      <c r="M1110" s="1" t="e">
        <f t="shared" ca="1" si="0"/>
        <v>#NAME?</v>
      </c>
      <c r="N1110" s="1" t="e">
        <f t="shared" si="1"/>
        <v>#VALUE!</v>
      </c>
      <c r="O1110" s="1" t="e">
        <f ca="1">IF($N1110=_xludf.MINIFS($N$2:$N2296,$R$2:$R2296,$R1110),1,
($N1110-_xludf.MINIFS($N$2:$N2296,$R$2:$R2296,$R1110))+1)</f>
        <v>#VALUE!</v>
      </c>
      <c r="P1110" s="13" t="e">
        <f t="shared" si="2"/>
        <v>#VALUE!</v>
      </c>
      <c r="Q1110" s="1" t="e">
        <f>RIGHT(YEAR($A1110),2)-(MONTH($A1110)&lt;=#REF!)
 &amp;"-"&amp;
 RIGHT(YEAR($A1110),2)+(MONTH($A1110)&gt;=#REF!)</f>
        <v>#REF!</v>
      </c>
      <c r="R1110" s="1" t="e">
        <f>CHOOSE(MONTH($P1110),#REF!,#REF!,#REF!,#REF!,#REF!,#REF!,#REF!,#REF!,#REF!,#REF!,#REF!,#REF!)&amp;" "&amp;$Q1110</f>
        <v>#VALUE!</v>
      </c>
      <c r="S1110" s="1">
        <f t="shared" si="3"/>
        <v>1</v>
      </c>
      <c r="T1110" s="1" t="str">
        <f t="array" ref="T1110">IFERROR(INDEX(#REF!,MATCH($B1110,#REF!,0)),"")</f>
        <v/>
      </c>
      <c r="U1110" s="1" t="str">
        <f t="array" ref="U1110">IFERROR(INDEX(#REF!,MATCH($B1110,#REF!,0)),"")</f>
        <v/>
      </c>
      <c r="V1110" s="76">
        <f t="array" ref="V1110">AVERAGEIFS($E$2:$E2248,$B$2:$B2248,$B1110,$P$2:$P2248,"&lt;="&amp;$P1110,$P$2:$P2248,"&gt;"&amp;$P1110-7)</f>
        <v>4.6538461538461542</v>
      </c>
      <c r="W1110" s="76">
        <f ca="1">IFERROR(__xludf.DUMMYFUNCTION("iferror(stdevp(filter($D$2:$D2250,$B$2:$B2250=$B1110,$O$2:$O2250&lt;=$O1110,$O$2:$O2250&gt;$O1110-7)),0)"),1.62480768092719)</f>
        <v>1.6248076809271901</v>
      </c>
      <c r="X1110" s="77">
        <f t="shared" ca="1" si="4"/>
        <v>-0.40241448974012695</v>
      </c>
      <c r="Y1110" s="77">
        <f t="shared" ca="1" si="5"/>
        <v>2</v>
      </c>
      <c r="Z1110" s="76">
        <f t="array" ref="Z1110">AVERAGEIFS($F$2:$F2248,$B$2:$B2248,$B1110,$P$2:$P2248,"&lt;="&amp;$P1110,$P$2:$P2248,"&gt;"&amp;$P1110-7)</f>
        <v>6.8461538461538458</v>
      </c>
      <c r="AA1110" s="76">
        <f ca="1">IFERROR(__xludf.DUMMYFUNCTION("iferror(stdevp(filter($E$2:$E2250,$B$2:$B2250=$B1110,$O$2:$O2250&lt;=$O1110,$O$2:$O2250&gt;$O1110-7)),0)"),0.399999999999999)</f>
        <v>0.39999999999999902</v>
      </c>
      <c r="AB1110" s="77">
        <f t="shared" ca="1" si="6"/>
        <v>0.38461538461538641</v>
      </c>
      <c r="AC1110" s="77">
        <f t="shared" ca="1" si="7"/>
        <v>3</v>
      </c>
      <c r="AD1110" s="76">
        <f t="array" ref="AD1110">AVERAGEIFS($G$2:$G2248,$B$2:$B2248,$B1110,$P$2:$P2248,"&lt;="&amp;$P1110,$P$2:$P2248,"&gt;"&amp;$P1110-7)</f>
        <v>7.2692307692307692</v>
      </c>
      <c r="AE1110" s="76">
        <f ca="1">IFERROR(__xludf.DUMMYFUNCTION("iferror(stdevp(filter($F$2:$F2250,$B$2:$B2250=$B1110,$O$2:$O2250&lt;=$O1110,$O$2:$O2250&gt;$O1110-7)),0)"),0.399999999999999)</f>
        <v>0.39999999999999902</v>
      </c>
      <c r="AF1110" s="77">
        <f t="shared" ca="1" si="8"/>
        <v>-0.67307692307692457</v>
      </c>
      <c r="AG1110" s="77">
        <f t="shared" ca="1" si="9"/>
        <v>2</v>
      </c>
      <c r="AH1110" s="76">
        <f t="array" ref="AH1110">AVERAGEIFS($I$2:$I2248,$B$2:$B2248,$B1110,$P$2:$P2248,"&lt;="&amp;$P1110,$P$2:$P2248,"&gt;"&amp;$P1110-7)</f>
        <v>4.9230769230769234</v>
      </c>
      <c r="AI1110" s="76">
        <f ca="1">IFERROR(__xludf.DUMMYFUNCTION("iferror(stdevp(filter($H$2:$H2250,$B$2:$B2250=$B1110,$O$2:$O2250&lt;=$O1110,$O$2:$O2250&gt;$O1110-7)),0)"),1.01980390271855)</f>
        <v>1.0198039027185499</v>
      </c>
      <c r="AJ1110" s="77">
        <f t="shared" ca="1" si="10"/>
        <v>1.0560099584363827</v>
      </c>
      <c r="AK1110" s="77">
        <f t="shared" ca="1" si="11"/>
        <v>4</v>
      </c>
      <c r="AL1110" s="76">
        <f t="array" ref="AL1110">AVERAGEIFS($J$2:$J2248,$B$2:$B2248,$B1110,$P$2:$P2248,"&lt;="&amp;$P1110,$P$2:$P2248,"&gt;"&amp;$P1110-7)</f>
        <v>7.5769230769230766</v>
      </c>
      <c r="AM1110" s="76">
        <f ca="1">IFERROR(__xludf.DUMMYFUNCTION("iferror(stdevp(filter($I$2:$I2250,$B$2:$B2250=$B1110,$O$2:$O2250&lt;=$O1110,$O$2:$O2250&gt;$O1110-7)),0)"),2.16506350946109)</f>
        <v>2.1650635094610902</v>
      </c>
      <c r="AN1110" s="77">
        <f t="shared" ca="1" si="13"/>
        <v>0.1954108603411048</v>
      </c>
      <c r="AO1110" s="77">
        <f t="shared" ca="1" si="14"/>
        <v>3</v>
      </c>
      <c r="AP1110" s="76">
        <f t="array" ref="AP1110">AVERAGEIFS($K$2:$K2248,$B$2:$B2248,$B1110,$P$2:$P2248,"&lt;="&amp;$P1110,$P$2:$P2248,"&gt;"&amp;$P1110-7)</f>
        <v>8</v>
      </c>
      <c r="AQ1110" s="76">
        <f ca="1">IFERROR(__xludf.DUMMYFUNCTION("iferror(stdevp(filter($J$2:$J2250,$B$2:$B2250=$B1110,$O$2:$O2250&lt;=$O1110,$O$2:$O2250&gt;$O1110-7)),0)"),3.46410161513775)</f>
        <v>3.4641016151377499</v>
      </c>
      <c r="AR1110" s="77">
        <f t="shared" ca="1" si="15"/>
        <v>0.57735026918962651</v>
      </c>
      <c r="AS1110" s="77">
        <f t="shared" ca="1" si="16"/>
        <v>3</v>
      </c>
      <c r="AT1110" s="78">
        <f t="shared" ca="1" si="12"/>
        <v>0.70833333333333337</v>
      </c>
    </row>
    <row r="1111" spans="1:46" ht="12.5" x14ac:dyDescent="0.25">
      <c r="A1111" s="75">
        <v>44964.383404363427</v>
      </c>
      <c r="B1111" s="1" t="s">
        <v>20</v>
      </c>
      <c r="C1111" s="1" t="str">
        <f>INDEX(TBL_Name,MATCH(Table2[[#This Row],[Athlete Name]],listNames,0),2)</f>
        <v>Athlete 12</v>
      </c>
      <c r="D1111" s="1" t="s">
        <v>143</v>
      </c>
      <c r="E1111" s="1">
        <v>9</v>
      </c>
      <c r="F1111" s="1">
        <v>10</v>
      </c>
      <c r="G1111" s="1">
        <v>10</v>
      </c>
      <c r="H1111" s="1" t="s">
        <v>1402</v>
      </c>
      <c r="I1111" s="1">
        <v>6</v>
      </c>
      <c r="J1111" s="1">
        <v>4</v>
      </c>
      <c r="K1111" s="1">
        <v>7</v>
      </c>
      <c r="L1111" s="1">
        <v>75</v>
      </c>
      <c r="M1111" s="1" t="e">
        <f t="shared" ca="1" si="0"/>
        <v>#NAME?</v>
      </c>
      <c r="N1111" s="1" t="e">
        <f t="shared" si="1"/>
        <v>#VALUE!</v>
      </c>
      <c r="O1111" s="1" t="e">
        <f ca="1">IF($N1111=_xludf.MINIFS($N$2:$N2297,$R$2:$R2297,$R1111),1,
($N1111-_xludf.MINIFS($N$2:$N2297,$R$2:$R2297,$R1111))+1)</f>
        <v>#VALUE!</v>
      </c>
      <c r="P1111" s="13" t="e">
        <f t="shared" si="2"/>
        <v>#VALUE!</v>
      </c>
      <c r="Q1111" s="1" t="e">
        <f>RIGHT(YEAR($A1111),2)-(MONTH($A1111)&lt;=#REF!)
 &amp;"-"&amp;
 RIGHT(YEAR($A1111),2)+(MONTH($A1111)&gt;=#REF!)</f>
        <v>#REF!</v>
      </c>
      <c r="R1111" s="1" t="e">
        <f>CHOOSE(MONTH($P1111),#REF!,#REF!,#REF!,#REF!,#REF!,#REF!,#REF!,#REF!,#REF!,#REF!,#REF!,#REF!)&amp;" "&amp;$Q1111</f>
        <v>#VALUE!</v>
      </c>
      <c r="S1111" s="1">
        <f t="shared" si="3"/>
        <v>2</v>
      </c>
      <c r="T1111" s="1" t="str">
        <f t="array" ref="T1111">IFERROR(INDEX(#REF!,MATCH($B1111,#REF!,0)),"")</f>
        <v/>
      </c>
      <c r="U1111" s="1" t="str">
        <f t="array" ref="U1111">IFERROR(INDEX(#REF!,MATCH($B1111,#REF!,0)),"")</f>
        <v/>
      </c>
      <c r="V1111" s="76">
        <f t="array" ref="V1111">AVERAGEIFS($E$2:$E2248,$B$2:$B2248,$B1111,$P$2:$P2248,"&lt;="&amp;$P1111,$P$2:$P2248,"&gt;"&amp;$P1111-7)</f>
        <v>7.4761904761904763</v>
      </c>
      <c r="W1111" s="76">
        <f ca="1">IFERROR(__xludf.DUMMYFUNCTION("iferror(stdevp(filter($D$2:$D2250,$B$2:$B2250=$B1111,$O$2:$O2250&lt;=$O1111,$O$2:$O2250&gt;$O1111-7)),0)"),0)</f>
        <v>0</v>
      </c>
      <c r="X1111" s="77">
        <f t="shared" ca="1" si="4"/>
        <v>0</v>
      </c>
      <c r="Y1111" s="77">
        <f t="shared" ca="1" si="5"/>
        <v>3</v>
      </c>
      <c r="Z1111" s="76">
        <f t="array" ref="Z1111">AVERAGEIFS($F$2:$F2248,$B$2:$B2248,$B1111,$P$2:$P2248,"&lt;="&amp;$P1111,$P$2:$P2248,"&gt;"&amp;$P1111-7)</f>
        <v>8.1904761904761898</v>
      </c>
      <c r="AA1111" s="76">
        <f ca="1">IFERROR(__xludf.DUMMYFUNCTION("iferror(stdevp(filter($E$2:$E2250,$B$2:$B2250=$B1111,$O$2:$O2250&lt;=$O1111,$O$2:$O2250&gt;$O1111-7)),0)"),0.433012701892219)</f>
        <v>0.43301270189221902</v>
      </c>
      <c r="AB1111" s="77">
        <f t="shared" ca="1" si="6"/>
        <v>4.178916234134439</v>
      </c>
      <c r="AC1111" s="77">
        <f t="shared" ca="1" si="7"/>
        <v>4</v>
      </c>
      <c r="AD1111" s="76">
        <f t="array" ref="AD1111">AVERAGEIFS($G$2:$G2248,$B$2:$B2248,$B1111,$P$2:$P2248,"&lt;="&amp;$P1111,$P$2:$P2248,"&gt;"&amp;$P1111-7)</f>
        <v>8.5714285714285712</v>
      </c>
      <c r="AE1111" s="76">
        <f ca="1">IFERROR(__xludf.DUMMYFUNCTION("iferror(stdevp(filter($F$2:$F2250,$B$2:$B2250=$B1111,$O$2:$O2250&lt;=$O1111,$O$2:$O2250&gt;$O1111-7)),0)"),0.707106781186547)</f>
        <v>0.70710678118654702</v>
      </c>
      <c r="AF1111" s="77">
        <f t="shared" ca="1" si="8"/>
        <v>2.0203050891044234</v>
      </c>
      <c r="AG1111" s="77">
        <f t="shared" ca="1" si="9"/>
        <v>4</v>
      </c>
      <c r="AH1111" s="76">
        <f t="array" ref="AH1111">AVERAGEIFS($I$2:$I2248,$B$2:$B2248,$B1111,$P$2:$P2248,"&lt;="&amp;$P1111,$P$2:$P2248,"&gt;"&amp;$P1111-7)</f>
        <v>5.6190476190476186</v>
      </c>
      <c r="AI1111" s="76">
        <f ca="1">IFERROR(__xludf.DUMMYFUNCTION("iferror(stdevp(filter($H$2:$H2250,$B$2:$B2250=$B1111,$O$2:$O2250&lt;=$O1111,$O$2:$O2250&gt;$O1111-7)),0)"),0.82915619758885)</f>
        <v>0.82915619758884995</v>
      </c>
      <c r="AJ1111" s="77">
        <f t="shared" ca="1" si="10"/>
        <v>0.45944585840421176</v>
      </c>
      <c r="AK1111" s="77">
        <f t="shared" ca="1" si="11"/>
        <v>3</v>
      </c>
      <c r="AL1111" s="76">
        <f t="array" ref="AL1111">AVERAGEIFS($J$2:$J2248,$B$2:$B2248,$B1111,$P$2:$P2248,"&lt;="&amp;$P1111,$P$2:$P2248,"&gt;"&amp;$P1111-7)</f>
        <v>7</v>
      </c>
      <c r="AM1111" s="76">
        <f ca="1">IFERROR(__xludf.DUMMYFUNCTION("iferror(stdevp(filter($I$2:$I2250,$B$2:$B2250=$B1111,$O$2:$O2250&lt;=$O1111,$O$2:$O2250&gt;$O1111-7)),0)"),1.24721912892464)</f>
        <v>1.2472191289246399</v>
      </c>
      <c r="AN1111" s="77">
        <f t="shared" ca="1" si="13"/>
        <v>-2.4053511772118332</v>
      </c>
      <c r="AO1111" s="77">
        <f t="shared" ca="1" si="14"/>
        <v>1</v>
      </c>
      <c r="AP1111" s="76">
        <f t="array" ref="AP1111">AVERAGEIFS($K$2:$K2248,$B$2:$B2248,$B1111,$P$2:$P2248,"&lt;="&amp;$P1111,$P$2:$P2248,"&gt;"&amp;$P1111-7)</f>
        <v>7.4285714285714288</v>
      </c>
      <c r="AQ1111" s="76">
        <f ca="1">IFERROR(__xludf.DUMMYFUNCTION("iferror(stdevp(filter($J$2:$J2250,$B$2:$B2250=$B1111,$O$2:$O2250&lt;=$O1111,$O$2:$O2250&gt;$O1111-7)),0)"),1.63299316185545)</f>
        <v>1.6329931618554501</v>
      </c>
      <c r="AR1111" s="77">
        <f t="shared" ca="1" si="15"/>
        <v>-0.26244532958391242</v>
      </c>
      <c r="AS1111" s="77">
        <f t="shared" ca="1" si="16"/>
        <v>2</v>
      </c>
      <c r="AT1111" s="78">
        <f t="shared" ca="1" si="12"/>
        <v>0.70833333333333337</v>
      </c>
    </row>
    <row r="1112" spans="1:46" ht="12.5" x14ac:dyDescent="0.25">
      <c r="A1112" s="75">
        <v>44964.385485208331</v>
      </c>
      <c r="B1112" s="1" t="s">
        <v>24</v>
      </c>
      <c r="C1112" s="1" t="str">
        <f>INDEX(TBL_Name,MATCH(Table2[[#This Row],[Athlete Name]],listNames,0),2)</f>
        <v>Athlete 16</v>
      </c>
      <c r="D1112" s="1" t="s">
        <v>130</v>
      </c>
      <c r="E1112" s="1">
        <v>3</v>
      </c>
      <c r="F1112" s="1">
        <v>6</v>
      </c>
      <c r="G1112" s="1">
        <v>7</v>
      </c>
      <c r="H1112" s="1" t="s">
        <v>1402</v>
      </c>
      <c r="I1112" s="1">
        <v>7</v>
      </c>
      <c r="J1112" s="1">
        <v>5</v>
      </c>
      <c r="K1112" s="1">
        <v>7</v>
      </c>
      <c r="L1112" s="1">
        <v>80</v>
      </c>
      <c r="M1112" s="1" t="e">
        <f t="shared" ca="1" si="0"/>
        <v>#NAME?</v>
      </c>
      <c r="N1112" s="1" t="e">
        <f t="shared" si="1"/>
        <v>#VALUE!</v>
      </c>
      <c r="O1112" s="1" t="e">
        <f ca="1">IF($N1112=_xludf.MINIFS($N$2:$N2298,$R$2:$R2298,$R1112),1,
($N1112-_xludf.MINIFS($N$2:$N2298,$R$2:$R2298,$R1112))+1)</f>
        <v>#VALUE!</v>
      </c>
      <c r="P1112" s="13" t="e">
        <f t="shared" si="2"/>
        <v>#VALUE!</v>
      </c>
      <c r="Q1112" s="1" t="e">
        <f>RIGHT(YEAR($A1112),2)-(MONTH($A1112)&lt;=#REF!)
 &amp;"-"&amp;
 RIGHT(YEAR($A1112),2)+(MONTH($A1112)&gt;=#REF!)</f>
        <v>#REF!</v>
      </c>
      <c r="R1112" s="1" t="e">
        <f>CHOOSE(MONTH($P1112),#REF!,#REF!,#REF!,#REF!,#REF!,#REF!,#REF!,#REF!,#REF!,#REF!,#REF!,#REF!)&amp;" "&amp;$Q1112</f>
        <v>#VALUE!</v>
      </c>
      <c r="S1112" s="1">
        <f t="shared" si="3"/>
        <v>1</v>
      </c>
      <c r="T1112" s="1" t="str">
        <f t="array" ref="T1112">IFERROR(INDEX(#REF!,MATCH($B1112,#REF!,0)),"")</f>
        <v/>
      </c>
      <c r="U1112" s="1" t="str">
        <f t="array" ref="U1112">IFERROR(INDEX(#REF!,MATCH($B1112,#REF!,0)),"")</f>
        <v/>
      </c>
      <c r="V1112" s="76">
        <f t="array" ref="V1112">AVERAGEIFS($E$2:$E2248,$B$2:$B2248,$B1112,$P$2:$P2248,"&lt;="&amp;$P1112,$P$2:$P2248,"&gt;"&amp;$P1112-7)</f>
        <v>4.1818181818181817</v>
      </c>
      <c r="W1112" s="76">
        <f ca="1">IFERROR(__xludf.DUMMYFUNCTION("iferror(stdevp(filter($D$2:$D2250,$B$2:$B2250=$B1112,$O$2:$O2250&lt;=$O1112,$O$2:$O2250&gt;$O1112-7)),0)"),0.942809041582063)</f>
        <v>0.94280904158206302</v>
      </c>
      <c r="X1112" s="77">
        <f t="shared" ca="1" si="4"/>
        <v>-1.253507475739789</v>
      </c>
      <c r="Y1112" s="77">
        <f t="shared" ca="1" si="5"/>
        <v>1</v>
      </c>
      <c r="Z1112" s="76">
        <f t="array" ref="Z1112">AVERAGEIFS($F$2:$F2248,$B$2:$B2248,$B1112,$P$2:$P2248,"&lt;="&amp;$P1112,$P$2:$P2248,"&gt;"&amp;$P1112-7)</f>
        <v>6</v>
      </c>
      <c r="AA1112" s="76">
        <f ca="1">IFERROR(__xludf.DUMMYFUNCTION("iferror(stdevp(filter($E$2:$E2250,$B$2:$B2250=$B1112,$O$2:$O2250&lt;=$O1112,$O$2:$O2250&gt;$O1112-7)),0)"),0.471404520791031)</f>
        <v>0.47140452079103101</v>
      </c>
      <c r="AB1112" s="77">
        <f t="shared" ca="1" si="6"/>
        <v>0</v>
      </c>
      <c r="AC1112" s="77">
        <f t="shared" ca="1" si="7"/>
        <v>3</v>
      </c>
      <c r="AD1112" s="76">
        <f t="array" ref="AD1112">AVERAGEIFS($G$2:$G2248,$B$2:$B2248,$B1112,$P$2:$P2248,"&lt;="&amp;$P1112,$P$2:$P2248,"&gt;"&amp;$P1112-7)</f>
        <v>5.9090909090909092</v>
      </c>
      <c r="AE1112" s="76">
        <f ca="1">IFERROR(__xludf.DUMMYFUNCTION("iferror(stdevp(filter($F$2:$F2250,$B$2:$B2250=$B1112,$O$2:$O2250&lt;=$O1112,$O$2:$O2250&gt;$O1112-7)),0)"),0.942809041582063)</f>
        <v>0.94280904158206302</v>
      </c>
      <c r="AF1112" s="77">
        <f t="shared" ca="1" si="8"/>
        <v>1.1570838237598053</v>
      </c>
      <c r="AG1112" s="77">
        <f t="shared" ca="1" si="9"/>
        <v>4</v>
      </c>
      <c r="AH1112" s="76">
        <f t="array" ref="AH1112">AVERAGEIFS($I$2:$I2248,$B$2:$B2248,$B1112,$P$2:$P2248,"&lt;="&amp;$P1112,$P$2:$P2248,"&gt;"&amp;$P1112-7)</f>
        <v>4.9545454545454541</v>
      </c>
      <c r="AI1112" s="76">
        <f ca="1">IFERROR(__xludf.DUMMYFUNCTION("iferror(stdevp(filter($H$2:$H2250,$B$2:$B2250=$B1112,$O$2:$O2250&lt;=$O1112,$O$2:$O2250&gt;$O1112-7)),0)"),0.816496580927726)</f>
        <v>0.81649658092772603</v>
      </c>
      <c r="AJ1112" s="77">
        <f t="shared" ca="1" si="10"/>
        <v>2.505159964210069</v>
      </c>
      <c r="AK1112" s="77">
        <f t="shared" ca="1" si="11"/>
        <v>4</v>
      </c>
      <c r="AL1112" s="76">
        <f t="array" ref="AL1112">AVERAGEIFS($J$2:$J2248,$B$2:$B2248,$B1112,$P$2:$P2248,"&lt;="&amp;$P1112,$P$2:$P2248,"&gt;"&amp;$P1112-7)</f>
        <v>6.9090909090909092</v>
      </c>
      <c r="AM1112" s="76">
        <f ca="1">IFERROR(__xludf.DUMMYFUNCTION("iferror(stdevp(filter($I$2:$I2250,$B$2:$B2250=$B1112,$O$2:$O2250&lt;=$O1112,$O$2:$O2250&gt;$O1112-7)),0)"),0)</f>
        <v>0</v>
      </c>
      <c r="AN1112" s="77">
        <f t="shared" ca="1" si="13"/>
        <v>0</v>
      </c>
      <c r="AO1112" s="77">
        <f t="shared" ca="1" si="14"/>
        <v>3</v>
      </c>
      <c r="AP1112" s="76">
        <f t="array" ref="AP1112">AVERAGEIFS($K$2:$K2248,$B$2:$B2248,$B1112,$P$2:$P2248,"&lt;="&amp;$P1112,$P$2:$P2248,"&gt;"&amp;$P1112-7)</f>
        <v>6.7272727272727275</v>
      </c>
      <c r="AQ1112" s="76">
        <f ca="1">IFERROR(__xludf.DUMMYFUNCTION("iferror(stdevp(filter($J$2:$J2250,$B$2:$B2250=$B1112,$O$2:$O2250&lt;=$O1112,$O$2:$O2250&gt;$O1112-7)),0)"),1.5)</f>
        <v>1.5</v>
      </c>
      <c r="AR1112" s="77">
        <f t="shared" ca="1" si="15"/>
        <v>0.18181818181818166</v>
      </c>
      <c r="AS1112" s="77">
        <f t="shared" ca="1" si="16"/>
        <v>3</v>
      </c>
      <c r="AT1112" s="78">
        <f t="shared" ca="1" si="12"/>
        <v>0.75</v>
      </c>
    </row>
    <row r="1113" spans="1:46" ht="12.5" x14ac:dyDescent="0.25">
      <c r="A1113" s="75">
        <v>44964.399608449079</v>
      </c>
      <c r="B1113" s="1" t="s">
        <v>10</v>
      </c>
      <c r="C1113" s="1" t="str">
        <f>INDEX(TBL_Name,MATCH(Table2[[#This Row],[Athlete Name]],listNames,0),2)</f>
        <v>Athlete 5</v>
      </c>
      <c r="D1113" s="1" t="s">
        <v>130</v>
      </c>
      <c r="E1113" s="1">
        <v>9</v>
      </c>
      <c r="F1113" s="1">
        <v>8</v>
      </c>
      <c r="G1113" s="1">
        <v>8</v>
      </c>
      <c r="H1113" s="1" t="s">
        <v>69</v>
      </c>
      <c r="I1113" s="1">
        <v>8</v>
      </c>
      <c r="J1113" s="1">
        <v>7</v>
      </c>
      <c r="K1113" s="1">
        <v>9</v>
      </c>
      <c r="L1113" s="1">
        <v>85</v>
      </c>
      <c r="M1113" s="1" t="e">
        <f t="shared" ca="1" si="0"/>
        <v>#NAME?</v>
      </c>
      <c r="N1113" s="1" t="e">
        <f t="shared" si="1"/>
        <v>#VALUE!</v>
      </c>
      <c r="O1113" s="1" t="e">
        <f ca="1">IF($N1113=_xludf.MINIFS($N$2:$N2299,$R$2:$R2299,$R1113),1,
($N1113-_xludf.MINIFS($N$2:$N2299,$R$2:$R2299,$R1113))+1)</f>
        <v>#VALUE!</v>
      </c>
      <c r="P1113" s="13" t="e">
        <f t="shared" si="2"/>
        <v>#VALUE!</v>
      </c>
      <c r="Q1113" s="1" t="e">
        <f>RIGHT(YEAR($A1113),2)-(MONTH($A1113)&lt;=#REF!)
 &amp;"-"&amp;
 RIGHT(YEAR($A1113),2)+(MONTH($A1113)&gt;=#REF!)</f>
        <v>#REF!</v>
      </c>
      <c r="R1113" s="1" t="e">
        <f>CHOOSE(MONTH($P1113),#REF!,#REF!,#REF!,#REF!,#REF!,#REF!,#REF!,#REF!,#REF!,#REF!,#REF!,#REF!)&amp;" "&amp;$Q1113</f>
        <v>#VALUE!</v>
      </c>
      <c r="S1113" s="1">
        <f t="shared" si="3"/>
        <v>1</v>
      </c>
      <c r="T1113" s="1" t="str">
        <f t="array" ref="T1113">IFERROR(INDEX(#REF!,MATCH($B1113,#REF!,0)),"")</f>
        <v/>
      </c>
      <c r="U1113" s="1" t="str">
        <f t="array" ref="U1113">IFERROR(INDEX(#REF!,MATCH($B1113,#REF!,0)),"")</f>
        <v/>
      </c>
      <c r="V1113" s="76">
        <f t="array" ref="V1113">AVERAGEIFS($E$2:$E2248,$B$2:$B2248,$B1113,$P$2:$P2248,"&lt;="&amp;$P1113,$P$2:$P2248,"&gt;"&amp;$P1113-7)</f>
        <v>8.4042553191489358</v>
      </c>
      <c r="W1113" s="76">
        <f ca="1">IFERROR(__xludf.DUMMYFUNCTION("iferror(stdevp(filter($D$2:$D2250,$B$2:$B2250=$B1113,$O$2:$O2250&lt;=$O1113,$O$2:$O2250&gt;$O1113-7)),0)"),1.11803398874989)</f>
        <v>1.11803398874989</v>
      </c>
      <c r="X1113" s="77">
        <f t="shared" ca="1" si="4"/>
        <v>0.53285024144676107</v>
      </c>
      <c r="Y1113" s="77">
        <f t="shared" ca="1" si="5"/>
        <v>3</v>
      </c>
      <c r="Z1113" s="76">
        <f t="array" ref="Z1113">AVERAGEIFS($F$2:$F2248,$B$2:$B2248,$B1113,$P$2:$P2248,"&lt;="&amp;$P1113,$P$2:$P2248,"&gt;"&amp;$P1113-7)</f>
        <v>8.085106382978724</v>
      </c>
      <c r="AA1113" s="76">
        <f ca="1">IFERROR(__xludf.DUMMYFUNCTION("iferror(stdevp(filter($E$2:$E2250,$B$2:$B2250=$B1113,$O$2:$O2250&lt;=$O1113,$O$2:$O2250&gt;$O1113-7)),0)"),0.89752746785575)</f>
        <v>0.89752746785574999</v>
      </c>
      <c r="AB1113" s="77">
        <f t="shared" ca="1" si="6"/>
        <v>-9.4823151409559103E-2</v>
      </c>
      <c r="AC1113" s="77">
        <f t="shared" ca="1" si="7"/>
        <v>2</v>
      </c>
      <c r="AD1113" s="76">
        <f t="array" ref="AD1113">AVERAGEIFS($G$2:$G2248,$B$2:$B2248,$B1113,$P$2:$P2248,"&lt;="&amp;$P1113,$P$2:$P2248,"&gt;"&amp;$P1113-7)</f>
        <v>8.0638297872340434</v>
      </c>
      <c r="AE1113" s="76">
        <f ca="1">IFERROR(__xludf.DUMMYFUNCTION("iferror(stdevp(filter($F$2:$F2250,$B$2:$B2250=$B1113,$O$2:$O2250&lt;=$O1113,$O$2:$O2250&gt;$O1113-7)),0)"),0.89752746785575)</f>
        <v>0.89752746785574999</v>
      </c>
      <c r="AF1113" s="77">
        <f t="shared" ca="1" si="8"/>
        <v>-7.1117363557169827E-2</v>
      </c>
      <c r="AG1113" s="77">
        <f t="shared" ca="1" si="9"/>
        <v>2</v>
      </c>
      <c r="AH1113" s="76">
        <f t="array" ref="AH1113">AVERAGEIFS($I$2:$I2248,$B$2:$B2248,$B1113,$P$2:$P2248,"&lt;="&amp;$P1113,$P$2:$P2248,"&gt;"&amp;$P1113-7)</f>
        <v>6.7446808510638299</v>
      </c>
      <c r="AI1113" s="76">
        <f ca="1">IFERROR(__xludf.DUMMYFUNCTION("iferror(stdevp(filter($H$2:$H2250,$B$2:$B2250=$B1113,$O$2:$O2250&lt;=$O1113,$O$2:$O2250&gt;$O1113-7)),0)"),2.19215773966098)</f>
        <v>2.1921577396609799</v>
      </c>
      <c r="AJ1113" s="77">
        <f t="shared" ca="1" si="10"/>
        <v>0.57264088538186442</v>
      </c>
      <c r="AK1113" s="77">
        <f t="shared" ca="1" si="11"/>
        <v>3</v>
      </c>
      <c r="AL1113" s="76">
        <f t="array" ref="AL1113">AVERAGEIFS($J$2:$J2248,$B$2:$B2248,$B1113,$P$2:$P2248,"&lt;="&amp;$P1113,$P$2:$P2248,"&gt;"&amp;$P1113-7)</f>
        <v>8.1063829787234045</v>
      </c>
      <c r="AM1113" s="76">
        <f ca="1">IFERROR(__xludf.DUMMYFUNCTION("iferror(stdevp(filter($I$2:$I2250,$B$2:$B2250=$B1113,$O$2:$O2250&lt;=$O1113,$O$2:$O2250&gt;$O1113-7)),0)"),0.979795897113271)</f>
        <v>0.97979589711327097</v>
      </c>
      <c r="AN1113" s="77">
        <f t="shared" ca="1" si="13"/>
        <v>-1.1291973991553663</v>
      </c>
      <c r="AO1113" s="77">
        <f t="shared" ca="1" si="14"/>
        <v>1</v>
      </c>
      <c r="AP1113" s="76">
        <f t="array" ref="AP1113">AVERAGEIFS($K$2:$K2248,$B$2:$B2248,$B1113,$P$2:$P2248,"&lt;="&amp;$P1113,$P$2:$P2248,"&gt;"&amp;$P1113-7)</f>
        <v>8.2978723404255312</v>
      </c>
      <c r="AQ1113" s="76">
        <f ca="1">IFERROR(__xludf.DUMMYFUNCTION("iferror(stdevp(filter($J$2:$J2250,$B$2:$B2250=$B1113,$O$2:$O2250&lt;=$O1113,$O$2:$O2250&gt;$O1113-7)),0)"),0.748331477354788)</f>
        <v>0.748331477354788</v>
      </c>
      <c r="AR1113" s="77">
        <f t="shared" ca="1" si="15"/>
        <v>0.93825755139468259</v>
      </c>
      <c r="AS1113" s="77">
        <f t="shared" ca="1" si="16"/>
        <v>3</v>
      </c>
      <c r="AT1113" s="78">
        <f t="shared" ca="1" si="12"/>
        <v>0.58333333333333337</v>
      </c>
    </row>
    <row r="1114" spans="1:46" ht="12.5" x14ac:dyDescent="0.25">
      <c r="A1114" s="75">
        <v>44964.426696342591</v>
      </c>
      <c r="B1114" s="1" t="s">
        <v>9</v>
      </c>
      <c r="C1114" s="1" t="str">
        <f>INDEX(TBL_Name,MATCH(Table2[[#This Row],[Athlete Name]],listNames,0),2)</f>
        <v>Athlete 4</v>
      </c>
      <c r="D1114" s="1" t="s">
        <v>130</v>
      </c>
      <c r="E1114" s="1">
        <v>8</v>
      </c>
      <c r="F1114" s="1">
        <v>6</v>
      </c>
      <c r="G1114" s="1">
        <v>7</v>
      </c>
      <c r="H1114" s="1" t="s">
        <v>1514</v>
      </c>
      <c r="I1114" s="1">
        <v>6</v>
      </c>
      <c r="J1114" s="1">
        <v>7</v>
      </c>
      <c r="K1114" s="1">
        <v>7</v>
      </c>
      <c r="L1114" s="1">
        <v>90</v>
      </c>
      <c r="M1114" s="1" t="e">
        <f t="shared" ca="1" si="0"/>
        <v>#NAME?</v>
      </c>
      <c r="N1114" s="1" t="e">
        <f t="shared" si="1"/>
        <v>#VALUE!</v>
      </c>
      <c r="O1114" s="1" t="e">
        <f ca="1">IF($N1114=_xludf.MINIFS($N$2:$N2300,$R$2:$R2300,$R1114),1,
($N1114-_xludf.MINIFS($N$2:$N2300,$R$2:$R2300,$R1114))+1)</f>
        <v>#VALUE!</v>
      </c>
      <c r="P1114" s="13" t="e">
        <f t="shared" si="2"/>
        <v>#VALUE!</v>
      </c>
      <c r="Q1114" s="1" t="e">
        <f>RIGHT(YEAR($A1114),2)-(MONTH($A1114)&lt;=#REF!)
 &amp;"-"&amp;
 RIGHT(YEAR($A1114),2)+(MONTH($A1114)&gt;=#REF!)</f>
        <v>#REF!</v>
      </c>
      <c r="R1114" s="1" t="e">
        <f>CHOOSE(MONTH($P1114),#REF!,#REF!,#REF!,#REF!,#REF!,#REF!,#REF!,#REF!,#REF!,#REF!,#REF!,#REF!)&amp;" "&amp;$Q1114</f>
        <v>#VALUE!</v>
      </c>
      <c r="S1114" s="1">
        <f t="shared" si="3"/>
        <v>1</v>
      </c>
      <c r="T1114" s="1" t="str">
        <f t="array" ref="T1114">IFERROR(INDEX(#REF!,MATCH($B1114,#REF!,0)),"")</f>
        <v/>
      </c>
      <c r="U1114" s="1" t="str">
        <f t="array" ref="U1114">IFERROR(INDEX(#REF!,MATCH($B1114,#REF!,0)),"")</f>
        <v/>
      </c>
      <c r="V1114" s="76">
        <f t="array" ref="V1114">AVERAGEIFS($E$2:$E2248,$B$2:$B2248,$B1114,$P$2:$P2248,"&lt;="&amp;$P1114,$P$2:$P2248,"&gt;"&amp;$P1114-7)</f>
        <v>7.4230769230769234</v>
      </c>
      <c r="W1114" s="76">
        <f ca="1">IFERROR(__xludf.DUMMYFUNCTION("iferror(stdevp(filter($D$2:$D2250,$B$2:$B2250=$B1114,$O$2:$O2250&lt;=$O1114,$O$2:$O2250&gt;$O1114-7)),0)"),2.35702260395515)</f>
        <v>2.3570226039551501</v>
      </c>
      <c r="X1114" s="77">
        <f t="shared" ca="1" si="4"/>
        <v>0.24476773194919027</v>
      </c>
      <c r="Y1114" s="77">
        <f t="shared" ca="1" si="5"/>
        <v>3</v>
      </c>
      <c r="Z1114" s="76">
        <f t="array" ref="Z1114">AVERAGEIFS($F$2:$F2248,$B$2:$B2248,$B1114,$P$2:$P2248,"&lt;="&amp;$P1114,$P$2:$P2248,"&gt;"&amp;$P1114-7)</f>
        <v>7.1538461538461542</v>
      </c>
      <c r="AA1114" s="76">
        <f ca="1">IFERROR(__xludf.DUMMYFUNCTION("iferror(stdevp(filter($E$2:$E2250,$B$2:$B2250=$B1114,$O$2:$O2250&lt;=$O1114,$O$2:$O2250&gt;$O1114-7)),0)"),1.24721912892464)</f>
        <v>1.2472191289246399</v>
      </c>
      <c r="AB1114" s="77">
        <f t="shared" ca="1" si="6"/>
        <v>-0.92513506815839774</v>
      </c>
      <c r="AC1114" s="77">
        <f t="shared" ca="1" si="7"/>
        <v>2</v>
      </c>
      <c r="AD1114" s="76">
        <f t="array" ref="AD1114">AVERAGEIFS($G$2:$G2248,$B$2:$B2248,$B1114,$P$2:$P2248,"&lt;="&amp;$P1114,$P$2:$P2248,"&gt;"&amp;$P1114-7)</f>
        <v>7.615384615384615</v>
      </c>
      <c r="AE1114" s="76">
        <f ca="1">IFERROR(__xludf.DUMMYFUNCTION("iferror(stdevp(filter($F$2:$F2250,$B$2:$B2250=$B1114,$O$2:$O2250&lt;=$O1114,$O$2:$O2250&gt;$O1114-7)),0)"),0.816496580927726)</f>
        <v>0.81649658092772603</v>
      </c>
      <c r="AF1114" s="77">
        <f t="shared" ca="1" si="8"/>
        <v>-0.7536891516255928</v>
      </c>
      <c r="AG1114" s="77">
        <f t="shared" ca="1" si="9"/>
        <v>2</v>
      </c>
      <c r="AH1114" s="76">
        <f t="array" ref="AH1114">AVERAGEIFS($I$2:$I2248,$B$2:$B2248,$B1114,$P$2:$P2248,"&lt;="&amp;$P1114,$P$2:$P2248,"&gt;"&amp;$P1114-7)</f>
        <v>5.1923076923076925</v>
      </c>
      <c r="AI1114" s="76">
        <f ca="1">IFERROR(__xludf.DUMMYFUNCTION("iferror(stdevp(filter($H$2:$H2250,$B$2:$B2250=$B1114,$O$2:$O2250&lt;=$O1114,$O$2:$O2250&gt;$O1114-7)),0)"),1.24721912892464)</f>
        <v>1.2472191289246399</v>
      </c>
      <c r="AJ1114" s="77">
        <f t="shared" ca="1" si="10"/>
        <v>0.6475945477108781</v>
      </c>
      <c r="AK1114" s="77">
        <f t="shared" ca="1" si="11"/>
        <v>3</v>
      </c>
      <c r="AL1114" s="76">
        <f t="array" ref="AL1114">AVERAGEIFS($J$2:$J2248,$B$2:$B2248,$B1114,$P$2:$P2248,"&lt;="&amp;$P1114,$P$2:$P2248,"&gt;"&amp;$P1114-7)</f>
        <v>7.6923076923076925</v>
      </c>
      <c r="AM1114" s="76">
        <f ca="1">IFERROR(__xludf.DUMMYFUNCTION("iferror(stdevp(filter($I$2:$I2250,$B$2:$B2250=$B1114,$O$2:$O2250&lt;=$O1114,$O$2:$O2250&gt;$O1114-7)),0)"),0.5)</f>
        <v>0.5</v>
      </c>
      <c r="AN1114" s="77">
        <f t="shared" ca="1" si="13"/>
        <v>-1.384615384615385</v>
      </c>
      <c r="AO1114" s="77">
        <f t="shared" ca="1" si="14"/>
        <v>1</v>
      </c>
      <c r="AP1114" s="76">
        <f t="array" ref="AP1114">AVERAGEIFS($K$2:$K2248,$B$2:$B2248,$B1114,$P$2:$P2248,"&lt;="&amp;$P1114,$P$2:$P2248,"&gt;"&amp;$P1114-7)</f>
        <v>7.8461538461538458</v>
      </c>
      <c r="AQ1114" s="76">
        <f ca="1">IFERROR(__xludf.DUMMYFUNCTION("iferror(stdevp(filter($J$2:$J2250,$B$2:$B2250=$B1114,$O$2:$O2250&lt;=$O1114,$O$2:$O2250&gt;$O1114-7)),0)"),0)</f>
        <v>0</v>
      </c>
      <c r="AR1114" s="77">
        <f t="shared" ca="1" si="15"/>
        <v>0</v>
      </c>
      <c r="AS1114" s="77">
        <f t="shared" ca="1" si="16"/>
        <v>3</v>
      </c>
      <c r="AT1114" s="78">
        <f t="shared" ca="1" si="12"/>
        <v>0.58333333333333337</v>
      </c>
    </row>
    <row r="1115" spans="1:46" ht="12.5" x14ac:dyDescent="0.25">
      <c r="A1115" s="75">
        <v>44964.444696956023</v>
      </c>
      <c r="B1115" s="1" t="s">
        <v>17</v>
      </c>
      <c r="C1115" s="1" t="str">
        <f>INDEX(TBL_Name,MATCH(Table2[[#This Row],[Athlete Name]],listNames,0),2)</f>
        <v>Athlete 10</v>
      </c>
      <c r="D1115" s="1" t="s">
        <v>130</v>
      </c>
      <c r="E1115" s="1">
        <v>6</v>
      </c>
      <c r="F1115" s="1">
        <v>8</v>
      </c>
      <c r="G1115" s="1">
        <v>8</v>
      </c>
      <c r="H1115" s="1" t="s">
        <v>1213</v>
      </c>
      <c r="I1115" s="1">
        <v>6</v>
      </c>
      <c r="J1115" s="1">
        <v>5</v>
      </c>
      <c r="K1115" s="1">
        <v>8</v>
      </c>
      <c r="L1115" s="1">
        <v>78</v>
      </c>
      <c r="M1115" s="1" t="e">
        <f t="shared" ca="1" si="0"/>
        <v>#NAME?</v>
      </c>
      <c r="N1115" s="1" t="e">
        <f t="shared" si="1"/>
        <v>#VALUE!</v>
      </c>
      <c r="O1115" s="1" t="e">
        <f ca="1">IF($N1115=_xludf.MINIFS($N$2:$N2301,$R$2:$R2301,$R1115),1,
($N1115-_xludf.MINIFS($N$2:$N2301,$R$2:$R2301,$R1115))+1)</f>
        <v>#VALUE!</v>
      </c>
      <c r="P1115" s="13" t="e">
        <f t="shared" si="2"/>
        <v>#VALUE!</v>
      </c>
      <c r="Q1115" s="1" t="e">
        <f>RIGHT(YEAR($A1115),2)-(MONTH($A1115)&lt;=#REF!)
 &amp;"-"&amp;
 RIGHT(YEAR($A1115),2)+(MONTH($A1115)&gt;=#REF!)</f>
        <v>#REF!</v>
      </c>
      <c r="R1115" s="1" t="e">
        <f>CHOOSE(MONTH($P1115),#REF!,#REF!,#REF!,#REF!,#REF!,#REF!,#REF!,#REF!,#REF!,#REF!,#REF!,#REF!)&amp;" "&amp;$Q1115</f>
        <v>#VALUE!</v>
      </c>
      <c r="S1115" s="1">
        <f t="shared" si="3"/>
        <v>1</v>
      </c>
      <c r="T1115" s="1" t="str">
        <f t="array" ref="T1115">IFERROR(INDEX(#REF!,MATCH($B1115,#REF!,0)),"")</f>
        <v/>
      </c>
      <c r="U1115" s="1" t="str">
        <f t="array" ref="U1115">IFERROR(INDEX(#REF!,MATCH($B1115,#REF!,0)),"")</f>
        <v/>
      </c>
      <c r="V1115" s="76">
        <f t="array" ref="V1115">AVERAGEIFS($E$2:$E2248,$B$2:$B2248,$B1115,$P$2:$P2248,"&lt;="&amp;$P1115,$P$2:$P2248,"&gt;"&amp;$P1115-7)</f>
        <v>6.9024390243902438</v>
      </c>
      <c r="W1115" s="76">
        <f ca="1">IFERROR(__xludf.DUMMYFUNCTION("iferror(stdevp(filter($D$2:$D2250,$B$2:$B2250=$B1115,$O$2:$O2250&lt;=$O1115,$O$2:$O2250&gt;$O1115-7)),0)"),1.6)</f>
        <v>1.6</v>
      </c>
      <c r="X1115" s="77">
        <f t="shared" ca="1" si="4"/>
        <v>-0.56402439024390238</v>
      </c>
      <c r="Y1115" s="77">
        <f t="shared" ca="1" si="5"/>
        <v>2</v>
      </c>
      <c r="Z1115" s="76">
        <f t="array" ref="Z1115">AVERAGEIFS($F$2:$F2248,$B$2:$B2248,$B1115,$P$2:$P2248,"&lt;="&amp;$P1115,$P$2:$P2248,"&gt;"&amp;$P1115-7)</f>
        <v>7.2926829268292686</v>
      </c>
      <c r="AA1115" s="76">
        <f ca="1">IFERROR(__xludf.DUMMYFUNCTION("iferror(stdevp(filter($E$2:$E2250,$B$2:$B2250=$B1115,$O$2:$O2250&lt;=$O1115,$O$2:$O2250&gt;$O1115-7)),0)"),2.0976176963403)</f>
        <v>2.0976176963403002</v>
      </c>
      <c r="AB1115" s="77">
        <f t="shared" ca="1" si="6"/>
        <v>0.33720018400149032</v>
      </c>
      <c r="AC1115" s="77">
        <f t="shared" ca="1" si="7"/>
        <v>3</v>
      </c>
      <c r="AD1115" s="76">
        <f t="array" ref="AD1115">AVERAGEIFS($G$2:$G2248,$B$2:$B2248,$B1115,$P$2:$P2248,"&lt;="&amp;$P1115,$P$2:$P2248,"&gt;"&amp;$P1115-7)</f>
        <v>7.8048780487804876</v>
      </c>
      <c r="AE1115" s="76">
        <f ca="1">IFERROR(__xludf.DUMMYFUNCTION("iferror(stdevp(filter($F$2:$F2250,$B$2:$B2250=$B1115,$O$2:$O2250&lt;=$O1115,$O$2:$O2250&gt;$O1115-7)),0)"),1.54919333848296)</f>
        <v>1.5491933384829599</v>
      </c>
      <c r="AF1115" s="77">
        <f t="shared" ca="1" si="8"/>
        <v>0.12595067792544512</v>
      </c>
      <c r="AG1115" s="77">
        <f t="shared" ca="1" si="9"/>
        <v>3</v>
      </c>
      <c r="AH1115" s="76">
        <f t="array" ref="AH1115">AVERAGEIFS($I$2:$I2248,$B$2:$B2248,$B1115,$P$2:$P2248,"&lt;="&amp;$P1115,$P$2:$P2248,"&gt;"&amp;$P1115-7)</f>
        <v>6.3170731707317076</v>
      </c>
      <c r="AI1115" s="76">
        <f ca="1">IFERROR(__xludf.DUMMYFUNCTION("iferror(stdevp(filter($H$2:$H2250,$B$2:$B2250=$B1115,$O$2:$O2250&lt;=$O1115,$O$2:$O2250&gt;$O1115-7)),0)"),0.8)</f>
        <v>0.8</v>
      </c>
      <c r="AJ1115" s="77">
        <f t="shared" ca="1" si="10"/>
        <v>-0.3963414634146345</v>
      </c>
      <c r="AK1115" s="77">
        <f t="shared" ca="1" si="11"/>
        <v>2</v>
      </c>
      <c r="AL1115" s="76">
        <f t="array" ref="AL1115">AVERAGEIFS($J$2:$J2248,$B$2:$B2248,$B1115,$P$2:$P2248,"&lt;="&amp;$P1115,$P$2:$P2248,"&gt;"&amp;$P1115-7)</f>
        <v>6.9024390243902438</v>
      </c>
      <c r="AM1115" s="76">
        <f ca="1">IFERROR(__xludf.DUMMYFUNCTION("iferror(stdevp(filter($I$2:$I2250,$B$2:$B2250=$B1115,$O$2:$O2250&lt;=$O1115,$O$2:$O2250&gt;$O1115-7)),0)"),0.82915619758885)</f>
        <v>0.82915619758884995</v>
      </c>
      <c r="AN1115" s="77">
        <f t="shared" ca="1" si="13"/>
        <v>-2.294427792884445</v>
      </c>
      <c r="AO1115" s="77">
        <f t="shared" ca="1" si="14"/>
        <v>1</v>
      </c>
      <c r="AP1115" s="76">
        <f t="array" ref="AP1115">AVERAGEIFS($K$2:$K2248,$B$2:$B2248,$B1115,$P$2:$P2248,"&lt;="&amp;$P1115,$P$2:$P2248,"&gt;"&amp;$P1115-7)</f>
        <v>8</v>
      </c>
      <c r="AQ1115" s="76">
        <f ca="1">IFERROR(__xludf.DUMMYFUNCTION("iferror(stdevp(filter($J$2:$J2250,$B$2:$B2250=$B1115,$O$2:$O2250&lt;=$O1115,$O$2:$O2250&gt;$O1115-7)),0)"),0.5)</f>
        <v>0.5</v>
      </c>
      <c r="AR1115" s="77">
        <f t="shared" ca="1" si="15"/>
        <v>0</v>
      </c>
      <c r="AS1115" s="77">
        <f t="shared" ca="1" si="16"/>
        <v>3</v>
      </c>
      <c r="AT1115" s="78">
        <f t="shared" ca="1" si="12"/>
        <v>0.58333333333333337</v>
      </c>
    </row>
    <row r="1116" spans="1:46" ht="12.5" x14ac:dyDescent="0.25">
      <c r="A1116" s="75">
        <v>44964.446204571759</v>
      </c>
      <c r="B1116" s="1" t="s">
        <v>29</v>
      </c>
      <c r="C1116" s="1" t="str">
        <f>INDEX(TBL_Name,MATCH(Table2[[#This Row],[Athlete Name]],listNames,0),2)</f>
        <v>Athlete 18</v>
      </c>
      <c r="D1116" s="1" t="s">
        <v>130</v>
      </c>
      <c r="E1116" s="1">
        <v>9</v>
      </c>
      <c r="F1116" s="1">
        <v>8</v>
      </c>
      <c r="G1116" s="1">
        <v>9</v>
      </c>
      <c r="H1116" s="1" t="s">
        <v>586</v>
      </c>
      <c r="I1116" s="1">
        <v>8</v>
      </c>
      <c r="J1116" s="1">
        <v>8</v>
      </c>
      <c r="K1116" s="1">
        <v>8</v>
      </c>
      <c r="L1116" s="1">
        <v>95</v>
      </c>
      <c r="M1116" s="1" t="e">
        <f t="shared" ca="1" si="0"/>
        <v>#NAME?</v>
      </c>
      <c r="N1116" s="1" t="e">
        <f t="shared" si="1"/>
        <v>#VALUE!</v>
      </c>
      <c r="O1116" s="1" t="e">
        <f ca="1">IF($N1116=_xludf.MINIFS($N$2:$N2302,$R$2:$R2302,$R1116),1,
($N1116-_xludf.MINIFS($N$2:$N2302,$R$2:$R2302,$R1116))+1)</f>
        <v>#VALUE!</v>
      </c>
      <c r="P1116" s="13" t="e">
        <f t="shared" si="2"/>
        <v>#VALUE!</v>
      </c>
      <c r="Q1116" s="1" t="e">
        <f>RIGHT(YEAR($A1116),2)-(MONTH($A1116)&lt;=#REF!)
 &amp;"-"&amp;
 RIGHT(YEAR($A1116),2)+(MONTH($A1116)&gt;=#REF!)</f>
        <v>#REF!</v>
      </c>
      <c r="R1116" s="1" t="e">
        <f>CHOOSE(MONTH($P1116),#REF!,#REF!,#REF!,#REF!,#REF!,#REF!,#REF!,#REF!,#REF!,#REF!,#REF!,#REF!)&amp;" "&amp;$Q1116</f>
        <v>#VALUE!</v>
      </c>
      <c r="S1116" s="1">
        <f t="shared" si="3"/>
        <v>1</v>
      </c>
      <c r="T1116" s="1" t="str">
        <f t="array" ref="T1116">IFERROR(INDEX(#REF!,MATCH($B1116,#REF!,0)),"")</f>
        <v/>
      </c>
      <c r="U1116" s="1" t="str">
        <f t="array" ref="U1116">IFERROR(INDEX(#REF!,MATCH($B1116,#REF!,0)),"")</f>
        <v/>
      </c>
      <c r="V1116" s="76">
        <f t="array" ref="V1116">AVERAGEIFS($E$2:$E2248,$B$2:$B2248,$B1116,$P$2:$P2248,"&lt;="&amp;$P1116,$P$2:$P2248,"&gt;"&amp;$P1116-7)</f>
        <v>8.53125</v>
      </c>
      <c r="W1116" s="76">
        <f ca="1">IFERROR(__xludf.DUMMYFUNCTION("iferror(stdevp(filter($D$2:$D2250,$B$2:$B2250=$B1116,$O$2:$O2250&lt;=$O1116,$O$2:$O2250&gt;$O1116-7)),0)"),0)</f>
        <v>0</v>
      </c>
      <c r="X1116" s="77">
        <f t="shared" ca="1" si="4"/>
        <v>0</v>
      </c>
      <c r="Y1116" s="77">
        <f t="shared" ca="1" si="5"/>
        <v>3</v>
      </c>
      <c r="Z1116" s="76">
        <f t="array" ref="Z1116">AVERAGEIFS($F$2:$F2248,$B$2:$B2248,$B1116,$P$2:$P2248,"&lt;="&amp;$P1116,$P$2:$P2248,"&gt;"&amp;$P1116-7)</f>
        <v>8.125</v>
      </c>
      <c r="AA1116" s="76">
        <f ca="1">IFERROR(__xludf.DUMMYFUNCTION("iferror(stdevp(filter($E$2:$E2250,$B$2:$B2250=$B1116,$O$2:$O2250&lt;=$O1116,$O$2:$O2250&gt;$O1116-7)),0)"),0.707106781186547)</f>
        <v>0.70710678118654702</v>
      </c>
      <c r="AB1116" s="77">
        <f t="shared" ca="1" si="6"/>
        <v>-0.176776695296637</v>
      </c>
      <c r="AC1116" s="77">
        <f t="shared" ca="1" si="7"/>
        <v>2</v>
      </c>
      <c r="AD1116" s="76">
        <f t="array" ref="AD1116">AVERAGEIFS($G$2:$G2248,$B$2:$B2248,$B1116,$P$2:$P2248,"&lt;="&amp;$P1116,$P$2:$P2248,"&gt;"&amp;$P1116-7)</f>
        <v>8.09375</v>
      </c>
      <c r="AE1116" s="76">
        <f ca="1">IFERROR(__xludf.DUMMYFUNCTION("iferror(stdevp(filter($F$2:$F2250,$B$2:$B2250=$B1116,$O$2:$O2250&lt;=$O1116,$O$2:$O2250&gt;$O1116-7)),0)"),0.433012701892219)</f>
        <v>0.43301270189221902</v>
      </c>
      <c r="AF1116" s="77">
        <f t="shared" ca="1" si="8"/>
        <v>2.0928947258123949</v>
      </c>
      <c r="AG1116" s="77">
        <f t="shared" ca="1" si="9"/>
        <v>4</v>
      </c>
      <c r="AH1116" s="76">
        <f t="array" ref="AH1116">AVERAGEIFS($I$2:$I2248,$B$2:$B2248,$B1116,$P$2:$P2248,"&lt;="&amp;$P1116,$P$2:$P2248,"&gt;"&amp;$P1116-7)</f>
        <v>7.875</v>
      </c>
      <c r="AI1116" s="76">
        <f ca="1">IFERROR(__xludf.DUMMYFUNCTION("iferror(stdevp(filter($H$2:$H2250,$B$2:$B2250=$B1116,$O$2:$O2250&lt;=$O1116,$O$2:$O2250&gt;$O1116-7)),0)"),1.11803398874989)</f>
        <v>1.11803398874989</v>
      </c>
      <c r="AJ1116" s="77">
        <f t="shared" ca="1" si="10"/>
        <v>0.11180339887498997</v>
      </c>
      <c r="AK1116" s="77">
        <f t="shared" ca="1" si="11"/>
        <v>3</v>
      </c>
      <c r="AL1116" s="76">
        <f t="array" ref="AL1116">AVERAGEIFS($J$2:$J2248,$B$2:$B2248,$B1116,$P$2:$P2248,"&lt;="&amp;$P1116,$P$2:$P2248,"&gt;"&amp;$P1116-7)</f>
        <v>8.34375</v>
      </c>
      <c r="AM1116" s="76">
        <f ca="1">IFERROR(__xludf.DUMMYFUNCTION("iferror(stdevp(filter($I$2:$I2250,$B$2:$B2250=$B1116,$O$2:$O2250&lt;=$O1116,$O$2:$O2250&gt;$O1116-7)),0)"),0.471404520791031)</f>
        <v>0.47140452079103101</v>
      </c>
      <c r="AN1116" s="77">
        <f t="shared" ca="1" si="13"/>
        <v>-0.72920386809862814</v>
      </c>
      <c r="AO1116" s="77">
        <f t="shared" ca="1" si="14"/>
        <v>2</v>
      </c>
      <c r="AP1116" s="76">
        <f t="array" ref="AP1116">AVERAGEIFS($K$2:$K2248,$B$2:$B2248,$B1116,$P$2:$P2248,"&lt;="&amp;$P1116,$P$2:$P2248,"&gt;"&amp;$P1116-7)</f>
        <v>8.46875</v>
      </c>
      <c r="AQ1116" s="76">
        <f ca="1">IFERROR(__xludf.DUMMYFUNCTION("iferror(stdevp(filter($J$2:$J2250,$B$2:$B2250=$B1116,$O$2:$O2250&lt;=$O1116,$O$2:$O2250&gt;$O1116-7)),0)"),0.471404520791031)</f>
        <v>0.47140452079103101</v>
      </c>
      <c r="AR1116" s="77">
        <f t="shared" ca="1" si="15"/>
        <v>-0.99436891104358383</v>
      </c>
      <c r="AS1116" s="77">
        <f t="shared" ca="1" si="16"/>
        <v>2</v>
      </c>
      <c r="AT1116" s="78">
        <f t="shared" ca="1" si="12"/>
        <v>0.66666666666666663</v>
      </c>
    </row>
    <row r="1117" spans="1:46" ht="12.5" x14ac:dyDescent="0.25">
      <c r="A1117" s="75">
        <v>44964.448745578702</v>
      </c>
      <c r="B1117" s="1" t="s">
        <v>21</v>
      </c>
      <c r="C1117" s="1" t="str">
        <f>INDEX(TBL_Name,MATCH(Table2[[#This Row],[Athlete Name]],listNames,0),2)</f>
        <v>Athlete 13</v>
      </c>
      <c r="D1117" s="1" t="s">
        <v>143</v>
      </c>
      <c r="E1117" s="1">
        <v>8</v>
      </c>
      <c r="F1117" s="1">
        <v>9</v>
      </c>
      <c r="G1117" s="1">
        <v>9</v>
      </c>
      <c r="H1117" s="1" t="s">
        <v>1515</v>
      </c>
      <c r="I1117" s="1">
        <v>6</v>
      </c>
      <c r="J1117" s="1">
        <v>5</v>
      </c>
      <c r="K1117" s="1">
        <v>6</v>
      </c>
      <c r="L1117" s="1">
        <v>75</v>
      </c>
      <c r="M1117" s="1" t="e">
        <f t="shared" ca="1" si="0"/>
        <v>#NAME?</v>
      </c>
      <c r="N1117" s="1" t="e">
        <f t="shared" si="1"/>
        <v>#VALUE!</v>
      </c>
      <c r="O1117" s="1" t="e">
        <f ca="1">IF($N1117=_xludf.MINIFS($N$2:$N2303,$R$2:$R2303,$R1117),1,
($N1117-_xludf.MINIFS($N$2:$N2303,$R$2:$R2303,$R1117))+1)</f>
        <v>#VALUE!</v>
      </c>
      <c r="P1117" s="13" t="e">
        <f t="shared" si="2"/>
        <v>#VALUE!</v>
      </c>
      <c r="Q1117" s="1" t="e">
        <f>RIGHT(YEAR($A1117),2)-(MONTH($A1117)&lt;=#REF!)
 &amp;"-"&amp;
 RIGHT(YEAR($A1117),2)+(MONTH($A1117)&gt;=#REF!)</f>
        <v>#REF!</v>
      </c>
      <c r="R1117" s="1" t="e">
        <f>CHOOSE(MONTH($P1117),#REF!,#REF!,#REF!,#REF!,#REF!,#REF!,#REF!,#REF!,#REF!,#REF!,#REF!,#REF!)&amp;" "&amp;$Q1117</f>
        <v>#VALUE!</v>
      </c>
      <c r="S1117" s="1">
        <f t="shared" si="3"/>
        <v>2</v>
      </c>
      <c r="T1117" s="1" t="str">
        <f t="array" ref="T1117">IFERROR(INDEX(#REF!,MATCH($B1117,#REF!,0)),"")</f>
        <v/>
      </c>
      <c r="U1117" s="1" t="str">
        <f t="array" ref="U1117">IFERROR(INDEX(#REF!,MATCH($B1117,#REF!,0)),"")</f>
        <v/>
      </c>
      <c r="V1117" s="76">
        <f t="array" ref="V1117">AVERAGEIFS($E$2:$E2248,$B$2:$B2248,$B1117,$P$2:$P2248,"&lt;="&amp;$P1117,$P$2:$P2248,"&gt;"&amp;$P1117-7)</f>
        <v>6.6304347826086953</v>
      </c>
      <c r="W1117" s="76">
        <f ca="1">IFERROR(__xludf.DUMMYFUNCTION("iferror(stdevp(filter($D$2:$D2250,$B$2:$B2250=$B1117,$O$2:$O2250&lt;=$O1117,$O$2:$O2250&gt;$O1117-7)),0)"),0.699854212223765)</f>
        <v>0.69985421222376498</v>
      </c>
      <c r="X1117" s="77">
        <f t="shared" ca="1" si="4"/>
        <v>1.9569293053756922</v>
      </c>
      <c r="Y1117" s="77">
        <f t="shared" ca="1" si="5"/>
        <v>4</v>
      </c>
      <c r="Z1117" s="76">
        <f t="array" ref="Z1117">AVERAGEIFS($F$2:$F2248,$B$2:$B2248,$B1117,$P$2:$P2248,"&lt;="&amp;$P1117,$P$2:$P2248,"&gt;"&amp;$P1117-7)</f>
        <v>7.6956521739130439</v>
      </c>
      <c r="AA1117" s="76">
        <f ca="1">IFERROR(__xludf.DUMMYFUNCTION("iferror(stdevp(filter($E$2:$E2250,$B$2:$B2250=$B1117,$O$2:$O2250&lt;=$O1117,$O$2:$O2250&gt;$O1117-7)),0)"),0.755928946018454)</f>
        <v>0.75592894601845395</v>
      </c>
      <c r="AB1117" s="77">
        <f t="shared" ca="1" si="6"/>
        <v>1.7254899854769075</v>
      </c>
      <c r="AC1117" s="77">
        <f t="shared" ca="1" si="7"/>
        <v>4</v>
      </c>
      <c r="AD1117" s="76">
        <f t="array" ref="AD1117">AVERAGEIFS($G$2:$G2248,$B$2:$B2248,$B1117,$P$2:$P2248,"&lt;="&amp;$P1117,$P$2:$P2248,"&gt;"&amp;$P1117-7)</f>
        <v>8.2608695652173907</v>
      </c>
      <c r="AE1117" s="76">
        <f ca="1">IFERROR(__xludf.DUMMYFUNCTION("iferror(stdevp(filter($F$2:$F2250,$B$2:$B2250=$B1117,$O$2:$O2250&lt;=$O1117,$O$2:$O2250&gt;$O1117-7)),0)"),0.494871659305393)</f>
        <v>0.49487165930539301</v>
      </c>
      <c r="AF1117" s="77">
        <f t="shared" ca="1" si="8"/>
        <v>1.4935800442079477</v>
      </c>
      <c r="AG1117" s="77">
        <f t="shared" ca="1" si="9"/>
        <v>4</v>
      </c>
      <c r="AH1117" s="76">
        <f t="array" ref="AH1117">AVERAGEIFS($I$2:$I2248,$B$2:$B2248,$B1117,$P$2:$P2248,"&lt;="&amp;$P1117,$P$2:$P2248,"&gt;"&amp;$P1117-7)</f>
        <v>5.7391304347826084</v>
      </c>
      <c r="AI1117" s="76">
        <f ca="1">IFERROR(__xludf.DUMMYFUNCTION("iferror(stdevp(filter($H$2:$H2250,$B$2:$B2250=$B1117,$O$2:$O2250&lt;=$O1117,$O$2:$O2250&gt;$O1117-7)),0)"),0.989743318610787)</f>
        <v>0.98974331861078702</v>
      </c>
      <c r="AJ1117" s="77">
        <f t="shared" ca="1" si="10"/>
        <v>0.26357294897787292</v>
      </c>
      <c r="AK1117" s="77">
        <f t="shared" ca="1" si="11"/>
        <v>3</v>
      </c>
      <c r="AL1117" s="76">
        <f t="array" ref="AL1117">AVERAGEIFS($J$2:$J2248,$B$2:$B2248,$B1117,$P$2:$P2248,"&lt;="&amp;$P1117,$P$2:$P2248,"&gt;"&amp;$P1117-7)</f>
        <v>6.5434782608695654</v>
      </c>
      <c r="AM1117" s="76">
        <f ca="1">IFERROR(__xludf.DUMMYFUNCTION("iferror(stdevp(filter($I$2:$I2250,$B$2:$B2250=$B1117,$O$2:$O2250&lt;=$O1117,$O$2:$O2250&gt;$O1117-7)),0)"),0.687184270936276)</f>
        <v>0.68718427093627599</v>
      </c>
      <c r="AN1117" s="77">
        <f t="shared" ca="1" si="13"/>
        <v>-2.2460907883799561</v>
      </c>
      <c r="AO1117" s="77">
        <f t="shared" ca="1" si="14"/>
        <v>1</v>
      </c>
      <c r="AP1117" s="76">
        <f t="array" ref="AP1117">AVERAGEIFS($K$2:$K2248,$B$2:$B2248,$B1117,$P$2:$P2248,"&lt;="&amp;$P1117,$P$2:$P2248,"&gt;"&amp;$P1117-7)</f>
        <v>6.6086956521739131</v>
      </c>
      <c r="AQ1117" s="76">
        <f ca="1">IFERROR(__xludf.DUMMYFUNCTION("iferror(stdevp(filter($J$2:$J2250,$B$2:$B2250=$B1117,$O$2:$O2250&lt;=$O1117,$O$2:$O2250&gt;$O1117-7)),0)"),0.687184270936276)</f>
        <v>0.68718427093627599</v>
      </c>
      <c r="AR1117" s="77">
        <f t="shared" ca="1" si="15"/>
        <v>-0.88578228274139104</v>
      </c>
      <c r="AS1117" s="77">
        <f t="shared" ca="1" si="16"/>
        <v>2</v>
      </c>
      <c r="AT1117" s="78">
        <f t="shared" ca="1" si="12"/>
        <v>0.75</v>
      </c>
    </row>
    <row r="1118" spans="1:46" ht="12.5" x14ac:dyDescent="0.25">
      <c r="A1118" s="75">
        <v>44964.486717812499</v>
      </c>
      <c r="B1118" s="1" t="s">
        <v>4</v>
      </c>
      <c r="C1118" s="1" t="str">
        <f>INDEX(TBL_Name,MATCH(Table2[[#This Row],[Athlete Name]],listNames,0),2)</f>
        <v>Athlete 1</v>
      </c>
      <c r="D1118" s="1" t="s">
        <v>130</v>
      </c>
      <c r="E1118" s="1">
        <v>10</v>
      </c>
      <c r="F1118" s="1">
        <v>10</v>
      </c>
      <c r="G1118" s="1">
        <v>7</v>
      </c>
      <c r="H1118" s="1" t="s">
        <v>70</v>
      </c>
      <c r="I1118" s="1">
        <v>9</v>
      </c>
      <c r="J1118" s="1">
        <v>5</v>
      </c>
      <c r="K1118" s="1">
        <v>7</v>
      </c>
      <c r="L1118" s="1">
        <v>90</v>
      </c>
      <c r="M1118" s="1" t="e">
        <f t="shared" ca="1" si="0"/>
        <v>#NAME?</v>
      </c>
      <c r="N1118" s="1" t="e">
        <f t="shared" si="1"/>
        <v>#VALUE!</v>
      </c>
      <c r="O1118" s="1" t="e">
        <f ca="1">IF($N1118=_xludf.MINIFS($N$2:$N2304,$R$2:$R2304,$R1118),1,
($N1118-_xludf.MINIFS($N$2:$N2304,$R$2:$R2304,$R1118))+1)</f>
        <v>#VALUE!</v>
      </c>
      <c r="P1118" s="13" t="e">
        <f t="shared" si="2"/>
        <v>#VALUE!</v>
      </c>
      <c r="Q1118" s="1" t="e">
        <f>RIGHT(YEAR($A1118),2)-(MONTH($A1118)&lt;=#REF!)
 &amp;"-"&amp;
 RIGHT(YEAR($A1118),2)+(MONTH($A1118)&gt;=#REF!)</f>
        <v>#REF!</v>
      </c>
      <c r="R1118" s="1" t="e">
        <f>CHOOSE(MONTH($P1118),#REF!,#REF!,#REF!,#REF!,#REF!,#REF!,#REF!,#REF!,#REF!,#REF!,#REF!,#REF!)&amp;" "&amp;$Q1118</f>
        <v>#VALUE!</v>
      </c>
      <c r="S1118" s="1">
        <f t="shared" si="3"/>
        <v>1</v>
      </c>
      <c r="T1118" s="1" t="str">
        <f t="array" ref="T1118">IFERROR(INDEX(#REF!,MATCH($B1118,#REF!,0)),"")</f>
        <v/>
      </c>
      <c r="U1118" s="1" t="str">
        <f t="array" ref="U1118">IFERROR(INDEX(#REF!,MATCH($B1118,#REF!,0)),"")</f>
        <v/>
      </c>
      <c r="V1118" s="76">
        <f t="array" ref="V1118">AVERAGEIFS($E$2:$E2248,$B$2:$B2248,$B1118,$P$2:$P2248,"&lt;="&amp;$P1118,$P$2:$P2248,"&gt;"&amp;$P1118-7)</f>
        <v>8.3809523809523814</v>
      </c>
      <c r="W1118" s="76">
        <f ca="1">IFERROR(__xludf.DUMMYFUNCTION("iferror(stdevp(filter($D$2:$D2250,$B$2:$B2250=$B1118,$O$2:$O2250&lt;=$O1118,$O$2:$O2250&gt;$O1118-7)),0)"),0.82915619758885)</f>
        <v>0.82915619758884995</v>
      </c>
      <c r="X1118" s="77">
        <f t="shared" ca="1" si="4"/>
        <v>1.9526448982178972</v>
      </c>
      <c r="Y1118" s="77">
        <f t="shared" ca="1" si="5"/>
        <v>4</v>
      </c>
      <c r="Z1118" s="76">
        <f t="array" ref="Z1118">AVERAGEIFS($F$2:$F2248,$B$2:$B2248,$B1118,$P$2:$P2248,"&lt;="&amp;$P1118,$P$2:$P2248,"&gt;"&amp;$P1118-7)</f>
        <v>6.8571428571428568</v>
      </c>
      <c r="AA1118" s="76">
        <f ca="1">IFERROR(__xludf.DUMMYFUNCTION("iferror(stdevp(filter($E$2:$E2250,$B$2:$B2250=$B1118,$O$2:$O2250&lt;=$O1118,$O$2:$O2250&gt;$O1118-7)),0)"),1.4790199457749)</f>
        <v>1.4790199457749</v>
      </c>
      <c r="AB1118" s="77">
        <f t="shared" ca="1" si="6"/>
        <v>2.124959269031705</v>
      </c>
      <c r="AC1118" s="77">
        <f t="shared" ca="1" si="7"/>
        <v>4</v>
      </c>
      <c r="AD1118" s="76">
        <f t="array" ref="AD1118">AVERAGEIFS($G$2:$G2248,$B$2:$B2248,$B1118,$P$2:$P2248,"&lt;="&amp;$P1118,$P$2:$P2248,"&gt;"&amp;$P1118-7)</f>
        <v>5.7619047619047619</v>
      </c>
      <c r="AE1118" s="76">
        <f ca="1">IFERROR(__xludf.DUMMYFUNCTION("iferror(stdevp(filter($F$2:$F2250,$B$2:$B2250=$B1118,$O$2:$O2250&lt;=$O1118,$O$2:$O2250&gt;$O1118-7)),0)"),0.5)</f>
        <v>0.5</v>
      </c>
      <c r="AF1118" s="77">
        <f t="shared" ca="1" si="8"/>
        <v>2.4761904761904763</v>
      </c>
      <c r="AG1118" s="77">
        <f t="shared" ca="1" si="9"/>
        <v>4</v>
      </c>
      <c r="AH1118" s="76">
        <f t="array" ref="AH1118">AVERAGEIFS($I$2:$I2248,$B$2:$B2248,$B1118,$P$2:$P2248,"&lt;="&amp;$P1118,$P$2:$P2248,"&gt;"&amp;$P1118-7)</f>
        <v>6.8571428571428568</v>
      </c>
      <c r="AI1118" s="76">
        <f ca="1">IFERROR(__xludf.DUMMYFUNCTION("iferror(stdevp(filter($H$2:$H2250,$B$2:$B2250=$B1118,$O$2:$O2250&lt;=$O1118,$O$2:$O2250&gt;$O1118-7)),0)"),0.5)</f>
        <v>0.5</v>
      </c>
      <c r="AJ1118" s="77">
        <f t="shared" ca="1" si="10"/>
        <v>4.2857142857142865</v>
      </c>
      <c r="AK1118" s="77">
        <f t="shared" ca="1" si="11"/>
        <v>4</v>
      </c>
      <c r="AL1118" s="76">
        <f t="array" ref="AL1118">AVERAGEIFS($J$2:$J2248,$B$2:$B2248,$B1118,$P$2:$P2248,"&lt;="&amp;$P1118,$P$2:$P2248,"&gt;"&amp;$P1118-7)</f>
        <v>5.0952380952380949</v>
      </c>
      <c r="AM1118" s="76">
        <f ca="1">IFERROR(__xludf.DUMMYFUNCTION("iferror(stdevp(filter($I$2:$I2250,$B$2:$B2250=$B1118,$O$2:$O2250&lt;=$O1118,$O$2:$O2250&gt;$O1118-7)),0)"),0)</f>
        <v>0</v>
      </c>
      <c r="AN1118" s="77">
        <f t="shared" ca="1" si="13"/>
        <v>0</v>
      </c>
      <c r="AO1118" s="77">
        <f t="shared" ca="1" si="14"/>
        <v>3</v>
      </c>
      <c r="AP1118" s="76">
        <f t="array" ref="AP1118">AVERAGEIFS($K$2:$K2248,$B$2:$B2248,$B1118,$P$2:$P2248,"&lt;="&amp;$P1118,$P$2:$P2248,"&gt;"&amp;$P1118-7)</f>
        <v>5.3809523809523814</v>
      </c>
      <c r="AQ1118" s="76">
        <f ca="1">IFERROR(__xludf.DUMMYFUNCTION("iferror(stdevp(filter($J$2:$J2250,$B$2:$B2250=$B1118,$O$2:$O2250&lt;=$O1118,$O$2:$O2250&gt;$O1118-7)),0)"),0.816496580927726)</f>
        <v>0.81649658092772603</v>
      </c>
      <c r="AR1118" s="77">
        <f t="shared" ca="1" si="15"/>
        <v>1.9829202679673341</v>
      </c>
      <c r="AS1118" s="77">
        <f t="shared" ca="1" si="16"/>
        <v>4</v>
      </c>
      <c r="AT1118" s="78">
        <f t="shared" ca="1" si="12"/>
        <v>0.95833333333333337</v>
      </c>
    </row>
    <row r="1119" spans="1:46" ht="12.5" x14ac:dyDescent="0.25">
      <c r="A1119" s="75">
        <v>44964.493749270834</v>
      </c>
      <c r="B1119" s="1" t="s">
        <v>13</v>
      </c>
      <c r="C1119" s="1" t="str">
        <f>INDEX(TBL_Name,MATCH(Table2[[#This Row],[Athlete Name]],listNames,0),2)</f>
        <v>Athlete 7</v>
      </c>
      <c r="D1119" s="1" t="s">
        <v>130</v>
      </c>
      <c r="E1119" s="1">
        <v>8</v>
      </c>
      <c r="F1119" s="1">
        <v>9</v>
      </c>
      <c r="G1119" s="1">
        <v>8</v>
      </c>
      <c r="H1119" s="1" t="s">
        <v>226</v>
      </c>
      <c r="I1119" s="1">
        <v>7</v>
      </c>
      <c r="J1119" s="1">
        <v>10</v>
      </c>
      <c r="K1119" s="1">
        <v>10</v>
      </c>
      <c r="L1119" s="1">
        <v>59</v>
      </c>
      <c r="M1119" s="1" t="e">
        <f t="shared" ca="1" si="0"/>
        <v>#NAME?</v>
      </c>
      <c r="N1119" s="1" t="e">
        <f t="shared" si="1"/>
        <v>#VALUE!</v>
      </c>
      <c r="O1119" s="1" t="e">
        <f ca="1">IF($N1119=_xludf.MINIFS($N$2:$N2305,$R$2:$R2305,$R1119),1,
($N1119-_xludf.MINIFS($N$2:$N2305,$R$2:$R2305,$R1119))+1)</f>
        <v>#VALUE!</v>
      </c>
      <c r="P1119" s="13" t="e">
        <f t="shared" si="2"/>
        <v>#VALUE!</v>
      </c>
      <c r="Q1119" s="1" t="e">
        <f>RIGHT(YEAR($A1119),2)-(MONTH($A1119)&lt;=#REF!)
 &amp;"-"&amp;
 RIGHT(YEAR($A1119),2)+(MONTH($A1119)&gt;=#REF!)</f>
        <v>#REF!</v>
      </c>
      <c r="R1119" s="1" t="e">
        <f>CHOOSE(MONTH($P1119),#REF!,#REF!,#REF!,#REF!,#REF!,#REF!,#REF!,#REF!,#REF!,#REF!,#REF!,#REF!)&amp;" "&amp;$Q1119</f>
        <v>#VALUE!</v>
      </c>
      <c r="S1119" s="1">
        <f t="shared" si="3"/>
        <v>1</v>
      </c>
      <c r="T1119" s="1" t="str">
        <f t="array" ref="T1119">IFERROR(INDEX(#REF!,MATCH($B1119,#REF!,0)),"")</f>
        <v/>
      </c>
      <c r="U1119" s="1" t="str">
        <f t="array" ref="U1119">IFERROR(INDEX(#REF!,MATCH($B1119,#REF!,0)),"")</f>
        <v/>
      </c>
      <c r="V1119" s="76">
        <f t="array" ref="V1119">AVERAGEIFS($E$2:$E2248,$B$2:$B2248,$B1119,$P$2:$P2248,"&lt;="&amp;$P1119,$P$2:$P2248,"&gt;"&amp;$P1119-7)</f>
        <v>7.6857142857142859</v>
      </c>
      <c r="W1119" s="76">
        <f ca="1">IFERROR(__xludf.DUMMYFUNCTION("iferror(stdevp(filter($D$2:$D2250,$B$2:$B2250=$B1119,$O$2:$O2250&lt;=$O1119,$O$2:$O2250&gt;$O1119-7)),0)"),1.78885438199983)</f>
        <v>1.7888543819998299</v>
      </c>
      <c r="X1119" s="77">
        <f t="shared" ca="1" si="4"/>
        <v>0.17569105537498353</v>
      </c>
      <c r="Y1119" s="77">
        <f t="shared" ca="1" si="5"/>
        <v>3</v>
      </c>
      <c r="Z1119" s="76">
        <f t="array" ref="Z1119">AVERAGEIFS($F$2:$F2248,$B$2:$B2248,$B1119,$P$2:$P2248,"&lt;="&amp;$P1119,$P$2:$P2248,"&gt;"&amp;$P1119-7)</f>
        <v>7.0857142857142854</v>
      </c>
      <c r="AA1119" s="76">
        <f ca="1">IFERROR(__xludf.DUMMYFUNCTION("iferror(stdevp(filter($E$2:$E2250,$B$2:$B2250=$B1119,$O$2:$O2250&lt;=$O1119,$O$2:$O2250&gt;$O1119-7)),0)"),1.4696938456699)</f>
        <v>1.4696938456699</v>
      </c>
      <c r="AB1119" s="77">
        <f t="shared" ca="1" si="6"/>
        <v>1.3025064505275692</v>
      </c>
      <c r="AC1119" s="77">
        <f t="shared" ca="1" si="7"/>
        <v>4</v>
      </c>
      <c r="AD1119" s="76">
        <f t="array" ref="AD1119">AVERAGEIFS($G$2:$G2248,$B$2:$B2248,$B1119,$P$2:$P2248,"&lt;="&amp;$P1119,$P$2:$P2248,"&gt;"&amp;$P1119-7)</f>
        <v>7.1428571428571432</v>
      </c>
      <c r="AE1119" s="76">
        <f ca="1">IFERROR(__xludf.DUMMYFUNCTION("iferror(stdevp(filter($F$2:$F2250,$B$2:$B2250=$B1119,$O$2:$O2250&lt;=$O1119,$O$2:$O2250&gt;$O1119-7)),0)"),0.4)</f>
        <v>0.4</v>
      </c>
      <c r="AF1119" s="77">
        <f t="shared" ca="1" si="8"/>
        <v>2.1428571428571419</v>
      </c>
      <c r="AG1119" s="77">
        <f t="shared" ca="1" si="9"/>
        <v>4</v>
      </c>
      <c r="AH1119" s="76">
        <f t="array" ref="AH1119">AVERAGEIFS($I$2:$I2248,$B$2:$B2248,$B1119,$P$2:$P2248,"&lt;="&amp;$P1119,$P$2:$P2248,"&gt;"&amp;$P1119-7)</f>
        <v>7.0285714285714285</v>
      </c>
      <c r="AI1119" s="76">
        <f ca="1">IFERROR(__xludf.DUMMYFUNCTION("iferror(stdevp(filter($H$2:$H2250,$B$2:$B2250=$B1119,$O$2:$O2250&lt;=$O1119,$O$2:$O2250&gt;$O1119-7)),0)"),1.62480768092719)</f>
        <v>1.6248076809271901</v>
      </c>
      <c r="AJ1119" s="77">
        <f t="shared" ca="1" si="10"/>
        <v>-1.7584498711333208E-2</v>
      </c>
      <c r="AK1119" s="77">
        <f t="shared" ca="1" si="11"/>
        <v>2</v>
      </c>
      <c r="AL1119" s="76">
        <f t="array" ref="AL1119">AVERAGEIFS($J$2:$J2248,$B$2:$B2248,$B1119,$P$2:$P2248,"&lt;="&amp;$P1119,$P$2:$P2248,"&gt;"&amp;$P1119-7)</f>
        <v>9.742857142857142</v>
      </c>
      <c r="AM1119" s="76">
        <f ca="1">IFERROR(__xludf.DUMMYFUNCTION("iferror(stdevp(filter($I$2:$I2250,$B$2:$B2250=$B1119,$O$2:$O2250&lt;=$O1119,$O$2:$O2250&gt;$O1119-7)),0)"),0.433012701892219)</f>
        <v>0.43301270189221902</v>
      </c>
      <c r="AN1119" s="77">
        <f t="shared" ca="1" si="13"/>
        <v>0.59384599116647463</v>
      </c>
      <c r="AO1119" s="77">
        <f t="shared" ca="1" si="14"/>
        <v>3</v>
      </c>
      <c r="AP1119" s="76">
        <f t="array" ref="AP1119">AVERAGEIFS($K$2:$K2248,$B$2:$B2248,$B1119,$P$2:$P2248,"&lt;="&amp;$P1119,$P$2:$P2248,"&gt;"&amp;$P1119-7)</f>
        <v>9.4285714285714288</v>
      </c>
      <c r="AQ1119" s="76">
        <f ca="1">IFERROR(__xludf.DUMMYFUNCTION("iferror(stdevp(filter($J$2:$J2250,$B$2:$B2250=$B1119,$O$2:$O2250&lt;=$O1119,$O$2:$O2250&gt;$O1119-7)),0)"),0)</f>
        <v>0</v>
      </c>
      <c r="AR1119" s="77">
        <f t="shared" ca="1" si="15"/>
        <v>0</v>
      </c>
      <c r="AS1119" s="77">
        <f t="shared" ca="1" si="16"/>
        <v>3</v>
      </c>
      <c r="AT1119" s="78">
        <f t="shared" ca="1" si="12"/>
        <v>0.79166666666666663</v>
      </c>
    </row>
    <row r="1120" spans="1:46" ht="12.5" x14ac:dyDescent="0.25">
      <c r="A1120" s="75">
        <v>44964.495975555554</v>
      </c>
      <c r="B1120" s="1" t="s">
        <v>22</v>
      </c>
      <c r="C1120" s="1" t="str">
        <f>INDEX(TBL_Name,MATCH(Table2[[#This Row],[Athlete Name]],listNames,0),2)</f>
        <v>Athlete 14</v>
      </c>
      <c r="D1120" s="1" t="s">
        <v>130</v>
      </c>
      <c r="E1120" s="1">
        <v>2</v>
      </c>
      <c r="F1120" s="1">
        <v>3</v>
      </c>
      <c r="G1120" s="1">
        <v>7</v>
      </c>
      <c r="H1120" s="1" t="s">
        <v>1516</v>
      </c>
      <c r="I1120" s="1">
        <v>6</v>
      </c>
      <c r="J1120" s="1">
        <v>6</v>
      </c>
      <c r="K1120" s="1">
        <v>7</v>
      </c>
      <c r="L1120" s="1">
        <v>75</v>
      </c>
      <c r="M1120" s="1" t="e">
        <f t="shared" ca="1" si="0"/>
        <v>#NAME?</v>
      </c>
      <c r="N1120" s="1" t="e">
        <f t="shared" si="1"/>
        <v>#VALUE!</v>
      </c>
      <c r="O1120" s="1" t="e">
        <f ca="1">IF($N1120=_xludf.MINIFS($N$2:$N2306,$R$2:$R2306,$R1120),1,
($N1120-_xludf.MINIFS($N$2:$N2306,$R$2:$R2306,$R1120))+1)</f>
        <v>#VALUE!</v>
      </c>
      <c r="P1120" s="13" t="e">
        <f t="shared" si="2"/>
        <v>#VALUE!</v>
      </c>
      <c r="Q1120" s="1" t="e">
        <f>RIGHT(YEAR($A1120),2)-(MONTH($A1120)&lt;=#REF!)
 &amp;"-"&amp;
 RIGHT(YEAR($A1120),2)+(MONTH($A1120)&gt;=#REF!)</f>
        <v>#REF!</v>
      </c>
      <c r="R1120" s="1" t="e">
        <f>CHOOSE(MONTH($P1120),#REF!,#REF!,#REF!,#REF!,#REF!,#REF!,#REF!,#REF!,#REF!,#REF!,#REF!,#REF!)&amp;" "&amp;$Q1120</f>
        <v>#VALUE!</v>
      </c>
      <c r="S1120" s="1">
        <f t="shared" si="3"/>
        <v>1</v>
      </c>
      <c r="T1120" s="1" t="str">
        <f t="array" ref="T1120">IFERROR(INDEX(#REF!,MATCH($B1120,#REF!,0)),"")</f>
        <v/>
      </c>
      <c r="U1120" s="1" t="str">
        <f t="array" ref="U1120">IFERROR(INDEX(#REF!,MATCH($B1120,#REF!,0)),"")</f>
        <v/>
      </c>
      <c r="V1120" s="76">
        <f t="array" ref="V1120">AVERAGEIFS($E$2:$E2248,$B$2:$B2248,$B1120,$P$2:$P2248,"&lt;="&amp;$P1120,$P$2:$P2248,"&gt;"&amp;$P1120-7)</f>
        <v>5.791666666666667</v>
      </c>
      <c r="W1120" s="76">
        <f ca="1">IFERROR(__xludf.DUMMYFUNCTION("iferror(stdevp(filter($D$2:$D2250,$B$2:$B2250=$B1120,$O$2:$O2250&lt;=$O1120,$O$2:$O2250&gt;$O1120-7)),0)"),1.72046505340852)</f>
        <v>1.72046505340852</v>
      </c>
      <c r="X1120" s="77">
        <f t="shared" ca="1" si="4"/>
        <v>-2.2038614845182476</v>
      </c>
      <c r="Y1120" s="77">
        <f t="shared" ca="1" si="5"/>
        <v>1</v>
      </c>
      <c r="Z1120" s="76">
        <f t="array" ref="Z1120">AVERAGEIFS($F$2:$F2248,$B$2:$B2248,$B1120,$P$2:$P2248,"&lt;="&amp;$P1120,$P$2:$P2248,"&gt;"&amp;$P1120-7)</f>
        <v>5.458333333333333</v>
      </c>
      <c r="AA1120" s="76">
        <f ca="1">IFERROR(__xludf.DUMMYFUNCTION("iferror(stdevp(filter($E$2:$E2250,$B$2:$B2250=$B1120,$O$2:$O2250&lt;=$O1120,$O$2:$O2250&gt;$O1120-7)),0)"),1.32664991614216)</f>
        <v>1.3266499161421601</v>
      </c>
      <c r="AB1120" s="77">
        <f t="shared" ca="1" si="6"/>
        <v>-1.8530384718841719</v>
      </c>
      <c r="AC1120" s="77">
        <f t="shared" ca="1" si="7"/>
        <v>1</v>
      </c>
      <c r="AD1120" s="76">
        <f t="array" ref="AD1120">AVERAGEIFS($G$2:$G2248,$B$2:$B2248,$B1120,$P$2:$P2248,"&lt;="&amp;$P1120,$P$2:$P2248,"&gt;"&amp;$P1120-7)</f>
        <v>6.833333333333333</v>
      </c>
      <c r="AE1120" s="76">
        <f ca="1">IFERROR(__xludf.DUMMYFUNCTION("iferror(stdevp(filter($F$2:$F2250,$B$2:$B2250=$B1120,$O$2:$O2250&lt;=$O1120,$O$2:$O2250&gt;$O1120-7)),0)"),0.799999999999999)</f>
        <v>0.79999999999999905</v>
      </c>
      <c r="AF1120" s="77">
        <f t="shared" ca="1" si="8"/>
        <v>0.20833333333333395</v>
      </c>
      <c r="AG1120" s="77">
        <f t="shared" ca="1" si="9"/>
        <v>3</v>
      </c>
      <c r="AH1120" s="76">
        <f t="array" ref="AH1120">AVERAGEIFS($I$2:$I2248,$B$2:$B2248,$B1120,$P$2:$P2248,"&lt;="&amp;$P1120,$P$2:$P2248,"&gt;"&amp;$P1120-7)</f>
        <v>5.125</v>
      </c>
      <c r="AI1120" s="76">
        <f ca="1">IFERROR(__xludf.DUMMYFUNCTION("iferror(stdevp(filter($H$2:$H2250,$B$2:$B2250=$B1120,$O$2:$O2250&lt;=$O1120,$O$2:$O2250&gt;$O1120-7)),0)"),1.93907194296653)</f>
        <v>1.93907194296653</v>
      </c>
      <c r="AJ1120" s="77">
        <f t="shared" ca="1" si="10"/>
        <v>0.45124679523822248</v>
      </c>
      <c r="AK1120" s="77">
        <f t="shared" ca="1" si="11"/>
        <v>3</v>
      </c>
      <c r="AL1120" s="76">
        <f t="array" ref="AL1120">AVERAGEIFS($J$2:$J2248,$B$2:$B2248,$B1120,$P$2:$P2248,"&lt;="&amp;$P1120,$P$2:$P2248,"&gt;"&amp;$P1120-7)</f>
        <v>7.125</v>
      </c>
      <c r="AM1120" s="76">
        <f ca="1">IFERROR(__xludf.DUMMYFUNCTION("iferror(stdevp(filter($I$2:$I2250,$B$2:$B2250=$B1120,$O$2:$O2250&lt;=$O1120,$O$2:$O2250&gt;$O1120-7)),0)"),1.08972473588516)</f>
        <v>1.0897247358851601</v>
      </c>
      <c r="AN1120" s="77">
        <f t="shared" ca="1" si="13"/>
        <v>-1.0323708024175358</v>
      </c>
      <c r="AO1120" s="77">
        <f t="shared" ca="1" si="14"/>
        <v>1</v>
      </c>
      <c r="AP1120" s="76">
        <f t="array" ref="AP1120">AVERAGEIFS($K$2:$K2248,$B$2:$B2248,$B1120,$P$2:$P2248,"&lt;="&amp;$P1120,$P$2:$P2248,"&gt;"&amp;$P1120-7)</f>
        <v>7.083333333333333</v>
      </c>
      <c r="AQ1120" s="76">
        <f ca="1">IFERROR(__xludf.DUMMYFUNCTION("iferror(stdevp(filter($J$2:$J2250,$B$2:$B2250=$B1120,$O$2:$O2250&lt;=$O1120,$O$2:$O2250&gt;$O1120-7)),0)"),0.5)</f>
        <v>0.5</v>
      </c>
      <c r="AR1120" s="77">
        <f t="shared" ca="1" si="15"/>
        <v>-0.16666666666666607</v>
      </c>
      <c r="AS1120" s="77">
        <f t="shared" ca="1" si="16"/>
        <v>2</v>
      </c>
      <c r="AT1120" s="78">
        <f t="shared" ca="1" si="12"/>
        <v>0.45833333333333331</v>
      </c>
    </row>
    <row r="1121" spans="1:46" ht="12.5" x14ac:dyDescent="0.25">
      <c r="A1121" s="75">
        <v>44964.498025266206</v>
      </c>
      <c r="B1121" s="1" t="s">
        <v>15</v>
      </c>
      <c r="C1121" s="1" t="str">
        <f>INDEX(TBL_Name,MATCH(Table2[[#This Row],[Athlete Name]],listNames,0),2)</f>
        <v>Athlete 8</v>
      </c>
      <c r="D1121" s="1" t="s">
        <v>130</v>
      </c>
      <c r="E1121" s="1">
        <v>7</v>
      </c>
      <c r="F1121" s="1">
        <v>10</v>
      </c>
      <c r="G1121" s="1">
        <v>7</v>
      </c>
      <c r="H1121" s="1" t="s">
        <v>1466</v>
      </c>
      <c r="I1121" s="1">
        <v>5</v>
      </c>
      <c r="J1121" s="1">
        <v>10</v>
      </c>
      <c r="K1121" s="1">
        <v>10</v>
      </c>
      <c r="L1121" s="1">
        <v>80</v>
      </c>
      <c r="M1121" s="1" t="e">
        <f t="shared" ca="1" si="0"/>
        <v>#NAME?</v>
      </c>
      <c r="N1121" s="1" t="e">
        <f t="shared" si="1"/>
        <v>#VALUE!</v>
      </c>
      <c r="O1121" s="1" t="e">
        <f ca="1">IF($N1121=_xludf.MINIFS($N$2:$N2307,$R$2:$R2307,$R1121),1,
($N1121-_xludf.MINIFS($N$2:$N2307,$R$2:$R2307,$R1121))+1)</f>
        <v>#VALUE!</v>
      </c>
      <c r="P1121" s="13" t="e">
        <f t="shared" si="2"/>
        <v>#VALUE!</v>
      </c>
      <c r="Q1121" s="1" t="e">
        <f>RIGHT(YEAR($A1121),2)-(MONTH($A1121)&lt;=#REF!)
 &amp;"-"&amp;
 RIGHT(YEAR($A1121),2)+(MONTH($A1121)&gt;=#REF!)</f>
        <v>#REF!</v>
      </c>
      <c r="R1121" s="1" t="e">
        <f>CHOOSE(MONTH($P1121),#REF!,#REF!,#REF!,#REF!,#REF!,#REF!,#REF!,#REF!,#REF!,#REF!,#REF!,#REF!)&amp;" "&amp;$Q1121</f>
        <v>#VALUE!</v>
      </c>
      <c r="S1121" s="1">
        <f t="shared" si="3"/>
        <v>1</v>
      </c>
      <c r="T1121" s="1" t="str">
        <f t="array" ref="T1121">IFERROR(INDEX(#REF!,MATCH($B1121,#REF!,0)),"")</f>
        <v/>
      </c>
      <c r="U1121" s="1" t="str">
        <f t="array" ref="U1121">IFERROR(INDEX(#REF!,MATCH($B1121,#REF!,0)),"")</f>
        <v/>
      </c>
      <c r="V1121" s="76">
        <f t="array" ref="V1121">AVERAGEIFS($E$2:$E2248,$B$2:$B2248,$B1121,$P$2:$P2248,"&lt;="&amp;$P1121,$P$2:$P2248,"&gt;"&amp;$P1121-7)</f>
        <v>8.935483870967742</v>
      </c>
      <c r="W1121" s="76">
        <f ca="1">IFERROR(__xludf.DUMMYFUNCTION("iferror(stdevp(filter($D$2:$D2250,$B$2:$B2250=$B1121,$O$2:$O2250&lt;=$O1121,$O$2:$O2250&gt;$O1121-7)),0)"),1.16619037896906)</f>
        <v>1.16619037896906</v>
      </c>
      <c r="X1121" s="77">
        <f t="shared" ca="1" si="4"/>
        <v>-1.6596637271855696</v>
      </c>
      <c r="Y1121" s="77">
        <f t="shared" ca="1" si="5"/>
        <v>1</v>
      </c>
      <c r="Z1121" s="76">
        <f t="array" ref="Z1121">AVERAGEIFS($F$2:$F2248,$B$2:$B2248,$B1121,$P$2:$P2248,"&lt;="&amp;$P1121,$P$2:$P2248,"&gt;"&amp;$P1121-7)</f>
        <v>8.741935483870968</v>
      </c>
      <c r="AA1121" s="76">
        <f ca="1">IFERROR(__xludf.DUMMYFUNCTION("iferror(stdevp(filter($E$2:$E2250,$B$2:$B2250=$B1121,$O$2:$O2250&lt;=$O1121,$O$2:$O2250&gt;$O1121-7)),0)"),1.6)</f>
        <v>1.6</v>
      </c>
      <c r="AB1121" s="77">
        <f t="shared" ca="1" si="6"/>
        <v>0.78629032258064502</v>
      </c>
      <c r="AC1121" s="77">
        <f t="shared" ca="1" si="7"/>
        <v>3</v>
      </c>
      <c r="AD1121" s="76">
        <f t="array" ref="AD1121">AVERAGEIFS($G$2:$G2248,$B$2:$B2248,$B1121,$P$2:$P2248,"&lt;="&amp;$P1121,$P$2:$P2248,"&gt;"&amp;$P1121-7)</f>
        <v>7.32258064516129</v>
      </c>
      <c r="AE1121" s="76">
        <f ca="1">IFERROR(__xludf.DUMMYFUNCTION("iferror(stdevp(filter($F$2:$F2250,$B$2:$B2250=$B1121,$O$2:$O2250&lt;=$O1121,$O$2:$O2250&gt;$O1121-7)),0)"),0.748331477354788)</f>
        <v>0.748331477354788</v>
      </c>
      <c r="AF1121" s="77">
        <f t="shared" ca="1" si="8"/>
        <v>-0.43106651921358752</v>
      </c>
      <c r="AG1121" s="77">
        <f t="shared" ca="1" si="9"/>
        <v>2</v>
      </c>
      <c r="AH1121" s="76">
        <f t="array" ref="AH1121">AVERAGEIFS($I$2:$I2248,$B$2:$B2248,$B1121,$P$2:$P2248,"&lt;="&amp;$P1121,$P$2:$P2248,"&gt;"&amp;$P1121-7)</f>
        <v>6.419354838709677</v>
      </c>
      <c r="AI1121" s="76">
        <f ca="1">IFERROR(__xludf.DUMMYFUNCTION("iferror(stdevp(filter($H$2:$H2250,$B$2:$B2250=$B1121,$O$2:$O2250&lt;=$O1121,$O$2:$O2250&gt;$O1121-7)),0)"),0.632455532033675)</f>
        <v>0.63245553203367499</v>
      </c>
      <c r="AJ1121" s="77">
        <f t="shared" ca="1" si="10"/>
        <v>-2.2441970491517558</v>
      </c>
      <c r="AK1121" s="77">
        <f t="shared" ca="1" si="11"/>
        <v>1</v>
      </c>
      <c r="AL1121" s="76">
        <f t="array" ref="AL1121">AVERAGEIFS($J$2:$J2248,$B$2:$B2248,$B1121,$P$2:$P2248,"&lt;="&amp;$P1121,$P$2:$P2248,"&gt;"&amp;$P1121-7)</f>
        <v>9.612903225806452</v>
      </c>
      <c r="AM1121" s="76">
        <f ca="1">IFERROR(__xludf.DUMMYFUNCTION("iferror(stdevp(filter($I$2:$I2250,$B$2:$B2250=$B1121,$O$2:$O2250&lt;=$O1121,$O$2:$O2250&gt;$O1121-7)),0)"),1.87082869338697)</f>
        <v>1.87082869338697</v>
      </c>
      <c r="AN1121" s="77">
        <f t="shared" ca="1" si="13"/>
        <v>0.206911929222522</v>
      </c>
      <c r="AO1121" s="77">
        <f t="shared" ca="1" si="14"/>
        <v>3</v>
      </c>
      <c r="AP1121" s="76">
        <f t="array" ref="AP1121">AVERAGEIFS($K$2:$K2248,$B$2:$B2248,$B1121,$P$2:$P2248,"&lt;="&amp;$P1121,$P$2:$P2248,"&gt;"&amp;$P1121-7)</f>
        <v>10</v>
      </c>
      <c r="AQ1121" s="76">
        <f ca="1">IFERROR(__xludf.DUMMYFUNCTION("iferror(stdevp(filter($J$2:$J2250,$B$2:$B2250=$B1121,$O$2:$O2250&lt;=$O1121,$O$2:$O2250&gt;$O1121-7)),0)"),0)</f>
        <v>0</v>
      </c>
      <c r="AR1121" s="77">
        <f t="shared" ca="1" si="15"/>
        <v>0</v>
      </c>
      <c r="AS1121" s="77">
        <f t="shared" ca="1" si="16"/>
        <v>3</v>
      </c>
      <c r="AT1121" s="78">
        <f t="shared" ca="1" si="12"/>
        <v>0.54166666666666663</v>
      </c>
    </row>
    <row r="1122" spans="1:46" ht="12.5" x14ac:dyDescent="0.25">
      <c r="A1122" s="75">
        <v>44964.672323993058</v>
      </c>
      <c r="B1122" s="1" t="s">
        <v>6</v>
      </c>
      <c r="C1122" s="1" t="str">
        <f>INDEX(TBL_Name,MATCH(Table2[[#This Row],[Athlete Name]],listNames,0),2)</f>
        <v>Athlete 2</v>
      </c>
      <c r="D1122" s="1" t="s">
        <v>130</v>
      </c>
      <c r="E1122" s="1">
        <v>10</v>
      </c>
      <c r="F1122" s="1">
        <v>9</v>
      </c>
      <c r="G1122" s="1">
        <v>9</v>
      </c>
      <c r="H1122" s="1" t="s">
        <v>181</v>
      </c>
      <c r="I1122" s="1">
        <v>7</v>
      </c>
      <c r="J1122" s="1">
        <v>7</v>
      </c>
      <c r="K1122" s="1">
        <v>7</v>
      </c>
      <c r="L1122" s="1">
        <v>98</v>
      </c>
      <c r="M1122" s="1" t="e">
        <f t="shared" ca="1" si="0"/>
        <v>#NAME?</v>
      </c>
      <c r="N1122" s="1" t="e">
        <f t="shared" si="1"/>
        <v>#VALUE!</v>
      </c>
      <c r="O1122" s="1" t="e">
        <f ca="1">IF($N1122=_xludf.MINIFS($N$2:$N2308,$R$2:$R2308,$R1122),1,
($N1122-_xludf.MINIFS($N$2:$N2308,$R$2:$R2308,$R1122))+1)</f>
        <v>#VALUE!</v>
      </c>
      <c r="P1122" s="13" t="e">
        <f t="shared" si="2"/>
        <v>#VALUE!</v>
      </c>
      <c r="Q1122" s="1" t="e">
        <f>RIGHT(YEAR($A1122),2)-(MONTH($A1122)&lt;=#REF!)
 &amp;"-"&amp;
 RIGHT(YEAR($A1122),2)+(MONTH($A1122)&gt;=#REF!)</f>
        <v>#REF!</v>
      </c>
      <c r="R1122" s="1" t="e">
        <f>CHOOSE(MONTH($P1122),#REF!,#REF!,#REF!,#REF!,#REF!,#REF!,#REF!,#REF!,#REF!,#REF!,#REF!,#REF!)&amp;" "&amp;$Q1122</f>
        <v>#VALUE!</v>
      </c>
      <c r="S1122" s="1">
        <f t="shared" si="3"/>
        <v>1</v>
      </c>
      <c r="T1122" s="1" t="str">
        <f t="array" ref="T1122">IFERROR(INDEX(#REF!,MATCH($B1122,#REF!,0)),"")</f>
        <v/>
      </c>
      <c r="U1122" s="1" t="str">
        <f t="array" ref="U1122">IFERROR(INDEX(#REF!,MATCH($B1122,#REF!,0)),"")</f>
        <v/>
      </c>
      <c r="V1122" s="76">
        <f t="array" ref="V1122">AVERAGEIFS($E$2:$E2248,$B$2:$B2248,$B1122,$P$2:$P2248,"&lt;="&amp;$P1122,$P$2:$P2248,"&gt;"&amp;$P1122-7)</f>
        <v>9.7441860465116275</v>
      </c>
      <c r="W1122" s="76">
        <f ca="1">IFERROR(__xludf.DUMMYFUNCTION("iferror(stdevp(filter($D$2:$D2250,$B$2:$B2250=$B1122,$O$2:$O2250&lt;=$O1122,$O$2:$O2250&gt;$O1122-7)),0)"),0.699854212223765)</f>
        <v>0.69985421222376498</v>
      </c>
      <c r="X1122" s="77">
        <f t="shared" ca="1" si="4"/>
        <v>0.36552463215950598</v>
      </c>
      <c r="Y1122" s="77">
        <f t="shared" ca="1" si="5"/>
        <v>3</v>
      </c>
      <c r="Z1122" s="76">
        <f t="array" ref="Z1122">AVERAGEIFS($F$2:$F2248,$B$2:$B2248,$B1122,$P$2:$P2248,"&lt;="&amp;$P1122,$P$2:$P2248,"&gt;"&amp;$P1122-7)</f>
        <v>8.279069767441861</v>
      </c>
      <c r="AA1122" s="76">
        <f ca="1">IFERROR(__xludf.DUMMYFUNCTION("iferror(stdevp(filter($E$2:$E2250,$B$2:$B2250=$B1122,$O$2:$O2250&lt;=$O1122,$O$2:$O2250&gt;$O1122-7)),0)"),0.728431359084683)</f>
        <v>0.72843135908468304</v>
      </c>
      <c r="AB1122" s="77">
        <f t="shared" ca="1" si="6"/>
        <v>0.9897023563950218</v>
      </c>
      <c r="AC1122" s="77">
        <f t="shared" ca="1" si="7"/>
        <v>3</v>
      </c>
      <c r="AD1122" s="76">
        <f t="array" ref="AD1122">AVERAGEIFS($G$2:$G2248,$B$2:$B2248,$B1122,$P$2:$P2248,"&lt;="&amp;$P1122,$P$2:$P2248,"&gt;"&amp;$P1122-7)</f>
        <v>8.604651162790697</v>
      </c>
      <c r="AE1122" s="76">
        <f ca="1">IFERROR(__xludf.DUMMYFUNCTION("iferror(stdevp(filter($F$2:$F2250,$B$2:$B2250=$B1122,$O$2:$O2250&lt;=$O1122,$O$2:$O2250&gt;$O1122-7)),0)"),1.27775312999987)</f>
        <v>1.2777531299998699</v>
      </c>
      <c r="AF1122" s="77">
        <f t="shared" ca="1" si="8"/>
        <v>0.30940940618892732</v>
      </c>
      <c r="AG1122" s="77">
        <f t="shared" ca="1" si="9"/>
        <v>3</v>
      </c>
      <c r="AH1122" s="76">
        <f t="array" ref="AH1122">AVERAGEIFS($I$2:$I2248,$B$2:$B2248,$B1122,$P$2:$P2248,"&lt;="&amp;$P1122,$P$2:$P2248,"&gt;"&amp;$P1122-7)</f>
        <v>8.3488372093023262</v>
      </c>
      <c r="AI1122" s="76">
        <f ca="1">IFERROR(__xludf.DUMMYFUNCTION("iferror(stdevp(filter($H$2:$H2250,$B$2:$B2250=$B1122,$O$2:$O2250&lt;=$O1122,$O$2:$O2250&gt;$O1122-7)),0)"),1.29362644830534)</f>
        <v>1.2936264483053399</v>
      </c>
      <c r="AJ1122" s="77">
        <f t="shared" ca="1" si="10"/>
        <v>-1.0426790601485558</v>
      </c>
      <c r="AK1122" s="77">
        <f t="shared" ca="1" si="11"/>
        <v>1</v>
      </c>
      <c r="AL1122" s="76">
        <f t="array" ref="AL1122">AVERAGEIFS($J$2:$J2248,$B$2:$B2248,$B1122,$P$2:$P2248,"&lt;="&amp;$P1122,$P$2:$P2248,"&gt;"&amp;$P1122-7)</f>
        <v>8.3023255813953494</v>
      </c>
      <c r="AM1122" s="76">
        <f ca="1">IFERROR(__xludf.DUMMYFUNCTION("iferror(stdevp(filter($I$2:$I2250,$B$2:$B2250=$B1122,$O$2:$O2250&lt;=$O1122,$O$2:$O2250&gt;$O1122-7)),0)"),0.687184270936276)</f>
        <v>0.68718427093627599</v>
      </c>
      <c r="AN1122" s="77">
        <f t="shared" ca="1" si="13"/>
        <v>-1.8951620933071629</v>
      </c>
      <c r="AO1122" s="77">
        <f t="shared" ca="1" si="14"/>
        <v>1</v>
      </c>
      <c r="AP1122" s="76">
        <f t="array" ref="AP1122">AVERAGEIFS($K$2:$K2248,$B$2:$B2248,$B1122,$P$2:$P2248,"&lt;="&amp;$P1122,$P$2:$P2248,"&gt;"&amp;$P1122-7)</f>
        <v>8.9069767441860463</v>
      </c>
      <c r="AQ1122" s="76">
        <f ca="1">IFERROR(__xludf.DUMMYFUNCTION("iferror(stdevp(filter($J$2:$J2250,$B$2:$B2250=$B1122,$O$2:$O2250&lt;=$O1122,$O$2:$O2250&gt;$O1122-7)),0)"),0.577350269189625)</f>
        <v>0.57735026918962495</v>
      </c>
      <c r="AR1122" s="77">
        <f t="shared" ca="1" si="15"/>
        <v>-3.3029806097825145</v>
      </c>
      <c r="AS1122" s="77">
        <f t="shared" ca="1" si="16"/>
        <v>1</v>
      </c>
      <c r="AT1122" s="78">
        <f t="shared" ca="1" si="12"/>
        <v>0.5</v>
      </c>
    </row>
    <row r="1123" spans="1:46" ht="12.5" x14ac:dyDescent="0.25">
      <c r="A1123" s="75">
        <v>44964.706285729168</v>
      </c>
      <c r="B1123" s="1" t="s">
        <v>16</v>
      </c>
      <c r="C1123" s="1" t="str">
        <f>INDEX(TBL_Name,MATCH(Table2[[#This Row],[Athlete Name]],listNames,0),2)</f>
        <v>Athlete 9</v>
      </c>
      <c r="D1123" s="1" t="s">
        <v>130</v>
      </c>
      <c r="E1123" s="1">
        <v>9</v>
      </c>
      <c r="F1123" s="1">
        <v>8</v>
      </c>
      <c r="G1123" s="1">
        <v>8</v>
      </c>
      <c r="H1123" s="1" t="s">
        <v>1506</v>
      </c>
      <c r="I1123" s="1">
        <v>7</v>
      </c>
      <c r="J1123" s="1">
        <v>8</v>
      </c>
      <c r="K1123" s="1">
        <v>9</v>
      </c>
      <c r="L1123" s="1">
        <v>90</v>
      </c>
      <c r="M1123" s="1" t="e">
        <f t="shared" ca="1" si="0"/>
        <v>#NAME?</v>
      </c>
      <c r="N1123" s="1" t="e">
        <f t="shared" si="1"/>
        <v>#VALUE!</v>
      </c>
      <c r="O1123" s="1" t="e">
        <f ca="1">IF($N1123=_xludf.MINIFS($N$2:$N2309,$R$2:$R2309,$R1123),1,
($N1123-_xludf.MINIFS($N$2:$N2309,$R$2:$R2309,$R1123))+1)</f>
        <v>#VALUE!</v>
      </c>
      <c r="P1123" s="13" t="e">
        <f t="shared" si="2"/>
        <v>#VALUE!</v>
      </c>
      <c r="Q1123" s="1" t="e">
        <f>RIGHT(YEAR($A1123),2)-(MONTH($A1123)&lt;=#REF!)
 &amp;"-"&amp;
 RIGHT(YEAR($A1123),2)+(MONTH($A1123)&gt;=#REF!)</f>
        <v>#REF!</v>
      </c>
      <c r="R1123" s="1" t="e">
        <f>CHOOSE(MONTH($P1123),#REF!,#REF!,#REF!,#REF!,#REF!,#REF!,#REF!,#REF!,#REF!,#REF!,#REF!,#REF!)&amp;" "&amp;$Q1123</f>
        <v>#VALUE!</v>
      </c>
      <c r="S1123" s="1">
        <f t="shared" si="3"/>
        <v>1</v>
      </c>
      <c r="T1123" s="1" t="str">
        <f t="array" ref="T1123">IFERROR(INDEX(#REF!,MATCH($B1123,#REF!,0)),"")</f>
        <v/>
      </c>
      <c r="U1123" s="1" t="str">
        <f t="array" ref="U1123">IFERROR(INDEX(#REF!,MATCH($B1123,#REF!,0)),"")</f>
        <v/>
      </c>
      <c r="V1123" s="76">
        <f t="array" ref="V1123">AVERAGEIFS($E$2:$E2248,$B$2:$B2248,$B1123,$P$2:$P2248,"&lt;="&amp;$P1123,$P$2:$P2248,"&gt;"&amp;$P1123-7)</f>
        <v>8.9600000000000009</v>
      </c>
      <c r="W1123" s="76">
        <f ca="1">IFERROR(__xludf.DUMMYFUNCTION("iferror(stdevp(filter($D$2:$D2250,$B$2:$B2250=$B1123,$O$2:$O2250&lt;=$O1123,$O$2:$O2250&gt;$O1123-7)),0)"),0.632455532033676)</f>
        <v>0.63245553203367599</v>
      </c>
      <c r="X1123" s="77">
        <f t="shared" ca="1" si="4"/>
        <v>6.3245553203366223E-2</v>
      </c>
      <c r="Y1123" s="77">
        <f t="shared" ca="1" si="5"/>
        <v>3</v>
      </c>
      <c r="Z1123" s="76">
        <f t="array" ref="Z1123">AVERAGEIFS($F$2:$F2248,$B$2:$B2248,$B1123,$P$2:$P2248,"&lt;="&amp;$P1123,$P$2:$P2248,"&gt;"&amp;$P1123-7)</f>
        <v>7.48</v>
      </c>
      <c r="AA1123" s="76">
        <f ca="1">IFERROR(__xludf.DUMMYFUNCTION("iferror(stdevp(filter($E$2:$E2250,$B$2:$B2250=$B1123,$O$2:$O2250&lt;=$O1123,$O$2:$O2250&gt;$O1123-7)),0)"),1.2)</f>
        <v>1.2</v>
      </c>
      <c r="AB1123" s="77">
        <f t="shared" ca="1" si="6"/>
        <v>0.43333333333333302</v>
      </c>
      <c r="AC1123" s="77">
        <f t="shared" ca="1" si="7"/>
        <v>3</v>
      </c>
      <c r="AD1123" s="76">
        <f t="array" ref="AD1123">AVERAGEIFS($G$2:$G2248,$B$2:$B2248,$B1123,$P$2:$P2248,"&lt;="&amp;$P1123,$P$2:$P2248,"&gt;"&amp;$P1123-7)</f>
        <v>7.56</v>
      </c>
      <c r="AE1123" s="76">
        <f ca="1">IFERROR(__xludf.DUMMYFUNCTION("iferror(stdevp(filter($F$2:$F2250,$B$2:$B2250=$B1123,$O$2:$O2250&lt;=$O1123,$O$2:$O2250&gt;$O1123-7)),0)"),1.2)</f>
        <v>1.2</v>
      </c>
      <c r="AF1123" s="77">
        <f t="shared" ca="1" si="8"/>
        <v>0.36666666666666703</v>
      </c>
      <c r="AG1123" s="77">
        <f t="shared" ca="1" si="9"/>
        <v>3</v>
      </c>
      <c r="AH1123" s="76">
        <f t="array" ref="AH1123">AVERAGEIFS($I$2:$I2248,$B$2:$B2248,$B1123,$P$2:$P2248,"&lt;="&amp;$P1123,$P$2:$P2248,"&gt;"&amp;$P1123-7)</f>
        <v>5.8</v>
      </c>
      <c r="AI1123" s="76">
        <f ca="1">IFERROR(__xludf.DUMMYFUNCTION("iferror(stdevp(filter($H$2:$H2250,$B$2:$B2250=$B1123,$O$2:$O2250&lt;=$O1123,$O$2:$O2250&gt;$O1123-7)),0)"),0.748331477354788)</f>
        <v>0.748331477354788</v>
      </c>
      <c r="AJ1123" s="77">
        <f t="shared" ca="1" si="10"/>
        <v>1.603567451474547</v>
      </c>
      <c r="AK1123" s="77">
        <f t="shared" ca="1" si="11"/>
        <v>4</v>
      </c>
      <c r="AL1123" s="76">
        <f t="array" ref="AL1123">AVERAGEIFS($J$2:$J2248,$B$2:$B2248,$B1123,$P$2:$P2248,"&lt;="&amp;$P1123,$P$2:$P2248,"&gt;"&amp;$P1123-7)</f>
        <v>7.8</v>
      </c>
      <c r="AM1123" s="76">
        <f ca="1">IFERROR(__xludf.DUMMYFUNCTION("iferror(stdevp(filter($I$2:$I2250,$B$2:$B2250=$B1123,$O$2:$O2250&lt;=$O1123,$O$2:$O2250&gt;$O1123-7)),0)"),0.82915619758885)</f>
        <v>0.82915619758884995</v>
      </c>
      <c r="AN1123" s="77">
        <f t="shared" ca="1" si="13"/>
        <v>0.24120907566221111</v>
      </c>
      <c r="AO1123" s="77">
        <f t="shared" ca="1" si="14"/>
        <v>3</v>
      </c>
      <c r="AP1123" s="76">
        <f t="array" ref="AP1123">AVERAGEIFS($K$2:$K2248,$B$2:$B2248,$B1123,$P$2:$P2248,"&lt;="&amp;$P1123,$P$2:$P2248,"&gt;"&amp;$P1123-7)</f>
        <v>8.6</v>
      </c>
      <c r="AQ1123" s="76">
        <f ca="1">IFERROR(__xludf.DUMMYFUNCTION("iferror(stdevp(filter($J$2:$J2250,$B$2:$B2250=$B1123,$O$2:$O2250&lt;=$O1123,$O$2:$O2250&gt;$O1123-7)),0)"),0)</f>
        <v>0</v>
      </c>
      <c r="AR1123" s="77">
        <f t="shared" ca="1" si="15"/>
        <v>0</v>
      </c>
      <c r="AS1123" s="77">
        <f t="shared" ca="1" si="16"/>
        <v>3</v>
      </c>
      <c r="AT1123" s="78">
        <f t="shared" ca="1" si="12"/>
        <v>0.79166666666666663</v>
      </c>
    </row>
    <row r="1124" spans="1:46" ht="12.5" x14ac:dyDescent="0.25">
      <c r="A1124" s="75">
        <v>44965.301071666661</v>
      </c>
      <c r="B1124" s="1" t="s">
        <v>29</v>
      </c>
      <c r="C1124" s="1" t="str">
        <f>INDEX(TBL_Name,MATCH(Table2[[#This Row],[Athlete Name]],listNames,0),2)</f>
        <v>Athlete 18</v>
      </c>
      <c r="D1124" s="1" t="s">
        <v>130</v>
      </c>
      <c r="E1124" s="1">
        <v>9</v>
      </c>
      <c r="F1124" s="1">
        <v>10</v>
      </c>
      <c r="G1124" s="1">
        <v>8</v>
      </c>
      <c r="H1124" s="1" t="s">
        <v>226</v>
      </c>
      <c r="I1124" s="1">
        <v>7</v>
      </c>
      <c r="J1124" s="1">
        <v>8</v>
      </c>
      <c r="K1124" s="1">
        <v>8</v>
      </c>
      <c r="L1124" s="1">
        <v>97</v>
      </c>
      <c r="M1124" s="1" t="e">
        <f t="shared" ca="1" si="0"/>
        <v>#NAME?</v>
      </c>
      <c r="N1124" s="1" t="e">
        <f t="shared" si="1"/>
        <v>#VALUE!</v>
      </c>
      <c r="O1124" s="1" t="e">
        <f ca="1">IF($N1124=_xludf.MINIFS($N$2:$N2310,$R$2:$R2310,$R1124),1,
($N1124-_xludf.MINIFS($N$2:$N2310,$R$2:$R2310,$R1124))+1)</f>
        <v>#VALUE!</v>
      </c>
      <c r="P1124" s="13" t="e">
        <f t="shared" si="2"/>
        <v>#VALUE!</v>
      </c>
      <c r="Q1124" s="1" t="e">
        <f>RIGHT(YEAR($A1124),2)-(MONTH($A1124)&lt;=#REF!)
 &amp;"-"&amp;
 RIGHT(YEAR($A1124),2)+(MONTH($A1124)&gt;=#REF!)</f>
        <v>#REF!</v>
      </c>
      <c r="R1124" s="1" t="e">
        <f>CHOOSE(MONTH($P1124),#REF!,#REF!,#REF!,#REF!,#REF!,#REF!,#REF!,#REF!,#REF!,#REF!,#REF!,#REF!)&amp;" "&amp;$Q1124</f>
        <v>#VALUE!</v>
      </c>
      <c r="S1124" s="1">
        <f t="shared" si="3"/>
        <v>1</v>
      </c>
      <c r="T1124" s="1" t="str">
        <f t="array" ref="T1124">IFERROR(INDEX(#REF!,MATCH($B1124,#REF!,0)),"")</f>
        <v/>
      </c>
      <c r="U1124" s="1" t="str">
        <f t="array" ref="U1124">IFERROR(INDEX(#REF!,MATCH($B1124,#REF!,0)),"")</f>
        <v/>
      </c>
      <c r="V1124" s="76">
        <f t="array" ref="V1124">AVERAGEIFS($E$2:$E2248,$B$2:$B2248,$B1124,$P$2:$P2248,"&lt;="&amp;$P1124,$P$2:$P2248,"&gt;"&amp;$P1124-7)</f>
        <v>8.53125</v>
      </c>
      <c r="W1124" s="76">
        <f ca="1">IFERROR(__xludf.DUMMYFUNCTION("iferror(stdevp(filter($D$2:$D2250,$B$2:$B2250=$B1124,$O$2:$O2250&lt;=$O1124,$O$2:$O2250&gt;$O1124-7)),0)"),0)</f>
        <v>0</v>
      </c>
      <c r="X1124" s="77">
        <f t="shared" ca="1" si="4"/>
        <v>0</v>
      </c>
      <c r="Y1124" s="77">
        <f t="shared" ca="1" si="5"/>
        <v>3</v>
      </c>
      <c r="Z1124" s="76">
        <f t="array" ref="Z1124">AVERAGEIFS($F$2:$F2248,$B$2:$B2248,$B1124,$P$2:$P2248,"&lt;="&amp;$P1124,$P$2:$P2248,"&gt;"&amp;$P1124-7)</f>
        <v>8.125</v>
      </c>
      <c r="AA1124" s="76">
        <f ca="1">IFERROR(__xludf.DUMMYFUNCTION("iferror(stdevp(filter($E$2:$E2250,$B$2:$B2250=$B1124,$O$2:$O2250&lt;=$O1124,$O$2:$O2250&gt;$O1124-7)),0)"),0.82915619758885)</f>
        <v>0.82915619758884995</v>
      </c>
      <c r="AB1124" s="77">
        <f t="shared" ca="1" si="6"/>
        <v>2.2613350843332274</v>
      </c>
      <c r="AC1124" s="77">
        <f t="shared" ca="1" si="7"/>
        <v>4</v>
      </c>
      <c r="AD1124" s="76">
        <f t="array" ref="AD1124">AVERAGEIFS($G$2:$G2248,$B$2:$B2248,$B1124,$P$2:$P2248,"&lt;="&amp;$P1124,$P$2:$P2248,"&gt;"&amp;$P1124-7)</f>
        <v>8.09375</v>
      </c>
      <c r="AE1124" s="76">
        <f ca="1">IFERROR(__xludf.DUMMYFUNCTION("iferror(stdevp(filter($F$2:$F2250,$B$2:$B2250=$B1124,$O$2:$O2250&lt;=$O1124,$O$2:$O2250&gt;$O1124-7)),0)"),0.433012701892219)</f>
        <v>0.43301270189221902</v>
      </c>
      <c r="AF1124" s="77">
        <f t="shared" ca="1" si="8"/>
        <v>-0.21650635094610982</v>
      </c>
      <c r="AG1124" s="77">
        <f t="shared" ca="1" si="9"/>
        <v>2</v>
      </c>
      <c r="AH1124" s="76">
        <f t="array" ref="AH1124">AVERAGEIFS($I$2:$I2248,$B$2:$B2248,$B1124,$P$2:$P2248,"&lt;="&amp;$P1124,$P$2:$P2248,"&gt;"&amp;$P1124-7)</f>
        <v>7.875</v>
      </c>
      <c r="AI1124" s="76">
        <f ca="1">IFERROR(__xludf.DUMMYFUNCTION("iferror(stdevp(filter($H$2:$H2250,$B$2:$B2250=$B1124,$O$2:$O2250&lt;=$O1124,$O$2:$O2250&gt;$O1124-7)),0)"),1.11803398874989)</f>
        <v>1.11803398874989</v>
      </c>
      <c r="AJ1124" s="77">
        <f t="shared" ca="1" si="10"/>
        <v>-0.78262379212492983</v>
      </c>
      <c r="AK1124" s="77">
        <f t="shared" ca="1" si="11"/>
        <v>2</v>
      </c>
      <c r="AL1124" s="76">
        <f t="array" ref="AL1124">AVERAGEIFS($J$2:$J2248,$B$2:$B2248,$B1124,$P$2:$P2248,"&lt;="&amp;$P1124,$P$2:$P2248,"&gt;"&amp;$P1124-7)</f>
        <v>8.34375</v>
      </c>
      <c r="AM1124" s="76">
        <f ca="1">IFERROR(__xludf.DUMMYFUNCTION("iferror(stdevp(filter($I$2:$I2250,$B$2:$B2250=$B1124,$O$2:$O2250&lt;=$O1124,$O$2:$O2250&gt;$O1124-7)),0)"),0.499999999999999)</f>
        <v>0.499999999999999</v>
      </c>
      <c r="AN1124" s="77">
        <f t="shared" ca="1" si="13"/>
        <v>-0.68750000000000133</v>
      </c>
      <c r="AO1124" s="77">
        <f t="shared" ca="1" si="14"/>
        <v>2</v>
      </c>
      <c r="AP1124" s="76">
        <f t="array" ref="AP1124">AVERAGEIFS($K$2:$K2248,$B$2:$B2248,$B1124,$P$2:$P2248,"&lt;="&amp;$P1124,$P$2:$P2248,"&gt;"&amp;$P1124-7)</f>
        <v>8.46875</v>
      </c>
      <c r="AQ1124" s="76">
        <f ca="1">IFERROR(__xludf.DUMMYFUNCTION("iferror(stdevp(filter($J$2:$J2250,$B$2:$B2250=$B1124,$O$2:$O2250&lt;=$O1124,$O$2:$O2250&gt;$O1124-7)),0)"),0.433012701892219)</f>
        <v>0.43301270189221902</v>
      </c>
      <c r="AR1124" s="77">
        <f t="shared" ca="1" si="15"/>
        <v>-1.0825317547305491</v>
      </c>
      <c r="AS1124" s="77">
        <f t="shared" ca="1" si="16"/>
        <v>1</v>
      </c>
      <c r="AT1124" s="78">
        <f t="shared" ca="1" si="12"/>
        <v>0.58333333333333337</v>
      </c>
    </row>
    <row r="1125" spans="1:46" ht="12.5" x14ac:dyDescent="0.25">
      <c r="A1125" s="75">
        <v>44965.302280763892</v>
      </c>
      <c r="B1125" s="1" t="s">
        <v>17</v>
      </c>
      <c r="C1125" s="1" t="str">
        <f>INDEX(TBL_Name,MATCH(Table2[[#This Row],[Athlete Name]],listNames,0),2)</f>
        <v>Athlete 10</v>
      </c>
      <c r="D1125" s="1" t="s">
        <v>130</v>
      </c>
      <c r="E1125" s="1">
        <v>9</v>
      </c>
      <c r="F1125" s="1">
        <v>6</v>
      </c>
      <c r="G1125" s="1">
        <v>9</v>
      </c>
      <c r="H1125" s="1" t="s">
        <v>131</v>
      </c>
      <c r="I1125" s="1">
        <v>6</v>
      </c>
      <c r="J1125" s="1">
        <v>7</v>
      </c>
      <c r="K1125" s="1">
        <v>8</v>
      </c>
      <c r="L1125" s="1">
        <v>71</v>
      </c>
      <c r="M1125" s="1" t="e">
        <f t="shared" ca="1" si="0"/>
        <v>#NAME?</v>
      </c>
      <c r="N1125" s="1" t="e">
        <f t="shared" si="1"/>
        <v>#VALUE!</v>
      </c>
      <c r="O1125" s="1" t="e">
        <f ca="1">IF($N1125=_xludf.MINIFS($N$2:$N2311,$R$2:$R2311,$R1125),1,
($N1125-_xludf.MINIFS($N$2:$N2311,$R$2:$R2311,$R1125))+1)</f>
        <v>#VALUE!</v>
      </c>
      <c r="P1125" s="13" t="e">
        <f t="shared" si="2"/>
        <v>#VALUE!</v>
      </c>
      <c r="Q1125" s="1" t="e">
        <f>RIGHT(YEAR($A1125),2)-(MONTH($A1125)&lt;=#REF!)
 &amp;"-"&amp;
 RIGHT(YEAR($A1125),2)+(MONTH($A1125)&gt;=#REF!)</f>
        <v>#REF!</v>
      </c>
      <c r="R1125" s="1" t="e">
        <f>CHOOSE(MONTH($P1125),#REF!,#REF!,#REF!,#REF!,#REF!,#REF!,#REF!,#REF!,#REF!,#REF!,#REF!,#REF!)&amp;" "&amp;$Q1125</f>
        <v>#VALUE!</v>
      </c>
      <c r="S1125" s="1">
        <f t="shared" si="3"/>
        <v>1</v>
      </c>
      <c r="T1125" s="1" t="str">
        <f t="array" ref="T1125">IFERROR(INDEX(#REF!,MATCH($B1125,#REF!,0)),"")</f>
        <v/>
      </c>
      <c r="U1125" s="1" t="str">
        <f t="array" ref="U1125">IFERROR(INDEX(#REF!,MATCH($B1125,#REF!,0)),"")</f>
        <v/>
      </c>
      <c r="V1125" s="76">
        <f t="array" ref="V1125">AVERAGEIFS($E$2:$E2248,$B$2:$B2248,$B1125,$P$2:$P2248,"&lt;="&amp;$P1125,$P$2:$P2248,"&gt;"&amp;$P1125-7)</f>
        <v>6.9024390243902438</v>
      </c>
      <c r="W1125" s="76">
        <f ca="1">IFERROR(__xludf.DUMMYFUNCTION("iferror(stdevp(filter($D$2:$D2250,$B$2:$B2250=$B1125,$O$2:$O2250&lt;=$O1125,$O$2:$O2250&gt;$O1125-7)),0)"),1.89736659610102)</f>
        <v>1.89736659610102</v>
      </c>
      <c r="X1125" s="77">
        <f t="shared" ca="1" si="4"/>
        <v>1.1055117023352916</v>
      </c>
      <c r="Y1125" s="77">
        <f t="shared" ca="1" si="5"/>
        <v>4</v>
      </c>
      <c r="Z1125" s="76">
        <f t="array" ref="Z1125">AVERAGEIFS($F$2:$F2248,$B$2:$B2248,$B1125,$P$2:$P2248,"&lt;="&amp;$P1125,$P$2:$P2248,"&gt;"&amp;$P1125-7)</f>
        <v>7.2926829268292686</v>
      </c>
      <c r="AA1125" s="76">
        <f ca="1">IFERROR(__xludf.DUMMYFUNCTION("iferror(stdevp(filter($E$2:$E2250,$B$2:$B2250=$B1125,$O$2:$O2250&lt;=$O1125,$O$2:$O2250&gt;$O1125-7)),0)"),2.13541565040626)</f>
        <v>2.13541565040626</v>
      </c>
      <c r="AB1125" s="77">
        <f t="shared" ca="1" si="6"/>
        <v>-0.60535424407109562</v>
      </c>
      <c r="AC1125" s="77">
        <f t="shared" ca="1" si="7"/>
        <v>2</v>
      </c>
      <c r="AD1125" s="76">
        <f t="array" ref="AD1125">AVERAGEIFS($G$2:$G2248,$B$2:$B2248,$B1125,$P$2:$P2248,"&lt;="&amp;$P1125,$P$2:$P2248,"&gt;"&amp;$P1125-7)</f>
        <v>7.8048780487804876</v>
      </c>
      <c r="AE1125" s="76">
        <f ca="1">IFERROR(__xludf.DUMMYFUNCTION("iferror(stdevp(filter($F$2:$F2250,$B$2:$B2250=$B1125,$O$2:$O2250&lt;=$O1125,$O$2:$O2250&gt;$O1125-7)),0)"),1.54919333848296)</f>
        <v>1.5491933384829599</v>
      </c>
      <c r="AF1125" s="77">
        <f t="shared" ca="1" si="8"/>
        <v>0.77144790229335081</v>
      </c>
      <c r="AG1125" s="77">
        <f t="shared" ca="1" si="9"/>
        <v>3</v>
      </c>
      <c r="AH1125" s="76">
        <f t="array" ref="AH1125">AVERAGEIFS($I$2:$I2248,$B$2:$B2248,$B1125,$P$2:$P2248,"&lt;="&amp;$P1125,$P$2:$P2248,"&gt;"&amp;$P1125-7)</f>
        <v>6.3170731707317076</v>
      </c>
      <c r="AI1125" s="76">
        <f ca="1">IFERROR(__xludf.DUMMYFUNCTION("iferror(stdevp(filter($H$2:$H2250,$B$2:$B2250=$B1125,$O$2:$O2250&lt;=$O1125,$O$2:$O2250&gt;$O1125-7)),0)"),0.748331477354788)</f>
        <v>0.748331477354788</v>
      </c>
      <c r="AJ1125" s="77">
        <f t="shared" ca="1" si="10"/>
        <v>-0.42370684693433186</v>
      </c>
      <c r="AK1125" s="77">
        <f t="shared" ca="1" si="11"/>
        <v>2</v>
      </c>
      <c r="AL1125" s="76">
        <f t="array" ref="AL1125">AVERAGEIFS($J$2:$J2248,$B$2:$B2248,$B1125,$P$2:$P2248,"&lt;="&amp;$P1125,$P$2:$P2248,"&gt;"&amp;$P1125-7)</f>
        <v>6.9024390243902438</v>
      </c>
      <c r="AM1125" s="76">
        <f ca="1">IFERROR(__xludf.DUMMYFUNCTION("iferror(stdevp(filter($I$2:$I2250,$B$2:$B2250=$B1125,$O$2:$O2250&lt;=$O1125,$O$2:$O2250&gt;$O1125-7)),0)"),0.8)</f>
        <v>0.8</v>
      </c>
      <c r="AN1125" s="77">
        <f t="shared" ca="1" si="13"/>
        <v>0.12195121951219523</v>
      </c>
      <c r="AO1125" s="77">
        <f t="shared" ca="1" si="14"/>
        <v>3</v>
      </c>
      <c r="AP1125" s="76">
        <f t="array" ref="AP1125">AVERAGEIFS($K$2:$K2248,$B$2:$B2248,$B1125,$P$2:$P2248,"&lt;="&amp;$P1125,$P$2:$P2248,"&gt;"&amp;$P1125-7)</f>
        <v>8</v>
      </c>
      <c r="AQ1125" s="76">
        <f ca="1">IFERROR(__xludf.DUMMYFUNCTION("iferror(stdevp(filter($J$2:$J2250,$B$2:$B2250=$B1125,$O$2:$O2250&lt;=$O1125,$O$2:$O2250&gt;$O1125-7)),0)"),0.489897948556635)</f>
        <v>0.48989794855663499</v>
      </c>
      <c r="AR1125" s="77">
        <f t="shared" ca="1" si="15"/>
        <v>0</v>
      </c>
      <c r="AS1125" s="77">
        <f t="shared" ca="1" si="16"/>
        <v>3</v>
      </c>
      <c r="AT1125" s="78">
        <f t="shared" ca="1" si="12"/>
        <v>0.70833333333333337</v>
      </c>
    </row>
    <row r="1126" spans="1:46" ht="12.5" x14ac:dyDescent="0.25">
      <c r="A1126" s="75">
        <v>44965.354368229164</v>
      </c>
      <c r="B1126" s="1" t="s">
        <v>10</v>
      </c>
      <c r="C1126" s="1" t="str">
        <f>INDEX(TBL_Name,MATCH(Table2[[#This Row],[Athlete Name]],listNames,0),2)</f>
        <v>Athlete 5</v>
      </c>
      <c r="D1126" s="1" t="s">
        <v>130</v>
      </c>
      <c r="E1126" s="1">
        <v>9</v>
      </c>
      <c r="F1126" s="1">
        <v>8</v>
      </c>
      <c r="G1126" s="1">
        <v>8</v>
      </c>
      <c r="H1126" s="1" t="s">
        <v>1517</v>
      </c>
      <c r="I1126" s="1">
        <v>3</v>
      </c>
      <c r="J1126" s="1">
        <v>6</v>
      </c>
      <c r="K1126" s="1">
        <v>7</v>
      </c>
      <c r="L1126" s="1">
        <v>72</v>
      </c>
      <c r="M1126" s="1" t="e">
        <f t="shared" ca="1" si="0"/>
        <v>#NAME?</v>
      </c>
      <c r="N1126" s="1" t="e">
        <f t="shared" si="1"/>
        <v>#VALUE!</v>
      </c>
      <c r="O1126" s="1" t="e">
        <f ca="1">IF($N1126=_xludf.MINIFS($N$2:$N2312,$R$2:$R2312,$R1126),1,
($N1126-_xludf.MINIFS($N$2:$N2312,$R$2:$R2312,$R1126))+1)</f>
        <v>#VALUE!</v>
      </c>
      <c r="P1126" s="13" t="e">
        <f t="shared" si="2"/>
        <v>#VALUE!</v>
      </c>
      <c r="Q1126" s="1" t="e">
        <f>RIGHT(YEAR($A1126),2)-(MONTH($A1126)&lt;=#REF!)
 &amp;"-"&amp;
 RIGHT(YEAR($A1126),2)+(MONTH($A1126)&gt;=#REF!)</f>
        <v>#REF!</v>
      </c>
      <c r="R1126" s="1" t="e">
        <f>CHOOSE(MONTH($P1126),#REF!,#REF!,#REF!,#REF!,#REF!,#REF!,#REF!,#REF!,#REF!,#REF!,#REF!,#REF!)&amp;" "&amp;$Q1126</f>
        <v>#VALUE!</v>
      </c>
      <c r="S1126" s="1">
        <f t="shared" si="3"/>
        <v>1</v>
      </c>
      <c r="T1126" s="1" t="str">
        <f t="array" ref="T1126">IFERROR(INDEX(#REF!,MATCH($B1126,#REF!,0)),"")</f>
        <v/>
      </c>
      <c r="U1126" s="1" t="str">
        <f t="array" ref="U1126">IFERROR(INDEX(#REF!,MATCH($B1126,#REF!,0)),"")</f>
        <v/>
      </c>
      <c r="V1126" s="76">
        <f t="array" ref="V1126">AVERAGEIFS($E$2:$E2248,$B$2:$B2248,$B1126,$P$2:$P2248,"&lt;="&amp;$P1126,$P$2:$P2248,"&gt;"&amp;$P1126-7)</f>
        <v>8.4042553191489358</v>
      </c>
      <c r="W1126" s="76">
        <f ca="1">IFERROR(__xludf.DUMMYFUNCTION("iferror(stdevp(filter($D$2:$D2250,$B$2:$B2250=$B1126,$O$2:$O2250&lt;=$O1126,$O$2:$O2250&gt;$O1126-7)),0)"),0)</f>
        <v>0</v>
      </c>
      <c r="X1126" s="77">
        <f t="shared" ca="1" si="4"/>
        <v>0</v>
      </c>
      <c r="Y1126" s="77">
        <f t="shared" ca="1" si="5"/>
        <v>3</v>
      </c>
      <c r="Z1126" s="76">
        <f t="array" ref="Z1126">AVERAGEIFS($F$2:$F2248,$B$2:$B2248,$B1126,$P$2:$P2248,"&lt;="&amp;$P1126,$P$2:$P2248,"&gt;"&amp;$P1126-7)</f>
        <v>8.085106382978724</v>
      </c>
      <c r="AA1126" s="76">
        <f ca="1">IFERROR(__xludf.DUMMYFUNCTION("iferror(stdevp(filter($E$2:$E2250,$B$2:$B2250=$B1126,$O$2:$O2250&lt;=$O1126,$O$2:$O2250&gt;$O1126-7)),0)"),0.74535599249993)</f>
        <v>0.74535599249993001</v>
      </c>
      <c r="AB1126" s="77">
        <f t="shared" ca="1" si="6"/>
        <v>-0.11418219459573468</v>
      </c>
      <c r="AC1126" s="77">
        <f t="shared" ca="1" si="7"/>
        <v>2</v>
      </c>
      <c r="AD1126" s="76">
        <f t="array" ref="AD1126">AVERAGEIFS($G$2:$G2248,$B$2:$B2248,$B1126,$P$2:$P2248,"&lt;="&amp;$P1126,$P$2:$P2248,"&gt;"&amp;$P1126-7)</f>
        <v>8.0638297872340434</v>
      </c>
      <c r="AE1126" s="76">
        <f ca="1">IFERROR(__xludf.DUMMYFUNCTION("iferror(stdevp(filter($F$2:$F2250,$B$2:$B2250=$B1126,$O$2:$O2250&lt;=$O1126,$O$2:$O2250&gt;$O1126-7)),0)"),0.74535599249993)</f>
        <v>0.74535599249993001</v>
      </c>
      <c r="AF1126" s="77">
        <f t="shared" ca="1" si="8"/>
        <v>-8.5636645946801607E-2</v>
      </c>
      <c r="AG1126" s="77">
        <f t="shared" ca="1" si="9"/>
        <v>2</v>
      </c>
      <c r="AH1126" s="76">
        <f t="array" ref="AH1126">AVERAGEIFS($I$2:$I2248,$B$2:$B2248,$B1126,$P$2:$P2248,"&lt;="&amp;$P1126,$P$2:$P2248,"&gt;"&amp;$P1126-7)</f>
        <v>6.7446808510638299</v>
      </c>
      <c r="AI1126" s="76">
        <f ca="1">IFERROR(__xludf.DUMMYFUNCTION("iferror(stdevp(filter($H$2:$H2250,$B$2:$B2250=$B1126,$O$2:$O2250&lt;=$O1126,$O$2:$O2250&gt;$O1126-7)),0)"),2.3094010767585)</f>
        <v>2.3094010767584998</v>
      </c>
      <c r="AJ1126" s="77">
        <f t="shared" ca="1" si="10"/>
        <v>-1.6214943730432065</v>
      </c>
      <c r="AK1126" s="77">
        <f t="shared" ca="1" si="11"/>
        <v>1</v>
      </c>
      <c r="AL1126" s="76">
        <f t="array" ref="AL1126">AVERAGEIFS($J$2:$J2248,$B$2:$B2248,$B1126,$P$2:$P2248,"&lt;="&amp;$P1126,$P$2:$P2248,"&gt;"&amp;$P1126-7)</f>
        <v>8.1063829787234045</v>
      </c>
      <c r="AM1126" s="76">
        <f ca="1">IFERROR(__xludf.DUMMYFUNCTION("iferror(stdevp(filter($I$2:$I2250,$B$2:$B2250=$B1126,$O$2:$O2250&lt;=$O1126,$O$2:$O2250&gt;$O1126-7)),0)"),1)</f>
        <v>1</v>
      </c>
      <c r="AN1126" s="77">
        <f t="shared" ca="1" si="13"/>
        <v>-2.1063829787234045</v>
      </c>
      <c r="AO1126" s="77">
        <f t="shared" ca="1" si="14"/>
        <v>1</v>
      </c>
      <c r="AP1126" s="76">
        <f t="array" ref="AP1126">AVERAGEIFS($K$2:$K2248,$B$2:$B2248,$B1126,$P$2:$P2248,"&lt;="&amp;$P1126,$P$2:$P2248,"&gt;"&amp;$P1126-7)</f>
        <v>8.2978723404255312</v>
      </c>
      <c r="AQ1126" s="76">
        <f ca="1">IFERROR(__xludf.DUMMYFUNCTION("iferror(stdevp(filter($J$2:$J2250,$B$2:$B2250=$B1126,$O$2:$O2250&lt;=$O1126,$O$2:$O2250&gt;$O1126-7)),0)"),0.745355992499929)</f>
        <v>0.74535599249992901</v>
      </c>
      <c r="AR1126" s="77">
        <f t="shared" ca="1" si="15"/>
        <v>-1.7412784675849438</v>
      </c>
      <c r="AS1126" s="77">
        <f t="shared" ca="1" si="16"/>
        <v>1</v>
      </c>
      <c r="AT1126" s="78">
        <f t="shared" ca="1" si="12"/>
        <v>0.41666666666666669</v>
      </c>
    </row>
    <row r="1127" spans="1:46" ht="12.5" x14ac:dyDescent="0.25">
      <c r="A1127" s="75">
        <v>44965.387481446756</v>
      </c>
      <c r="B1127" s="1" t="s">
        <v>6</v>
      </c>
      <c r="C1127" s="1" t="str">
        <f>INDEX(TBL_Name,MATCH(Table2[[#This Row],[Athlete Name]],listNames,0),2)</f>
        <v>Athlete 2</v>
      </c>
      <c r="D1127" s="1" t="s">
        <v>130</v>
      </c>
      <c r="E1127" s="1">
        <v>10</v>
      </c>
      <c r="F1127" s="1">
        <v>9</v>
      </c>
      <c r="G1127" s="1">
        <v>8</v>
      </c>
      <c r="H1127" s="1" t="s">
        <v>71</v>
      </c>
      <c r="I1127" s="1">
        <v>6</v>
      </c>
      <c r="J1127" s="1">
        <v>7</v>
      </c>
      <c r="K1127" s="1">
        <v>8</v>
      </c>
      <c r="L1127" s="1">
        <v>99</v>
      </c>
      <c r="M1127" s="1" t="e">
        <f t="shared" ca="1" si="0"/>
        <v>#NAME?</v>
      </c>
      <c r="N1127" s="1" t="e">
        <f t="shared" si="1"/>
        <v>#VALUE!</v>
      </c>
      <c r="O1127" s="1" t="e">
        <f ca="1">IF($N1127=_xludf.MINIFS($N$2:$N2313,$R$2:$R2313,$R1127),1,
($N1127-_xludf.MINIFS($N$2:$N2313,$R$2:$R2313,$R1127))+1)</f>
        <v>#VALUE!</v>
      </c>
      <c r="P1127" s="13" t="e">
        <f t="shared" si="2"/>
        <v>#VALUE!</v>
      </c>
      <c r="Q1127" s="1" t="e">
        <f>RIGHT(YEAR($A1127),2)-(MONTH($A1127)&lt;=#REF!)
 &amp;"-"&amp;
 RIGHT(YEAR($A1127),2)+(MONTH($A1127)&gt;=#REF!)</f>
        <v>#REF!</v>
      </c>
      <c r="R1127" s="1" t="e">
        <f>CHOOSE(MONTH($P1127),#REF!,#REF!,#REF!,#REF!,#REF!,#REF!,#REF!,#REF!,#REF!,#REF!,#REF!,#REF!)&amp;" "&amp;$Q1127</f>
        <v>#VALUE!</v>
      </c>
      <c r="S1127" s="1">
        <f t="shared" si="3"/>
        <v>1</v>
      </c>
      <c r="T1127" s="1" t="str">
        <f t="array" ref="T1127">IFERROR(INDEX(#REF!,MATCH($B1127,#REF!,0)),"")</f>
        <v/>
      </c>
      <c r="U1127" s="1" t="str">
        <f t="array" ref="U1127">IFERROR(INDEX(#REF!,MATCH($B1127,#REF!,0)),"")</f>
        <v/>
      </c>
      <c r="V1127" s="76">
        <f t="array" ref="V1127">AVERAGEIFS($E$2:$E2248,$B$2:$B2248,$B1127,$P$2:$P2248,"&lt;="&amp;$P1127,$P$2:$P2248,"&gt;"&amp;$P1127-7)</f>
        <v>9.7441860465116275</v>
      </c>
      <c r="W1127" s="76">
        <f ca="1">IFERROR(__xludf.DUMMYFUNCTION("iferror(stdevp(filter($D$2:$D2250,$B$2:$B2250=$B1127,$O$2:$O2250&lt;=$O1127,$O$2:$O2250&gt;$O1127-7)),0)"),0)</f>
        <v>0</v>
      </c>
      <c r="X1127" s="77">
        <f t="shared" ca="1" si="4"/>
        <v>0</v>
      </c>
      <c r="Y1127" s="77">
        <f t="shared" ca="1" si="5"/>
        <v>3</v>
      </c>
      <c r="Z1127" s="76">
        <f t="array" ref="Z1127">AVERAGEIFS($F$2:$F2248,$B$2:$B2248,$B1127,$P$2:$P2248,"&lt;="&amp;$P1127,$P$2:$P2248,"&gt;"&amp;$P1127-7)</f>
        <v>8.279069767441861</v>
      </c>
      <c r="AA1127" s="76">
        <f ca="1">IFERROR(__xludf.DUMMYFUNCTION("iferror(stdevp(filter($E$2:$E2250,$B$2:$B2250=$B1127,$O$2:$O2250&lt;=$O1127,$O$2:$O2250&gt;$O1127-7)),0)"),0.451753951452625)</f>
        <v>0.45175395145262498</v>
      </c>
      <c r="AB1127" s="77">
        <f t="shared" ca="1" si="6"/>
        <v>1.5958470982710204</v>
      </c>
      <c r="AC1127" s="77">
        <f t="shared" ca="1" si="7"/>
        <v>4</v>
      </c>
      <c r="AD1127" s="76">
        <f t="array" ref="AD1127">AVERAGEIFS($G$2:$G2248,$B$2:$B2248,$B1127,$P$2:$P2248,"&lt;="&amp;$P1127,$P$2:$P2248,"&gt;"&amp;$P1127-7)</f>
        <v>8.604651162790697</v>
      </c>
      <c r="AE1127" s="76">
        <f ca="1">IFERROR(__xludf.DUMMYFUNCTION("iferror(stdevp(filter($F$2:$F2250,$B$2:$B2250=$B1127,$O$2:$O2250&lt;=$O1127,$O$2:$O2250&gt;$O1127-7)),0)"),1.12485826771597)</f>
        <v>1.12485826771597</v>
      </c>
      <c r="AF1127" s="77">
        <f t="shared" ca="1" si="8"/>
        <v>-0.53753542125662113</v>
      </c>
      <c r="AG1127" s="77">
        <f t="shared" ca="1" si="9"/>
        <v>2</v>
      </c>
      <c r="AH1127" s="76">
        <f t="array" ref="AH1127">AVERAGEIFS($I$2:$I2248,$B$2:$B2248,$B1127,$P$2:$P2248,"&lt;="&amp;$P1127,$P$2:$P2248,"&gt;"&amp;$P1127-7)</f>
        <v>8.3488372093023262</v>
      </c>
      <c r="AI1127" s="76">
        <f ca="1">IFERROR(__xludf.DUMMYFUNCTION("iferror(stdevp(filter($H$2:$H2250,$B$2:$B2250=$B1127,$O$2:$O2250&lt;=$O1127,$O$2:$O2250&gt;$O1127-7)),0)"),1.04978131833564)</f>
        <v>1.0497813183356399</v>
      </c>
      <c r="AJ1127" s="77">
        <f t="shared" ca="1" si="10"/>
        <v>-2.2374538089763827</v>
      </c>
      <c r="AK1127" s="77">
        <f t="shared" ca="1" si="11"/>
        <v>1</v>
      </c>
      <c r="AL1127" s="76">
        <f t="array" ref="AL1127">AVERAGEIFS($J$2:$J2248,$B$2:$B2248,$B1127,$P$2:$P2248,"&lt;="&amp;$P1127,$P$2:$P2248,"&gt;"&amp;$P1127-7)</f>
        <v>8.3023255813953494</v>
      </c>
      <c r="AM1127" s="76">
        <f ca="1">IFERROR(__xludf.DUMMYFUNCTION("iferror(stdevp(filter($I$2:$I2250,$B$2:$B2250=$B1127,$O$2:$O2250&lt;=$O1127,$O$2:$O2250&gt;$O1127-7)),0)"),0.699854212223765)</f>
        <v>0.69985421222376498</v>
      </c>
      <c r="AN1127" s="77">
        <f t="shared" ca="1" si="13"/>
        <v>-1.860852672812028</v>
      </c>
      <c r="AO1127" s="77">
        <f t="shared" ca="1" si="14"/>
        <v>1</v>
      </c>
      <c r="AP1127" s="76">
        <f t="array" ref="AP1127">AVERAGEIFS($K$2:$K2248,$B$2:$B2248,$B1127,$P$2:$P2248,"&lt;="&amp;$P1127,$P$2:$P2248,"&gt;"&amp;$P1127-7)</f>
        <v>8.9069767441860463</v>
      </c>
      <c r="AQ1127" s="76">
        <f ca="1">IFERROR(__xludf.DUMMYFUNCTION("iferror(stdevp(filter($J$2:$J2250,$B$2:$B2250=$B1127,$O$2:$O2250&lt;=$O1127,$O$2:$O2250&gt;$O1127-7)),0)"),0.638876564999939)</f>
        <v>0.63887656499993895</v>
      </c>
      <c r="AR1127" s="77">
        <f t="shared" ca="1" si="15"/>
        <v>-1.419643157808008</v>
      </c>
      <c r="AS1127" s="77">
        <f t="shared" ca="1" si="16"/>
        <v>1</v>
      </c>
      <c r="AT1127" s="78">
        <f t="shared" ca="1" si="12"/>
        <v>0.5</v>
      </c>
    </row>
    <row r="1128" spans="1:46" ht="12.5" x14ac:dyDescent="0.25">
      <c r="A1128" s="75">
        <v>44965.40110722222</v>
      </c>
      <c r="B1128" s="1" t="s">
        <v>19</v>
      </c>
      <c r="C1128" s="1" t="str">
        <f>INDEX(TBL_Name,MATCH(Table2[[#This Row],[Athlete Name]],listNames,0),2)</f>
        <v>Athlete 11</v>
      </c>
      <c r="D1128" s="1" t="s">
        <v>130</v>
      </c>
      <c r="E1128" s="1">
        <v>4</v>
      </c>
      <c r="F1128" s="1">
        <v>7</v>
      </c>
      <c r="G1128" s="1">
        <v>7</v>
      </c>
      <c r="H1128" s="1" t="s">
        <v>1518</v>
      </c>
      <c r="I1128" s="1">
        <v>4</v>
      </c>
      <c r="J1128" s="1">
        <v>9</v>
      </c>
      <c r="K1128" s="1">
        <v>10</v>
      </c>
      <c r="L1128" s="1">
        <v>65</v>
      </c>
      <c r="M1128" s="1" t="e">
        <f t="shared" ca="1" si="0"/>
        <v>#NAME?</v>
      </c>
      <c r="N1128" s="1" t="e">
        <f t="shared" si="1"/>
        <v>#VALUE!</v>
      </c>
      <c r="O1128" s="1" t="e">
        <f ca="1">IF($N1128=_xludf.MINIFS($N$2:$N2314,$R$2:$R2314,$R1128),1,
($N1128-_xludf.MINIFS($N$2:$N2314,$R$2:$R2314,$R1128))+1)</f>
        <v>#VALUE!</v>
      </c>
      <c r="P1128" s="13" t="e">
        <f t="shared" si="2"/>
        <v>#VALUE!</v>
      </c>
      <c r="Q1128" s="1" t="e">
        <f>RIGHT(YEAR($A1128),2)-(MONTH($A1128)&lt;=#REF!)
 &amp;"-"&amp;
 RIGHT(YEAR($A1128),2)+(MONTH($A1128)&gt;=#REF!)</f>
        <v>#REF!</v>
      </c>
      <c r="R1128" s="1" t="e">
        <f>CHOOSE(MONTH($P1128),#REF!,#REF!,#REF!,#REF!,#REF!,#REF!,#REF!,#REF!,#REF!,#REF!,#REF!,#REF!)&amp;" "&amp;$Q1128</f>
        <v>#VALUE!</v>
      </c>
      <c r="S1128" s="1">
        <f t="shared" si="3"/>
        <v>1</v>
      </c>
      <c r="T1128" s="1" t="str">
        <f t="array" ref="T1128">IFERROR(INDEX(#REF!,MATCH($B1128,#REF!,0)),"")</f>
        <v/>
      </c>
      <c r="U1128" s="1" t="str">
        <f t="array" ref="U1128">IFERROR(INDEX(#REF!,MATCH($B1128,#REF!,0)),"")</f>
        <v/>
      </c>
      <c r="V1128" s="76">
        <f t="array" ref="V1128">AVERAGEIFS($E$2:$E2248,$B$2:$B2248,$B1128,$P$2:$P2248,"&lt;="&amp;$P1128,$P$2:$P2248,"&gt;"&amp;$P1128-7)</f>
        <v>4.6538461538461542</v>
      </c>
      <c r="W1128" s="76">
        <f ca="1">IFERROR(__xludf.DUMMYFUNCTION("iferror(stdevp(filter($D$2:$D2250,$B$2:$B2250=$B1128,$O$2:$O2250&lt;=$O1128,$O$2:$O2250&gt;$O1128-7)),0)"),1.74355957741626)</f>
        <v>1.74355957741626</v>
      </c>
      <c r="X1128" s="77">
        <f t="shared" ca="1" si="4"/>
        <v>-0.37500648805765124</v>
      </c>
      <c r="Y1128" s="77">
        <f t="shared" ca="1" si="5"/>
        <v>2</v>
      </c>
      <c r="Z1128" s="76">
        <f t="array" ref="Z1128">AVERAGEIFS($F$2:$F2248,$B$2:$B2248,$B1128,$P$2:$P2248,"&lt;="&amp;$P1128,$P$2:$P2248,"&gt;"&amp;$P1128-7)</f>
        <v>6.8461538461538458</v>
      </c>
      <c r="AA1128" s="76">
        <f ca="1">IFERROR(__xludf.DUMMYFUNCTION("iferror(stdevp(filter($E$2:$E2250,$B$2:$B2250=$B1128,$O$2:$O2250&lt;=$O1128,$O$2:$O2250&gt;$O1128-7)),0)"),0.399999999999999)</f>
        <v>0.39999999999999902</v>
      </c>
      <c r="AB1128" s="77">
        <f t="shared" ca="1" si="6"/>
        <v>0.38461538461538641</v>
      </c>
      <c r="AC1128" s="77">
        <f t="shared" ca="1" si="7"/>
        <v>3</v>
      </c>
      <c r="AD1128" s="76">
        <f t="array" ref="AD1128">AVERAGEIFS($G$2:$G2248,$B$2:$B2248,$B1128,$P$2:$P2248,"&lt;="&amp;$P1128,$P$2:$P2248,"&gt;"&amp;$P1128-7)</f>
        <v>7.2692307692307692</v>
      </c>
      <c r="AE1128" s="76">
        <f ca="1">IFERROR(__xludf.DUMMYFUNCTION("iferror(stdevp(filter($F$2:$F2250,$B$2:$B2250=$B1128,$O$2:$O2250&lt;=$O1128,$O$2:$O2250&gt;$O1128-7)),0)"),0.399999999999999)</f>
        <v>0.39999999999999902</v>
      </c>
      <c r="AF1128" s="77">
        <f t="shared" ca="1" si="8"/>
        <v>-0.67307692307692457</v>
      </c>
      <c r="AG1128" s="77">
        <f t="shared" ca="1" si="9"/>
        <v>2</v>
      </c>
      <c r="AH1128" s="76">
        <f t="array" ref="AH1128">AVERAGEIFS($I$2:$I2248,$B$2:$B2248,$B1128,$P$2:$P2248,"&lt;="&amp;$P1128,$P$2:$P2248,"&gt;"&amp;$P1128-7)</f>
        <v>4.9230769230769234</v>
      </c>
      <c r="AI1128" s="76">
        <f ca="1">IFERROR(__xludf.DUMMYFUNCTION("iferror(stdevp(filter($H$2:$H2250,$B$2:$B2250=$B1128,$O$2:$O2250&lt;=$O1128,$O$2:$O2250&gt;$O1128-7)),0)"),1.2)</f>
        <v>1.2</v>
      </c>
      <c r="AJ1128" s="77">
        <f t="shared" ca="1" si="10"/>
        <v>-0.7692307692307695</v>
      </c>
      <c r="AK1128" s="77">
        <f t="shared" ca="1" si="11"/>
        <v>2</v>
      </c>
      <c r="AL1128" s="76">
        <f t="array" ref="AL1128">AVERAGEIFS($J$2:$J2248,$B$2:$B2248,$B1128,$P$2:$P2248,"&lt;="&amp;$P1128,$P$2:$P2248,"&gt;"&amp;$P1128-7)</f>
        <v>7.5769230769230766</v>
      </c>
      <c r="AM1128" s="76">
        <f ca="1">IFERROR(__xludf.DUMMYFUNCTION("iferror(stdevp(filter($I$2:$I2250,$B$2:$B2250=$B1128,$O$2:$O2250&lt;=$O1128,$O$2:$O2250&gt;$O1128-7)),0)"),2.13541565040626)</f>
        <v>2.13541565040626</v>
      </c>
      <c r="AN1128" s="77">
        <f t="shared" ca="1" si="13"/>
        <v>0.66641682747159081</v>
      </c>
      <c r="AO1128" s="77">
        <f t="shared" ca="1" si="14"/>
        <v>3</v>
      </c>
      <c r="AP1128" s="76">
        <f t="array" ref="AP1128">AVERAGEIFS($K$2:$K2248,$B$2:$B2248,$B1128,$P$2:$P2248,"&lt;="&amp;$P1128,$P$2:$P2248,"&gt;"&amp;$P1128-7)</f>
        <v>8</v>
      </c>
      <c r="AQ1128" s="76">
        <f ca="1">IFERROR(__xludf.DUMMYFUNCTION("iferror(stdevp(filter($J$2:$J2250,$B$2:$B2250=$B1128,$O$2:$O2250&lt;=$O1128,$O$2:$O2250&gt;$O1128-7)),0)"),3.2)</f>
        <v>3.2</v>
      </c>
      <c r="AR1128" s="77">
        <f t="shared" ca="1" si="15"/>
        <v>0.625</v>
      </c>
      <c r="AS1128" s="77">
        <f t="shared" ca="1" si="16"/>
        <v>3</v>
      </c>
      <c r="AT1128" s="78">
        <f t="shared" ca="1" si="12"/>
        <v>0.625</v>
      </c>
    </row>
    <row r="1129" spans="1:46" ht="12.5" x14ac:dyDescent="0.25">
      <c r="A1129" s="75">
        <v>44965.456496053244</v>
      </c>
      <c r="B1129" s="1" t="s">
        <v>21</v>
      </c>
      <c r="C1129" s="1" t="str">
        <f>INDEX(TBL_Name,MATCH(Table2[[#This Row],[Athlete Name]],listNames,0),2)</f>
        <v>Athlete 13</v>
      </c>
      <c r="D1129" s="1" t="s">
        <v>143</v>
      </c>
      <c r="E1129" s="1">
        <v>7</v>
      </c>
      <c r="F1129" s="1">
        <v>7</v>
      </c>
      <c r="G1129" s="1">
        <v>8</v>
      </c>
      <c r="H1129" s="1" t="s">
        <v>1519</v>
      </c>
      <c r="I1129" s="1">
        <v>5</v>
      </c>
      <c r="J1129" s="1">
        <v>6</v>
      </c>
      <c r="K1129" s="1">
        <v>7</v>
      </c>
      <c r="L1129" s="1">
        <v>79</v>
      </c>
      <c r="M1129" s="1" t="e">
        <f t="shared" ca="1" si="0"/>
        <v>#NAME?</v>
      </c>
      <c r="N1129" s="1" t="e">
        <f t="shared" si="1"/>
        <v>#VALUE!</v>
      </c>
      <c r="O1129" s="1" t="e">
        <f ca="1">IF($N1129=_xludf.MINIFS($N$2:$N2315,$R$2:$R2315,$R1129),1,
($N1129-_xludf.MINIFS($N$2:$N2315,$R$2:$R2315,$R1129))+1)</f>
        <v>#VALUE!</v>
      </c>
      <c r="P1129" s="13" t="e">
        <f t="shared" si="2"/>
        <v>#VALUE!</v>
      </c>
      <c r="Q1129" s="1" t="e">
        <f>RIGHT(YEAR($A1129),2)-(MONTH($A1129)&lt;=#REF!)
 &amp;"-"&amp;
 RIGHT(YEAR($A1129),2)+(MONTH($A1129)&gt;=#REF!)</f>
        <v>#REF!</v>
      </c>
      <c r="R1129" s="1" t="e">
        <f>CHOOSE(MONTH($P1129),#REF!,#REF!,#REF!,#REF!,#REF!,#REF!,#REF!,#REF!,#REF!,#REF!,#REF!,#REF!)&amp;" "&amp;$Q1129</f>
        <v>#VALUE!</v>
      </c>
      <c r="S1129" s="1">
        <f t="shared" si="3"/>
        <v>2</v>
      </c>
      <c r="T1129" s="1" t="str">
        <f t="array" ref="T1129">IFERROR(INDEX(#REF!,MATCH($B1129,#REF!,0)),"")</f>
        <v/>
      </c>
      <c r="U1129" s="1" t="str">
        <f t="array" ref="U1129">IFERROR(INDEX(#REF!,MATCH($B1129,#REF!,0)),"")</f>
        <v/>
      </c>
      <c r="V1129" s="76">
        <f t="array" ref="V1129">AVERAGEIFS($E$2:$E2248,$B$2:$B2248,$B1129,$P$2:$P2248,"&lt;="&amp;$P1129,$P$2:$P2248,"&gt;"&amp;$P1129-7)</f>
        <v>6.6304347826086953</v>
      </c>
      <c r="W1129" s="76">
        <f ca="1">IFERROR(__xludf.DUMMYFUNCTION("iferror(stdevp(filter($D$2:$D2250,$B$2:$B2250=$B1129,$O$2:$O2250&lt;=$O1129,$O$2:$O2250&gt;$O1129-7)),0)"),0.638876564999939)</f>
        <v>0.63887656499993895</v>
      </c>
      <c r="X1129" s="77">
        <f t="shared" ca="1" si="4"/>
        <v>0.57846106374451223</v>
      </c>
      <c r="Y1129" s="77">
        <f t="shared" ca="1" si="5"/>
        <v>3</v>
      </c>
      <c r="Z1129" s="76">
        <f t="array" ref="Z1129">AVERAGEIFS($F$2:$F2248,$B$2:$B2248,$B1129,$P$2:$P2248,"&lt;="&amp;$P1129,$P$2:$P2248,"&gt;"&amp;$P1129-7)</f>
        <v>7.6956521739130439</v>
      </c>
      <c r="AA1129" s="76">
        <f ca="1">IFERROR(__xludf.DUMMYFUNCTION("iferror(stdevp(filter($E$2:$E2250,$B$2:$B2250=$B1129,$O$2:$O2250&lt;=$O1129,$O$2:$O2250&gt;$O1129-7)),0)"),0.832993127835042)</f>
        <v>0.83299312783504198</v>
      </c>
      <c r="AB1129" s="77">
        <f t="shared" ca="1" si="6"/>
        <v>-0.83512354504178365</v>
      </c>
      <c r="AC1129" s="77">
        <f t="shared" ca="1" si="7"/>
        <v>2</v>
      </c>
      <c r="AD1129" s="76">
        <f t="array" ref="AD1129">AVERAGEIFS($G$2:$G2248,$B$2:$B2248,$B1129,$P$2:$P2248,"&lt;="&amp;$P1129,$P$2:$P2248,"&gt;"&amp;$P1129-7)</f>
        <v>8.2608695652173907</v>
      </c>
      <c r="AE1129" s="76">
        <f ca="1">IFERROR(__xludf.DUMMYFUNCTION("iferror(stdevp(filter($F$2:$F2250,$B$2:$B2250=$B1129,$O$2:$O2250&lt;=$O1129,$O$2:$O2250&gt;$O1129-7)),0)"),0.494871659305393)</f>
        <v>0.49487165930539301</v>
      </c>
      <c r="AF1129" s="77">
        <f t="shared" ca="1" si="8"/>
        <v>-0.52714589795574451</v>
      </c>
      <c r="AG1129" s="77">
        <f t="shared" ca="1" si="9"/>
        <v>2</v>
      </c>
      <c r="AH1129" s="76">
        <f t="array" ref="AH1129">AVERAGEIFS($I$2:$I2248,$B$2:$B2248,$B1129,$P$2:$P2248,"&lt;="&amp;$P1129,$P$2:$P2248,"&gt;"&amp;$P1129-7)</f>
        <v>5.7391304347826084</v>
      </c>
      <c r="AI1129" s="76">
        <f ca="1">IFERROR(__xludf.DUMMYFUNCTION("iferror(stdevp(filter($H$2:$H2250,$B$2:$B2250=$B1129,$O$2:$O2250&lt;=$O1129,$O$2:$O2250&gt;$O1129-7)),0)"),0.989743318610787)</f>
        <v>0.98974331861078702</v>
      </c>
      <c r="AJ1129" s="77">
        <f t="shared" ca="1" si="10"/>
        <v>-0.74679002210397216</v>
      </c>
      <c r="AK1129" s="77">
        <f t="shared" ca="1" si="11"/>
        <v>2</v>
      </c>
      <c r="AL1129" s="76">
        <f t="array" ref="AL1129">AVERAGEIFS($J$2:$J2248,$B$2:$B2248,$B1129,$P$2:$P2248,"&lt;="&amp;$P1129,$P$2:$P2248,"&gt;"&amp;$P1129-7)</f>
        <v>6.5434782608695654</v>
      </c>
      <c r="AM1129" s="76">
        <f ca="1">IFERROR(__xludf.DUMMYFUNCTION("iferror(stdevp(filter($I$2:$I2250,$B$2:$B2250=$B1129,$O$2:$O2250&lt;=$O1129,$O$2:$O2250&gt;$O1129-7)),0)"),0.699854212223765)</f>
        <v>0.69985421222376498</v>
      </c>
      <c r="AN1129" s="77">
        <f t="shared" ca="1" si="13"/>
        <v>-0.77655924816495736</v>
      </c>
      <c r="AO1129" s="77">
        <f t="shared" ca="1" si="14"/>
        <v>2</v>
      </c>
      <c r="AP1129" s="76">
        <f t="array" ref="AP1129">AVERAGEIFS($K$2:$K2248,$B$2:$B2248,$B1129,$P$2:$P2248,"&lt;="&amp;$P1129,$P$2:$P2248,"&gt;"&amp;$P1129-7)</f>
        <v>6.6086956521739131</v>
      </c>
      <c r="AQ1129" s="76">
        <f ca="1">IFERROR(__xludf.DUMMYFUNCTION("iferror(stdevp(filter($J$2:$J2250,$B$2:$B2250=$B1129,$O$2:$O2250&lt;=$O1129,$O$2:$O2250&gt;$O1129-7)),0)"),0.699854212223765)</f>
        <v>0.69985421222376498</v>
      </c>
      <c r="AR1129" s="77">
        <f t="shared" ca="1" si="15"/>
        <v>0.55912265867876898</v>
      </c>
      <c r="AS1129" s="77">
        <f t="shared" ca="1" si="16"/>
        <v>3</v>
      </c>
      <c r="AT1129" s="78">
        <f t="shared" ca="1" si="12"/>
        <v>0.58333333333333337</v>
      </c>
    </row>
    <row r="1130" spans="1:46" ht="12.5" x14ac:dyDescent="0.25">
      <c r="A1130" s="75">
        <v>44965.457166631946</v>
      </c>
      <c r="B1130" s="1" t="s">
        <v>13</v>
      </c>
      <c r="C1130" s="1" t="str">
        <f>INDEX(TBL_Name,MATCH(Table2[[#This Row],[Athlete Name]],listNames,0),2)</f>
        <v>Athlete 7</v>
      </c>
      <c r="D1130" s="1" t="s">
        <v>130</v>
      </c>
      <c r="E1130" s="1">
        <v>8</v>
      </c>
      <c r="F1130" s="1">
        <v>7</v>
      </c>
      <c r="G1130" s="1">
        <v>7</v>
      </c>
      <c r="H1130" s="1" t="s">
        <v>228</v>
      </c>
      <c r="I1130" s="1">
        <v>8</v>
      </c>
      <c r="J1130" s="1">
        <v>10</v>
      </c>
      <c r="K1130" s="1">
        <v>10</v>
      </c>
      <c r="L1130" s="1">
        <v>68</v>
      </c>
      <c r="M1130" s="1" t="e">
        <f t="shared" ca="1" si="0"/>
        <v>#NAME?</v>
      </c>
      <c r="N1130" s="1" t="e">
        <f t="shared" si="1"/>
        <v>#VALUE!</v>
      </c>
      <c r="O1130" s="1" t="e">
        <f ca="1">IF($N1130=_xludf.MINIFS($N$2:$N2316,$R$2:$R2316,$R1130),1,
($N1130-_xludf.MINIFS($N$2:$N2316,$R$2:$R2316,$R1130))+1)</f>
        <v>#VALUE!</v>
      </c>
      <c r="P1130" s="13" t="e">
        <f t="shared" si="2"/>
        <v>#VALUE!</v>
      </c>
      <c r="Q1130" s="1" t="e">
        <f>RIGHT(YEAR($A1130),2)-(MONTH($A1130)&lt;=#REF!)
 &amp;"-"&amp;
 RIGHT(YEAR($A1130),2)+(MONTH($A1130)&gt;=#REF!)</f>
        <v>#REF!</v>
      </c>
      <c r="R1130" s="1" t="e">
        <f>CHOOSE(MONTH($P1130),#REF!,#REF!,#REF!,#REF!,#REF!,#REF!,#REF!,#REF!,#REF!,#REF!,#REF!,#REF!)&amp;" "&amp;$Q1130</f>
        <v>#VALUE!</v>
      </c>
      <c r="S1130" s="1">
        <f t="shared" si="3"/>
        <v>1</v>
      </c>
      <c r="T1130" s="1" t="str">
        <f t="array" ref="T1130">IFERROR(INDEX(#REF!,MATCH($B1130,#REF!,0)),"")</f>
        <v/>
      </c>
      <c r="U1130" s="1" t="str">
        <f t="array" ref="U1130">IFERROR(INDEX(#REF!,MATCH($B1130,#REF!,0)),"")</f>
        <v/>
      </c>
      <c r="V1130" s="76">
        <f t="array" ref="V1130">AVERAGEIFS($E$2:$E2248,$B$2:$B2248,$B1130,$P$2:$P2248,"&lt;="&amp;$P1130,$P$2:$P2248,"&gt;"&amp;$P1130-7)</f>
        <v>7.6857142857142859</v>
      </c>
      <c r="W1130" s="76">
        <f ca="1">IFERROR(__xludf.DUMMYFUNCTION("iferror(stdevp(filter($D$2:$D2250,$B$2:$B2250=$B1130,$O$2:$O2250&lt;=$O1130,$O$2:$O2250&gt;$O1130-7)),0)"),1.74355957741626)</f>
        <v>1.74355957741626</v>
      </c>
      <c r="X1130" s="77">
        <f t="shared" ca="1" si="4"/>
        <v>0.18025521946972795</v>
      </c>
      <c r="Y1130" s="77">
        <f t="shared" ca="1" si="5"/>
        <v>3</v>
      </c>
      <c r="Z1130" s="76">
        <f t="array" ref="Z1130">AVERAGEIFS($F$2:$F2248,$B$2:$B2248,$B1130,$P$2:$P2248,"&lt;="&amp;$P1130,$P$2:$P2248,"&gt;"&amp;$P1130-7)</f>
        <v>7.0857142857142854</v>
      </c>
      <c r="AA1130" s="76">
        <f ca="1">IFERROR(__xludf.DUMMYFUNCTION("iferror(stdevp(filter($E$2:$E2250,$B$2:$B2250=$B1130,$O$2:$O2250&lt;=$O1130,$O$2:$O2250&gt;$O1130-7)),0)"),1.41421356237309)</f>
        <v>1.41421356237309</v>
      </c>
      <c r="AB1130" s="77">
        <f t="shared" ca="1" si="6"/>
        <v>-6.0609152673132646E-2</v>
      </c>
      <c r="AC1130" s="77">
        <f t="shared" ca="1" si="7"/>
        <v>2</v>
      </c>
      <c r="AD1130" s="76">
        <f t="array" ref="AD1130">AVERAGEIFS($G$2:$G2248,$B$2:$B2248,$B1130,$P$2:$P2248,"&lt;="&amp;$P1130,$P$2:$P2248,"&gt;"&amp;$P1130-7)</f>
        <v>7.1428571428571432</v>
      </c>
      <c r="AE1130" s="76">
        <f ca="1">IFERROR(__xludf.DUMMYFUNCTION("iferror(stdevp(filter($F$2:$F2250,$B$2:$B2250=$B1130,$O$2:$O2250&lt;=$O1130,$O$2:$O2250&gt;$O1130-7)),0)"),0.489897948556635)</f>
        <v>0.48989794855663499</v>
      </c>
      <c r="AF1130" s="77">
        <f t="shared" ca="1" si="8"/>
        <v>-0.2916059217599033</v>
      </c>
      <c r="AG1130" s="77">
        <f t="shared" ca="1" si="9"/>
        <v>2</v>
      </c>
      <c r="AH1130" s="76">
        <f t="array" ref="AH1130">AVERAGEIFS($I$2:$I2248,$B$2:$B2248,$B1130,$P$2:$P2248,"&lt;="&amp;$P1130,$P$2:$P2248,"&gt;"&amp;$P1130-7)</f>
        <v>7.0285714285714285</v>
      </c>
      <c r="AI1130" s="76">
        <f ca="1">IFERROR(__xludf.DUMMYFUNCTION("iferror(stdevp(filter($H$2:$H2250,$B$2:$B2250=$B1130,$O$2:$O2250&lt;=$O1130,$O$2:$O2250&gt;$O1130-7)),0)"),1.72046505340852)</f>
        <v>1.72046505340852</v>
      </c>
      <c r="AJ1130" s="77">
        <f t="shared" ca="1" si="10"/>
        <v>0.56463138818426695</v>
      </c>
      <c r="AK1130" s="77">
        <f t="shared" ca="1" si="11"/>
        <v>3</v>
      </c>
      <c r="AL1130" s="76">
        <f t="array" ref="AL1130">AVERAGEIFS($J$2:$J2248,$B$2:$B2248,$B1130,$P$2:$P2248,"&lt;="&amp;$P1130,$P$2:$P2248,"&gt;"&amp;$P1130-7)</f>
        <v>9.742857142857142</v>
      </c>
      <c r="AM1130" s="76">
        <f ca="1">IFERROR(__xludf.DUMMYFUNCTION("iferror(stdevp(filter($I$2:$I2250,$B$2:$B2250=$B1130,$O$2:$O2250&lt;=$O1130,$O$2:$O2250&gt;$O1130-7)),0)"),0.4)</f>
        <v>0.4</v>
      </c>
      <c r="AN1130" s="77">
        <f t="shared" ca="1" si="13"/>
        <v>0.64285714285714501</v>
      </c>
      <c r="AO1130" s="77">
        <f t="shared" ca="1" si="14"/>
        <v>3</v>
      </c>
      <c r="AP1130" s="76">
        <f t="array" ref="AP1130">AVERAGEIFS($K$2:$K2248,$B$2:$B2248,$B1130,$P$2:$P2248,"&lt;="&amp;$P1130,$P$2:$P2248,"&gt;"&amp;$P1130-7)</f>
        <v>9.4285714285714288</v>
      </c>
      <c r="AQ1130" s="76">
        <f ca="1">IFERROR(__xludf.DUMMYFUNCTION("iferror(stdevp(filter($J$2:$J2250,$B$2:$B2250=$B1130,$O$2:$O2250&lt;=$O1130,$O$2:$O2250&gt;$O1130-7)),0)"),0)</f>
        <v>0</v>
      </c>
      <c r="AR1130" s="77">
        <f t="shared" ca="1" si="15"/>
        <v>0</v>
      </c>
      <c r="AS1130" s="77">
        <f t="shared" ca="1" si="16"/>
        <v>3</v>
      </c>
      <c r="AT1130" s="78">
        <f t="shared" ca="1" si="12"/>
        <v>0.66666666666666663</v>
      </c>
    </row>
    <row r="1131" spans="1:46" ht="12.5" x14ac:dyDescent="0.25">
      <c r="A1131" s="75">
        <v>44965.469952291664</v>
      </c>
      <c r="B1131" s="1" t="s">
        <v>15</v>
      </c>
      <c r="C1131" s="1" t="str">
        <f>INDEX(TBL_Name,MATCH(Table2[[#This Row],[Athlete Name]],listNames,0),2)</f>
        <v>Athlete 8</v>
      </c>
      <c r="D1131" s="1" t="s">
        <v>143</v>
      </c>
      <c r="E1131" s="1">
        <v>10</v>
      </c>
      <c r="F1131" s="1">
        <v>7</v>
      </c>
      <c r="G1131" s="1">
        <v>7</v>
      </c>
      <c r="H1131" s="1" t="s">
        <v>417</v>
      </c>
      <c r="I1131" s="1">
        <v>6</v>
      </c>
      <c r="J1131" s="1">
        <v>10</v>
      </c>
      <c r="K1131" s="1">
        <v>10</v>
      </c>
      <c r="L1131" s="1">
        <v>65</v>
      </c>
      <c r="M1131" s="1" t="e">
        <f t="shared" ca="1" si="0"/>
        <v>#NAME?</v>
      </c>
      <c r="N1131" s="1" t="e">
        <f t="shared" si="1"/>
        <v>#VALUE!</v>
      </c>
      <c r="O1131" s="1" t="e">
        <f ca="1">IF($N1131=_xludf.MINIFS($N$2:$N2317,$R$2:$R2317,$R1131),1,
($N1131-_xludf.MINIFS($N$2:$N2317,$R$2:$R2317,$R1131))+1)</f>
        <v>#VALUE!</v>
      </c>
      <c r="P1131" s="13" t="e">
        <f t="shared" si="2"/>
        <v>#VALUE!</v>
      </c>
      <c r="Q1131" s="1" t="e">
        <f>RIGHT(YEAR($A1131),2)-(MONTH($A1131)&lt;=#REF!)
 &amp;"-"&amp;
 RIGHT(YEAR($A1131),2)+(MONTH($A1131)&gt;=#REF!)</f>
        <v>#REF!</v>
      </c>
      <c r="R1131" s="1" t="e">
        <f>CHOOSE(MONTH($P1131),#REF!,#REF!,#REF!,#REF!,#REF!,#REF!,#REF!,#REF!,#REF!,#REF!,#REF!,#REF!)&amp;" "&amp;$Q1131</f>
        <v>#VALUE!</v>
      </c>
      <c r="S1131" s="1">
        <f t="shared" si="3"/>
        <v>2</v>
      </c>
      <c r="T1131" s="1" t="str">
        <f t="array" ref="T1131">IFERROR(INDEX(#REF!,MATCH($B1131,#REF!,0)),"")</f>
        <v/>
      </c>
      <c r="U1131" s="1" t="str">
        <f t="array" ref="U1131">IFERROR(INDEX(#REF!,MATCH($B1131,#REF!,0)),"")</f>
        <v/>
      </c>
      <c r="V1131" s="76">
        <f t="array" ref="V1131">AVERAGEIFS($E$2:$E2248,$B$2:$B2248,$B1131,$P$2:$P2248,"&lt;="&amp;$P1131,$P$2:$P2248,"&gt;"&amp;$P1131-7)</f>
        <v>8.935483870967742</v>
      </c>
      <c r="W1131" s="76">
        <f ca="1">IFERROR(__xludf.DUMMYFUNCTION("iferror(stdevp(filter($D$2:$D2250,$B$2:$B2250=$B1131,$O$2:$O2250&lt;=$O1131,$O$2:$O2250&gt;$O1131-7)),0)"),1.16619037896906)</f>
        <v>1.16619037896906</v>
      </c>
      <c r="X1131" s="77">
        <f t="shared" ca="1" si="4"/>
        <v>0.9128150499520632</v>
      </c>
      <c r="Y1131" s="77">
        <f t="shared" ca="1" si="5"/>
        <v>3</v>
      </c>
      <c r="Z1131" s="76">
        <f t="array" ref="Z1131">AVERAGEIFS($F$2:$F2248,$B$2:$B2248,$B1131,$P$2:$P2248,"&lt;="&amp;$P1131,$P$2:$P2248,"&gt;"&amp;$P1131-7)</f>
        <v>8.741935483870968</v>
      </c>
      <c r="AA1131" s="76">
        <f ca="1">IFERROR(__xludf.DUMMYFUNCTION("iferror(stdevp(filter($E$2:$E2250,$B$2:$B2250=$B1131,$O$2:$O2250&lt;=$O1131,$O$2:$O2250&gt;$O1131-7)),0)"),1.74355957741626)</f>
        <v>1.74355957741626</v>
      </c>
      <c r="AB1131" s="77">
        <f t="shared" ca="1" si="6"/>
        <v>-0.99906851846858091</v>
      </c>
      <c r="AC1131" s="77">
        <f t="shared" ca="1" si="7"/>
        <v>2</v>
      </c>
      <c r="AD1131" s="76">
        <f t="array" ref="AD1131">AVERAGEIFS($G$2:$G2248,$B$2:$B2248,$B1131,$P$2:$P2248,"&lt;="&amp;$P1131,$P$2:$P2248,"&gt;"&amp;$P1131-7)</f>
        <v>7.32258064516129</v>
      </c>
      <c r="AE1131" s="76">
        <f ca="1">IFERROR(__xludf.DUMMYFUNCTION("iferror(stdevp(filter($F$2:$F2250,$B$2:$B2250=$B1131,$O$2:$O2250&lt;=$O1131,$O$2:$O2250&gt;$O1131-7)),0)"),0.748331477354788)</f>
        <v>0.748331477354788</v>
      </c>
      <c r="AF1131" s="77">
        <f t="shared" ca="1" si="8"/>
        <v>-0.43106651921358752</v>
      </c>
      <c r="AG1131" s="77">
        <f t="shared" ca="1" si="9"/>
        <v>2</v>
      </c>
      <c r="AH1131" s="76">
        <f t="array" ref="AH1131">AVERAGEIFS($I$2:$I2248,$B$2:$B2248,$B1131,$P$2:$P2248,"&lt;="&amp;$P1131,$P$2:$P2248,"&gt;"&amp;$P1131-7)</f>
        <v>6.419354838709677</v>
      </c>
      <c r="AI1131" s="76">
        <f ca="1">IFERROR(__xludf.DUMMYFUNCTION("iferror(stdevp(filter($H$2:$H2250,$B$2:$B2250=$B1131,$O$2:$O2250&lt;=$O1131,$O$2:$O2250&gt;$O1131-7)),0)"),0.632455532033675)</f>
        <v>0.63245553203367499</v>
      </c>
      <c r="AJ1131" s="77">
        <f t="shared" ca="1" si="10"/>
        <v>-0.66305821906756368</v>
      </c>
      <c r="AK1131" s="77">
        <f t="shared" ca="1" si="11"/>
        <v>2</v>
      </c>
      <c r="AL1131" s="76">
        <f t="array" ref="AL1131">AVERAGEIFS($J$2:$J2248,$B$2:$B2248,$B1131,$P$2:$P2248,"&lt;="&amp;$P1131,$P$2:$P2248,"&gt;"&amp;$P1131-7)</f>
        <v>9.612903225806452</v>
      </c>
      <c r="AM1131" s="76">
        <f ca="1">IFERROR(__xludf.DUMMYFUNCTION("iferror(stdevp(filter($I$2:$I2250,$B$2:$B2250=$B1131,$O$2:$O2250&lt;=$O1131,$O$2:$O2250&gt;$O1131-7)),0)"),2.0591260281974)</f>
        <v>2.0591260281974</v>
      </c>
      <c r="AN1131" s="77">
        <f t="shared" ca="1" si="13"/>
        <v>0.18799081206914775</v>
      </c>
      <c r="AO1131" s="77">
        <f t="shared" ca="1" si="14"/>
        <v>3</v>
      </c>
      <c r="AP1131" s="76">
        <f t="array" ref="AP1131">AVERAGEIFS($K$2:$K2248,$B$2:$B2248,$B1131,$P$2:$P2248,"&lt;="&amp;$P1131,$P$2:$P2248,"&gt;"&amp;$P1131-7)</f>
        <v>10</v>
      </c>
      <c r="AQ1131" s="76">
        <f ca="1">IFERROR(__xludf.DUMMYFUNCTION("iferror(stdevp(filter($J$2:$J2250,$B$2:$B2250=$B1131,$O$2:$O2250&lt;=$O1131,$O$2:$O2250&gt;$O1131-7)),0)"),0)</f>
        <v>0</v>
      </c>
      <c r="AR1131" s="77">
        <f t="shared" ca="1" si="15"/>
        <v>0</v>
      </c>
      <c r="AS1131" s="77">
        <f t="shared" ca="1" si="16"/>
        <v>3</v>
      </c>
      <c r="AT1131" s="78">
        <f t="shared" ca="1" si="12"/>
        <v>0.625</v>
      </c>
    </row>
    <row r="1132" spans="1:46" ht="12.5" x14ac:dyDescent="0.25">
      <c r="A1132" s="75">
        <v>44965.497170868053</v>
      </c>
      <c r="B1132" s="1" t="s">
        <v>16</v>
      </c>
      <c r="C1132" s="1" t="str">
        <f>INDEX(TBL_Name,MATCH(Table2[[#This Row],[Athlete Name]],listNames,0),2)</f>
        <v>Athlete 9</v>
      </c>
      <c r="D1132" s="1" t="s">
        <v>130</v>
      </c>
      <c r="E1132" s="1">
        <v>9</v>
      </c>
      <c r="F1132" s="1">
        <v>8</v>
      </c>
      <c r="G1132" s="1">
        <v>8</v>
      </c>
      <c r="H1132" s="1" t="s">
        <v>1520</v>
      </c>
      <c r="I1132" s="1">
        <v>7</v>
      </c>
      <c r="J1132" s="1">
        <v>7</v>
      </c>
      <c r="K1132" s="1">
        <v>8</v>
      </c>
      <c r="L1132" s="1">
        <v>82</v>
      </c>
      <c r="M1132" s="1" t="e">
        <f t="shared" ca="1" si="0"/>
        <v>#NAME?</v>
      </c>
      <c r="N1132" s="1" t="e">
        <f t="shared" si="1"/>
        <v>#VALUE!</v>
      </c>
      <c r="O1132" s="1" t="e">
        <f ca="1">IF($N1132=_xludf.MINIFS($N$2:$N2318,$R$2:$R2318,$R1132),1,
($N1132-_xludf.MINIFS($N$2:$N2318,$R$2:$R2318,$R1132))+1)</f>
        <v>#VALUE!</v>
      </c>
      <c r="P1132" s="13" t="e">
        <f t="shared" si="2"/>
        <v>#VALUE!</v>
      </c>
      <c r="Q1132" s="1" t="e">
        <f>RIGHT(YEAR($A1132),2)-(MONTH($A1132)&lt;=#REF!)
 &amp;"-"&amp;
 RIGHT(YEAR($A1132),2)+(MONTH($A1132)&gt;=#REF!)</f>
        <v>#REF!</v>
      </c>
      <c r="R1132" s="1" t="e">
        <f>CHOOSE(MONTH($P1132),#REF!,#REF!,#REF!,#REF!,#REF!,#REF!,#REF!,#REF!,#REF!,#REF!,#REF!,#REF!)&amp;" "&amp;$Q1132</f>
        <v>#VALUE!</v>
      </c>
      <c r="S1132" s="1">
        <f t="shared" si="3"/>
        <v>1</v>
      </c>
      <c r="T1132" s="1" t="str">
        <f t="array" ref="T1132">IFERROR(INDEX(#REF!,MATCH($B1132,#REF!,0)),"")</f>
        <v/>
      </c>
      <c r="U1132" s="1" t="str">
        <f t="array" ref="U1132">IFERROR(INDEX(#REF!,MATCH($B1132,#REF!,0)),"")</f>
        <v/>
      </c>
      <c r="V1132" s="76">
        <f t="array" ref="V1132">AVERAGEIFS($E$2:$E2248,$B$2:$B2248,$B1132,$P$2:$P2248,"&lt;="&amp;$P1132,$P$2:$P2248,"&gt;"&amp;$P1132-7)</f>
        <v>8.9600000000000009</v>
      </c>
      <c r="W1132" s="76">
        <f ca="1">IFERROR(__xludf.DUMMYFUNCTION("iferror(stdevp(filter($D$2:$D2250,$B$2:$B2250=$B1132,$O$2:$O2250&lt;=$O1132,$O$2:$O2250&gt;$O1132-7)),0)"),0.399999999999999)</f>
        <v>0.39999999999999902</v>
      </c>
      <c r="X1132" s="77">
        <f t="shared" ca="1" si="4"/>
        <v>9.9999999999998118E-2</v>
      </c>
      <c r="Y1132" s="77">
        <f t="shared" ca="1" si="5"/>
        <v>3</v>
      </c>
      <c r="Z1132" s="76">
        <f t="array" ref="Z1132">AVERAGEIFS($F$2:$F2248,$B$2:$B2248,$B1132,$P$2:$P2248,"&lt;="&amp;$P1132,$P$2:$P2248,"&gt;"&amp;$P1132-7)</f>
        <v>7.48</v>
      </c>
      <c r="AA1132" s="76">
        <f ca="1">IFERROR(__xludf.DUMMYFUNCTION("iferror(stdevp(filter($E$2:$E2250,$B$2:$B2250=$B1132,$O$2:$O2250&lt;=$O1132,$O$2:$O2250&gt;$O1132-7)),0)"),0)</f>
        <v>0</v>
      </c>
      <c r="AB1132" s="77">
        <f t="shared" ca="1" si="6"/>
        <v>0</v>
      </c>
      <c r="AC1132" s="77">
        <f t="shared" ca="1" si="7"/>
        <v>3</v>
      </c>
      <c r="AD1132" s="76">
        <f t="array" ref="AD1132">AVERAGEIFS($G$2:$G2248,$B$2:$B2248,$B1132,$P$2:$P2248,"&lt;="&amp;$P1132,$P$2:$P2248,"&gt;"&amp;$P1132-7)</f>
        <v>7.56</v>
      </c>
      <c r="AE1132" s="76">
        <f ca="1">IFERROR(__xludf.DUMMYFUNCTION("iferror(stdevp(filter($F$2:$F2250,$B$2:$B2250=$B1132,$O$2:$O2250&lt;=$O1132,$O$2:$O2250&gt;$O1132-7)),0)"),0)</f>
        <v>0</v>
      </c>
      <c r="AF1132" s="77">
        <f t="shared" ca="1" si="8"/>
        <v>0</v>
      </c>
      <c r="AG1132" s="77">
        <f t="shared" ca="1" si="9"/>
        <v>3</v>
      </c>
      <c r="AH1132" s="76">
        <f t="array" ref="AH1132">AVERAGEIFS($I$2:$I2248,$B$2:$B2248,$B1132,$P$2:$P2248,"&lt;="&amp;$P1132,$P$2:$P2248,"&gt;"&amp;$P1132-7)</f>
        <v>5.8</v>
      </c>
      <c r="AI1132" s="76">
        <f ca="1">IFERROR(__xludf.DUMMYFUNCTION("iferror(stdevp(filter($H$2:$H2250,$B$2:$B2250=$B1132,$O$2:$O2250&lt;=$O1132,$O$2:$O2250&gt;$O1132-7)),0)"),0.799999999999999)</f>
        <v>0.79999999999999905</v>
      </c>
      <c r="AJ1132" s="77">
        <f t="shared" ca="1" si="10"/>
        <v>1.500000000000002</v>
      </c>
      <c r="AK1132" s="77">
        <f t="shared" ca="1" si="11"/>
        <v>4</v>
      </c>
      <c r="AL1132" s="76">
        <f t="array" ref="AL1132">AVERAGEIFS($J$2:$J2248,$B$2:$B2248,$B1132,$P$2:$P2248,"&lt;="&amp;$P1132,$P$2:$P2248,"&gt;"&amp;$P1132-7)</f>
        <v>7.8</v>
      </c>
      <c r="AM1132" s="76">
        <f ca="1">IFERROR(__xludf.DUMMYFUNCTION("iferror(stdevp(filter($I$2:$I2250,$B$2:$B2250=$B1132,$O$2:$O2250&lt;=$O1132,$O$2:$O2250&gt;$O1132-7)),0)"),0.748331477354788)</f>
        <v>0.748331477354788</v>
      </c>
      <c r="AN1132" s="77">
        <f t="shared" ca="1" si="13"/>
        <v>-1.0690449676496978</v>
      </c>
      <c r="AO1132" s="77">
        <f t="shared" ca="1" si="14"/>
        <v>1</v>
      </c>
      <c r="AP1132" s="76">
        <f t="array" ref="AP1132">AVERAGEIFS($K$2:$K2248,$B$2:$B2248,$B1132,$P$2:$P2248,"&lt;="&amp;$P1132,$P$2:$P2248,"&gt;"&amp;$P1132-7)</f>
        <v>8.6</v>
      </c>
      <c r="AQ1132" s="76">
        <f ca="1">IFERROR(__xludf.DUMMYFUNCTION("iferror(stdevp(filter($J$2:$J2250,$B$2:$B2250=$B1132,$O$2:$O2250&lt;=$O1132,$O$2:$O2250&gt;$O1132-7)),0)"),0.4)</f>
        <v>0.4</v>
      </c>
      <c r="AR1132" s="77">
        <f t="shared" ca="1" si="15"/>
        <v>-1.4999999999999991</v>
      </c>
      <c r="AS1132" s="77">
        <f t="shared" ca="1" si="16"/>
        <v>1</v>
      </c>
      <c r="AT1132" s="78">
        <f t="shared" ca="1" si="12"/>
        <v>0.625</v>
      </c>
    </row>
    <row r="1133" spans="1:46" ht="12.5" x14ac:dyDescent="0.25">
      <c r="A1133" s="75">
        <v>44965.59243986111</v>
      </c>
      <c r="B1133" s="1" t="s">
        <v>4</v>
      </c>
      <c r="C1133" s="1" t="str">
        <f>INDEX(TBL_Name,MATCH(Table2[[#This Row],[Athlete Name]],listNames,0),2)</f>
        <v>Athlete 1</v>
      </c>
      <c r="D1133" s="1" t="s">
        <v>130</v>
      </c>
      <c r="E1133" s="1">
        <v>8</v>
      </c>
      <c r="F1133" s="1">
        <v>9</v>
      </c>
      <c r="G1133" s="1">
        <v>5</v>
      </c>
      <c r="H1133" s="1" t="s">
        <v>1521</v>
      </c>
      <c r="I1133" s="1">
        <v>8</v>
      </c>
      <c r="J1133" s="1">
        <v>5</v>
      </c>
      <c r="K1133" s="1">
        <v>5</v>
      </c>
      <c r="L1133" s="1">
        <v>87</v>
      </c>
      <c r="M1133" s="1" t="e">
        <f t="shared" ca="1" si="0"/>
        <v>#NAME?</v>
      </c>
      <c r="N1133" s="1" t="e">
        <f t="shared" si="1"/>
        <v>#VALUE!</v>
      </c>
      <c r="O1133" s="1" t="e">
        <f ca="1">IF($N1133=_xludf.MINIFS($N$2:$N2319,$R$2:$R2319,$R1133),1,
($N1133-_xludf.MINIFS($N$2:$N2319,$R$2:$R2319,$R1133))+1)</f>
        <v>#VALUE!</v>
      </c>
      <c r="P1133" s="13" t="e">
        <f t="shared" si="2"/>
        <v>#VALUE!</v>
      </c>
      <c r="Q1133" s="1" t="e">
        <f>RIGHT(YEAR($A1133),2)-(MONTH($A1133)&lt;=#REF!)
 &amp;"-"&amp;
 RIGHT(YEAR($A1133),2)+(MONTH($A1133)&gt;=#REF!)</f>
        <v>#REF!</v>
      </c>
      <c r="R1133" s="1" t="e">
        <f>CHOOSE(MONTH($P1133),#REF!,#REF!,#REF!,#REF!,#REF!,#REF!,#REF!,#REF!,#REF!,#REF!,#REF!,#REF!)&amp;" "&amp;$Q1133</f>
        <v>#VALUE!</v>
      </c>
      <c r="S1133" s="1">
        <f t="shared" si="3"/>
        <v>1</v>
      </c>
      <c r="T1133" s="1" t="str">
        <f t="array" ref="T1133">IFERROR(INDEX(#REF!,MATCH($B1133,#REF!,0)),"")</f>
        <v/>
      </c>
      <c r="U1133" s="1" t="str">
        <f t="array" ref="U1133">IFERROR(INDEX(#REF!,MATCH($B1133,#REF!,0)),"")</f>
        <v/>
      </c>
      <c r="V1133" s="76">
        <f t="array" ref="V1133">AVERAGEIFS($E$2:$E2248,$B$2:$B2248,$B1133,$P$2:$P2248,"&lt;="&amp;$P1133,$P$2:$P2248,"&gt;"&amp;$P1133-7)</f>
        <v>8.3809523809523814</v>
      </c>
      <c r="W1133" s="76">
        <f ca="1">IFERROR(__xludf.DUMMYFUNCTION("iferror(stdevp(filter($D$2:$D2250,$B$2:$B2250=$B1133,$O$2:$O2250&lt;=$O1133,$O$2:$O2250&gt;$O1133-7)),0)"),1)</f>
        <v>1</v>
      </c>
      <c r="X1133" s="77">
        <f t="shared" ca="1" si="4"/>
        <v>-0.38095238095238138</v>
      </c>
      <c r="Y1133" s="77">
        <f t="shared" ca="1" si="5"/>
        <v>2</v>
      </c>
      <c r="Z1133" s="76">
        <f t="array" ref="Z1133">AVERAGEIFS($F$2:$F2248,$B$2:$B2248,$B1133,$P$2:$P2248,"&lt;="&amp;$P1133,$P$2:$P2248,"&gt;"&amp;$P1133-7)</f>
        <v>6.8571428571428568</v>
      </c>
      <c r="AA1133" s="76">
        <f ca="1">IFERROR(__xludf.DUMMYFUNCTION("iferror(stdevp(filter($E$2:$E2250,$B$2:$B2250=$B1133,$O$2:$O2250&lt;=$O1133,$O$2:$O2250&gt;$O1133-7)),0)"),1.58113883008418)</f>
        <v>1.58113883008418</v>
      </c>
      <c r="AB1133" s="77">
        <f t="shared" ca="1" si="6"/>
        <v>1.3552618543578854</v>
      </c>
      <c r="AC1133" s="77">
        <f t="shared" ca="1" si="7"/>
        <v>4</v>
      </c>
      <c r="AD1133" s="76">
        <f t="array" ref="AD1133">AVERAGEIFS($G$2:$G2248,$B$2:$B2248,$B1133,$P$2:$P2248,"&lt;="&amp;$P1133,$P$2:$P2248,"&gt;"&amp;$P1133-7)</f>
        <v>5.7619047619047619</v>
      </c>
      <c r="AE1133" s="76">
        <f ca="1">IFERROR(__xludf.DUMMYFUNCTION("iferror(stdevp(filter($F$2:$F2250,$B$2:$B2250=$B1133,$O$2:$O2250&lt;=$O1133,$O$2:$O2250&gt;$O1133-7)),0)"),0.82915619758885)</f>
        <v>0.82915619758884995</v>
      </c>
      <c r="AF1133" s="77">
        <f t="shared" ca="1" si="8"/>
        <v>-0.91889171680842241</v>
      </c>
      <c r="AG1133" s="77">
        <f t="shared" ca="1" si="9"/>
        <v>2</v>
      </c>
      <c r="AH1133" s="76">
        <f t="array" ref="AH1133">AVERAGEIFS($I$2:$I2248,$B$2:$B2248,$B1133,$P$2:$P2248,"&lt;="&amp;$P1133,$P$2:$P2248,"&gt;"&amp;$P1133-7)</f>
        <v>6.8571428571428568</v>
      </c>
      <c r="AI1133" s="76">
        <f ca="1">IFERROR(__xludf.DUMMYFUNCTION("iferror(stdevp(filter($H$2:$H2250,$B$2:$B2250=$B1133,$O$2:$O2250&lt;=$O1133,$O$2:$O2250&gt;$O1133-7)),0)"),0.433012701892219)</f>
        <v>0.43301270189221902</v>
      </c>
      <c r="AJ1133" s="77">
        <f t="shared" ca="1" si="10"/>
        <v>2.6393155162954347</v>
      </c>
      <c r="AK1133" s="77">
        <f t="shared" ca="1" si="11"/>
        <v>4</v>
      </c>
      <c r="AL1133" s="76">
        <f t="array" ref="AL1133">AVERAGEIFS($J$2:$J2248,$B$2:$B2248,$B1133,$P$2:$P2248,"&lt;="&amp;$P1133,$P$2:$P2248,"&gt;"&amp;$P1133-7)</f>
        <v>5.0952380952380949</v>
      </c>
      <c r="AM1133" s="76">
        <f ca="1">IFERROR(__xludf.DUMMYFUNCTION("iferror(stdevp(filter($I$2:$I2250,$B$2:$B2250=$B1133,$O$2:$O2250&lt;=$O1133,$O$2:$O2250&gt;$O1133-7)),0)"),0)</f>
        <v>0</v>
      </c>
      <c r="AN1133" s="77">
        <f t="shared" ca="1" si="13"/>
        <v>0</v>
      </c>
      <c r="AO1133" s="77">
        <f t="shared" ca="1" si="14"/>
        <v>3</v>
      </c>
      <c r="AP1133" s="76">
        <f t="array" ref="AP1133">AVERAGEIFS($K$2:$K2248,$B$2:$B2248,$B1133,$P$2:$P2248,"&lt;="&amp;$P1133,$P$2:$P2248,"&gt;"&amp;$P1133-7)</f>
        <v>5.3809523809523814</v>
      </c>
      <c r="AQ1133" s="76">
        <f ca="1">IFERROR(__xludf.DUMMYFUNCTION("iferror(stdevp(filter($J$2:$J2250,$B$2:$B2250=$B1133,$O$2:$O2250&lt;=$O1133,$O$2:$O2250&gt;$O1133-7)),0)"),0.82915619758885)</f>
        <v>0.82915619758884995</v>
      </c>
      <c r="AR1133" s="77">
        <f t="shared" ca="1" si="15"/>
        <v>-0.45944585840421176</v>
      </c>
      <c r="AS1133" s="77">
        <f t="shared" ca="1" si="16"/>
        <v>2</v>
      </c>
      <c r="AT1133" s="78">
        <f t="shared" ca="1" si="12"/>
        <v>0.70833333333333337</v>
      </c>
    </row>
    <row r="1134" spans="1:46" ht="12.5" x14ac:dyDescent="0.25">
      <c r="A1134" s="75">
        <v>44965.592566145831</v>
      </c>
      <c r="B1134" s="1" t="s">
        <v>7</v>
      </c>
      <c r="C1134" s="1" t="str">
        <f>INDEX(TBL_Name,MATCH(Table2[[#This Row],[Athlete Name]],listNames,0),2)</f>
        <v>Athlete 3</v>
      </c>
      <c r="D1134" s="1" t="s">
        <v>130</v>
      </c>
      <c r="E1134" s="1">
        <v>3</v>
      </c>
      <c r="F1134" s="1">
        <v>7</v>
      </c>
      <c r="G1134" s="1">
        <v>8</v>
      </c>
      <c r="H1134" s="86"/>
      <c r="I1134" s="1">
        <v>8</v>
      </c>
      <c r="J1134" s="1">
        <v>2</v>
      </c>
      <c r="K1134" s="1">
        <v>7</v>
      </c>
      <c r="L1134" s="1">
        <v>90</v>
      </c>
      <c r="M1134" s="1" t="e">
        <f t="shared" ca="1" si="0"/>
        <v>#NAME?</v>
      </c>
      <c r="N1134" s="1" t="e">
        <f t="shared" si="1"/>
        <v>#VALUE!</v>
      </c>
      <c r="O1134" s="1" t="e">
        <f ca="1">IF($N1134=_xludf.MINIFS($N$2:$N2320,$R$2:$R2320,$R1134),1,
($N1134-_xludf.MINIFS($N$2:$N2320,$R$2:$R2320,$R1134))+1)</f>
        <v>#VALUE!</v>
      </c>
      <c r="P1134" s="13" t="e">
        <f t="shared" si="2"/>
        <v>#VALUE!</v>
      </c>
      <c r="Q1134" s="1" t="e">
        <f>RIGHT(YEAR($A1134),2)-(MONTH($A1134)&lt;=#REF!)
 &amp;"-"&amp;
 RIGHT(YEAR($A1134),2)+(MONTH($A1134)&gt;=#REF!)</f>
        <v>#REF!</v>
      </c>
      <c r="R1134" s="1" t="e">
        <f>CHOOSE(MONTH($P1134),#REF!,#REF!,#REF!,#REF!,#REF!,#REF!,#REF!,#REF!,#REF!,#REF!,#REF!,#REF!)&amp;" "&amp;$Q1134</f>
        <v>#VALUE!</v>
      </c>
      <c r="S1134" s="1">
        <f t="shared" si="3"/>
        <v>1</v>
      </c>
      <c r="T1134" s="1" t="str">
        <f t="array" ref="T1134">IFERROR(INDEX(#REF!,MATCH($B1134,#REF!,0)),"")</f>
        <v/>
      </c>
      <c r="U1134" s="1" t="str">
        <f t="array" ref="U1134">IFERROR(INDEX(#REF!,MATCH($B1134,#REF!,0)),"")</f>
        <v/>
      </c>
      <c r="V1134" s="76">
        <f t="array" ref="V1134">AVERAGEIFS($E$2:$E2248,$B$2:$B2248,$B1134,$P$2:$P2248,"&lt;="&amp;$P1134,$P$2:$P2248,"&gt;"&amp;$P1134-7)</f>
        <v>6</v>
      </c>
      <c r="W1134" s="76">
        <f ca="1">IFERROR(__xludf.DUMMYFUNCTION("iferror(stdevp(filter($D$2:$D2250,$B$2:$B2250=$B1134,$O$2:$O2250&lt;=$O1134,$O$2:$O2250&gt;$O1134-7)),0)"),2.06155281280883)</f>
        <v>2.0615528128088298</v>
      </c>
      <c r="X1134" s="77">
        <f t="shared" ca="1" si="4"/>
        <v>-1.455213750217998</v>
      </c>
      <c r="Y1134" s="77">
        <f t="shared" ca="1" si="5"/>
        <v>1</v>
      </c>
      <c r="Z1134" s="76">
        <f t="array" ref="Z1134">AVERAGEIFS($F$2:$F2248,$B$2:$B2248,$B1134,$P$2:$P2248,"&lt;="&amp;$P1134,$P$2:$P2248,"&gt;"&amp;$P1134-7)</f>
        <v>7.3703703703703702</v>
      </c>
      <c r="AA1134" s="76">
        <f ca="1">IFERROR(__xludf.DUMMYFUNCTION("iferror(stdevp(filter($E$2:$E2250,$B$2:$B2250=$B1134,$O$2:$O2250&lt;=$O1134,$O$2:$O2250&gt;$O1134-7)),0)"),1.41421356237309)</f>
        <v>1.41421356237309</v>
      </c>
      <c r="AB1134" s="77">
        <f t="shared" ca="1" si="6"/>
        <v>-0.26189140043946291</v>
      </c>
      <c r="AC1134" s="77">
        <f t="shared" ca="1" si="7"/>
        <v>2</v>
      </c>
      <c r="AD1134" s="76">
        <f t="array" ref="AD1134">AVERAGEIFS($G$2:$G2248,$B$2:$B2248,$B1134,$P$2:$P2248,"&lt;="&amp;$P1134,$P$2:$P2248,"&gt;"&amp;$P1134-7)</f>
        <v>7.7777777777777777</v>
      </c>
      <c r="AE1134" s="76">
        <f ca="1">IFERROR(__xludf.DUMMYFUNCTION("iferror(stdevp(filter($F$2:$F2250,$B$2:$B2250=$B1134,$O$2:$O2250&lt;=$O1134,$O$2:$O2250&gt;$O1134-7)),0)"),1.08972473588516)</f>
        <v>1.0897247358851601</v>
      </c>
      <c r="AF1134" s="77">
        <f t="shared" ca="1" si="8"/>
        <v>0.20392509677383433</v>
      </c>
      <c r="AG1134" s="77">
        <f t="shared" ca="1" si="9"/>
        <v>3</v>
      </c>
      <c r="AH1134" s="76">
        <f t="array" ref="AH1134">AVERAGEIFS($I$2:$I2248,$B$2:$B2248,$B1134,$P$2:$P2248,"&lt;="&amp;$P1134,$P$2:$P2248,"&gt;"&amp;$P1134-7)</f>
        <v>6.333333333333333</v>
      </c>
      <c r="AI1134" s="76">
        <f ca="1">IFERROR(__xludf.DUMMYFUNCTION("iferror(stdevp(filter($H$2:$H2250,$B$2:$B2250=$B1134,$O$2:$O2250&lt;=$O1134,$O$2:$O2250&gt;$O1134-7)),0)"),0.829156197588849)</f>
        <v>0.82915619758884895</v>
      </c>
      <c r="AJ1134" s="77">
        <f t="shared" ca="1" si="10"/>
        <v>2.0100756305184269</v>
      </c>
      <c r="AK1134" s="77">
        <f t="shared" ca="1" si="11"/>
        <v>4</v>
      </c>
      <c r="AL1134" s="76">
        <f t="array" ref="AL1134">AVERAGEIFS($J$2:$J2248,$B$2:$B2248,$B1134,$P$2:$P2248,"&lt;="&amp;$P1134,$P$2:$P2248,"&gt;"&amp;$P1134-7)</f>
        <v>5.4230769230769234</v>
      </c>
      <c r="AM1134" s="76">
        <f ca="1">IFERROR(__xludf.DUMMYFUNCTION("iferror(stdevp(filter($I$2:$I2250,$B$2:$B2250=$B1134,$O$2:$O2250&lt;=$O1134,$O$2:$O2250&gt;$O1134-7)),0)"),1.22474487139158)</f>
        <v>1.2247448713915801</v>
      </c>
      <c r="AN1134" s="77">
        <f t="shared" ca="1" si="13"/>
        <v>-2.7949306039449291</v>
      </c>
      <c r="AO1134" s="77">
        <f t="shared" ca="1" si="14"/>
        <v>1</v>
      </c>
      <c r="AP1134" s="76">
        <f t="array" ref="AP1134">AVERAGEIFS($K$2:$K2248,$B$2:$B2248,$B1134,$P$2:$P2248,"&lt;="&amp;$P1134,$P$2:$P2248,"&gt;"&amp;$P1134-7)</f>
        <v>7.5769230769230766</v>
      </c>
      <c r="AQ1134" s="76">
        <f ca="1">IFERROR(__xludf.DUMMYFUNCTION("iferror(stdevp(filter($J$2:$J2250,$B$2:$B2250=$B1134,$O$2:$O2250&lt;=$O1134,$O$2:$O2250&gt;$O1134-7)),0)"),1.29903810567665)</f>
        <v>1.29903810567665</v>
      </c>
      <c r="AR1134" s="77">
        <f t="shared" ca="1" si="15"/>
        <v>-0.44411559168433001</v>
      </c>
      <c r="AS1134" s="77">
        <f t="shared" ca="1" si="16"/>
        <v>2</v>
      </c>
      <c r="AT1134" s="78">
        <f t="shared" ca="1" si="12"/>
        <v>0.54166666666666663</v>
      </c>
    </row>
    <row r="1135" spans="1:46" ht="12.5" x14ac:dyDescent="0.25">
      <c r="A1135" s="75">
        <v>44965.592871990739</v>
      </c>
      <c r="B1135" s="1" t="s">
        <v>22</v>
      </c>
      <c r="C1135" s="1" t="str">
        <f>INDEX(TBL_Name,MATCH(Table2[[#This Row],[Athlete Name]],listNames,0),2)</f>
        <v>Athlete 14</v>
      </c>
      <c r="D1135" s="1" t="s">
        <v>130</v>
      </c>
      <c r="E1135" s="1">
        <v>3</v>
      </c>
      <c r="F1135" s="1">
        <v>4</v>
      </c>
      <c r="G1135" s="1">
        <v>6</v>
      </c>
      <c r="H1135" s="1" t="s">
        <v>193</v>
      </c>
      <c r="I1135" s="1">
        <v>4</v>
      </c>
      <c r="J1135" s="1">
        <v>7</v>
      </c>
      <c r="K1135" s="1">
        <v>6</v>
      </c>
      <c r="L1135" s="1">
        <v>40</v>
      </c>
      <c r="M1135" s="1" t="e">
        <f t="shared" ca="1" si="0"/>
        <v>#NAME?</v>
      </c>
      <c r="N1135" s="1" t="e">
        <f t="shared" si="1"/>
        <v>#VALUE!</v>
      </c>
      <c r="O1135" s="1" t="e">
        <f ca="1">IF($N1135=_xludf.MINIFS($N$2:$N2321,$R$2:$R2321,$R1135),1,
($N1135-_xludf.MINIFS($N$2:$N2321,$R$2:$R2321,$R1135))+1)</f>
        <v>#VALUE!</v>
      </c>
      <c r="P1135" s="13" t="e">
        <f t="shared" si="2"/>
        <v>#VALUE!</v>
      </c>
      <c r="Q1135" s="1" t="e">
        <f>RIGHT(YEAR($A1135),2)-(MONTH($A1135)&lt;=#REF!)
 &amp;"-"&amp;
 RIGHT(YEAR($A1135),2)+(MONTH($A1135)&gt;=#REF!)</f>
        <v>#REF!</v>
      </c>
      <c r="R1135" s="1" t="e">
        <f>CHOOSE(MONTH($P1135),#REF!,#REF!,#REF!,#REF!,#REF!,#REF!,#REF!,#REF!,#REF!,#REF!,#REF!,#REF!)&amp;" "&amp;$Q1135</f>
        <v>#VALUE!</v>
      </c>
      <c r="S1135" s="1">
        <f t="shared" si="3"/>
        <v>1</v>
      </c>
      <c r="T1135" s="1" t="str">
        <f t="array" ref="T1135">IFERROR(INDEX(#REF!,MATCH($B1135,#REF!,0)),"")</f>
        <v/>
      </c>
      <c r="U1135" s="1" t="str">
        <f t="array" ref="U1135">IFERROR(INDEX(#REF!,MATCH($B1135,#REF!,0)),"")</f>
        <v/>
      </c>
      <c r="V1135" s="76">
        <f t="array" ref="V1135">AVERAGEIFS($E$2:$E2248,$B$2:$B2248,$B1135,$P$2:$P2248,"&lt;="&amp;$P1135,$P$2:$P2248,"&gt;"&amp;$P1135-7)</f>
        <v>5.791666666666667</v>
      </c>
      <c r="W1135" s="76">
        <f ca="1">IFERROR(__xludf.DUMMYFUNCTION("iferror(stdevp(filter($D$2:$D2250,$B$2:$B2250=$B1135,$O$2:$O2250&lt;=$O1135,$O$2:$O2250&gt;$O1135-7)),0)"),1.93907194296653)</f>
        <v>1.93907194296653</v>
      </c>
      <c r="X1135" s="77">
        <f t="shared" ca="1" si="4"/>
        <v>-1.4396921562362339</v>
      </c>
      <c r="Y1135" s="77">
        <f t="shared" ca="1" si="5"/>
        <v>1</v>
      </c>
      <c r="Z1135" s="76">
        <f t="array" ref="Z1135">AVERAGEIFS($F$2:$F2248,$B$2:$B2248,$B1135,$P$2:$P2248,"&lt;="&amp;$P1135,$P$2:$P2248,"&gt;"&amp;$P1135-7)</f>
        <v>5.458333333333333</v>
      </c>
      <c r="AA1135" s="76">
        <f ca="1">IFERROR(__xludf.DUMMYFUNCTION("iferror(stdevp(filter($E$2:$E2250,$B$2:$B2250=$B1135,$O$2:$O2250&lt;=$O1135,$O$2:$O2250&gt;$O1135-7)),0)"),1.41421356237309)</f>
        <v>1.41421356237309</v>
      </c>
      <c r="AB1135" s="77">
        <f t="shared" ca="1" si="6"/>
        <v>-1.0311973892303852</v>
      </c>
      <c r="AC1135" s="77">
        <f t="shared" ca="1" si="7"/>
        <v>1</v>
      </c>
      <c r="AD1135" s="76">
        <f t="array" ref="AD1135">AVERAGEIFS($G$2:$G2248,$B$2:$B2248,$B1135,$P$2:$P2248,"&lt;="&amp;$P1135,$P$2:$P2248,"&gt;"&amp;$P1135-7)</f>
        <v>6.833333333333333</v>
      </c>
      <c r="AE1135" s="76">
        <f ca="1">IFERROR(__xludf.DUMMYFUNCTION("iferror(stdevp(filter($F$2:$F2250,$B$2:$B2250=$B1135,$O$2:$O2250&lt;=$O1135,$O$2:$O2250&gt;$O1135-7)),0)"),0.799999999999999)</f>
        <v>0.79999999999999905</v>
      </c>
      <c r="AF1135" s="77">
        <f t="shared" ca="1" si="8"/>
        <v>-1.0416666666666676</v>
      </c>
      <c r="AG1135" s="77">
        <f t="shared" ca="1" si="9"/>
        <v>1</v>
      </c>
      <c r="AH1135" s="76">
        <f t="array" ref="AH1135">AVERAGEIFS($I$2:$I2248,$B$2:$B2248,$B1135,$P$2:$P2248,"&lt;="&amp;$P1135,$P$2:$P2248,"&gt;"&amp;$P1135-7)</f>
        <v>5.125</v>
      </c>
      <c r="AI1135" s="76">
        <f ca="1">IFERROR(__xludf.DUMMYFUNCTION("iferror(stdevp(filter($H$2:$H2250,$B$2:$B2250=$B1135,$O$2:$O2250&lt;=$O1135,$O$2:$O2250&gt;$O1135-7)),0)"),1.93907194296653)</f>
        <v>1.93907194296653</v>
      </c>
      <c r="AJ1135" s="77">
        <f t="shared" ca="1" si="10"/>
        <v>-0.58017445102057175</v>
      </c>
      <c r="AK1135" s="77">
        <f t="shared" ca="1" si="11"/>
        <v>2</v>
      </c>
      <c r="AL1135" s="76">
        <f t="array" ref="AL1135">AVERAGEIFS($J$2:$J2248,$B$2:$B2248,$B1135,$P$2:$P2248,"&lt;="&amp;$P1135,$P$2:$P2248,"&gt;"&amp;$P1135-7)</f>
        <v>7.125</v>
      </c>
      <c r="AM1135" s="76">
        <f ca="1">IFERROR(__xludf.DUMMYFUNCTION("iferror(stdevp(filter($I$2:$I2250,$B$2:$B2250=$B1135,$O$2:$O2250&lt;=$O1135,$O$2:$O2250&gt;$O1135-7)),0)"),1.01980390271855)</f>
        <v>1.0198039027185499</v>
      </c>
      <c r="AN1135" s="77">
        <f t="shared" ca="1" si="13"/>
        <v>-0.12257258446136586</v>
      </c>
      <c r="AO1135" s="77">
        <f t="shared" ca="1" si="14"/>
        <v>2</v>
      </c>
      <c r="AP1135" s="76">
        <f t="array" ref="AP1135">AVERAGEIFS($K$2:$K2248,$B$2:$B2248,$B1135,$P$2:$P2248,"&lt;="&amp;$P1135,$P$2:$P2248,"&gt;"&amp;$P1135-7)</f>
        <v>7.083333333333333</v>
      </c>
      <c r="AQ1135" s="76">
        <f ca="1">IFERROR(__xludf.DUMMYFUNCTION("iferror(stdevp(filter($J$2:$J2250,$B$2:$B2250=$B1135,$O$2:$O2250&lt;=$O1135,$O$2:$O2250&gt;$O1135-7)),0)"),0.489897948556635)</f>
        <v>0.48989794855663499</v>
      </c>
      <c r="AR1135" s="77">
        <f t="shared" ca="1" si="15"/>
        <v>-2.2113449066792601</v>
      </c>
      <c r="AS1135" s="77">
        <f t="shared" ca="1" si="16"/>
        <v>1</v>
      </c>
      <c r="AT1135" s="78">
        <f t="shared" ca="1" si="12"/>
        <v>0.33333333333333331</v>
      </c>
    </row>
    <row r="1136" spans="1:46" ht="12.5" x14ac:dyDescent="0.25">
      <c r="A1136" s="75">
        <v>44965.660737708335</v>
      </c>
      <c r="B1136" s="1" t="s">
        <v>24</v>
      </c>
      <c r="C1136" s="1" t="str">
        <f>INDEX(TBL_Name,MATCH(Table2[[#This Row],[Athlete Name]],listNames,0),2)</f>
        <v>Athlete 16</v>
      </c>
      <c r="D1136" s="1" t="s">
        <v>130</v>
      </c>
      <c r="E1136" s="1">
        <v>3</v>
      </c>
      <c r="F1136" s="1">
        <v>3</v>
      </c>
      <c r="G1136" s="1">
        <v>4</v>
      </c>
      <c r="H1136" s="1" t="s">
        <v>1522</v>
      </c>
      <c r="I1136" s="1">
        <v>5</v>
      </c>
      <c r="J1136" s="1">
        <v>8</v>
      </c>
      <c r="K1136" s="1">
        <v>6</v>
      </c>
      <c r="L1136" s="1">
        <v>80</v>
      </c>
      <c r="M1136" s="1" t="e">
        <f t="shared" ca="1" si="0"/>
        <v>#NAME?</v>
      </c>
      <c r="N1136" s="1" t="e">
        <f t="shared" si="1"/>
        <v>#VALUE!</v>
      </c>
      <c r="O1136" s="1" t="e">
        <f ca="1">IF($N1136=_xludf.MINIFS($N$2:$N2322,$R$2:$R2322,$R1136),1,
($N1136-_xludf.MINIFS($N$2:$N2322,$R$2:$R2322,$R1136))+1)</f>
        <v>#VALUE!</v>
      </c>
      <c r="P1136" s="13" t="e">
        <f t="shared" si="2"/>
        <v>#VALUE!</v>
      </c>
      <c r="Q1136" s="1" t="e">
        <f>RIGHT(YEAR($A1136),2)-(MONTH($A1136)&lt;=#REF!)
 &amp;"-"&amp;
 RIGHT(YEAR($A1136),2)+(MONTH($A1136)&gt;=#REF!)</f>
        <v>#REF!</v>
      </c>
      <c r="R1136" s="1" t="e">
        <f>CHOOSE(MONTH($P1136),#REF!,#REF!,#REF!,#REF!,#REF!,#REF!,#REF!,#REF!,#REF!,#REF!,#REF!,#REF!)&amp;" "&amp;$Q1136</f>
        <v>#VALUE!</v>
      </c>
      <c r="S1136" s="1">
        <f t="shared" si="3"/>
        <v>1</v>
      </c>
      <c r="T1136" s="1" t="str">
        <f t="array" ref="T1136">IFERROR(INDEX(#REF!,MATCH($B1136,#REF!,0)),"")</f>
        <v/>
      </c>
      <c r="U1136" s="1" t="str">
        <f t="array" ref="U1136">IFERROR(INDEX(#REF!,MATCH($B1136,#REF!,0)),"")</f>
        <v/>
      </c>
      <c r="V1136" s="76">
        <f t="array" ref="V1136">AVERAGEIFS($E$2:$E2248,$B$2:$B2248,$B1136,$P$2:$P2248,"&lt;="&amp;$P1136,$P$2:$P2248,"&gt;"&amp;$P1136-7)</f>
        <v>4.1818181818181817</v>
      </c>
      <c r="W1136" s="76">
        <f ca="1">IFERROR(__xludf.DUMMYFUNCTION("iferror(stdevp(filter($D$2:$D2250,$B$2:$B2250=$B1136,$O$2:$O2250&lt;=$O1136,$O$2:$O2250&gt;$O1136-7)),0)"),0.942809041582063)</f>
        <v>0.94280904158206302</v>
      </c>
      <c r="X1136" s="77">
        <f t="shared" ca="1" si="4"/>
        <v>-1.253507475739789</v>
      </c>
      <c r="Y1136" s="77">
        <f t="shared" ca="1" si="5"/>
        <v>1</v>
      </c>
      <c r="Z1136" s="76">
        <f t="array" ref="Z1136">AVERAGEIFS($F$2:$F2248,$B$2:$B2248,$B1136,$P$2:$P2248,"&lt;="&amp;$P1136,$P$2:$P2248,"&gt;"&amp;$P1136-7)</f>
        <v>6</v>
      </c>
      <c r="AA1136" s="76">
        <f ca="1">IFERROR(__xludf.DUMMYFUNCTION("iferror(stdevp(filter($E$2:$E2250,$B$2:$B2250=$B1136,$O$2:$O2250&lt;=$O1136,$O$2:$O2250&gt;$O1136-7)),0)"),1.24721912892464)</f>
        <v>1.2472191289246399</v>
      </c>
      <c r="AB1136" s="77">
        <f t="shared" ca="1" si="6"/>
        <v>-2.4053511772118332</v>
      </c>
      <c r="AC1136" s="77">
        <f t="shared" ca="1" si="7"/>
        <v>1</v>
      </c>
      <c r="AD1136" s="76">
        <f t="array" ref="AD1136">AVERAGEIFS($G$2:$G2248,$B$2:$B2248,$B1136,$P$2:$P2248,"&lt;="&amp;$P1136,$P$2:$P2248,"&gt;"&amp;$P1136-7)</f>
        <v>5.9090909090909092</v>
      </c>
      <c r="AE1136" s="76">
        <f ca="1">IFERROR(__xludf.DUMMYFUNCTION("iferror(stdevp(filter($F$2:$F2250,$B$2:$B2250=$B1136,$O$2:$O2250&lt;=$O1136,$O$2:$O2250&gt;$O1136-7)),0)"),1.41421356237309)</f>
        <v>1.41421356237309</v>
      </c>
      <c r="AF1136" s="77">
        <f t="shared" ca="1" si="8"/>
        <v>-1.3499311277197774</v>
      </c>
      <c r="AG1136" s="77">
        <f t="shared" ca="1" si="9"/>
        <v>1</v>
      </c>
      <c r="AH1136" s="76">
        <f t="array" ref="AH1136">AVERAGEIFS($I$2:$I2248,$B$2:$B2248,$B1136,$P$2:$P2248,"&lt;="&amp;$P1136,$P$2:$P2248,"&gt;"&amp;$P1136-7)</f>
        <v>4.9545454545454541</v>
      </c>
      <c r="AI1136" s="76">
        <f ca="1">IFERROR(__xludf.DUMMYFUNCTION("iferror(stdevp(filter($H$2:$H2250,$B$2:$B2250=$B1136,$O$2:$O2250&lt;=$O1136,$O$2:$O2250&gt;$O1136-7)),0)"),0.816496580927726)</f>
        <v>0.81649658092772603</v>
      </c>
      <c r="AJ1136" s="77">
        <f t="shared" ca="1" si="10"/>
        <v>5.5670221426890903E-2</v>
      </c>
      <c r="AK1136" s="77">
        <f t="shared" ca="1" si="11"/>
        <v>3</v>
      </c>
      <c r="AL1136" s="76">
        <f t="array" ref="AL1136">AVERAGEIFS($J$2:$J2248,$B$2:$B2248,$B1136,$P$2:$P2248,"&lt;="&amp;$P1136,$P$2:$P2248,"&gt;"&amp;$P1136-7)</f>
        <v>6.9090909090909092</v>
      </c>
      <c r="AM1136" s="76">
        <f ca="1">IFERROR(__xludf.DUMMYFUNCTION("iferror(stdevp(filter($I$2:$I2250,$B$2:$B2250=$B1136,$O$2:$O2250&lt;=$O1136,$O$2:$O2250&gt;$O1136-7)),0)"),1.41421356237309)</f>
        <v>1.41421356237309</v>
      </c>
      <c r="AN1136" s="77">
        <f t="shared" ca="1" si="13"/>
        <v>0.77138921583987274</v>
      </c>
      <c r="AO1136" s="77">
        <f t="shared" ca="1" si="14"/>
        <v>3</v>
      </c>
      <c r="AP1136" s="76">
        <f t="array" ref="AP1136">AVERAGEIFS($K$2:$K2248,$B$2:$B2248,$B1136,$P$2:$P2248,"&lt;="&amp;$P1136,$P$2:$P2248,"&gt;"&amp;$P1136-7)</f>
        <v>6.7272727272727275</v>
      </c>
      <c r="AQ1136" s="76">
        <f ca="1">IFERROR(__xludf.DUMMYFUNCTION("iferror(stdevp(filter($J$2:$J2250,$B$2:$B2250=$B1136,$O$2:$O2250&lt;=$O1136,$O$2:$O2250&gt;$O1136-7)),0)"),1.24721912892464)</f>
        <v>1.2472191289246399</v>
      </c>
      <c r="AR1136" s="77">
        <f t="shared" ca="1" si="15"/>
        <v>-0.58311543689983858</v>
      </c>
      <c r="AS1136" s="77">
        <f t="shared" ca="1" si="16"/>
        <v>2</v>
      </c>
      <c r="AT1136" s="78">
        <f t="shared" ca="1" si="12"/>
        <v>0.45833333333333331</v>
      </c>
    </row>
    <row r="1137" spans="1:46" ht="12.5" x14ac:dyDescent="0.25">
      <c r="A1137" s="75">
        <v>44966.337749189814</v>
      </c>
      <c r="B1137" s="1" t="s">
        <v>7</v>
      </c>
      <c r="C1137" s="1" t="str">
        <f>INDEX(TBL_Name,MATCH(Table2[[#This Row],[Athlete Name]],listNames,0),2)</f>
        <v>Athlete 3</v>
      </c>
      <c r="D1137" s="1" t="s">
        <v>130</v>
      </c>
      <c r="E1137" s="1">
        <v>7</v>
      </c>
      <c r="F1137" s="1">
        <v>7</v>
      </c>
      <c r="G1137" s="1">
        <v>7</v>
      </c>
      <c r="H1137" s="1" t="s">
        <v>1307</v>
      </c>
      <c r="I1137" s="1">
        <v>3</v>
      </c>
      <c r="J1137" s="1">
        <v>4</v>
      </c>
      <c r="K1137" s="1">
        <v>7</v>
      </c>
      <c r="L1137" s="1">
        <v>80</v>
      </c>
      <c r="M1137" s="1" t="e">
        <f t="shared" ca="1" si="0"/>
        <v>#NAME?</v>
      </c>
      <c r="N1137" s="1" t="e">
        <f t="shared" si="1"/>
        <v>#VALUE!</v>
      </c>
      <c r="O1137" s="1" t="e">
        <f ca="1">IF($N1137=_xludf.MINIFS($N$2:$N2323,$R$2:$R2323,$R1137),1,
($N1137-_xludf.MINIFS($N$2:$N2323,$R$2:$R2323,$R1137))+1)</f>
        <v>#VALUE!</v>
      </c>
      <c r="P1137" s="13" t="e">
        <f t="shared" si="2"/>
        <v>#VALUE!</v>
      </c>
      <c r="Q1137" s="1" t="e">
        <f>RIGHT(YEAR($A1137),2)-(MONTH($A1137)&lt;=#REF!)
 &amp;"-"&amp;
 RIGHT(YEAR($A1137),2)+(MONTH($A1137)&gt;=#REF!)</f>
        <v>#REF!</v>
      </c>
      <c r="R1137" s="1" t="e">
        <f>CHOOSE(MONTH($P1137),#REF!,#REF!,#REF!,#REF!,#REF!,#REF!,#REF!,#REF!,#REF!,#REF!,#REF!,#REF!)&amp;" "&amp;$Q1137</f>
        <v>#VALUE!</v>
      </c>
      <c r="S1137" s="1">
        <f t="shared" si="3"/>
        <v>1</v>
      </c>
      <c r="T1137" s="1" t="str">
        <f t="array" ref="T1137">IFERROR(INDEX(#REF!,MATCH($B1137,#REF!,0)),"")</f>
        <v/>
      </c>
      <c r="U1137" s="1" t="str">
        <f t="array" ref="U1137">IFERROR(INDEX(#REF!,MATCH($B1137,#REF!,0)),"")</f>
        <v/>
      </c>
      <c r="V1137" s="76">
        <f t="array" ref="V1137">AVERAGEIFS($E$2:$E2248,$B$2:$B2248,$B1137,$P$2:$P2248,"&lt;="&amp;$P1137,$P$2:$P2248,"&gt;"&amp;$P1137-7)</f>
        <v>6</v>
      </c>
      <c r="W1137" s="76">
        <f ca="1">IFERROR(__xludf.DUMMYFUNCTION("iferror(stdevp(filter($D$2:$D2250,$B$2:$B2250=$B1137,$O$2:$O2250&lt;=$O1137,$O$2:$O2250&gt;$O1137-7)),0)"),2.27760839478607)</f>
        <v>2.2776083947860699</v>
      </c>
      <c r="X1137" s="77">
        <f t="shared" ca="1" si="4"/>
        <v>0.43905703995876233</v>
      </c>
      <c r="Y1137" s="77">
        <f t="shared" ca="1" si="5"/>
        <v>3</v>
      </c>
      <c r="Z1137" s="76">
        <f t="array" ref="Z1137">AVERAGEIFS($F$2:$F2248,$B$2:$B2248,$B1137,$P$2:$P2248,"&lt;="&amp;$P1137,$P$2:$P2248,"&gt;"&amp;$P1137-7)</f>
        <v>7.3703703703703702</v>
      </c>
      <c r="AA1137" s="76">
        <f ca="1">IFERROR(__xludf.DUMMYFUNCTION("iferror(stdevp(filter($E$2:$E2250,$B$2:$B2250=$B1137,$O$2:$O2250&lt;=$O1137,$O$2:$O2250&gt;$O1137-7)),0)"),1.41421356237309)</f>
        <v>1.41421356237309</v>
      </c>
      <c r="AB1137" s="77">
        <f t="shared" ca="1" si="6"/>
        <v>-0.26189140043946291</v>
      </c>
      <c r="AC1137" s="77">
        <f t="shared" ca="1" si="7"/>
        <v>2</v>
      </c>
      <c r="AD1137" s="76">
        <f t="array" ref="AD1137">AVERAGEIFS($G$2:$G2248,$B$2:$B2248,$B1137,$P$2:$P2248,"&lt;="&amp;$P1137,$P$2:$P2248,"&gt;"&amp;$P1137-7)</f>
        <v>7.7777777777777777</v>
      </c>
      <c r="AE1137" s="76">
        <f ca="1">IFERROR(__xludf.DUMMYFUNCTION("iferror(stdevp(filter($F$2:$F2250,$B$2:$B2250=$B1137,$O$2:$O2250&lt;=$O1137,$O$2:$O2250&gt;$O1137-7)),0)"),0.82915619758885)</f>
        <v>0.82915619758884995</v>
      </c>
      <c r="AF1137" s="77">
        <f t="shared" ca="1" si="8"/>
        <v>-0.93803529424193122</v>
      </c>
      <c r="AG1137" s="77">
        <f t="shared" ca="1" si="9"/>
        <v>2</v>
      </c>
      <c r="AH1137" s="76">
        <f t="array" ref="AH1137">AVERAGEIFS($I$2:$I2248,$B$2:$B2248,$B1137,$P$2:$P2248,"&lt;="&amp;$P1137,$P$2:$P2248,"&gt;"&amp;$P1137-7)</f>
        <v>6.333333333333333</v>
      </c>
      <c r="AI1137" s="76">
        <f ca="1">IFERROR(__xludf.DUMMYFUNCTION("iferror(stdevp(filter($H$2:$H2250,$B$2:$B2250=$B1137,$O$2:$O2250&lt;=$O1137,$O$2:$O2250&gt;$O1137-7)),0)"),2.69258240356725)</f>
        <v>2.6925824035672501</v>
      </c>
      <c r="AJ1137" s="77">
        <f t="shared" ca="1" si="10"/>
        <v>-1.2379689211803466</v>
      </c>
      <c r="AK1137" s="77">
        <f t="shared" ca="1" si="11"/>
        <v>1</v>
      </c>
      <c r="AL1137" s="76">
        <f t="array" ref="AL1137">AVERAGEIFS($J$2:$J2248,$B$2:$B2248,$B1137,$P$2:$P2248,"&lt;="&amp;$P1137,$P$2:$P2248,"&gt;"&amp;$P1137-7)</f>
        <v>5.4230769230769234</v>
      </c>
      <c r="AM1137" s="76">
        <f ca="1">IFERROR(__xludf.DUMMYFUNCTION("iferror(stdevp(filter($I$2:$I2250,$B$2:$B2250=$B1137,$O$2:$O2250&lt;=$O1137,$O$2:$O2250&gt;$O1137-7)),0)"),1.08972473588516)</f>
        <v>1.0897247358851601</v>
      </c>
      <c r="AN1137" s="77">
        <f t="shared" ca="1" si="13"/>
        <v>-1.3059049466478234</v>
      </c>
      <c r="AO1137" s="77">
        <f t="shared" ca="1" si="14"/>
        <v>1</v>
      </c>
      <c r="AP1137" s="76">
        <f t="array" ref="AP1137">AVERAGEIFS($K$2:$K2248,$B$2:$B2248,$B1137,$P$2:$P2248,"&lt;="&amp;$P1137,$P$2:$P2248,"&gt;"&amp;$P1137-7)</f>
        <v>7.5769230769230766</v>
      </c>
      <c r="AQ1137" s="76">
        <f ca="1">IFERROR(__xludf.DUMMYFUNCTION("iferror(stdevp(filter($J$2:$J2250,$B$2:$B2250=$B1137,$O$2:$O2250&lt;=$O1137,$O$2:$O2250&gt;$O1137-7)),0)"),1.08972473588516)</f>
        <v>1.0897247358851601</v>
      </c>
      <c r="AR1137" s="77">
        <f t="shared" ca="1" si="15"/>
        <v>-0.52942092431668475</v>
      </c>
      <c r="AS1137" s="77">
        <f t="shared" ca="1" si="16"/>
        <v>2</v>
      </c>
      <c r="AT1137" s="78">
        <f t="shared" ca="1" si="12"/>
        <v>0.45833333333333331</v>
      </c>
    </row>
    <row r="1138" spans="1:46" ht="12.5" x14ac:dyDescent="0.25">
      <c r="A1138" s="75">
        <v>44966.349990590279</v>
      </c>
      <c r="B1138" s="1" t="s">
        <v>22</v>
      </c>
      <c r="C1138" s="1" t="str">
        <f>INDEX(TBL_Name,MATCH(Table2[[#This Row],[Athlete Name]],listNames,0),2)</f>
        <v>Athlete 14</v>
      </c>
      <c r="D1138" s="1" t="s">
        <v>130</v>
      </c>
      <c r="E1138" s="1">
        <v>2</v>
      </c>
      <c r="F1138" s="1">
        <v>3</v>
      </c>
      <c r="G1138" s="1">
        <v>5</v>
      </c>
      <c r="H1138" s="1" t="s">
        <v>807</v>
      </c>
      <c r="I1138" s="1">
        <v>3</v>
      </c>
      <c r="J1138" s="1">
        <v>7</v>
      </c>
      <c r="K1138" s="1">
        <v>7</v>
      </c>
      <c r="L1138" s="1">
        <v>47</v>
      </c>
      <c r="M1138" s="1" t="e">
        <f t="shared" ca="1" si="0"/>
        <v>#NAME?</v>
      </c>
      <c r="N1138" s="1" t="e">
        <f t="shared" si="1"/>
        <v>#VALUE!</v>
      </c>
      <c r="O1138" s="1" t="e">
        <f ca="1">IF($N1138=_xludf.MINIFS($N$2:$N2324,$R$2:$R2324,$R1138),1,
($N1138-_xludf.MINIFS($N$2:$N2324,$R$2:$R2324,$R1138))+1)</f>
        <v>#VALUE!</v>
      </c>
      <c r="P1138" s="13" t="e">
        <f t="shared" si="2"/>
        <v>#VALUE!</v>
      </c>
      <c r="Q1138" s="1" t="e">
        <f>RIGHT(YEAR($A1138),2)-(MONTH($A1138)&lt;=#REF!)
 &amp;"-"&amp;
 RIGHT(YEAR($A1138),2)+(MONTH($A1138)&gt;=#REF!)</f>
        <v>#REF!</v>
      </c>
      <c r="R1138" s="1" t="e">
        <f>CHOOSE(MONTH($P1138),#REF!,#REF!,#REF!,#REF!,#REF!,#REF!,#REF!,#REF!,#REF!,#REF!,#REF!,#REF!)&amp;" "&amp;$Q1138</f>
        <v>#VALUE!</v>
      </c>
      <c r="S1138" s="1">
        <f t="shared" si="3"/>
        <v>1</v>
      </c>
      <c r="T1138" s="1" t="str">
        <f t="array" ref="T1138">IFERROR(INDEX(#REF!,MATCH($B1138,#REF!,0)),"")</f>
        <v/>
      </c>
      <c r="U1138" s="1" t="str">
        <f t="array" ref="U1138">IFERROR(INDEX(#REF!,MATCH($B1138,#REF!,0)),"")</f>
        <v/>
      </c>
      <c r="V1138" s="76">
        <f t="array" ref="V1138">AVERAGEIFS($E$2:$E2248,$B$2:$B2248,$B1138,$P$2:$P2248,"&lt;="&amp;$P1138,$P$2:$P2248,"&gt;"&amp;$P1138-7)</f>
        <v>5.791666666666667</v>
      </c>
      <c r="W1138" s="76">
        <f ca="1">IFERROR(__xludf.DUMMYFUNCTION("iferror(stdevp(filter($D$2:$D2250,$B$2:$B2250=$B1138,$O$2:$O2250&lt;=$O1138,$O$2:$O2250&gt;$O1138-7)),0)"),2.0976176963403)</f>
        <v>2.0976176963403002</v>
      </c>
      <c r="X1138" s="77">
        <f t="shared" ca="1" si="4"/>
        <v>-1.8076061587781047</v>
      </c>
      <c r="Y1138" s="77">
        <f t="shared" ca="1" si="5"/>
        <v>1</v>
      </c>
      <c r="Z1138" s="76">
        <f t="array" ref="Z1138">AVERAGEIFS($F$2:$F2248,$B$2:$B2248,$B1138,$P$2:$P2248,"&lt;="&amp;$P1138,$P$2:$P2248,"&gt;"&amp;$P1138-7)</f>
        <v>5.458333333333333</v>
      </c>
      <c r="AA1138" s="76">
        <f ca="1">IFERROR(__xludf.DUMMYFUNCTION("iferror(stdevp(filter($E$2:$E2250,$B$2:$B2250=$B1138,$O$2:$O2250&lt;=$O1138,$O$2:$O2250&gt;$O1138-7)),0)"),1.62480768092719)</f>
        <v>1.6248076809271901</v>
      </c>
      <c r="AB1138" s="77">
        <f t="shared" ca="1" si="6"/>
        <v>-1.5129995766209665</v>
      </c>
      <c r="AC1138" s="77">
        <f t="shared" ca="1" si="7"/>
        <v>1</v>
      </c>
      <c r="AD1138" s="76">
        <f t="array" ref="AD1138">AVERAGEIFS($G$2:$G2248,$B$2:$B2248,$B1138,$P$2:$P2248,"&lt;="&amp;$P1138,$P$2:$P2248,"&gt;"&amp;$P1138-7)</f>
        <v>6.833333333333333</v>
      </c>
      <c r="AE1138" s="76">
        <f ca="1">IFERROR(__xludf.DUMMYFUNCTION("iferror(stdevp(filter($F$2:$F2250,$B$2:$B2250=$B1138,$O$2:$O2250&lt;=$O1138,$O$2:$O2250&gt;$O1138-7)),0)"),1.01980390271855)</f>
        <v>1.0198039027185499</v>
      </c>
      <c r="AF1138" s="77">
        <f t="shared" ca="1" si="8"/>
        <v>-1.797731238766699</v>
      </c>
      <c r="AG1138" s="77">
        <f t="shared" ca="1" si="9"/>
        <v>1</v>
      </c>
      <c r="AH1138" s="76">
        <f t="array" ref="AH1138">AVERAGEIFS($I$2:$I2248,$B$2:$B2248,$B1138,$P$2:$P2248,"&lt;="&amp;$P1138,$P$2:$P2248,"&gt;"&amp;$P1138-7)</f>
        <v>5.125</v>
      </c>
      <c r="AI1138" s="76">
        <f ca="1">IFERROR(__xludf.DUMMYFUNCTION("iferror(stdevp(filter($H$2:$H2250,$B$2:$B2250=$B1138,$O$2:$O2250&lt;=$O1138,$O$2:$O2250&gt;$O1138-7)),0)"),1.93907194296653)</f>
        <v>1.93907194296653</v>
      </c>
      <c r="AJ1138" s="77">
        <f t="shared" ca="1" si="10"/>
        <v>-1.0958850741499688</v>
      </c>
      <c r="AK1138" s="77">
        <f t="shared" ca="1" si="11"/>
        <v>1</v>
      </c>
      <c r="AL1138" s="76">
        <f t="array" ref="AL1138">AVERAGEIFS($J$2:$J2248,$B$2:$B2248,$B1138,$P$2:$P2248,"&lt;="&amp;$P1138,$P$2:$P2248,"&gt;"&amp;$P1138-7)</f>
        <v>7.125</v>
      </c>
      <c r="AM1138" s="76">
        <f ca="1">IFERROR(__xludf.DUMMYFUNCTION("iferror(stdevp(filter($I$2:$I2250,$B$2:$B2250=$B1138,$O$2:$O2250&lt;=$O1138,$O$2:$O2250&gt;$O1138-7)),0)"),0.748331477354788)</f>
        <v>0.748331477354788</v>
      </c>
      <c r="AN1138" s="77">
        <f t="shared" ca="1" si="13"/>
        <v>-0.16703827619526529</v>
      </c>
      <c r="AO1138" s="77">
        <f t="shared" ca="1" si="14"/>
        <v>2</v>
      </c>
      <c r="AP1138" s="76">
        <f t="array" ref="AP1138">AVERAGEIFS($K$2:$K2248,$B$2:$B2248,$B1138,$P$2:$P2248,"&lt;="&amp;$P1138,$P$2:$P2248,"&gt;"&amp;$P1138-7)</f>
        <v>7.083333333333333</v>
      </c>
      <c r="AQ1138" s="76">
        <f ca="1">IFERROR(__xludf.DUMMYFUNCTION("iferror(stdevp(filter($J$2:$J2250,$B$2:$B2250=$B1138,$O$2:$O2250&lt;=$O1138,$O$2:$O2250&gt;$O1138-7)),0)"),0.489897948556635)</f>
        <v>0.48989794855663499</v>
      </c>
      <c r="AR1138" s="77">
        <f t="shared" ca="1" si="15"/>
        <v>-0.17010345435994254</v>
      </c>
      <c r="AS1138" s="77">
        <f t="shared" ca="1" si="16"/>
        <v>2</v>
      </c>
      <c r="AT1138" s="78">
        <f t="shared" ca="1" si="12"/>
        <v>0.33333333333333331</v>
      </c>
    </row>
    <row r="1139" spans="1:46" ht="12.5" x14ac:dyDescent="0.25">
      <c r="A1139" s="75">
        <v>44966.357019583331</v>
      </c>
      <c r="B1139" s="1" t="s">
        <v>21</v>
      </c>
      <c r="C1139" s="1" t="str">
        <f>INDEX(TBL_Name,MATCH(Table2[[#This Row],[Athlete Name]],listNames,0),2)</f>
        <v>Athlete 13</v>
      </c>
      <c r="D1139" s="1" t="s">
        <v>143</v>
      </c>
      <c r="E1139" s="1">
        <v>7</v>
      </c>
      <c r="F1139" s="1">
        <v>6</v>
      </c>
      <c r="G1139" s="1">
        <v>8</v>
      </c>
      <c r="H1139" s="1" t="s">
        <v>1523</v>
      </c>
      <c r="I1139" s="1">
        <v>4</v>
      </c>
      <c r="J1139" s="1">
        <v>6</v>
      </c>
      <c r="K1139" s="1">
        <v>6</v>
      </c>
      <c r="L1139" s="1">
        <v>65</v>
      </c>
      <c r="M1139" s="1" t="e">
        <f t="shared" ca="1" si="0"/>
        <v>#NAME?</v>
      </c>
      <c r="N1139" s="1" t="e">
        <f t="shared" si="1"/>
        <v>#VALUE!</v>
      </c>
      <c r="O1139" s="1" t="e">
        <f ca="1">IF($N1139=_xludf.MINIFS($N$2:$N2325,$R$2:$R2325,$R1139),1,
($N1139-_xludf.MINIFS($N$2:$N2325,$R$2:$R2325,$R1139))+1)</f>
        <v>#VALUE!</v>
      </c>
      <c r="P1139" s="13" t="e">
        <f t="shared" si="2"/>
        <v>#VALUE!</v>
      </c>
      <c r="Q1139" s="1" t="e">
        <f>RIGHT(YEAR($A1139),2)-(MONTH($A1139)&lt;=#REF!)
 &amp;"-"&amp;
 RIGHT(YEAR($A1139),2)+(MONTH($A1139)&gt;=#REF!)</f>
        <v>#REF!</v>
      </c>
      <c r="R1139" s="1" t="e">
        <f>CHOOSE(MONTH($P1139),#REF!,#REF!,#REF!,#REF!,#REF!,#REF!,#REF!,#REF!,#REF!,#REF!,#REF!,#REF!)&amp;" "&amp;$Q1139</f>
        <v>#VALUE!</v>
      </c>
      <c r="S1139" s="1">
        <f t="shared" si="3"/>
        <v>2</v>
      </c>
      <c r="T1139" s="1" t="str">
        <f t="array" ref="T1139">IFERROR(INDEX(#REF!,MATCH($B1139,#REF!,0)),"")</f>
        <v/>
      </c>
      <c r="U1139" s="1" t="str">
        <f t="array" ref="U1139">IFERROR(INDEX(#REF!,MATCH($B1139,#REF!,0)),"")</f>
        <v/>
      </c>
      <c r="V1139" s="76">
        <f t="array" ref="V1139">AVERAGEIFS($E$2:$E2248,$B$2:$B2248,$B1139,$P$2:$P2248,"&lt;="&amp;$P1139,$P$2:$P2248,"&gt;"&amp;$P1139-7)</f>
        <v>6.6304347826086953</v>
      </c>
      <c r="W1139" s="76">
        <f ca="1">IFERROR(__xludf.DUMMYFUNCTION("iferror(stdevp(filter($D$2:$D2250,$B$2:$B2250=$B1139,$O$2:$O2250&lt;=$O1139,$O$2:$O2250&gt;$O1139-7)),0)"),0.638876564999939)</f>
        <v>0.63887656499993895</v>
      </c>
      <c r="X1139" s="77">
        <f t="shared" ca="1" si="4"/>
        <v>0.57846106374451223</v>
      </c>
      <c r="Y1139" s="77">
        <f t="shared" ca="1" si="5"/>
        <v>3</v>
      </c>
      <c r="Z1139" s="76">
        <f t="array" ref="Z1139">AVERAGEIFS($F$2:$F2248,$B$2:$B2248,$B1139,$P$2:$P2248,"&lt;="&amp;$P1139,$P$2:$P2248,"&gt;"&amp;$P1139-7)</f>
        <v>7.6956521739130439</v>
      </c>
      <c r="AA1139" s="76">
        <f ca="1">IFERROR(__xludf.DUMMYFUNCTION("iferror(stdevp(filter($E$2:$E2250,$B$2:$B2250=$B1139,$O$2:$O2250&lt;=$O1139,$O$2:$O2250&gt;$O1139-7)),0)"),1.03015750727542)</f>
        <v>1.0301575072754201</v>
      </c>
      <c r="AB1139" s="77">
        <f t="shared" ca="1" si="6"/>
        <v>-1.6460125387987867</v>
      </c>
      <c r="AC1139" s="77">
        <f t="shared" ca="1" si="7"/>
        <v>1</v>
      </c>
      <c r="AD1139" s="76">
        <f t="array" ref="AD1139">AVERAGEIFS($G$2:$G2248,$B$2:$B2248,$B1139,$P$2:$P2248,"&lt;="&amp;$P1139,$P$2:$P2248,"&gt;"&amp;$P1139-7)</f>
        <v>8.2608695652173907</v>
      </c>
      <c r="AE1139" s="76">
        <f ca="1">IFERROR(__xludf.DUMMYFUNCTION("iferror(stdevp(filter($F$2:$F2250,$B$2:$B2250=$B1139,$O$2:$O2250&lt;=$O1139,$O$2:$O2250&gt;$O1139-7)),0)"),0.451753951452625)</f>
        <v>0.45175395145262498</v>
      </c>
      <c r="AF1139" s="77">
        <f t="shared" ca="1" si="8"/>
        <v>-0.57745939881335573</v>
      </c>
      <c r="AG1139" s="77">
        <f t="shared" ca="1" si="9"/>
        <v>2</v>
      </c>
      <c r="AH1139" s="76">
        <f t="array" ref="AH1139">AVERAGEIFS($I$2:$I2248,$B$2:$B2248,$B1139,$P$2:$P2248,"&lt;="&amp;$P1139,$P$2:$P2248,"&gt;"&amp;$P1139-7)</f>
        <v>5.7391304347826084</v>
      </c>
      <c r="AI1139" s="76">
        <f ca="1">IFERROR(__xludf.DUMMYFUNCTION("iferror(stdevp(filter($H$2:$H2250,$B$2:$B2250=$B1139,$O$2:$O2250&lt;=$O1139,$O$2:$O2250&gt;$O1139-7)),0)"),1.24539969815447)</f>
        <v>1.2453996981544699</v>
      </c>
      <c r="AJ1139" s="77">
        <f t="shared" ca="1" si="10"/>
        <v>-1.3964435974729936</v>
      </c>
      <c r="AK1139" s="77">
        <f t="shared" ca="1" si="11"/>
        <v>1</v>
      </c>
      <c r="AL1139" s="76">
        <f t="array" ref="AL1139">AVERAGEIFS($J$2:$J2248,$B$2:$B2248,$B1139,$P$2:$P2248,"&lt;="&amp;$P1139,$P$2:$P2248,"&gt;"&amp;$P1139-7)</f>
        <v>6.5434782608695654</v>
      </c>
      <c r="AM1139" s="76">
        <f ca="1">IFERROR(__xludf.DUMMYFUNCTION("iferror(stdevp(filter($I$2:$I2250,$B$2:$B2250=$B1139,$O$2:$O2250&lt;=$O1139,$O$2:$O2250&gt;$O1139-7)),0)"),0.699854212223765)</f>
        <v>0.69985421222376498</v>
      </c>
      <c r="AN1139" s="77">
        <f t="shared" ca="1" si="13"/>
        <v>-0.77655924816495736</v>
      </c>
      <c r="AO1139" s="77">
        <f t="shared" ca="1" si="14"/>
        <v>2</v>
      </c>
      <c r="AP1139" s="76">
        <f t="array" ref="AP1139">AVERAGEIFS($K$2:$K2248,$B$2:$B2248,$B1139,$P$2:$P2248,"&lt;="&amp;$P1139,$P$2:$P2248,"&gt;"&amp;$P1139-7)</f>
        <v>6.6086956521739131</v>
      </c>
      <c r="AQ1139" s="76">
        <f ca="1">IFERROR(__xludf.DUMMYFUNCTION("iferror(stdevp(filter($J$2:$J2250,$B$2:$B2250=$B1139,$O$2:$O2250&lt;=$O1139,$O$2:$O2250&gt;$O1139-7)),0)"),0.699854212223765)</f>
        <v>0.69985421222376498</v>
      </c>
      <c r="AR1139" s="77">
        <f t="shared" ca="1" si="15"/>
        <v>-0.86974635794475197</v>
      </c>
      <c r="AS1139" s="77">
        <f t="shared" ca="1" si="16"/>
        <v>2</v>
      </c>
      <c r="AT1139" s="78">
        <f t="shared" ca="1" si="12"/>
        <v>0.45833333333333331</v>
      </c>
    </row>
    <row r="1140" spans="1:46" ht="12.5" x14ac:dyDescent="0.25">
      <c r="A1140" s="75">
        <v>44966.396054571756</v>
      </c>
      <c r="B1140" s="1" t="s">
        <v>10</v>
      </c>
      <c r="C1140" s="1" t="str">
        <f>INDEX(TBL_Name,MATCH(Table2[[#This Row],[Athlete Name]],listNames,0),2)</f>
        <v>Athlete 5</v>
      </c>
      <c r="D1140" s="1" t="s">
        <v>130</v>
      </c>
      <c r="E1140" s="1">
        <v>8</v>
      </c>
      <c r="F1140" s="1">
        <v>8</v>
      </c>
      <c r="G1140" s="1">
        <v>8</v>
      </c>
      <c r="H1140" s="1" t="s">
        <v>226</v>
      </c>
      <c r="I1140" s="1">
        <v>6</v>
      </c>
      <c r="J1140" s="1">
        <v>7</v>
      </c>
      <c r="K1140" s="1">
        <v>8</v>
      </c>
      <c r="L1140" s="1">
        <v>74</v>
      </c>
      <c r="M1140" s="1" t="e">
        <f t="shared" ca="1" si="0"/>
        <v>#NAME?</v>
      </c>
      <c r="N1140" s="1" t="e">
        <f t="shared" si="1"/>
        <v>#VALUE!</v>
      </c>
      <c r="O1140" s="1" t="e">
        <f ca="1">IF($N1140=_xludf.MINIFS($N$2:$N2326,$R$2:$R2326,$R1140),1,
($N1140-_xludf.MINIFS($N$2:$N2326,$R$2:$R2326,$R1140))+1)</f>
        <v>#VALUE!</v>
      </c>
      <c r="P1140" s="13" t="e">
        <f t="shared" si="2"/>
        <v>#VALUE!</v>
      </c>
      <c r="Q1140" s="1" t="e">
        <f>RIGHT(YEAR($A1140),2)-(MONTH($A1140)&lt;=#REF!)
 &amp;"-"&amp;
 RIGHT(YEAR($A1140),2)+(MONTH($A1140)&gt;=#REF!)</f>
        <v>#REF!</v>
      </c>
      <c r="R1140" s="1" t="e">
        <f>CHOOSE(MONTH($P1140),#REF!,#REF!,#REF!,#REF!,#REF!,#REF!,#REF!,#REF!,#REF!,#REF!,#REF!,#REF!)&amp;" "&amp;$Q1140</f>
        <v>#VALUE!</v>
      </c>
      <c r="S1140" s="1">
        <f t="shared" si="3"/>
        <v>1</v>
      </c>
      <c r="T1140" s="1" t="str">
        <f t="array" ref="T1140">IFERROR(INDEX(#REF!,MATCH($B1140,#REF!,0)),"")</f>
        <v/>
      </c>
      <c r="U1140" s="1" t="str">
        <f t="array" ref="U1140">IFERROR(INDEX(#REF!,MATCH($B1140,#REF!,0)),"")</f>
        <v/>
      </c>
      <c r="V1140" s="76">
        <f t="array" ref="V1140">AVERAGEIFS($E$2:$E2248,$B$2:$B2248,$B1140,$P$2:$P2248,"&lt;="&amp;$P1140,$P$2:$P2248,"&gt;"&amp;$P1140-7)</f>
        <v>8.4042553191489358</v>
      </c>
      <c r="W1140" s="76">
        <f ca="1">IFERROR(__xludf.DUMMYFUNCTION("iferror(stdevp(filter($D$2:$D2250,$B$2:$B2250=$B1140,$O$2:$O2250&lt;=$O1140,$O$2:$O2250&gt;$O1140-7)),0)"),0.372677996249965)</f>
        <v>0.372677996249965</v>
      </c>
      <c r="X1140" s="77">
        <f t="shared" ca="1" si="4"/>
        <v>-1.0847308486594711</v>
      </c>
      <c r="Y1140" s="77">
        <f t="shared" ca="1" si="5"/>
        <v>1</v>
      </c>
      <c r="Z1140" s="76">
        <f t="array" ref="Z1140">AVERAGEIFS($F$2:$F2248,$B$2:$B2248,$B1140,$P$2:$P2248,"&lt;="&amp;$P1140,$P$2:$P2248,"&gt;"&amp;$P1140-7)</f>
        <v>8.085106382978724</v>
      </c>
      <c r="AA1140" s="76">
        <f ca="1">IFERROR(__xludf.DUMMYFUNCTION("iferror(stdevp(filter($E$2:$E2250,$B$2:$B2250=$B1140,$O$2:$O2250&lt;=$O1140,$O$2:$O2250&gt;$O1140-7)),0)"),0.687184270936276)</f>
        <v>0.68718427093627599</v>
      </c>
      <c r="AB1140" s="77">
        <f t="shared" ca="1" si="6"/>
        <v>-0.12384797874195823</v>
      </c>
      <c r="AC1140" s="77">
        <f t="shared" ca="1" si="7"/>
        <v>2</v>
      </c>
      <c r="AD1140" s="76">
        <f t="array" ref="AD1140">AVERAGEIFS($G$2:$G2248,$B$2:$B2248,$B1140,$P$2:$P2248,"&lt;="&amp;$P1140,$P$2:$P2248,"&gt;"&amp;$P1140-7)</f>
        <v>8.0638297872340434</v>
      </c>
      <c r="AE1140" s="76">
        <f ca="1">IFERROR(__xludf.DUMMYFUNCTION("iferror(stdevp(filter($F$2:$F2250,$B$2:$B2250=$B1140,$O$2:$O2250&lt;=$O1140,$O$2:$O2250&gt;$O1140-7)),0)"),0.687184270936276)</f>
        <v>0.68718427093627599</v>
      </c>
      <c r="AF1140" s="77">
        <f t="shared" ca="1" si="8"/>
        <v>-9.288598405646932E-2</v>
      </c>
      <c r="AG1140" s="77">
        <f t="shared" ca="1" si="9"/>
        <v>2</v>
      </c>
      <c r="AH1140" s="76">
        <f t="array" ref="AH1140">AVERAGEIFS($I$2:$I2248,$B$2:$B2248,$B1140,$P$2:$P2248,"&lt;="&amp;$P1140,$P$2:$P2248,"&gt;"&amp;$P1140-7)</f>
        <v>6.7446808510638299</v>
      </c>
      <c r="AI1140" s="76">
        <f ca="1">IFERROR(__xludf.DUMMYFUNCTION("iferror(stdevp(filter($H$2:$H2250,$B$2:$B2250=$B1140,$O$2:$O2250&lt;=$O1140,$O$2:$O2250&gt;$O1140-7)),0)"),2.33927814126969)</f>
        <v>2.3392781412696899</v>
      </c>
      <c r="AJ1140" s="77">
        <f t="shared" ca="1" si="10"/>
        <v>-0.31833788292470405</v>
      </c>
      <c r="AK1140" s="77">
        <f t="shared" ca="1" si="11"/>
        <v>2</v>
      </c>
      <c r="AL1140" s="76">
        <f t="array" ref="AL1140">AVERAGEIFS($J$2:$J2248,$B$2:$B2248,$B1140,$P$2:$P2248,"&lt;="&amp;$P1140,$P$2:$P2248,"&gt;"&amp;$P1140-7)</f>
        <v>8.1063829787234045</v>
      </c>
      <c r="AM1140" s="76">
        <f ca="1">IFERROR(__xludf.DUMMYFUNCTION("iferror(stdevp(filter($I$2:$I2250,$B$2:$B2250=$B1140,$O$2:$O2250&lt;=$O1140,$O$2:$O2250&gt;$O1140-7)),0)"),0.999999999999999)</f>
        <v>0.999999999999999</v>
      </c>
      <c r="AN1140" s="77">
        <f t="shared" ca="1" si="13"/>
        <v>-1.1063829787234056</v>
      </c>
      <c r="AO1140" s="77">
        <f t="shared" ca="1" si="14"/>
        <v>1</v>
      </c>
      <c r="AP1140" s="76">
        <f t="array" ref="AP1140">AVERAGEIFS($K$2:$K2248,$B$2:$B2248,$B1140,$P$2:$P2248,"&lt;="&amp;$P1140,$P$2:$P2248,"&gt;"&amp;$P1140-7)</f>
        <v>8.2978723404255312</v>
      </c>
      <c r="AQ1140" s="76">
        <f ca="1">IFERROR(__xludf.DUMMYFUNCTION("iferror(stdevp(filter($J$2:$J2250,$B$2:$B2250=$B1140,$O$2:$O2250&lt;=$O1140,$O$2:$O2250&gt;$O1140-7)),0)"),0.74535599249993)</f>
        <v>0.74535599249993001</v>
      </c>
      <c r="AR1140" s="77">
        <f t="shared" ca="1" si="15"/>
        <v>-0.39963768108506781</v>
      </c>
      <c r="AS1140" s="77">
        <f t="shared" ca="1" si="16"/>
        <v>2</v>
      </c>
      <c r="AT1140" s="78">
        <f t="shared" ca="1" si="12"/>
        <v>0.41666666666666669</v>
      </c>
    </row>
    <row r="1141" spans="1:46" ht="12.5" x14ac:dyDescent="0.25">
      <c r="A1141" s="75">
        <v>44966.427710208329</v>
      </c>
      <c r="B1141" s="1" t="s">
        <v>29</v>
      </c>
      <c r="C1141" s="1" t="str">
        <f>INDEX(TBL_Name,MATCH(Table2[[#This Row],[Athlete Name]],listNames,0),2)</f>
        <v>Athlete 18</v>
      </c>
      <c r="D1141" s="1" t="s">
        <v>130</v>
      </c>
      <c r="E1141" s="1">
        <v>9</v>
      </c>
      <c r="F1141" s="1">
        <v>10</v>
      </c>
      <c r="G1141" s="1">
        <v>9</v>
      </c>
      <c r="H1141" s="1" t="s">
        <v>1524</v>
      </c>
      <c r="I1141" s="1">
        <v>6</v>
      </c>
      <c r="J1141" s="1">
        <v>8</v>
      </c>
      <c r="K1141" s="1">
        <v>8</v>
      </c>
      <c r="L1141" s="1">
        <v>97</v>
      </c>
      <c r="M1141" s="1" t="e">
        <f t="shared" ca="1" si="0"/>
        <v>#NAME?</v>
      </c>
      <c r="N1141" s="1" t="e">
        <f t="shared" si="1"/>
        <v>#VALUE!</v>
      </c>
      <c r="O1141" s="1" t="e">
        <f ca="1">IF($N1141=_xludf.MINIFS($N$2:$N2327,$R$2:$R2327,$R1141),1,
($N1141-_xludf.MINIFS($N$2:$N2327,$R$2:$R2327,$R1141))+1)</f>
        <v>#VALUE!</v>
      </c>
      <c r="P1141" s="13" t="e">
        <f t="shared" si="2"/>
        <v>#VALUE!</v>
      </c>
      <c r="Q1141" s="1" t="e">
        <f>RIGHT(YEAR($A1141),2)-(MONTH($A1141)&lt;=#REF!)
 &amp;"-"&amp;
 RIGHT(YEAR($A1141),2)+(MONTH($A1141)&gt;=#REF!)</f>
        <v>#REF!</v>
      </c>
      <c r="R1141" s="1" t="e">
        <f>CHOOSE(MONTH($P1141),#REF!,#REF!,#REF!,#REF!,#REF!,#REF!,#REF!,#REF!,#REF!,#REF!,#REF!,#REF!)&amp;" "&amp;$Q1141</f>
        <v>#VALUE!</v>
      </c>
      <c r="S1141" s="1">
        <f t="shared" si="3"/>
        <v>1</v>
      </c>
      <c r="T1141" s="1" t="str">
        <f t="array" ref="T1141">IFERROR(INDEX(#REF!,MATCH($B1141,#REF!,0)),"")</f>
        <v/>
      </c>
      <c r="U1141" s="1" t="str">
        <f t="array" ref="U1141">IFERROR(INDEX(#REF!,MATCH($B1141,#REF!,0)),"")</f>
        <v/>
      </c>
      <c r="V1141" s="76">
        <f t="array" ref="V1141">AVERAGEIFS($E$2:$E2248,$B$2:$B2248,$B1141,$P$2:$P2248,"&lt;="&amp;$P1141,$P$2:$P2248,"&gt;"&amp;$P1141-7)</f>
        <v>8.53125</v>
      </c>
      <c r="W1141" s="76">
        <f ca="1">IFERROR(__xludf.DUMMYFUNCTION("iferror(stdevp(filter($D$2:$D2250,$B$2:$B2250=$B1141,$O$2:$O2250&lt;=$O1141,$O$2:$O2250&gt;$O1141-7)),0)"),0)</f>
        <v>0</v>
      </c>
      <c r="X1141" s="77">
        <f t="shared" ca="1" si="4"/>
        <v>0</v>
      </c>
      <c r="Y1141" s="77">
        <f t="shared" ca="1" si="5"/>
        <v>3</v>
      </c>
      <c r="Z1141" s="76">
        <f t="array" ref="Z1141">AVERAGEIFS($F$2:$F2248,$B$2:$B2248,$B1141,$P$2:$P2248,"&lt;="&amp;$P1141,$P$2:$P2248,"&gt;"&amp;$P1141-7)</f>
        <v>8.125</v>
      </c>
      <c r="AA1141" s="76">
        <f ca="1">IFERROR(__xludf.DUMMYFUNCTION("iferror(stdevp(filter($E$2:$E2250,$B$2:$B2250=$B1141,$O$2:$O2250&lt;=$O1141,$O$2:$O2250&gt;$O1141-7)),0)"),0.866025403784438)</f>
        <v>0.86602540378443804</v>
      </c>
      <c r="AB1141" s="77">
        <f t="shared" ca="1" si="6"/>
        <v>2.1650635094610982</v>
      </c>
      <c r="AC1141" s="77">
        <f t="shared" ca="1" si="7"/>
        <v>4</v>
      </c>
      <c r="AD1141" s="76">
        <f t="array" ref="AD1141">AVERAGEIFS($G$2:$G2248,$B$2:$B2248,$B1141,$P$2:$P2248,"&lt;="&amp;$P1141,$P$2:$P2248,"&gt;"&amp;$P1141-7)</f>
        <v>8.09375</v>
      </c>
      <c r="AE1141" s="76">
        <f ca="1">IFERROR(__xludf.DUMMYFUNCTION("iferror(stdevp(filter($F$2:$F2250,$B$2:$B2250=$B1141,$O$2:$O2250&lt;=$O1141,$O$2:$O2250&gt;$O1141-7)),0)"),0.5)</f>
        <v>0.5</v>
      </c>
      <c r="AF1141" s="77">
        <f t="shared" ca="1" si="8"/>
        <v>1.8125</v>
      </c>
      <c r="AG1141" s="77">
        <f t="shared" ca="1" si="9"/>
        <v>4</v>
      </c>
      <c r="AH1141" s="76">
        <f t="array" ref="AH1141">AVERAGEIFS($I$2:$I2248,$B$2:$B2248,$B1141,$P$2:$P2248,"&lt;="&amp;$P1141,$P$2:$P2248,"&gt;"&amp;$P1141-7)</f>
        <v>7.875</v>
      </c>
      <c r="AI1141" s="76">
        <f ca="1">IFERROR(__xludf.DUMMYFUNCTION("iferror(stdevp(filter($H$2:$H2250,$B$2:$B2250=$B1141,$O$2:$O2250&lt;=$O1141,$O$2:$O2250&gt;$O1141-7)),0)"),1.4790199457749)</f>
        <v>1.4790199457749</v>
      </c>
      <c r="AJ1141" s="77">
        <f t="shared" ca="1" si="10"/>
        <v>-1.2677313820927782</v>
      </c>
      <c r="AK1141" s="77">
        <f t="shared" ca="1" si="11"/>
        <v>1</v>
      </c>
      <c r="AL1141" s="76">
        <f t="array" ref="AL1141">AVERAGEIFS($J$2:$J2248,$B$2:$B2248,$B1141,$P$2:$P2248,"&lt;="&amp;$P1141,$P$2:$P2248,"&gt;"&amp;$P1141-7)</f>
        <v>8.34375</v>
      </c>
      <c r="AM1141" s="76">
        <f ca="1">IFERROR(__xludf.DUMMYFUNCTION("iferror(stdevp(filter($I$2:$I2250,$B$2:$B2250=$B1141,$O$2:$O2250&lt;=$O1141,$O$2:$O2250&gt;$O1141-7)),0)"),0.433012701892219)</f>
        <v>0.43301270189221902</v>
      </c>
      <c r="AN1141" s="77">
        <f t="shared" ca="1" si="13"/>
        <v>-0.79385662013573599</v>
      </c>
      <c r="AO1141" s="77">
        <f t="shared" ca="1" si="14"/>
        <v>2</v>
      </c>
      <c r="AP1141" s="76">
        <f t="array" ref="AP1141">AVERAGEIFS($K$2:$K2248,$B$2:$B2248,$B1141,$P$2:$P2248,"&lt;="&amp;$P1141,$P$2:$P2248,"&gt;"&amp;$P1141-7)</f>
        <v>8.46875</v>
      </c>
      <c r="AQ1141" s="76">
        <f ca="1">IFERROR(__xludf.DUMMYFUNCTION("iferror(stdevp(filter($J$2:$J2250,$B$2:$B2250=$B1141,$O$2:$O2250&lt;=$O1141,$O$2:$O2250&gt;$O1141-7)),0)"),0.433012701892219)</f>
        <v>0.43301270189221902</v>
      </c>
      <c r="AR1141" s="77">
        <f t="shared" ca="1" si="15"/>
        <v>-1.0825317547305491</v>
      </c>
      <c r="AS1141" s="77">
        <f t="shared" ca="1" si="16"/>
        <v>1</v>
      </c>
      <c r="AT1141" s="78">
        <f t="shared" ca="1" si="12"/>
        <v>0.625</v>
      </c>
    </row>
    <row r="1142" spans="1:46" ht="12.5" x14ac:dyDescent="0.25">
      <c r="A1142" s="75">
        <v>44966.433262638893</v>
      </c>
      <c r="B1142" s="1" t="s">
        <v>9</v>
      </c>
      <c r="C1142" s="1" t="str">
        <f>INDEX(TBL_Name,MATCH(Table2[[#This Row],[Athlete Name]],listNames,0),2)</f>
        <v>Athlete 4</v>
      </c>
      <c r="D1142" s="1" t="s">
        <v>130</v>
      </c>
      <c r="E1142" s="1">
        <v>8</v>
      </c>
      <c r="F1142" s="1">
        <v>6</v>
      </c>
      <c r="G1142" s="1">
        <v>7</v>
      </c>
      <c r="H1142" s="1" t="s">
        <v>1525</v>
      </c>
      <c r="I1142" s="1">
        <v>4</v>
      </c>
      <c r="J1142" s="1">
        <v>9</v>
      </c>
      <c r="K1142" s="1">
        <v>7</v>
      </c>
      <c r="L1142" s="1">
        <v>80</v>
      </c>
      <c r="M1142" s="1" t="e">
        <f t="shared" ca="1" si="0"/>
        <v>#NAME?</v>
      </c>
      <c r="N1142" s="1" t="e">
        <f t="shared" si="1"/>
        <v>#VALUE!</v>
      </c>
      <c r="O1142" s="1" t="e">
        <f ca="1">IF($N1142=_xludf.MINIFS($N$2:$N2328,$R$2:$R2328,$R1142),1,
($N1142-_xludf.MINIFS($N$2:$N2328,$R$2:$R2328,$R1142))+1)</f>
        <v>#VALUE!</v>
      </c>
      <c r="P1142" s="13" t="e">
        <f t="shared" si="2"/>
        <v>#VALUE!</v>
      </c>
      <c r="Q1142" s="1" t="e">
        <f>RIGHT(YEAR($A1142),2)-(MONTH($A1142)&lt;=#REF!)
 &amp;"-"&amp;
 RIGHT(YEAR($A1142),2)+(MONTH($A1142)&gt;=#REF!)</f>
        <v>#REF!</v>
      </c>
      <c r="R1142" s="1" t="e">
        <f>CHOOSE(MONTH($P1142),#REF!,#REF!,#REF!,#REF!,#REF!,#REF!,#REF!,#REF!,#REF!,#REF!,#REF!,#REF!)&amp;" "&amp;$Q1142</f>
        <v>#VALUE!</v>
      </c>
      <c r="S1142" s="1">
        <f t="shared" si="3"/>
        <v>1</v>
      </c>
      <c r="T1142" s="1" t="str">
        <f t="array" ref="T1142">IFERROR(INDEX(#REF!,MATCH($B1142,#REF!,0)),"")</f>
        <v/>
      </c>
      <c r="U1142" s="1" t="str">
        <f t="array" ref="U1142">IFERROR(INDEX(#REF!,MATCH($B1142,#REF!,0)),"")</f>
        <v/>
      </c>
      <c r="V1142" s="76">
        <f t="array" ref="V1142">AVERAGEIFS($E$2:$E2248,$B$2:$B2248,$B1142,$P$2:$P2248,"&lt;="&amp;$P1142,$P$2:$P2248,"&gt;"&amp;$P1142-7)</f>
        <v>7.4230769230769234</v>
      </c>
      <c r="W1142" s="76">
        <f ca="1">IFERROR(__xludf.DUMMYFUNCTION("iferror(stdevp(filter($D$2:$D2250,$B$2:$B2250=$B1142,$O$2:$O2250&lt;=$O1142,$O$2:$O2250&gt;$O1142-7)),0)"),0)</f>
        <v>0</v>
      </c>
      <c r="X1142" s="77">
        <f t="shared" ca="1" si="4"/>
        <v>0</v>
      </c>
      <c r="Y1142" s="77">
        <f t="shared" ca="1" si="5"/>
        <v>3</v>
      </c>
      <c r="Z1142" s="76">
        <f t="array" ref="Z1142">AVERAGEIFS($F$2:$F2248,$B$2:$B2248,$B1142,$P$2:$P2248,"&lt;="&amp;$P1142,$P$2:$P2248,"&gt;"&amp;$P1142-7)</f>
        <v>7.1538461538461542</v>
      </c>
      <c r="AA1142" s="76">
        <f ca="1">IFERROR(__xludf.DUMMYFUNCTION("iferror(stdevp(filter($E$2:$E2250,$B$2:$B2250=$B1142,$O$2:$O2250&lt;=$O1142,$O$2:$O2250&gt;$O1142-7)),0)"),0.942809041582063)</f>
        <v>0.94280904158206302</v>
      </c>
      <c r="AB1142" s="77">
        <f t="shared" ca="1" si="6"/>
        <v>-1.2238386597459485</v>
      </c>
      <c r="AC1142" s="77">
        <f t="shared" ca="1" si="7"/>
        <v>1</v>
      </c>
      <c r="AD1142" s="76">
        <f t="array" ref="AD1142">AVERAGEIFS($G$2:$G2248,$B$2:$B2248,$B1142,$P$2:$P2248,"&lt;="&amp;$P1142,$P$2:$P2248,"&gt;"&amp;$P1142-7)</f>
        <v>7.615384615384615</v>
      </c>
      <c r="AE1142" s="76">
        <f ca="1">IFERROR(__xludf.DUMMYFUNCTION("iferror(stdevp(filter($F$2:$F2250,$B$2:$B2250=$B1142,$O$2:$O2250&lt;=$O1142,$O$2:$O2250&gt;$O1142-7)),0)"),0.471404520791031)</f>
        <v>0.47140452079103101</v>
      </c>
      <c r="AF1142" s="77">
        <f t="shared" ca="1" si="8"/>
        <v>-1.3054279037290117</v>
      </c>
      <c r="AG1142" s="77">
        <f t="shared" ca="1" si="9"/>
        <v>1</v>
      </c>
      <c r="AH1142" s="76">
        <f t="array" ref="AH1142">AVERAGEIFS($I$2:$I2248,$B$2:$B2248,$B1142,$P$2:$P2248,"&lt;="&amp;$P1142,$P$2:$P2248,"&gt;"&amp;$P1142-7)</f>
        <v>5.1923076923076925</v>
      </c>
      <c r="AI1142" s="76">
        <f ca="1">IFERROR(__xludf.DUMMYFUNCTION("iferror(stdevp(filter($H$2:$H2250,$B$2:$B2250=$B1142,$O$2:$O2250&lt;=$O1142,$O$2:$O2250&gt;$O1142-7)),0)"),1.24721912892464)</f>
        <v>1.2472191289246399</v>
      </c>
      <c r="AJ1142" s="77">
        <f t="shared" ca="1" si="10"/>
        <v>-0.9559729037636775</v>
      </c>
      <c r="AK1142" s="77">
        <f t="shared" ca="1" si="11"/>
        <v>2</v>
      </c>
      <c r="AL1142" s="76">
        <f t="array" ref="AL1142">AVERAGEIFS($J$2:$J2248,$B$2:$B2248,$B1142,$P$2:$P2248,"&lt;="&amp;$P1142,$P$2:$P2248,"&gt;"&amp;$P1142-7)</f>
        <v>7.6923076923076925</v>
      </c>
      <c r="AM1142" s="76">
        <f ca="1">IFERROR(__xludf.DUMMYFUNCTION("iferror(stdevp(filter($I$2:$I2250,$B$2:$B2250=$B1142,$O$2:$O2250&lt;=$O1142,$O$2:$O2250&gt;$O1142-7)),0)"),0.816496580927726)</f>
        <v>0.81649658092772603</v>
      </c>
      <c r="AN1142" s="77">
        <f t="shared" ca="1" si="13"/>
        <v>1.6015894472043855</v>
      </c>
      <c r="AO1142" s="77">
        <f t="shared" ca="1" si="14"/>
        <v>4</v>
      </c>
      <c r="AP1142" s="76">
        <f t="array" ref="AP1142">AVERAGEIFS($K$2:$K2248,$B$2:$B2248,$B1142,$P$2:$P2248,"&lt;="&amp;$P1142,$P$2:$P2248,"&gt;"&amp;$P1142-7)</f>
        <v>7.8461538461538458</v>
      </c>
      <c r="AQ1142" s="76">
        <f ca="1">IFERROR(__xludf.DUMMYFUNCTION("iferror(stdevp(filter($J$2:$J2250,$B$2:$B2250=$B1142,$O$2:$O2250&lt;=$O1142,$O$2:$O2250&gt;$O1142-7)),0)"),0)</f>
        <v>0</v>
      </c>
      <c r="AR1142" s="77">
        <f t="shared" ca="1" si="15"/>
        <v>0</v>
      </c>
      <c r="AS1142" s="77">
        <f t="shared" ca="1" si="16"/>
        <v>3</v>
      </c>
      <c r="AT1142" s="78">
        <f t="shared" ca="1" si="12"/>
        <v>0.58333333333333337</v>
      </c>
    </row>
    <row r="1143" spans="1:46" ht="12.5" x14ac:dyDescent="0.25">
      <c r="A1143" s="75">
        <v>44966.46224739583</v>
      </c>
      <c r="B1143" s="1" t="s">
        <v>24</v>
      </c>
      <c r="C1143" s="1" t="str">
        <f>INDEX(TBL_Name,MATCH(Table2[[#This Row],[Athlete Name]],listNames,0),2)</f>
        <v>Athlete 16</v>
      </c>
      <c r="D1143" s="1" t="s">
        <v>130</v>
      </c>
      <c r="E1143" s="1">
        <v>4</v>
      </c>
      <c r="F1143" s="1">
        <v>7</v>
      </c>
      <c r="G1143" s="1">
        <v>6</v>
      </c>
      <c r="H1143" s="1" t="s">
        <v>1526</v>
      </c>
      <c r="I1143" s="1">
        <v>4</v>
      </c>
      <c r="J1143" s="1">
        <v>4</v>
      </c>
      <c r="K1143" s="1">
        <v>5</v>
      </c>
      <c r="L1143" s="1">
        <v>90</v>
      </c>
      <c r="M1143" s="1" t="e">
        <f t="shared" ca="1" si="0"/>
        <v>#NAME?</v>
      </c>
      <c r="N1143" s="1" t="e">
        <f t="shared" si="1"/>
        <v>#VALUE!</v>
      </c>
      <c r="O1143" s="1" t="e">
        <f ca="1">IF($N1143=_xludf.MINIFS($N$2:$N2329,$R$2:$R2329,$R1143),1,
($N1143-_xludf.MINIFS($N$2:$N2329,$R$2:$R2329,$R1143))+1)</f>
        <v>#VALUE!</v>
      </c>
      <c r="P1143" s="13" t="e">
        <f t="shared" si="2"/>
        <v>#VALUE!</v>
      </c>
      <c r="Q1143" s="1" t="e">
        <f>RIGHT(YEAR($A1143),2)-(MONTH($A1143)&lt;=#REF!)
 &amp;"-"&amp;
 RIGHT(YEAR($A1143),2)+(MONTH($A1143)&gt;=#REF!)</f>
        <v>#REF!</v>
      </c>
      <c r="R1143" s="1" t="e">
        <f>CHOOSE(MONTH($P1143),#REF!,#REF!,#REF!,#REF!,#REF!,#REF!,#REF!,#REF!,#REF!,#REF!,#REF!,#REF!)&amp;" "&amp;$Q1143</f>
        <v>#VALUE!</v>
      </c>
      <c r="S1143" s="1">
        <f t="shared" si="3"/>
        <v>1</v>
      </c>
      <c r="T1143" s="1" t="str">
        <f t="array" ref="T1143">IFERROR(INDEX(#REF!,MATCH($B1143,#REF!,0)),"")</f>
        <v/>
      </c>
      <c r="U1143" s="1" t="str">
        <f t="array" ref="U1143">IFERROR(INDEX(#REF!,MATCH($B1143,#REF!,0)),"")</f>
        <v/>
      </c>
      <c r="V1143" s="76">
        <f t="array" ref="V1143">AVERAGEIFS($E$2:$E2248,$B$2:$B2248,$B1143,$P$2:$P2248,"&lt;="&amp;$P1143,$P$2:$P2248,"&gt;"&amp;$P1143-7)</f>
        <v>4.1818181818181817</v>
      </c>
      <c r="W1143" s="76">
        <f ca="1">IFERROR(__xludf.DUMMYFUNCTION("iferror(stdevp(filter($D$2:$D2250,$B$2:$B2250=$B1143,$O$2:$O2250&lt;=$O1143,$O$2:$O2250&gt;$O1143-7)),0)"),0.471404520791031)</f>
        <v>0.47140452079103101</v>
      </c>
      <c r="X1143" s="77">
        <f t="shared" ca="1" si="4"/>
        <v>-0.38569460791993521</v>
      </c>
      <c r="Y1143" s="77">
        <f t="shared" ca="1" si="5"/>
        <v>2</v>
      </c>
      <c r="Z1143" s="76">
        <f t="array" ref="Z1143">AVERAGEIFS($F$2:$F2248,$B$2:$B2248,$B1143,$P$2:$P2248,"&lt;="&amp;$P1143,$P$2:$P2248,"&gt;"&amp;$P1143-7)</f>
        <v>6</v>
      </c>
      <c r="AA1143" s="76">
        <f ca="1">IFERROR(__xludf.DUMMYFUNCTION("iferror(stdevp(filter($E$2:$E2250,$B$2:$B2250=$B1143,$O$2:$O2250&lt;=$O1143,$O$2:$O2250&gt;$O1143-7)),0)"),1.69967317119759)</f>
        <v>1.6996731711975901</v>
      </c>
      <c r="AB1143" s="77">
        <f t="shared" ca="1" si="6"/>
        <v>0.5883484054145538</v>
      </c>
      <c r="AC1143" s="77">
        <f t="shared" ca="1" si="7"/>
        <v>3</v>
      </c>
      <c r="AD1143" s="76">
        <f t="array" ref="AD1143">AVERAGEIFS($G$2:$G2248,$B$2:$B2248,$B1143,$P$2:$P2248,"&lt;="&amp;$P1143,$P$2:$P2248,"&gt;"&amp;$P1143-7)</f>
        <v>5.9090909090909092</v>
      </c>
      <c r="AE1143" s="76">
        <f ca="1">IFERROR(__xludf.DUMMYFUNCTION("iferror(stdevp(filter($F$2:$F2250,$B$2:$B2250=$B1143,$O$2:$O2250&lt;=$O1143,$O$2:$O2250&gt;$O1143-7)),0)"),1.24721912892464)</f>
        <v>1.2472191289246399</v>
      </c>
      <c r="AF1143" s="77">
        <f t="shared" ca="1" si="8"/>
        <v>7.2889429612479739E-2</v>
      </c>
      <c r="AG1143" s="77">
        <f t="shared" ca="1" si="9"/>
        <v>3</v>
      </c>
      <c r="AH1143" s="76">
        <f t="array" ref="AH1143">AVERAGEIFS($I$2:$I2248,$B$2:$B2248,$B1143,$P$2:$P2248,"&lt;="&amp;$P1143,$P$2:$P2248,"&gt;"&amp;$P1143-7)</f>
        <v>4.9545454545454541</v>
      </c>
      <c r="AI1143" s="76">
        <f ca="1">IFERROR(__xludf.DUMMYFUNCTION("iferror(stdevp(filter($H$2:$H2250,$B$2:$B2250=$B1143,$O$2:$O2250&lt;=$O1143,$O$2:$O2250&gt;$O1143-7)),0)"),1.24721912892464)</f>
        <v>1.2472191289246399</v>
      </c>
      <c r="AJ1143" s="77">
        <f t="shared" ca="1" si="10"/>
        <v>-0.76533901093103751</v>
      </c>
      <c r="AK1143" s="77">
        <f t="shared" ca="1" si="11"/>
        <v>2</v>
      </c>
      <c r="AL1143" s="76">
        <f t="array" ref="AL1143">AVERAGEIFS($J$2:$J2248,$B$2:$B2248,$B1143,$P$2:$P2248,"&lt;="&amp;$P1143,$P$2:$P2248,"&gt;"&amp;$P1143-7)</f>
        <v>6.9090909090909092</v>
      </c>
      <c r="AM1143" s="76">
        <f ca="1">IFERROR(__xludf.DUMMYFUNCTION("iferror(stdevp(filter($I$2:$I2250,$B$2:$B2250=$B1143,$O$2:$O2250&lt;=$O1143,$O$2:$O2250&gt;$O1143-7)),0)"),1.69967317119759)</f>
        <v>1.6996731711975901</v>
      </c>
      <c r="AN1143" s="77">
        <f t="shared" ca="1" si="13"/>
        <v>-1.7115589975696111</v>
      </c>
      <c r="AO1143" s="77">
        <f t="shared" ca="1" si="14"/>
        <v>1</v>
      </c>
      <c r="AP1143" s="76">
        <f t="array" ref="AP1143">AVERAGEIFS($K$2:$K2248,$B$2:$B2248,$B1143,$P$2:$P2248,"&lt;="&amp;$P1143,$P$2:$P2248,"&gt;"&amp;$P1143-7)</f>
        <v>6.7272727272727275</v>
      </c>
      <c r="AQ1143" s="76">
        <f ca="1">IFERROR(__xludf.DUMMYFUNCTION("iferror(stdevp(filter($J$2:$J2250,$B$2:$B2250=$B1143,$O$2:$O2250&lt;=$O1143,$O$2:$O2250&gt;$O1143-7)),0)"),0.816496580927726)</f>
        <v>0.81649658092772603</v>
      </c>
      <c r="AR1143" s="77">
        <f t="shared" ca="1" si="15"/>
        <v>-2.1154684142218358</v>
      </c>
      <c r="AS1143" s="77">
        <f t="shared" ca="1" si="16"/>
        <v>1</v>
      </c>
      <c r="AT1143" s="78">
        <f t="shared" ca="1" si="12"/>
        <v>0.5</v>
      </c>
    </row>
    <row r="1144" spans="1:46" ht="12.5" x14ac:dyDescent="0.25">
      <c r="A1144" s="75">
        <v>44966.472826840283</v>
      </c>
      <c r="B1144" s="1" t="s">
        <v>19</v>
      </c>
      <c r="C1144" s="1" t="str">
        <f>INDEX(TBL_Name,MATCH(Table2[[#This Row],[Athlete Name]],listNames,0),2)</f>
        <v>Athlete 11</v>
      </c>
      <c r="D1144" s="1" t="s">
        <v>130</v>
      </c>
      <c r="E1144" s="1">
        <v>6</v>
      </c>
      <c r="F1144" s="1">
        <v>8</v>
      </c>
      <c r="G1144" s="1">
        <v>8</v>
      </c>
      <c r="H1144" s="1" t="s">
        <v>1527</v>
      </c>
      <c r="I1144" s="1">
        <v>3</v>
      </c>
      <c r="J1144" s="1">
        <v>7</v>
      </c>
      <c r="K1144" s="1">
        <v>8</v>
      </c>
      <c r="L1144" s="1">
        <v>64</v>
      </c>
      <c r="M1144" s="1" t="e">
        <f t="shared" ca="1" si="0"/>
        <v>#NAME?</v>
      </c>
      <c r="N1144" s="1" t="e">
        <f t="shared" si="1"/>
        <v>#VALUE!</v>
      </c>
      <c r="O1144" s="1" t="e">
        <f ca="1">IF($N1144=_xludf.MINIFS($N$2:$N2330,$R$2:$R2330,$R1144),1,
($N1144-_xludf.MINIFS($N$2:$N2330,$R$2:$R2330,$R1144))+1)</f>
        <v>#VALUE!</v>
      </c>
      <c r="P1144" s="13" t="e">
        <f t="shared" si="2"/>
        <v>#VALUE!</v>
      </c>
      <c r="Q1144" s="1" t="e">
        <f>RIGHT(YEAR($A1144),2)-(MONTH($A1144)&lt;=#REF!)
 &amp;"-"&amp;
 RIGHT(YEAR($A1144),2)+(MONTH($A1144)&gt;=#REF!)</f>
        <v>#REF!</v>
      </c>
      <c r="R1144" s="1" t="e">
        <f>CHOOSE(MONTH($P1144),#REF!,#REF!,#REF!,#REF!,#REF!,#REF!,#REF!,#REF!,#REF!,#REF!,#REF!,#REF!)&amp;" "&amp;$Q1144</f>
        <v>#VALUE!</v>
      </c>
      <c r="S1144" s="1">
        <f t="shared" si="3"/>
        <v>1</v>
      </c>
      <c r="T1144" s="1" t="str">
        <f t="array" ref="T1144">IFERROR(INDEX(#REF!,MATCH($B1144,#REF!,0)),"")</f>
        <v/>
      </c>
      <c r="U1144" s="1" t="str">
        <f t="array" ref="U1144">IFERROR(INDEX(#REF!,MATCH($B1144,#REF!,0)),"")</f>
        <v/>
      </c>
      <c r="V1144" s="76">
        <f t="array" ref="V1144">AVERAGEIFS($E$2:$E2248,$B$2:$B2248,$B1144,$P$2:$P2248,"&lt;="&amp;$P1144,$P$2:$P2248,"&gt;"&amp;$P1144-7)</f>
        <v>4.6538461538461542</v>
      </c>
      <c r="W1144" s="76">
        <f ca="1">IFERROR(__xludf.DUMMYFUNCTION("iferror(stdevp(filter($D$2:$D2250,$B$2:$B2250=$B1144,$O$2:$O2250&lt;=$O1144,$O$2:$O2250&gt;$O1144-7)),0)"),1.6)</f>
        <v>1.6</v>
      </c>
      <c r="X1144" s="77">
        <f t="shared" ca="1" si="4"/>
        <v>0.84134615384615363</v>
      </c>
      <c r="Y1144" s="77">
        <f t="shared" ca="1" si="5"/>
        <v>3</v>
      </c>
      <c r="Z1144" s="76">
        <f t="array" ref="Z1144">AVERAGEIFS($F$2:$F2248,$B$2:$B2248,$B1144,$P$2:$P2248,"&lt;="&amp;$P1144,$P$2:$P2248,"&gt;"&amp;$P1144-7)</f>
        <v>6.8461538461538458</v>
      </c>
      <c r="AA1144" s="76">
        <f ca="1">IFERROR(__xludf.DUMMYFUNCTION("iferror(stdevp(filter($E$2:$E2250,$B$2:$B2250=$B1144,$O$2:$O2250&lt;=$O1144,$O$2:$O2250&gt;$O1144-7)),0)"),0.399999999999999)</f>
        <v>0.39999999999999902</v>
      </c>
      <c r="AB1144" s="77">
        <f t="shared" ca="1" si="6"/>
        <v>2.8846153846153926</v>
      </c>
      <c r="AC1144" s="77">
        <f t="shared" ca="1" si="7"/>
        <v>4</v>
      </c>
      <c r="AD1144" s="76">
        <f t="array" ref="AD1144">AVERAGEIFS($G$2:$G2248,$B$2:$B2248,$B1144,$P$2:$P2248,"&lt;="&amp;$P1144,$P$2:$P2248,"&gt;"&amp;$P1144-7)</f>
        <v>7.2692307692307692</v>
      </c>
      <c r="AE1144" s="76">
        <f ca="1">IFERROR(__xludf.DUMMYFUNCTION("iferror(stdevp(filter($F$2:$F2250,$B$2:$B2250=$B1144,$O$2:$O2250&lt;=$O1144,$O$2:$O2250&gt;$O1144-7)),0)"),0.399999999999999)</f>
        <v>0.39999999999999902</v>
      </c>
      <c r="AF1144" s="77">
        <f t="shared" ca="1" si="8"/>
        <v>1.8269230769230815</v>
      </c>
      <c r="AG1144" s="77">
        <f t="shared" ca="1" si="9"/>
        <v>4</v>
      </c>
      <c r="AH1144" s="76">
        <f t="array" ref="AH1144">AVERAGEIFS($I$2:$I2248,$B$2:$B2248,$B1144,$P$2:$P2248,"&lt;="&amp;$P1144,$P$2:$P2248,"&gt;"&amp;$P1144-7)</f>
        <v>4.9230769230769234</v>
      </c>
      <c r="AI1144" s="76">
        <f ca="1">IFERROR(__xludf.DUMMYFUNCTION("iferror(stdevp(filter($H$2:$H2250,$B$2:$B2250=$B1144,$O$2:$O2250&lt;=$O1144,$O$2:$O2250&gt;$O1144-7)),0)"),1.4696938456699)</f>
        <v>1.4696938456699</v>
      </c>
      <c r="AJ1144" s="77">
        <f t="shared" ca="1" si="10"/>
        <v>-1.3084881104611057</v>
      </c>
      <c r="AK1144" s="77">
        <f t="shared" ca="1" si="11"/>
        <v>1</v>
      </c>
      <c r="AL1144" s="76">
        <f t="array" ref="AL1144">AVERAGEIFS($J$2:$J2248,$B$2:$B2248,$B1144,$P$2:$P2248,"&lt;="&amp;$P1144,$P$2:$P2248,"&gt;"&amp;$P1144-7)</f>
        <v>7.5769230769230766</v>
      </c>
      <c r="AM1144" s="76">
        <f ca="1">IFERROR(__xludf.DUMMYFUNCTION("iferror(stdevp(filter($I$2:$I2250,$B$2:$B2250=$B1144,$O$2:$O2250&lt;=$O1144,$O$2:$O2250&gt;$O1144-7)),0)"),0.632455532033675)</f>
        <v>0.63245553203367499</v>
      </c>
      <c r="AN1144" s="77">
        <f t="shared" ca="1" si="13"/>
        <v>-0.91219547889472563</v>
      </c>
      <c r="AO1144" s="77">
        <f t="shared" ca="1" si="14"/>
        <v>2</v>
      </c>
      <c r="AP1144" s="76">
        <f t="array" ref="AP1144">AVERAGEIFS($K$2:$K2248,$B$2:$B2248,$B1144,$P$2:$P2248,"&lt;="&amp;$P1144,$P$2:$P2248,"&gt;"&amp;$P1144-7)</f>
        <v>8</v>
      </c>
      <c r="AQ1144" s="76">
        <f ca="1">IFERROR(__xludf.DUMMYFUNCTION("iferror(stdevp(filter($J$2:$J2250,$B$2:$B2250=$B1144,$O$2:$O2250&lt;=$O1144,$O$2:$O2250&gt;$O1144-7)),0)"),0.799999999999999)</f>
        <v>0.79999999999999905</v>
      </c>
      <c r="AR1144" s="77">
        <f t="shared" ca="1" si="15"/>
        <v>0</v>
      </c>
      <c r="AS1144" s="77">
        <f t="shared" ca="1" si="16"/>
        <v>3</v>
      </c>
      <c r="AT1144" s="78">
        <f t="shared" ca="1" si="12"/>
        <v>0.70833333333333337</v>
      </c>
    </row>
    <row r="1145" spans="1:46" ht="12.5" x14ac:dyDescent="0.25">
      <c r="A1145" s="75">
        <v>44966.474898449072</v>
      </c>
      <c r="B1145" s="1" t="s">
        <v>17</v>
      </c>
      <c r="C1145" s="1" t="str">
        <f>INDEX(TBL_Name,MATCH(Table2[[#This Row],[Athlete Name]],listNames,0),2)</f>
        <v>Athlete 10</v>
      </c>
      <c r="D1145" s="1" t="s">
        <v>130</v>
      </c>
      <c r="E1145" s="1">
        <v>7</v>
      </c>
      <c r="F1145" s="1">
        <v>7</v>
      </c>
      <c r="G1145" s="1">
        <v>8</v>
      </c>
      <c r="H1145" s="1" t="s">
        <v>1389</v>
      </c>
      <c r="I1145" s="1">
        <v>3</v>
      </c>
      <c r="J1145" s="1">
        <v>5</v>
      </c>
      <c r="K1145" s="1">
        <v>7</v>
      </c>
      <c r="L1145" s="1">
        <v>65</v>
      </c>
      <c r="M1145" s="1" t="e">
        <f t="shared" ca="1" si="0"/>
        <v>#NAME?</v>
      </c>
      <c r="N1145" s="1" t="e">
        <f t="shared" si="1"/>
        <v>#VALUE!</v>
      </c>
      <c r="O1145" s="1" t="e">
        <f ca="1">IF($N1145=_xludf.MINIFS($N$2:$N2331,$R$2:$R2331,$R1145),1,
($N1145-_xludf.MINIFS($N$2:$N2331,$R$2:$R2331,$R1145))+1)</f>
        <v>#VALUE!</v>
      </c>
      <c r="P1145" s="13" t="e">
        <f t="shared" si="2"/>
        <v>#VALUE!</v>
      </c>
      <c r="Q1145" s="1" t="e">
        <f>RIGHT(YEAR($A1145),2)-(MONTH($A1145)&lt;=#REF!)
 &amp;"-"&amp;
 RIGHT(YEAR($A1145),2)+(MONTH($A1145)&gt;=#REF!)</f>
        <v>#REF!</v>
      </c>
      <c r="R1145" s="1" t="e">
        <f>CHOOSE(MONTH($P1145),#REF!,#REF!,#REF!,#REF!,#REF!,#REF!,#REF!,#REF!,#REF!,#REF!,#REF!,#REF!)&amp;" "&amp;$Q1145</f>
        <v>#VALUE!</v>
      </c>
      <c r="S1145" s="1">
        <f t="shared" si="3"/>
        <v>1</v>
      </c>
      <c r="T1145" s="1" t="str">
        <f t="array" ref="T1145">IFERROR(INDEX(#REF!,MATCH($B1145,#REF!,0)),"")</f>
        <v/>
      </c>
      <c r="U1145" s="1" t="str">
        <f t="array" ref="U1145">IFERROR(INDEX(#REF!,MATCH($B1145,#REF!,0)),"")</f>
        <v/>
      </c>
      <c r="V1145" s="76">
        <f t="array" ref="V1145">AVERAGEIFS($E$2:$E2248,$B$2:$B2248,$B1145,$P$2:$P2248,"&lt;="&amp;$P1145,$P$2:$P2248,"&gt;"&amp;$P1145-7)</f>
        <v>6.9024390243902438</v>
      </c>
      <c r="W1145" s="76">
        <f ca="1">IFERROR(__xludf.DUMMYFUNCTION("iferror(stdevp(filter($D$2:$D2250,$B$2:$B2250=$B1145,$O$2:$O2250&lt;=$O1145,$O$2:$O2250&gt;$O1145-7)),0)"),1.93907194296653)</f>
        <v>1.93907194296653</v>
      </c>
      <c r="X1145" s="77">
        <f t="shared" ca="1" si="4"/>
        <v>5.0313231524819278E-2</v>
      </c>
      <c r="Y1145" s="77">
        <f t="shared" ca="1" si="5"/>
        <v>3</v>
      </c>
      <c r="Z1145" s="76">
        <f t="array" ref="Z1145">AVERAGEIFS($F$2:$F2248,$B$2:$B2248,$B1145,$P$2:$P2248,"&lt;="&amp;$P1145,$P$2:$P2248,"&gt;"&amp;$P1145-7)</f>
        <v>7.2926829268292686</v>
      </c>
      <c r="AA1145" s="76">
        <f ca="1">IFERROR(__xludf.DUMMYFUNCTION("iferror(stdevp(filter($E$2:$E2250,$B$2:$B2250=$B1145,$O$2:$O2250&lt;=$O1145,$O$2:$O2250&gt;$O1145-7)),0)"),1.85472369909914)</f>
        <v>1.85472369909914</v>
      </c>
      <c r="AB1145" s="77">
        <f t="shared" ca="1" si="6"/>
        <v>-0.15780405834649544</v>
      </c>
      <c r="AC1145" s="77">
        <f t="shared" ca="1" si="7"/>
        <v>2</v>
      </c>
      <c r="AD1145" s="76">
        <f t="array" ref="AD1145">AVERAGEIFS($G$2:$G2248,$B$2:$B2248,$B1145,$P$2:$P2248,"&lt;="&amp;$P1145,$P$2:$P2248,"&gt;"&amp;$P1145-7)</f>
        <v>7.8048780487804876</v>
      </c>
      <c r="AE1145" s="76">
        <f ca="1">IFERROR(__xludf.DUMMYFUNCTION("iferror(stdevp(filter($F$2:$F2250,$B$2:$B2250=$B1145,$O$2:$O2250&lt;=$O1145,$O$2:$O2250&gt;$O1145-7)),0)"),1.4696938456699)</f>
        <v>1.4696938456699</v>
      </c>
      <c r="AF1145" s="77">
        <f t="shared" ca="1" si="8"/>
        <v>0.13276367169556594</v>
      </c>
      <c r="AG1145" s="77">
        <f t="shared" ca="1" si="9"/>
        <v>3</v>
      </c>
      <c r="AH1145" s="76">
        <f t="array" ref="AH1145">AVERAGEIFS($I$2:$I2248,$B$2:$B2248,$B1145,$P$2:$P2248,"&lt;="&amp;$P1145,$P$2:$P2248,"&gt;"&amp;$P1145-7)</f>
        <v>6.3170731707317076</v>
      </c>
      <c r="AI1145" s="76">
        <f ca="1">IFERROR(__xludf.DUMMYFUNCTION("iferror(stdevp(filter($H$2:$H2250,$B$2:$B2250=$B1145,$O$2:$O2250&lt;=$O1145,$O$2:$O2250&gt;$O1145-7)),0)"),1.4696938456699)</f>
        <v>1.4696938456699</v>
      </c>
      <c r="AJ1145" s="77">
        <f t="shared" ca="1" si="10"/>
        <v>-2.2569824188246193</v>
      </c>
      <c r="AK1145" s="77">
        <f t="shared" ca="1" si="11"/>
        <v>1</v>
      </c>
      <c r="AL1145" s="76">
        <f t="array" ref="AL1145">AVERAGEIFS($J$2:$J2248,$B$2:$B2248,$B1145,$P$2:$P2248,"&lt;="&amp;$P1145,$P$2:$P2248,"&gt;"&amp;$P1145-7)</f>
        <v>6.9024390243902438</v>
      </c>
      <c r="AM1145" s="76">
        <f ca="1">IFERROR(__xludf.DUMMYFUNCTION("iferror(stdevp(filter($I$2:$I2250,$B$2:$B2250=$B1145,$O$2:$O2250&lt;=$O1145,$O$2:$O2250&gt;$O1145-7)),0)"),0.894427190999915)</f>
        <v>0.89442719099991497</v>
      </c>
      <c r="AN1145" s="77">
        <f t="shared" ca="1" si="13"/>
        <v>-2.1269914907924852</v>
      </c>
      <c r="AO1145" s="77">
        <f t="shared" ca="1" si="14"/>
        <v>1</v>
      </c>
      <c r="AP1145" s="76">
        <f t="array" ref="AP1145">AVERAGEIFS($K$2:$K2248,$B$2:$B2248,$B1145,$P$2:$P2248,"&lt;="&amp;$P1145,$P$2:$P2248,"&gt;"&amp;$P1145-7)</f>
        <v>8</v>
      </c>
      <c r="AQ1145" s="76">
        <f ca="1">IFERROR(__xludf.DUMMYFUNCTION("iferror(stdevp(filter($J$2:$J2250,$B$2:$B2250=$B1145,$O$2:$O2250&lt;=$O1145,$O$2:$O2250&gt;$O1145-7)),0)"),0.489897948556635)</f>
        <v>0.48989794855663499</v>
      </c>
      <c r="AR1145" s="77">
        <f t="shared" ca="1" si="15"/>
        <v>-2.0412414523193179</v>
      </c>
      <c r="AS1145" s="77">
        <f t="shared" ca="1" si="16"/>
        <v>1</v>
      </c>
      <c r="AT1145" s="78">
        <f t="shared" ca="1" si="12"/>
        <v>0.45833333333333331</v>
      </c>
    </row>
    <row r="1146" spans="1:46" ht="12.5" x14ac:dyDescent="0.25">
      <c r="A1146" s="75">
        <v>44966.489717430552</v>
      </c>
      <c r="B1146" s="1" t="s">
        <v>13</v>
      </c>
      <c r="C1146" s="1" t="str">
        <f>INDEX(TBL_Name,MATCH(Table2[[#This Row],[Athlete Name]],listNames,0),2)</f>
        <v>Athlete 7</v>
      </c>
      <c r="D1146" s="1" t="s">
        <v>130</v>
      </c>
      <c r="E1146" s="1">
        <v>9</v>
      </c>
      <c r="F1146" s="1">
        <v>8</v>
      </c>
      <c r="G1146" s="1">
        <v>8</v>
      </c>
      <c r="H1146" s="1" t="s">
        <v>69</v>
      </c>
      <c r="I1146" s="1">
        <v>7</v>
      </c>
      <c r="J1146" s="1">
        <v>10</v>
      </c>
      <c r="K1146" s="1">
        <v>10</v>
      </c>
      <c r="L1146" s="1">
        <v>51</v>
      </c>
      <c r="M1146" s="1" t="e">
        <f t="shared" ca="1" si="0"/>
        <v>#NAME?</v>
      </c>
      <c r="N1146" s="1" t="e">
        <f t="shared" si="1"/>
        <v>#VALUE!</v>
      </c>
      <c r="O1146" s="1" t="e">
        <f ca="1">IF($N1146=_xludf.MINIFS($N$2:$N2332,$R$2:$R2332,$R1146),1,
($N1146-_xludf.MINIFS($N$2:$N2332,$R$2:$R2332,$R1146))+1)</f>
        <v>#VALUE!</v>
      </c>
      <c r="P1146" s="13" t="e">
        <f t="shared" si="2"/>
        <v>#VALUE!</v>
      </c>
      <c r="Q1146" s="1" t="e">
        <f>RIGHT(YEAR($A1146),2)-(MONTH($A1146)&lt;=#REF!)
 &amp;"-"&amp;
 RIGHT(YEAR($A1146),2)+(MONTH($A1146)&gt;=#REF!)</f>
        <v>#REF!</v>
      </c>
      <c r="R1146" s="1" t="e">
        <f>CHOOSE(MONTH($P1146),#REF!,#REF!,#REF!,#REF!,#REF!,#REF!,#REF!,#REF!,#REF!,#REF!,#REF!,#REF!)&amp;" "&amp;$Q1146</f>
        <v>#VALUE!</v>
      </c>
      <c r="S1146" s="1">
        <f t="shared" si="3"/>
        <v>1</v>
      </c>
      <c r="T1146" s="1" t="str">
        <f t="array" ref="T1146">IFERROR(INDEX(#REF!,MATCH($B1146,#REF!,0)),"")</f>
        <v/>
      </c>
      <c r="U1146" s="1" t="str">
        <f t="array" ref="U1146">IFERROR(INDEX(#REF!,MATCH($B1146,#REF!,0)),"")</f>
        <v/>
      </c>
      <c r="V1146" s="76">
        <f t="array" ref="V1146">AVERAGEIFS($E$2:$E2248,$B$2:$B2248,$B1146,$P$2:$P2248,"&lt;="&amp;$P1146,$P$2:$P2248,"&gt;"&amp;$P1146-7)</f>
        <v>7.6857142857142859</v>
      </c>
      <c r="W1146" s="76">
        <f ca="1">IFERROR(__xludf.DUMMYFUNCTION("iferror(stdevp(filter($D$2:$D2250,$B$2:$B2250=$B1146,$O$2:$O2250&lt;=$O1146,$O$2:$O2250&gt;$O1146-7)),0)"),0.489897948556635)</f>
        <v>0.48989794855663499</v>
      </c>
      <c r="X1146" s="77">
        <f t="shared" ca="1" si="4"/>
        <v>2.6827744801911027</v>
      </c>
      <c r="Y1146" s="77">
        <f t="shared" ca="1" si="5"/>
        <v>4</v>
      </c>
      <c r="Z1146" s="76">
        <f t="array" ref="Z1146">AVERAGEIFS($F$2:$F2248,$B$2:$B2248,$B1146,$P$2:$P2248,"&lt;="&amp;$P1146,$P$2:$P2248,"&gt;"&amp;$P1146-7)</f>
        <v>7.0857142857142854</v>
      </c>
      <c r="AA1146" s="76">
        <f ca="1">IFERROR(__xludf.DUMMYFUNCTION("iferror(stdevp(filter($E$2:$E2250,$B$2:$B2250=$B1146,$O$2:$O2250&lt;=$O1146,$O$2:$O2250&gt;$O1146-7)),0)"),1.41421356237309)</f>
        <v>1.41421356237309</v>
      </c>
      <c r="AB1146" s="77">
        <f t="shared" ca="1" si="6"/>
        <v>0.64649762851341741</v>
      </c>
      <c r="AC1146" s="77">
        <f t="shared" ca="1" si="7"/>
        <v>3</v>
      </c>
      <c r="AD1146" s="76">
        <f t="array" ref="AD1146">AVERAGEIFS($G$2:$G2248,$B$2:$B2248,$B1146,$P$2:$P2248,"&lt;="&amp;$P1146,$P$2:$P2248,"&gt;"&amp;$P1146-7)</f>
        <v>7.1428571428571432</v>
      </c>
      <c r="AE1146" s="76">
        <f ca="1">IFERROR(__xludf.DUMMYFUNCTION("iferror(stdevp(filter($F$2:$F2250,$B$2:$B2250=$B1146,$O$2:$O2250&lt;=$O1146,$O$2:$O2250&gt;$O1146-7)),0)"),0.489897948556635)</f>
        <v>0.48989794855663499</v>
      </c>
      <c r="AF1146" s="77">
        <f t="shared" ca="1" si="8"/>
        <v>1.7496355305594145</v>
      </c>
      <c r="AG1146" s="77">
        <f t="shared" ca="1" si="9"/>
        <v>4</v>
      </c>
      <c r="AH1146" s="76">
        <f t="array" ref="AH1146">AVERAGEIFS($I$2:$I2248,$B$2:$B2248,$B1146,$P$2:$P2248,"&lt;="&amp;$P1146,$P$2:$P2248,"&gt;"&amp;$P1146-7)</f>
        <v>7.0285714285714285</v>
      </c>
      <c r="AI1146" s="76">
        <f ca="1">IFERROR(__xludf.DUMMYFUNCTION("iferror(stdevp(filter($H$2:$H2250,$B$2:$B2250=$B1146,$O$2:$O2250&lt;=$O1146,$O$2:$O2250&gt;$O1146-7)),0)"),1.67332005306815)</f>
        <v>1.67332005306815</v>
      </c>
      <c r="AJ1146" s="77">
        <f t="shared" ca="1" si="10"/>
        <v>-1.7074694419062716E-2</v>
      </c>
      <c r="AK1146" s="77">
        <f t="shared" ca="1" si="11"/>
        <v>2</v>
      </c>
      <c r="AL1146" s="76">
        <f t="array" ref="AL1146">AVERAGEIFS($J$2:$J2248,$B$2:$B2248,$B1146,$P$2:$P2248,"&lt;="&amp;$P1146,$P$2:$P2248,"&gt;"&amp;$P1146-7)</f>
        <v>9.742857142857142</v>
      </c>
      <c r="AM1146" s="76">
        <f ca="1">IFERROR(__xludf.DUMMYFUNCTION("iferror(stdevp(filter($I$2:$I2250,$B$2:$B2250=$B1146,$O$2:$O2250&lt;=$O1146,$O$2:$O2250&gt;$O1146-7)),0)"),0)</f>
        <v>0</v>
      </c>
      <c r="AN1146" s="77">
        <f t="shared" ca="1" si="13"/>
        <v>0</v>
      </c>
      <c r="AO1146" s="77">
        <f t="shared" ca="1" si="14"/>
        <v>3</v>
      </c>
      <c r="AP1146" s="76">
        <f t="array" ref="AP1146">AVERAGEIFS($K$2:$K2248,$B$2:$B2248,$B1146,$P$2:$P2248,"&lt;="&amp;$P1146,$P$2:$P2248,"&gt;"&amp;$P1146-7)</f>
        <v>9.4285714285714288</v>
      </c>
      <c r="AQ1146" s="76">
        <f ca="1">IFERROR(__xludf.DUMMYFUNCTION("iferror(stdevp(filter($J$2:$J2250,$B$2:$B2250=$B1146,$O$2:$O2250&lt;=$O1146,$O$2:$O2250&gt;$O1146-7)),0)"),0)</f>
        <v>0</v>
      </c>
      <c r="AR1146" s="77">
        <f t="shared" ca="1" si="15"/>
        <v>0</v>
      </c>
      <c r="AS1146" s="77">
        <f t="shared" ca="1" si="16"/>
        <v>3</v>
      </c>
      <c r="AT1146" s="78">
        <f t="shared" ca="1" si="12"/>
        <v>0.79166666666666663</v>
      </c>
    </row>
    <row r="1147" spans="1:46" ht="12.5" x14ac:dyDescent="0.25">
      <c r="A1147" s="75">
        <v>44966.496233692131</v>
      </c>
      <c r="B1147" s="1" t="s">
        <v>6</v>
      </c>
      <c r="C1147" s="1" t="str">
        <f>INDEX(TBL_Name,MATCH(Table2[[#This Row],[Athlete Name]],listNames,0),2)</f>
        <v>Athlete 2</v>
      </c>
      <c r="D1147" s="1" t="s">
        <v>130</v>
      </c>
      <c r="E1147" s="1">
        <v>10</v>
      </c>
      <c r="F1147" s="1">
        <v>10</v>
      </c>
      <c r="G1147" s="1">
        <v>9</v>
      </c>
      <c r="H1147" s="1" t="s">
        <v>417</v>
      </c>
      <c r="I1147" s="1">
        <v>8</v>
      </c>
      <c r="J1147" s="1">
        <v>7</v>
      </c>
      <c r="K1147" s="1">
        <v>9</v>
      </c>
      <c r="L1147" s="1">
        <v>99</v>
      </c>
      <c r="M1147" s="1" t="e">
        <f t="shared" ca="1" si="0"/>
        <v>#NAME?</v>
      </c>
      <c r="N1147" s="1" t="e">
        <f t="shared" si="1"/>
        <v>#VALUE!</v>
      </c>
      <c r="O1147" s="1" t="e">
        <f ca="1">IF($N1147=_xludf.MINIFS($N$2:$N2333,$R$2:$R2333,$R1147),1,
($N1147-_xludf.MINIFS($N$2:$N2333,$R$2:$R2333,$R1147))+1)</f>
        <v>#VALUE!</v>
      </c>
      <c r="P1147" s="13" t="e">
        <f t="shared" si="2"/>
        <v>#VALUE!</v>
      </c>
      <c r="Q1147" s="1" t="e">
        <f>RIGHT(YEAR($A1147),2)-(MONTH($A1147)&lt;=#REF!)
 &amp;"-"&amp;
 RIGHT(YEAR($A1147),2)+(MONTH($A1147)&gt;=#REF!)</f>
        <v>#REF!</v>
      </c>
      <c r="R1147" s="1" t="e">
        <f>CHOOSE(MONTH($P1147),#REF!,#REF!,#REF!,#REF!,#REF!,#REF!,#REF!,#REF!,#REF!,#REF!,#REF!,#REF!)&amp;" "&amp;$Q1147</f>
        <v>#VALUE!</v>
      </c>
      <c r="S1147" s="1">
        <f t="shared" si="3"/>
        <v>1</v>
      </c>
      <c r="T1147" s="1" t="str">
        <f t="array" ref="T1147">IFERROR(INDEX(#REF!,MATCH($B1147,#REF!,0)),"")</f>
        <v/>
      </c>
      <c r="U1147" s="1" t="str">
        <f t="array" ref="U1147">IFERROR(INDEX(#REF!,MATCH($B1147,#REF!,0)),"")</f>
        <v/>
      </c>
      <c r="V1147" s="76">
        <f t="array" ref="V1147">AVERAGEIFS($E$2:$E2248,$B$2:$B2248,$B1147,$P$2:$P2248,"&lt;="&amp;$P1147,$P$2:$P2248,"&gt;"&amp;$P1147-7)</f>
        <v>9.7441860465116275</v>
      </c>
      <c r="W1147" s="76">
        <f ca="1">IFERROR(__xludf.DUMMYFUNCTION("iferror(stdevp(filter($D$2:$D2250,$B$2:$B2250=$B1147,$O$2:$O2250&lt;=$O1147,$O$2:$O2250&gt;$O1147-7)),0)"),0)</f>
        <v>0</v>
      </c>
      <c r="X1147" s="77">
        <f t="shared" ca="1" si="4"/>
        <v>0</v>
      </c>
      <c r="Y1147" s="77">
        <f t="shared" ca="1" si="5"/>
        <v>3</v>
      </c>
      <c r="Z1147" s="76">
        <f t="array" ref="Z1147">AVERAGEIFS($F$2:$F2248,$B$2:$B2248,$B1147,$P$2:$P2248,"&lt;="&amp;$P1147,$P$2:$P2248,"&gt;"&amp;$P1147-7)</f>
        <v>8.279069767441861</v>
      </c>
      <c r="AA1147" s="76">
        <f ca="1">IFERROR(__xludf.DUMMYFUNCTION("iferror(stdevp(filter($E$2:$E2250,$B$2:$B2250=$B1147,$O$2:$O2250&lt;=$O1147,$O$2:$O2250&gt;$O1147-7)),0)"),0.534522483824848)</f>
        <v>0.53452248382484802</v>
      </c>
      <c r="AB1147" s="77">
        <f t="shared" ca="1" si="6"/>
        <v>3.2195656583868835</v>
      </c>
      <c r="AC1147" s="77">
        <f t="shared" ca="1" si="7"/>
        <v>4</v>
      </c>
      <c r="AD1147" s="76">
        <f t="array" ref="AD1147">AVERAGEIFS($G$2:$G2248,$B$2:$B2248,$B1147,$P$2:$P2248,"&lt;="&amp;$P1147,$P$2:$P2248,"&gt;"&amp;$P1147-7)</f>
        <v>8.604651162790697</v>
      </c>
      <c r="AE1147" s="76">
        <f ca="1">IFERROR(__xludf.DUMMYFUNCTION("iferror(stdevp(filter($F$2:$F2250,$B$2:$B2250=$B1147,$O$2:$O2250&lt;=$O1147,$O$2:$O2250&gt;$O1147-7)),0)"),0.832993127835043)</f>
        <v>0.83299312783504298</v>
      </c>
      <c r="AF1147" s="77">
        <f t="shared" ca="1" si="8"/>
        <v>0.47461236353392061</v>
      </c>
      <c r="AG1147" s="77">
        <f t="shared" ca="1" si="9"/>
        <v>3</v>
      </c>
      <c r="AH1147" s="76">
        <f t="array" ref="AH1147">AVERAGEIFS($I$2:$I2248,$B$2:$B2248,$B1147,$P$2:$P2248,"&lt;="&amp;$P1147,$P$2:$P2248,"&gt;"&amp;$P1147-7)</f>
        <v>8.3488372093023262</v>
      </c>
      <c r="AI1147" s="76">
        <f ca="1">IFERROR(__xludf.DUMMYFUNCTION("iferror(stdevp(filter($H$2:$H2250,$B$2:$B2250=$B1147,$O$2:$O2250&lt;=$O1147,$O$2:$O2250&gt;$O1147-7)),0)"),1.03015750727542)</f>
        <v>1.0301575072754201</v>
      </c>
      <c r="AJ1147" s="77">
        <f t="shared" ca="1" si="10"/>
        <v>-0.33862511978865967</v>
      </c>
      <c r="AK1147" s="77">
        <f t="shared" ca="1" si="11"/>
        <v>2</v>
      </c>
      <c r="AL1147" s="76">
        <f t="array" ref="AL1147">AVERAGEIFS($J$2:$J2248,$B$2:$B2248,$B1147,$P$2:$P2248,"&lt;="&amp;$P1147,$P$2:$P2248,"&gt;"&amp;$P1147-7)</f>
        <v>8.3023255813953494</v>
      </c>
      <c r="AM1147" s="76">
        <f ca="1">IFERROR(__xludf.DUMMYFUNCTION("iferror(stdevp(filter($I$2:$I2250,$B$2:$B2250=$B1147,$O$2:$O2250&lt;=$O1147,$O$2:$O2250&gt;$O1147-7)),0)"),0.728431359084683)</f>
        <v>0.72843135908468304</v>
      </c>
      <c r="AN1147" s="77">
        <f t="shared" ca="1" si="13"/>
        <v>-1.7878494180039122</v>
      </c>
      <c r="AO1147" s="77">
        <f t="shared" ca="1" si="14"/>
        <v>1</v>
      </c>
      <c r="AP1147" s="76">
        <f t="array" ref="AP1147">AVERAGEIFS($K$2:$K2248,$B$2:$B2248,$B1147,$P$2:$P2248,"&lt;="&amp;$P1147,$P$2:$P2248,"&gt;"&amp;$P1147-7)</f>
        <v>8.9069767441860463</v>
      </c>
      <c r="AQ1147" s="76">
        <f ca="1">IFERROR(__xludf.DUMMYFUNCTION("iferror(stdevp(filter($J$2:$J2250,$B$2:$B2250=$B1147,$O$2:$O2250&lt;=$O1147,$O$2:$O2250&gt;$O1147-7)),0)"),0.903507902905251)</f>
        <v>0.90350790290525096</v>
      </c>
      <c r="AR1147" s="77">
        <f t="shared" ca="1" si="15"/>
        <v>0.10295787730780791</v>
      </c>
      <c r="AS1147" s="77">
        <f t="shared" ca="1" si="16"/>
        <v>3</v>
      </c>
      <c r="AT1147" s="78">
        <f t="shared" ca="1" si="12"/>
        <v>0.66666666666666663</v>
      </c>
    </row>
    <row r="1148" spans="1:46" ht="12.5" x14ac:dyDescent="0.25">
      <c r="A1148" s="75">
        <v>44966.515247407406</v>
      </c>
      <c r="B1148" s="1" t="s">
        <v>15</v>
      </c>
      <c r="C1148" s="1" t="str">
        <f>INDEX(TBL_Name,MATCH(Table2[[#This Row],[Athlete Name]],listNames,0),2)</f>
        <v>Athlete 8</v>
      </c>
      <c r="D1148" s="1" t="s">
        <v>143</v>
      </c>
      <c r="E1148" s="1">
        <v>10</v>
      </c>
      <c r="F1148" s="1">
        <v>10</v>
      </c>
      <c r="G1148" s="1">
        <v>6</v>
      </c>
      <c r="H1148" s="1" t="s">
        <v>1528</v>
      </c>
      <c r="I1148" s="1">
        <v>5</v>
      </c>
      <c r="J1148" s="1">
        <v>10</v>
      </c>
      <c r="K1148" s="1">
        <v>10</v>
      </c>
      <c r="L1148" s="1">
        <v>69</v>
      </c>
      <c r="M1148" s="1" t="e">
        <f t="shared" ca="1" si="0"/>
        <v>#NAME?</v>
      </c>
      <c r="N1148" s="1" t="e">
        <f t="shared" si="1"/>
        <v>#VALUE!</v>
      </c>
      <c r="O1148" s="1" t="e">
        <f ca="1">IF($N1148=_xludf.MINIFS($N$2:$N2334,$R$2:$R2334,$R1148),1,
($N1148-_xludf.MINIFS($N$2:$N2334,$R$2:$R2334,$R1148))+1)</f>
        <v>#VALUE!</v>
      </c>
      <c r="P1148" s="13" t="e">
        <f t="shared" si="2"/>
        <v>#VALUE!</v>
      </c>
      <c r="Q1148" s="1" t="e">
        <f>RIGHT(YEAR($A1148),2)-(MONTH($A1148)&lt;=#REF!)
 &amp;"-"&amp;
 RIGHT(YEAR($A1148),2)+(MONTH($A1148)&gt;=#REF!)</f>
        <v>#REF!</v>
      </c>
      <c r="R1148" s="1" t="e">
        <f>CHOOSE(MONTH($P1148),#REF!,#REF!,#REF!,#REF!,#REF!,#REF!,#REF!,#REF!,#REF!,#REF!,#REF!,#REF!)&amp;" "&amp;$Q1148</f>
        <v>#VALUE!</v>
      </c>
      <c r="S1148" s="1">
        <f t="shared" si="3"/>
        <v>2</v>
      </c>
      <c r="T1148" s="1" t="str">
        <f t="array" ref="T1148">IFERROR(INDEX(#REF!,MATCH($B1148,#REF!,0)),"")</f>
        <v/>
      </c>
      <c r="U1148" s="1" t="str">
        <f t="array" ref="U1148">IFERROR(INDEX(#REF!,MATCH($B1148,#REF!,0)),"")</f>
        <v/>
      </c>
      <c r="V1148" s="76">
        <f t="array" ref="V1148">AVERAGEIFS($E$2:$E2248,$B$2:$B2248,$B1148,$P$2:$P2248,"&lt;="&amp;$P1148,$P$2:$P2248,"&gt;"&amp;$P1148-7)</f>
        <v>8.935483870967742</v>
      </c>
      <c r="W1148" s="76">
        <f ca="1">IFERROR(__xludf.DUMMYFUNCTION("iferror(stdevp(filter($D$2:$D2250,$B$2:$B2250=$B1148,$O$2:$O2250&lt;=$O1148,$O$2:$O2250&gt;$O1148-7)),0)"),1.16619037896906)</f>
        <v>1.16619037896906</v>
      </c>
      <c r="X1148" s="77">
        <f t="shared" ca="1" si="4"/>
        <v>0.9128150499520632</v>
      </c>
      <c r="Y1148" s="77">
        <f t="shared" ca="1" si="5"/>
        <v>3</v>
      </c>
      <c r="Z1148" s="76">
        <f t="array" ref="Z1148">AVERAGEIFS($F$2:$F2248,$B$2:$B2248,$B1148,$P$2:$P2248,"&lt;="&amp;$P1148,$P$2:$P2248,"&gt;"&amp;$P1148-7)</f>
        <v>8.741935483870968</v>
      </c>
      <c r="AA1148" s="76">
        <f ca="1">IFERROR(__xludf.DUMMYFUNCTION("iferror(stdevp(filter($E$2:$E2250,$B$2:$B2250=$B1148,$O$2:$O2250&lt;=$O1148,$O$2:$O2250&gt;$O1148-7)),0)"),1.74355957741626)</f>
        <v>1.74355957741626</v>
      </c>
      <c r="AB1148" s="77">
        <f t="shared" ca="1" si="6"/>
        <v>0.72154948556064158</v>
      </c>
      <c r="AC1148" s="77">
        <f t="shared" ca="1" si="7"/>
        <v>3</v>
      </c>
      <c r="AD1148" s="76">
        <f t="array" ref="AD1148">AVERAGEIFS($G$2:$G2248,$B$2:$B2248,$B1148,$P$2:$P2248,"&lt;="&amp;$P1148,$P$2:$P2248,"&gt;"&amp;$P1148-7)</f>
        <v>7.32258064516129</v>
      </c>
      <c r="AE1148" s="76">
        <f ca="1">IFERROR(__xludf.DUMMYFUNCTION("iferror(stdevp(filter($F$2:$F2250,$B$2:$B2250=$B1148,$O$2:$O2250&lt;=$O1148,$O$2:$O2250&gt;$O1148-7)),0)"),0.748331477354788)</f>
        <v>0.748331477354788</v>
      </c>
      <c r="AF1148" s="77">
        <f t="shared" ca="1" si="8"/>
        <v>-1.7673727287757099</v>
      </c>
      <c r="AG1148" s="77">
        <f t="shared" ca="1" si="9"/>
        <v>1</v>
      </c>
      <c r="AH1148" s="76">
        <f t="array" ref="AH1148">AVERAGEIFS($I$2:$I2248,$B$2:$B2248,$B1148,$P$2:$P2248,"&lt;="&amp;$P1148,$P$2:$P2248,"&gt;"&amp;$P1148-7)</f>
        <v>6.419354838709677</v>
      </c>
      <c r="AI1148" s="76">
        <f ca="1">IFERROR(__xludf.DUMMYFUNCTION("iferror(stdevp(filter($H$2:$H2250,$B$2:$B2250=$B1148,$O$2:$O2250&lt;=$O1148,$O$2:$O2250&gt;$O1148-7)),0)"),0.748331477354788)</f>
        <v>0.748331477354788</v>
      </c>
      <c r="AJ1148" s="77">
        <f t="shared" ca="1" si="10"/>
        <v>-1.8966926845397862</v>
      </c>
      <c r="AK1148" s="77">
        <f t="shared" ca="1" si="11"/>
        <v>1</v>
      </c>
      <c r="AL1148" s="76">
        <f t="array" ref="AL1148">AVERAGEIFS($J$2:$J2248,$B$2:$B2248,$B1148,$P$2:$P2248,"&lt;="&amp;$P1148,$P$2:$P2248,"&gt;"&amp;$P1148-7)</f>
        <v>9.612903225806452</v>
      </c>
      <c r="AM1148" s="76">
        <f ca="1">IFERROR(__xludf.DUMMYFUNCTION("iferror(stdevp(filter($I$2:$I2250,$B$2:$B2250=$B1148,$O$2:$O2250&lt;=$O1148,$O$2:$O2250&gt;$O1148-7)),0)"),2.227105745132)</f>
        <v>2.227105745132</v>
      </c>
      <c r="AN1148" s="77">
        <f t="shared" ca="1" si="13"/>
        <v>0.17381158260655688</v>
      </c>
      <c r="AO1148" s="77">
        <f t="shared" ca="1" si="14"/>
        <v>3</v>
      </c>
      <c r="AP1148" s="76">
        <f t="array" ref="AP1148">AVERAGEIFS($K$2:$K2248,$B$2:$B2248,$B1148,$P$2:$P2248,"&lt;="&amp;$P1148,$P$2:$P2248,"&gt;"&amp;$P1148-7)</f>
        <v>10</v>
      </c>
      <c r="AQ1148" s="76">
        <f ca="1">IFERROR(__xludf.DUMMYFUNCTION("iferror(stdevp(filter($J$2:$J2250,$B$2:$B2250=$B1148,$O$2:$O2250&lt;=$O1148,$O$2:$O2250&gt;$O1148-7)),0)"),0)</f>
        <v>0</v>
      </c>
      <c r="AR1148" s="77">
        <f t="shared" ca="1" si="15"/>
        <v>0</v>
      </c>
      <c r="AS1148" s="77">
        <f t="shared" ca="1" si="16"/>
        <v>3</v>
      </c>
      <c r="AT1148" s="78">
        <f t="shared" ca="1" si="12"/>
        <v>0.58333333333333337</v>
      </c>
    </row>
    <row r="1149" spans="1:46" ht="12.5" x14ac:dyDescent="0.25">
      <c r="A1149" s="75">
        <v>44967.283707037037</v>
      </c>
      <c r="B1149" s="1" t="s">
        <v>17</v>
      </c>
      <c r="C1149" s="1" t="str">
        <f>INDEX(TBL_Name,MATCH(Table2[[#This Row],[Athlete Name]],listNames,0),2)</f>
        <v>Athlete 10</v>
      </c>
      <c r="D1149" s="1" t="s">
        <v>130</v>
      </c>
      <c r="E1149" s="1">
        <v>8</v>
      </c>
      <c r="F1149" s="1">
        <v>7</v>
      </c>
      <c r="G1149" s="1">
        <v>8</v>
      </c>
      <c r="H1149" s="1" t="s">
        <v>1389</v>
      </c>
      <c r="I1149" s="1">
        <v>5</v>
      </c>
      <c r="J1149" s="1">
        <v>8</v>
      </c>
      <c r="K1149" s="1">
        <v>6</v>
      </c>
      <c r="L1149" s="1">
        <v>66</v>
      </c>
      <c r="M1149" s="1" t="e">
        <f t="shared" ca="1" si="0"/>
        <v>#NAME?</v>
      </c>
      <c r="N1149" s="1" t="e">
        <f t="shared" si="1"/>
        <v>#VALUE!</v>
      </c>
      <c r="O1149" s="1" t="e">
        <f ca="1">IF($N1149=_xludf.MINIFS($N$2:$N2335,$R$2:$R2335,$R1149),1,
($N1149-_xludf.MINIFS($N$2:$N2335,$R$2:$R2335,$R1149))+1)</f>
        <v>#VALUE!</v>
      </c>
      <c r="P1149" s="13" t="e">
        <f t="shared" si="2"/>
        <v>#VALUE!</v>
      </c>
      <c r="Q1149" s="1" t="e">
        <f>RIGHT(YEAR($A1149),2)-(MONTH($A1149)&lt;=#REF!)
 &amp;"-"&amp;
 RIGHT(YEAR($A1149),2)+(MONTH($A1149)&gt;=#REF!)</f>
        <v>#REF!</v>
      </c>
      <c r="R1149" s="1" t="e">
        <f>CHOOSE(MONTH($P1149),#REF!,#REF!,#REF!,#REF!,#REF!,#REF!,#REF!,#REF!,#REF!,#REF!,#REF!,#REF!)&amp;" "&amp;$Q1149</f>
        <v>#VALUE!</v>
      </c>
      <c r="S1149" s="1">
        <f t="shared" si="3"/>
        <v>1</v>
      </c>
      <c r="T1149" s="1" t="str">
        <f t="array" ref="T1149">IFERROR(INDEX(#REF!,MATCH($B1149,#REF!,0)),"")</f>
        <v/>
      </c>
      <c r="U1149" s="1" t="str">
        <f t="array" ref="U1149">IFERROR(INDEX(#REF!,MATCH($B1149,#REF!,0)),"")</f>
        <v/>
      </c>
      <c r="V1149" s="76">
        <f t="array" ref="V1149">AVERAGEIFS($E$2:$E2248,$B$2:$B2248,$B1149,$P$2:$P2248,"&lt;="&amp;$P1149,$P$2:$P2248,"&gt;"&amp;$P1149-7)</f>
        <v>6.9024390243902438</v>
      </c>
      <c r="W1149" s="76">
        <f ca="1">IFERROR(__xludf.DUMMYFUNCTION("iferror(stdevp(filter($D$2:$D2250,$B$2:$B2250=$B1149,$O$2:$O2250&lt;=$O1149,$O$2:$O2250&gt;$O1149-7)),0)"),2.0591260281974)</f>
        <v>2.0591260281974</v>
      </c>
      <c r="X1149" s="77">
        <f t="shared" ca="1" si="4"/>
        <v>0.53302272934240114</v>
      </c>
      <c r="Y1149" s="77">
        <f t="shared" ca="1" si="5"/>
        <v>3</v>
      </c>
      <c r="Z1149" s="76">
        <f t="array" ref="Z1149">AVERAGEIFS($F$2:$F2248,$B$2:$B2248,$B1149,$P$2:$P2248,"&lt;="&amp;$P1149,$P$2:$P2248,"&gt;"&amp;$P1149-7)</f>
        <v>7.2926829268292686</v>
      </c>
      <c r="AA1149" s="76">
        <f ca="1">IFERROR(__xludf.DUMMYFUNCTION("iferror(stdevp(filter($E$2:$E2250,$B$2:$B2250=$B1149,$O$2:$O2250&lt;=$O1149,$O$2:$O2250&gt;$O1149-7)),0)"),1.72046505340852)</f>
        <v>1.72046505340852</v>
      </c>
      <c r="AB1149" s="77">
        <f t="shared" ca="1" si="6"/>
        <v>-0.17011849572266305</v>
      </c>
      <c r="AC1149" s="77">
        <f t="shared" ca="1" si="7"/>
        <v>2</v>
      </c>
      <c r="AD1149" s="76">
        <f t="array" ref="AD1149">AVERAGEIFS($G$2:$G2248,$B$2:$B2248,$B1149,$P$2:$P2248,"&lt;="&amp;$P1149,$P$2:$P2248,"&gt;"&amp;$P1149-7)</f>
        <v>7.8048780487804876</v>
      </c>
      <c r="AE1149" s="76">
        <f ca="1">IFERROR(__xludf.DUMMYFUNCTION("iferror(stdevp(filter($F$2:$F2250,$B$2:$B2250=$B1149,$O$2:$O2250&lt;=$O1149,$O$2:$O2250&gt;$O1149-7)),0)"),1.35646599662505)</f>
        <v>1.3564659966250501</v>
      </c>
      <c r="AF1149" s="77">
        <f t="shared" ca="1" si="8"/>
        <v>0.14384581088282697</v>
      </c>
      <c r="AG1149" s="77">
        <f t="shared" ca="1" si="9"/>
        <v>3</v>
      </c>
      <c r="AH1149" s="76">
        <f t="array" ref="AH1149">AVERAGEIFS($I$2:$I2248,$B$2:$B2248,$B1149,$P$2:$P2248,"&lt;="&amp;$P1149,$P$2:$P2248,"&gt;"&amp;$P1149-7)</f>
        <v>6.3170731707317076</v>
      </c>
      <c r="AI1149" s="76">
        <f ca="1">IFERROR(__xludf.DUMMYFUNCTION("iferror(stdevp(filter($H$2:$H2250,$B$2:$B2250=$B1149,$O$2:$O2250&lt;=$O1149,$O$2:$O2250&gt;$O1149-7)),0)"),1.35646599662505)</f>
        <v>1.3564659966250501</v>
      </c>
      <c r="AJ1149" s="77">
        <f t="shared" ca="1" si="10"/>
        <v>-0.97095922345908148</v>
      </c>
      <c r="AK1149" s="77">
        <f t="shared" ca="1" si="11"/>
        <v>2</v>
      </c>
      <c r="AL1149" s="76">
        <f t="array" ref="AL1149">AVERAGEIFS($J$2:$J2248,$B$2:$B2248,$B1149,$P$2:$P2248,"&lt;="&amp;$P1149,$P$2:$P2248,"&gt;"&amp;$P1149-7)</f>
        <v>6.9024390243902438</v>
      </c>
      <c r="AM1149" s="76">
        <f ca="1">IFERROR(__xludf.DUMMYFUNCTION("iferror(stdevp(filter($I$2:$I2250,$B$2:$B2250=$B1149,$O$2:$O2250&lt;=$O1149,$O$2:$O2250&gt;$O1149-7)),0)"),1.2)</f>
        <v>1.2</v>
      </c>
      <c r="AN1149" s="77">
        <f t="shared" ca="1" si="13"/>
        <v>0.91463414634146356</v>
      </c>
      <c r="AO1149" s="77">
        <f t="shared" ca="1" si="14"/>
        <v>3</v>
      </c>
      <c r="AP1149" s="76">
        <f t="array" ref="AP1149">AVERAGEIFS($K$2:$K2248,$B$2:$B2248,$B1149,$P$2:$P2248,"&lt;="&amp;$P1149,$P$2:$P2248,"&gt;"&amp;$P1149-7)</f>
        <v>8</v>
      </c>
      <c r="AQ1149" s="76">
        <f ca="1">IFERROR(__xludf.DUMMYFUNCTION("iferror(stdevp(filter($J$2:$J2250,$B$2:$B2250=$B1149,$O$2:$O2250&lt;=$O1149,$O$2:$O2250&gt;$O1149-7)),0)"),0.8)</f>
        <v>0.8</v>
      </c>
      <c r="AR1149" s="77">
        <f t="shared" ca="1" si="15"/>
        <v>-2.5</v>
      </c>
      <c r="AS1149" s="77">
        <f t="shared" ca="1" si="16"/>
        <v>1</v>
      </c>
      <c r="AT1149" s="78">
        <f t="shared" ca="1" si="12"/>
        <v>0.58333333333333337</v>
      </c>
    </row>
    <row r="1150" spans="1:46" ht="12.5" x14ac:dyDescent="0.25">
      <c r="A1150" s="75">
        <v>44967.382302743055</v>
      </c>
      <c r="B1150" s="1" t="s">
        <v>21</v>
      </c>
      <c r="C1150" s="1" t="str">
        <f>INDEX(TBL_Name,MATCH(Table2[[#This Row],[Athlete Name]],listNames,0),2)</f>
        <v>Athlete 13</v>
      </c>
      <c r="D1150" s="1" t="s">
        <v>143</v>
      </c>
      <c r="E1150" s="1">
        <v>7</v>
      </c>
      <c r="F1150" s="1">
        <v>7</v>
      </c>
      <c r="G1150" s="1">
        <v>8</v>
      </c>
      <c r="H1150" s="1" t="s">
        <v>1529</v>
      </c>
      <c r="I1150" s="1">
        <v>4</v>
      </c>
      <c r="J1150" s="1">
        <v>6</v>
      </c>
      <c r="K1150" s="1">
        <v>6</v>
      </c>
      <c r="L1150" s="1">
        <v>60</v>
      </c>
      <c r="M1150" s="1" t="e">
        <f t="shared" ca="1" si="0"/>
        <v>#NAME?</v>
      </c>
      <c r="N1150" s="1" t="e">
        <f t="shared" si="1"/>
        <v>#VALUE!</v>
      </c>
      <c r="O1150" s="1" t="e">
        <f ca="1">IF($N1150=_xludf.MINIFS($N$2:$N2336,$R$2:$R2336,$R1150),1,
($N1150-_xludf.MINIFS($N$2:$N2336,$R$2:$R2336,$R1150))+1)</f>
        <v>#VALUE!</v>
      </c>
      <c r="P1150" s="13" t="e">
        <f t="shared" si="2"/>
        <v>#VALUE!</v>
      </c>
      <c r="Q1150" s="1" t="e">
        <f>RIGHT(YEAR($A1150),2)-(MONTH($A1150)&lt;=#REF!)
 &amp;"-"&amp;
 RIGHT(YEAR($A1150),2)+(MONTH($A1150)&gt;=#REF!)</f>
        <v>#REF!</v>
      </c>
      <c r="R1150" s="1" t="e">
        <f>CHOOSE(MONTH($P1150),#REF!,#REF!,#REF!,#REF!,#REF!,#REF!,#REF!,#REF!,#REF!,#REF!,#REF!,#REF!)&amp;" "&amp;$Q1150</f>
        <v>#VALUE!</v>
      </c>
      <c r="S1150" s="1">
        <f t="shared" si="3"/>
        <v>2</v>
      </c>
      <c r="T1150" s="1" t="str">
        <f t="array" ref="T1150">IFERROR(INDEX(#REF!,MATCH($B1150,#REF!,0)),"")</f>
        <v/>
      </c>
      <c r="U1150" s="1" t="str">
        <f t="array" ref="U1150">IFERROR(INDEX(#REF!,MATCH($B1150,#REF!,0)),"")</f>
        <v/>
      </c>
      <c r="V1150" s="76">
        <f t="array" ref="V1150">AVERAGEIFS($E$2:$E2248,$B$2:$B2248,$B1150,$P$2:$P2248,"&lt;="&amp;$P1150,$P$2:$P2248,"&gt;"&amp;$P1150-7)</f>
        <v>6.6304347826086953</v>
      </c>
      <c r="W1150" s="76">
        <f ca="1">IFERROR(__xludf.DUMMYFUNCTION("iferror(stdevp(filter($D$2:$D2250,$B$2:$B2250=$B1150,$O$2:$O2250&lt;=$O1150,$O$2:$O2250&gt;$O1150-7)),0)"),0.534522483824848)</f>
        <v>0.53452248382484802</v>
      </c>
      <c r="X1150" s="77">
        <f t="shared" ca="1" si="4"/>
        <v>0.69139321277344723</v>
      </c>
      <c r="Y1150" s="77">
        <f t="shared" ca="1" si="5"/>
        <v>3</v>
      </c>
      <c r="Z1150" s="76">
        <f t="array" ref="Z1150">AVERAGEIFS($F$2:$F2248,$B$2:$B2248,$B1150,$P$2:$P2248,"&lt;="&amp;$P1150,$P$2:$P2248,"&gt;"&amp;$P1150-7)</f>
        <v>7.6956521739130439</v>
      </c>
      <c r="AA1150" s="76">
        <f ca="1">IFERROR(__xludf.DUMMYFUNCTION("iferror(stdevp(filter($E$2:$E2250,$B$2:$B2250=$B1150,$O$2:$O2250&lt;=$O1150,$O$2:$O2250&gt;$O1150-7)),0)"),1.04978131833564)</f>
        <v>1.0497813183356399</v>
      </c>
      <c r="AB1150" s="77">
        <f t="shared" ca="1" si="6"/>
        <v>-0.66266389176743512</v>
      </c>
      <c r="AC1150" s="77">
        <f t="shared" ca="1" si="7"/>
        <v>2</v>
      </c>
      <c r="AD1150" s="76">
        <f t="array" ref="AD1150">AVERAGEIFS($G$2:$G2248,$B$2:$B2248,$B1150,$P$2:$P2248,"&lt;="&amp;$P1150,$P$2:$P2248,"&gt;"&amp;$P1150-7)</f>
        <v>8.2608695652173907</v>
      </c>
      <c r="AE1150" s="76">
        <f ca="1">IFERROR(__xludf.DUMMYFUNCTION("iferror(stdevp(filter($F$2:$F2250,$B$2:$B2250=$B1150,$O$2:$O2250&lt;=$O1150,$O$2:$O2250&gt;$O1150-7)),0)"),0.451753951452625)</f>
        <v>0.45175395145262498</v>
      </c>
      <c r="AF1150" s="77">
        <f t="shared" ca="1" si="8"/>
        <v>-0.57745939881335573</v>
      </c>
      <c r="AG1150" s="77">
        <f t="shared" ca="1" si="9"/>
        <v>2</v>
      </c>
      <c r="AH1150" s="76">
        <f t="array" ref="AH1150">AVERAGEIFS($I$2:$I2248,$B$2:$B2248,$B1150,$P$2:$P2248,"&lt;="&amp;$P1150,$P$2:$P2248,"&gt;"&amp;$P1150-7)</f>
        <v>5.7391304347826084</v>
      </c>
      <c r="AI1150" s="76">
        <f ca="1">IFERROR(__xludf.DUMMYFUNCTION("iferror(stdevp(filter($H$2:$H2250,$B$2:$B2250=$B1150,$O$2:$O2250&lt;=$O1150,$O$2:$O2250&gt;$O1150-7)),0)"),1.39970842444753)</f>
        <v>1.39970842444753</v>
      </c>
      <c r="AJ1150" s="77">
        <f t="shared" ca="1" si="10"/>
        <v>-1.2424947970639311</v>
      </c>
      <c r="AK1150" s="77">
        <f t="shared" ca="1" si="11"/>
        <v>1</v>
      </c>
      <c r="AL1150" s="76">
        <f t="array" ref="AL1150">AVERAGEIFS($J$2:$J2248,$B$2:$B2248,$B1150,$P$2:$P2248,"&lt;="&amp;$P1150,$P$2:$P2248,"&gt;"&amp;$P1150-7)</f>
        <v>6.5434782608695654</v>
      </c>
      <c r="AM1150" s="76">
        <f ca="1">IFERROR(__xludf.DUMMYFUNCTION("iferror(stdevp(filter($I$2:$I2250,$B$2:$B2250=$B1150,$O$2:$O2250&lt;=$O1150,$O$2:$O2250&gt;$O1150-7)),0)"),0.494871659305393)</f>
        <v>0.49487165930539301</v>
      </c>
      <c r="AN1150" s="77">
        <f t="shared" ca="1" si="13"/>
        <v>-1.0982206207411376</v>
      </c>
      <c r="AO1150" s="77">
        <f t="shared" ca="1" si="14"/>
        <v>1</v>
      </c>
      <c r="AP1150" s="76">
        <f t="array" ref="AP1150">AVERAGEIFS($K$2:$K2248,$B$2:$B2248,$B1150,$P$2:$P2248,"&lt;="&amp;$P1150,$P$2:$P2248,"&gt;"&amp;$P1150-7)</f>
        <v>6.6086956521739131</v>
      </c>
      <c r="AQ1150" s="76">
        <f ca="1">IFERROR(__xludf.DUMMYFUNCTION("iferror(stdevp(filter($J$2:$J2250,$B$2:$B2250=$B1150,$O$2:$O2250&lt;=$O1150,$O$2:$O2250&gt;$O1150-7)),0)"),0.699854212223765)</f>
        <v>0.69985421222376498</v>
      </c>
      <c r="AR1150" s="77">
        <f t="shared" ca="1" si="15"/>
        <v>-0.86974635794475197</v>
      </c>
      <c r="AS1150" s="77">
        <f t="shared" ca="1" si="16"/>
        <v>2</v>
      </c>
      <c r="AT1150" s="78">
        <f t="shared" ca="1" si="12"/>
        <v>0.45833333333333331</v>
      </c>
    </row>
    <row r="1151" spans="1:46" ht="12.5" x14ac:dyDescent="0.25">
      <c r="A1151" s="75">
        <v>44967.414802870371</v>
      </c>
      <c r="B1151" s="1" t="s">
        <v>29</v>
      </c>
      <c r="C1151" s="1" t="str">
        <f>INDEX(TBL_Name,MATCH(Table2[[#This Row],[Athlete Name]],listNames,0),2)</f>
        <v>Athlete 18</v>
      </c>
      <c r="D1151" s="1" t="s">
        <v>130</v>
      </c>
      <c r="E1151" s="1">
        <v>9</v>
      </c>
      <c r="F1151" s="1">
        <v>9</v>
      </c>
      <c r="G1151" s="1">
        <v>8</v>
      </c>
      <c r="H1151" s="1" t="s">
        <v>1530</v>
      </c>
      <c r="I1151" s="1">
        <v>6</v>
      </c>
      <c r="J1151" s="1">
        <v>9</v>
      </c>
      <c r="K1151" s="1">
        <v>9</v>
      </c>
      <c r="L1151" s="1">
        <v>90</v>
      </c>
      <c r="M1151" s="1" t="e">
        <f t="shared" ca="1" si="0"/>
        <v>#NAME?</v>
      </c>
      <c r="N1151" s="1" t="e">
        <f t="shared" si="1"/>
        <v>#VALUE!</v>
      </c>
      <c r="O1151" s="1" t="e">
        <f ca="1">IF($N1151=_xludf.MINIFS($N$2:$N2337,$R$2:$R2337,$R1151),1,
($N1151-_xludf.MINIFS($N$2:$N2337,$R$2:$R2337,$R1151))+1)</f>
        <v>#VALUE!</v>
      </c>
      <c r="P1151" s="13" t="e">
        <f t="shared" si="2"/>
        <v>#VALUE!</v>
      </c>
      <c r="Q1151" s="1" t="e">
        <f>RIGHT(YEAR($A1151),2)-(MONTH($A1151)&lt;=#REF!)
 &amp;"-"&amp;
 RIGHT(YEAR($A1151),2)+(MONTH($A1151)&gt;=#REF!)</f>
        <v>#REF!</v>
      </c>
      <c r="R1151" s="1" t="e">
        <f>CHOOSE(MONTH($P1151),#REF!,#REF!,#REF!,#REF!,#REF!,#REF!,#REF!,#REF!,#REF!,#REF!,#REF!,#REF!)&amp;" "&amp;$Q1151</f>
        <v>#VALUE!</v>
      </c>
      <c r="S1151" s="1">
        <f t="shared" si="3"/>
        <v>1</v>
      </c>
      <c r="T1151" s="1" t="str">
        <f t="array" ref="T1151">IFERROR(INDEX(#REF!,MATCH($B1151,#REF!,0)),"")</f>
        <v/>
      </c>
      <c r="U1151" s="1" t="str">
        <f t="array" ref="U1151">IFERROR(INDEX(#REF!,MATCH($B1151,#REF!,0)),"")</f>
        <v/>
      </c>
      <c r="V1151" s="76">
        <f t="array" ref="V1151">AVERAGEIFS($E$2:$E2248,$B$2:$B2248,$B1151,$P$2:$P2248,"&lt;="&amp;$P1151,$P$2:$P2248,"&gt;"&amp;$P1151-7)</f>
        <v>8.53125</v>
      </c>
      <c r="W1151" s="76">
        <f ca="1">IFERROR(__xludf.DUMMYFUNCTION("iferror(stdevp(filter($D$2:$D2250,$B$2:$B2250=$B1151,$O$2:$O2250&lt;=$O1151,$O$2:$O2250&gt;$O1151-7)),0)"),0)</f>
        <v>0</v>
      </c>
      <c r="X1151" s="77">
        <f t="shared" ca="1" si="4"/>
        <v>0</v>
      </c>
      <c r="Y1151" s="77">
        <f t="shared" ca="1" si="5"/>
        <v>3</v>
      </c>
      <c r="Z1151" s="76">
        <f t="array" ref="Z1151">AVERAGEIFS($F$2:$F2248,$B$2:$B2248,$B1151,$P$2:$P2248,"&lt;="&amp;$P1151,$P$2:$P2248,"&gt;"&amp;$P1151-7)</f>
        <v>8.125</v>
      </c>
      <c r="AA1151" s="76">
        <f ca="1">IFERROR(__xludf.DUMMYFUNCTION("iferror(stdevp(filter($E$2:$E2250,$B$2:$B2250=$B1151,$O$2:$O2250&lt;=$O1151,$O$2:$O2250&gt;$O1151-7)),0)"),0.799999999999999)</f>
        <v>0.79999999999999905</v>
      </c>
      <c r="AB1151" s="77">
        <f t="shared" ca="1" si="6"/>
        <v>1.0937500000000013</v>
      </c>
      <c r="AC1151" s="77">
        <f t="shared" ca="1" si="7"/>
        <v>4</v>
      </c>
      <c r="AD1151" s="76">
        <f t="array" ref="AD1151">AVERAGEIFS($G$2:$G2248,$B$2:$B2248,$B1151,$P$2:$P2248,"&lt;="&amp;$P1151,$P$2:$P2248,"&gt;"&amp;$P1151-7)</f>
        <v>8.09375</v>
      </c>
      <c r="AE1151" s="76">
        <f ca="1">IFERROR(__xludf.DUMMYFUNCTION("iferror(stdevp(filter($F$2:$F2250,$B$2:$B2250=$B1151,$O$2:$O2250&lt;=$O1151,$O$2:$O2250&gt;$O1151-7)),0)"),0.489897948556635)</f>
        <v>0.48989794855663499</v>
      </c>
      <c r="AF1151" s="77">
        <f t="shared" ca="1" si="8"/>
        <v>-0.19136638615493604</v>
      </c>
      <c r="AG1151" s="77">
        <f t="shared" ca="1" si="9"/>
        <v>2</v>
      </c>
      <c r="AH1151" s="76">
        <f t="array" ref="AH1151">AVERAGEIFS($I$2:$I2248,$B$2:$B2248,$B1151,$P$2:$P2248,"&lt;="&amp;$P1151,$P$2:$P2248,"&gt;"&amp;$P1151-7)</f>
        <v>7.875</v>
      </c>
      <c r="AI1151" s="76">
        <f ca="1">IFERROR(__xludf.DUMMYFUNCTION("iferror(stdevp(filter($H$2:$H2250,$B$2:$B2250=$B1151,$O$2:$O2250&lt;=$O1151,$O$2:$O2250&gt;$O1151-7)),0)"),1.49666295470957)</f>
        <v>1.49666295470957</v>
      </c>
      <c r="AJ1151" s="77">
        <f t="shared" ca="1" si="10"/>
        <v>-1.2527870714644949</v>
      </c>
      <c r="AK1151" s="77">
        <f t="shared" ca="1" si="11"/>
        <v>1</v>
      </c>
      <c r="AL1151" s="76">
        <f t="array" ref="AL1151">AVERAGEIFS($J$2:$J2248,$B$2:$B2248,$B1151,$P$2:$P2248,"&lt;="&amp;$P1151,$P$2:$P2248,"&gt;"&amp;$P1151-7)</f>
        <v>8.34375</v>
      </c>
      <c r="AM1151" s="76">
        <f ca="1">IFERROR(__xludf.DUMMYFUNCTION("iferror(stdevp(filter($I$2:$I2250,$B$2:$B2250=$B1151,$O$2:$O2250&lt;=$O1151,$O$2:$O2250&gt;$O1151-7)),0)"),0.489897948556635)</f>
        <v>0.48989794855663499</v>
      </c>
      <c r="AN1151" s="77">
        <f t="shared" ca="1" si="13"/>
        <v>1.3395647030845523</v>
      </c>
      <c r="AO1151" s="77">
        <f t="shared" ca="1" si="14"/>
        <v>4</v>
      </c>
      <c r="AP1151" s="76">
        <f t="array" ref="AP1151">AVERAGEIFS($K$2:$K2248,$B$2:$B2248,$B1151,$P$2:$P2248,"&lt;="&amp;$P1151,$P$2:$P2248,"&gt;"&amp;$P1151-7)</f>
        <v>8.46875</v>
      </c>
      <c r="AQ1151" s="76">
        <f ca="1">IFERROR(__xludf.DUMMYFUNCTION("iferror(stdevp(filter($J$2:$J2250,$B$2:$B2250=$B1151,$O$2:$O2250&lt;=$O1151,$O$2:$O2250&gt;$O1151-7)),0)"),0.632455532033675)</f>
        <v>0.63245553203367499</v>
      </c>
      <c r="AR1151" s="77">
        <f t="shared" ca="1" si="15"/>
        <v>0.8399800034822269</v>
      </c>
      <c r="AS1151" s="77">
        <f t="shared" ca="1" si="16"/>
        <v>3</v>
      </c>
      <c r="AT1151" s="78">
        <f t="shared" ca="1" si="12"/>
        <v>0.70833333333333337</v>
      </c>
    </row>
    <row r="1152" spans="1:46" ht="12.5" x14ac:dyDescent="0.25">
      <c r="A1152" s="75">
        <v>44967.476852719905</v>
      </c>
      <c r="B1152" s="1" t="s">
        <v>7</v>
      </c>
      <c r="C1152" s="1" t="str">
        <f>INDEX(TBL_Name,MATCH(Table2[[#This Row],[Athlete Name]],listNames,0),2)</f>
        <v>Athlete 3</v>
      </c>
      <c r="D1152" s="1" t="s">
        <v>130</v>
      </c>
      <c r="E1152" s="1">
        <v>6</v>
      </c>
      <c r="F1152" s="1">
        <v>7</v>
      </c>
      <c r="G1152" s="1">
        <v>8</v>
      </c>
      <c r="H1152" s="1" t="s">
        <v>131</v>
      </c>
      <c r="I1152" s="1">
        <v>2</v>
      </c>
      <c r="J1152" s="1">
        <v>8</v>
      </c>
      <c r="K1152" s="1">
        <v>8</v>
      </c>
      <c r="L1152" s="1">
        <v>71</v>
      </c>
      <c r="M1152" s="1" t="e">
        <f t="shared" ca="1" si="0"/>
        <v>#NAME?</v>
      </c>
      <c r="N1152" s="1" t="e">
        <f t="shared" si="1"/>
        <v>#VALUE!</v>
      </c>
      <c r="O1152" s="1" t="e">
        <f ca="1">IF($N1152=_xludf.MINIFS($N$2:$N2338,$R$2:$R2338,$R1152),1,
($N1152-_xludf.MINIFS($N$2:$N2338,$R$2:$R2338,$R1152))+1)</f>
        <v>#VALUE!</v>
      </c>
      <c r="P1152" s="13" t="e">
        <f t="shared" si="2"/>
        <v>#VALUE!</v>
      </c>
      <c r="Q1152" s="1" t="e">
        <f>RIGHT(YEAR($A1152),2)-(MONTH($A1152)&lt;=#REF!)
 &amp;"-"&amp;
 RIGHT(YEAR($A1152),2)+(MONTH($A1152)&gt;=#REF!)</f>
        <v>#REF!</v>
      </c>
      <c r="R1152" s="1" t="e">
        <f>CHOOSE(MONTH($P1152),#REF!,#REF!,#REF!,#REF!,#REF!,#REF!,#REF!,#REF!,#REF!,#REF!,#REF!,#REF!)&amp;" "&amp;$Q1152</f>
        <v>#VALUE!</v>
      </c>
      <c r="S1152" s="1">
        <f t="shared" si="3"/>
        <v>1</v>
      </c>
      <c r="T1152" s="1" t="str">
        <f t="array" ref="T1152">IFERROR(INDEX(#REF!,MATCH($B1152,#REF!,0)),"")</f>
        <v/>
      </c>
      <c r="U1152" s="1" t="str">
        <f t="array" ref="U1152">IFERROR(INDEX(#REF!,MATCH($B1152,#REF!,0)),"")</f>
        <v/>
      </c>
      <c r="V1152" s="76">
        <f t="array" ref="V1152">AVERAGEIFS($E$2:$E2248,$B$2:$B2248,$B1152,$P$2:$P2248,"&lt;="&amp;$P1152,$P$2:$P2248,"&gt;"&amp;$P1152-7)</f>
        <v>6</v>
      </c>
      <c r="W1152" s="76">
        <f ca="1">IFERROR(__xludf.DUMMYFUNCTION("iferror(stdevp(filter($D$2:$D2250,$B$2:$B2250=$B1152,$O$2:$O2250&lt;=$O1152,$O$2:$O2250&gt;$O1152-7)),0)"),1.78535710713571)</f>
        <v>1.7853571071357099</v>
      </c>
      <c r="X1152" s="77">
        <f t="shared" ca="1" si="4"/>
        <v>0</v>
      </c>
      <c r="Y1152" s="77">
        <f t="shared" ca="1" si="5"/>
        <v>3</v>
      </c>
      <c r="Z1152" s="76">
        <f t="array" ref="Z1152">AVERAGEIFS($F$2:$F2248,$B$2:$B2248,$B1152,$P$2:$P2248,"&lt;="&amp;$P1152,$P$2:$P2248,"&gt;"&amp;$P1152-7)</f>
        <v>7.3703703703703702</v>
      </c>
      <c r="AA1152" s="76">
        <f ca="1">IFERROR(__xludf.DUMMYFUNCTION("iferror(stdevp(filter($E$2:$E2250,$B$2:$B2250=$B1152,$O$2:$O2250&lt;=$O1152,$O$2:$O2250&gt;$O1152-7)),0)"),0.866025403784438)</f>
        <v>0.86602540378443804</v>
      </c>
      <c r="AB1152" s="77">
        <f t="shared" ca="1" si="6"/>
        <v>-0.42766686606638959</v>
      </c>
      <c r="AC1152" s="77">
        <f t="shared" ca="1" si="7"/>
        <v>2</v>
      </c>
      <c r="AD1152" s="76">
        <f t="array" ref="AD1152">AVERAGEIFS($G$2:$G2248,$B$2:$B2248,$B1152,$P$2:$P2248,"&lt;="&amp;$P1152,$P$2:$P2248,"&gt;"&amp;$P1152-7)</f>
        <v>7.7777777777777777</v>
      </c>
      <c r="AE1152" s="76">
        <f ca="1">IFERROR(__xludf.DUMMYFUNCTION("iferror(stdevp(filter($F$2:$F2250,$B$2:$B2250=$B1152,$O$2:$O2250&lt;=$O1152,$O$2:$O2250&gt;$O1152-7)),0)"),0.82915619758885)</f>
        <v>0.82915619758884995</v>
      </c>
      <c r="AF1152" s="77">
        <f t="shared" ca="1" si="8"/>
        <v>0.26801008406912336</v>
      </c>
      <c r="AG1152" s="77">
        <f t="shared" ca="1" si="9"/>
        <v>3</v>
      </c>
      <c r="AH1152" s="76">
        <f t="array" ref="AH1152">AVERAGEIFS($I$2:$I2248,$B$2:$B2248,$B1152,$P$2:$P2248,"&lt;="&amp;$P1152,$P$2:$P2248,"&gt;"&amp;$P1152-7)</f>
        <v>6.333333333333333</v>
      </c>
      <c r="AI1152" s="76">
        <f ca="1">IFERROR(__xludf.DUMMYFUNCTION("iferror(stdevp(filter($H$2:$H2250,$B$2:$B2250=$B1152,$O$2:$O2250&lt;=$O1152,$O$2:$O2250&gt;$O1152-7)),0)"),3.34477204006491)</f>
        <v>3.3447720400649099</v>
      </c>
      <c r="AJ1152" s="77">
        <f t="shared" ca="1" si="10"/>
        <v>-1.2955541607700234</v>
      </c>
      <c r="AK1152" s="77">
        <f t="shared" ca="1" si="11"/>
        <v>1</v>
      </c>
      <c r="AL1152" s="76">
        <f t="array" ref="AL1152">AVERAGEIFS($J$2:$J2248,$B$2:$B2248,$B1152,$P$2:$P2248,"&lt;="&amp;$P1152,$P$2:$P2248,"&gt;"&amp;$P1152-7)</f>
        <v>5.4230769230769234</v>
      </c>
      <c r="AM1152" s="76">
        <f ca="1">IFERROR(__xludf.DUMMYFUNCTION("iferror(stdevp(filter($I$2:$I2250,$B$2:$B2250=$B1152,$O$2:$O2250&lt;=$O1152,$O$2:$O2250&gt;$O1152-7)),0)"),2.17944947177033)</f>
        <v>2.1794494717703299</v>
      </c>
      <c r="AN1152" s="77">
        <f t="shared" ca="1" si="13"/>
        <v>1.1823733976405912</v>
      </c>
      <c r="AO1152" s="77">
        <f t="shared" ca="1" si="14"/>
        <v>4</v>
      </c>
      <c r="AP1152" s="76">
        <f t="array" ref="AP1152">AVERAGEIFS($K$2:$K2248,$B$2:$B2248,$B1152,$P$2:$P2248,"&lt;="&amp;$P1152,$P$2:$P2248,"&gt;"&amp;$P1152-7)</f>
        <v>7.5769230769230766</v>
      </c>
      <c r="AQ1152" s="76">
        <f ca="1">IFERROR(__xludf.DUMMYFUNCTION("iferror(stdevp(filter($J$2:$J2250,$B$2:$B2250=$B1152,$O$2:$O2250&lt;=$O1152,$O$2:$O2250&gt;$O1152-7)),0)"),0.82915619758885)</f>
        <v>0.82915619758884995</v>
      </c>
      <c r="AR1152" s="77">
        <f t="shared" ca="1" si="15"/>
        <v>0.51024996774698494</v>
      </c>
      <c r="AS1152" s="77">
        <f t="shared" ca="1" si="16"/>
        <v>3</v>
      </c>
      <c r="AT1152" s="78">
        <f t="shared" ca="1" si="12"/>
        <v>0.66666666666666663</v>
      </c>
    </row>
    <row r="1153" spans="1:46" ht="12.5" x14ac:dyDescent="0.25">
      <c r="A1153" s="75">
        <v>44967.486753124998</v>
      </c>
      <c r="B1153" s="1" t="s">
        <v>15</v>
      </c>
      <c r="C1153" s="1" t="str">
        <f>INDEX(TBL_Name,MATCH(Table2[[#This Row],[Athlete Name]],listNames,0),2)</f>
        <v>Athlete 8</v>
      </c>
      <c r="D1153" s="1" t="s">
        <v>143</v>
      </c>
      <c r="E1153" s="1">
        <v>10</v>
      </c>
      <c r="F1153" s="1">
        <v>10</v>
      </c>
      <c r="G1153" s="1">
        <v>9</v>
      </c>
      <c r="H1153" s="1" t="s">
        <v>1531</v>
      </c>
      <c r="I1153" s="1">
        <v>5</v>
      </c>
      <c r="J1153" s="1">
        <v>10</v>
      </c>
      <c r="K1153" s="1">
        <v>10</v>
      </c>
      <c r="L1153" s="1">
        <v>73</v>
      </c>
      <c r="M1153" s="1" t="e">
        <f t="shared" ca="1" si="0"/>
        <v>#NAME?</v>
      </c>
      <c r="N1153" s="1" t="e">
        <f t="shared" si="1"/>
        <v>#VALUE!</v>
      </c>
      <c r="O1153" s="1" t="e">
        <f ca="1">IF($N1153=_xludf.MINIFS($N$2:$N2339,$R$2:$R2339,$R1153),1,
($N1153-_xludf.MINIFS($N$2:$N2339,$R$2:$R2339,$R1153))+1)</f>
        <v>#VALUE!</v>
      </c>
      <c r="P1153" s="13" t="e">
        <f t="shared" si="2"/>
        <v>#VALUE!</v>
      </c>
      <c r="Q1153" s="1" t="e">
        <f>RIGHT(YEAR($A1153),2)-(MONTH($A1153)&lt;=#REF!)
 &amp;"-"&amp;
 RIGHT(YEAR($A1153),2)+(MONTH($A1153)&gt;=#REF!)</f>
        <v>#REF!</v>
      </c>
      <c r="R1153" s="1" t="e">
        <f>CHOOSE(MONTH($P1153),#REF!,#REF!,#REF!,#REF!,#REF!,#REF!,#REF!,#REF!,#REF!,#REF!,#REF!,#REF!)&amp;" "&amp;$Q1153</f>
        <v>#VALUE!</v>
      </c>
      <c r="S1153" s="1">
        <f t="shared" si="3"/>
        <v>2</v>
      </c>
      <c r="T1153" s="1" t="str">
        <f t="array" ref="T1153">IFERROR(INDEX(#REF!,MATCH($B1153,#REF!,0)),"")</f>
        <v/>
      </c>
      <c r="U1153" s="1" t="str">
        <f t="array" ref="U1153">IFERROR(INDEX(#REF!,MATCH($B1153,#REF!,0)),"")</f>
        <v/>
      </c>
      <c r="V1153" s="76">
        <f t="array" ref="V1153">AVERAGEIFS($E$2:$E2248,$B$2:$B2248,$B1153,$P$2:$P2248,"&lt;="&amp;$P1153,$P$2:$P2248,"&gt;"&amp;$P1153-7)</f>
        <v>8.935483870967742</v>
      </c>
      <c r="W1153" s="76">
        <f ca="1">IFERROR(__xludf.DUMMYFUNCTION("iferror(stdevp(filter($D$2:$D2250,$B$2:$B2250=$B1153,$O$2:$O2250&lt;=$O1153,$O$2:$O2250&gt;$O1153-7)),0)"),1.16619037896906)</f>
        <v>1.16619037896906</v>
      </c>
      <c r="X1153" s="77">
        <f t="shared" ca="1" si="4"/>
        <v>0.9128150499520632</v>
      </c>
      <c r="Y1153" s="77">
        <f t="shared" ca="1" si="5"/>
        <v>3</v>
      </c>
      <c r="Z1153" s="76">
        <f t="array" ref="Z1153">AVERAGEIFS($F$2:$F2248,$B$2:$B2248,$B1153,$P$2:$P2248,"&lt;="&amp;$P1153,$P$2:$P2248,"&gt;"&amp;$P1153-7)</f>
        <v>8.741935483870968</v>
      </c>
      <c r="AA1153" s="76">
        <f ca="1">IFERROR(__xludf.DUMMYFUNCTION("iferror(stdevp(filter($E$2:$E2250,$B$2:$B2250=$B1153,$O$2:$O2250&lt;=$O1153,$O$2:$O2250&gt;$O1153-7)),0)"),1.74355957741626)</f>
        <v>1.74355957741626</v>
      </c>
      <c r="AB1153" s="77">
        <f t="shared" ca="1" si="6"/>
        <v>0.72154948556064158</v>
      </c>
      <c r="AC1153" s="77">
        <f t="shared" ca="1" si="7"/>
        <v>3</v>
      </c>
      <c r="AD1153" s="76">
        <f t="array" ref="AD1153">AVERAGEIFS($G$2:$G2248,$B$2:$B2248,$B1153,$P$2:$P2248,"&lt;="&amp;$P1153,$P$2:$P2248,"&gt;"&amp;$P1153-7)</f>
        <v>7.32258064516129</v>
      </c>
      <c r="AE1153" s="76">
        <f ca="1">IFERROR(__xludf.DUMMYFUNCTION("iferror(stdevp(filter($F$2:$F2250,$B$2:$B2250=$B1153,$O$2:$O2250&lt;=$O1153,$O$2:$O2250&gt;$O1153-7)),0)"),1.09544511501033)</f>
        <v>1.0954451150103299</v>
      </c>
      <c r="AF1153" s="77">
        <f t="shared" ca="1" si="8"/>
        <v>1.5312673650682098</v>
      </c>
      <c r="AG1153" s="77">
        <f t="shared" ca="1" si="9"/>
        <v>4</v>
      </c>
      <c r="AH1153" s="76">
        <f t="array" ref="AH1153">AVERAGEIFS($I$2:$I2248,$B$2:$B2248,$B1153,$P$2:$P2248,"&lt;="&amp;$P1153,$P$2:$P2248,"&gt;"&amp;$P1153-7)</f>
        <v>6.419354838709677</v>
      </c>
      <c r="AI1153" s="76">
        <f ca="1">IFERROR(__xludf.DUMMYFUNCTION("iferror(stdevp(filter($H$2:$H2250,$B$2:$B2250=$B1153,$O$2:$O2250&lt;=$O1153,$O$2:$O2250&gt;$O1153-7)),0)"),0.799999999999999)</f>
        <v>0.79999999999999905</v>
      </c>
      <c r="AJ1153" s="77">
        <f t="shared" ca="1" si="10"/>
        <v>-1.7741935483870985</v>
      </c>
      <c r="AK1153" s="77">
        <f t="shared" ca="1" si="11"/>
        <v>1</v>
      </c>
      <c r="AL1153" s="76">
        <f t="array" ref="AL1153">AVERAGEIFS($J$2:$J2248,$B$2:$B2248,$B1153,$P$2:$P2248,"&lt;="&amp;$P1153,$P$2:$P2248,"&gt;"&amp;$P1153-7)</f>
        <v>9.612903225806452</v>
      </c>
      <c r="AM1153" s="76">
        <f ca="1">IFERROR(__xludf.DUMMYFUNCTION("iferror(stdevp(filter($I$2:$I2250,$B$2:$B2250=$B1153,$O$2:$O2250&lt;=$O1153,$O$2:$O2250&gt;$O1153-7)),0)"),1.99999999999999)</f>
        <v>1.99999999999999</v>
      </c>
      <c r="AN1153" s="77">
        <f t="shared" ca="1" si="13"/>
        <v>0.19354838709677499</v>
      </c>
      <c r="AO1153" s="77">
        <f t="shared" ca="1" si="14"/>
        <v>3</v>
      </c>
      <c r="AP1153" s="76">
        <f t="array" ref="AP1153">AVERAGEIFS($K$2:$K2248,$B$2:$B2248,$B1153,$P$2:$P2248,"&lt;="&amp;$P1153,$P$2:$P2248,"&gt;"&amp;$P1153-7)</f>
        <v>10</v>
      </c>
      <c r="AQ1153" s="76">
        <f ca="1">IFERROR(__xludf.DUMMYFUNCTION("iferror(stdevp(filter($J$2:$J2250,$B$2:$B2250=$B1153,$O$2:$O2250&lt;=$O1153,$O$2:$O2250&gt;$O1153-7)),0)"),0)</f>
        <v>0</v>
      </c>
      <c r="AR1153" s="77">
        <f t="shared" ca="1" si="15"/>
        <v>0</v>
      </c>
      <c r="AS1153" s="77">
        <f t="shared" ca="1" si="16"/>
        <v>3</v>
      </c>
      <c r="AT1153" s="78">
        <f t="shared" ca="1" si="12"/>
        <v>0.70833333333333337</v>
      </c>
    </row>
    <row r="1154" spans="1:46" ht="12.5" x14ac:dyDescent="0.25">
      <c r="A1154" s="75">
        <v>44967.548362696762</v>
      </c>
      <c r="B1154" s="1" t="s">
        <v>19</v>
      </c>
      <c r="C1154" s="1" t="str">
        <f>INDEX(TBL_Name,MATCH(Table2[[#This Row],[Athlete Name]],listNames,0),2)</f>
        <v>Athlete 11</v>
      </c>
      <c r="D1154" s="1" t="s">
        <v>130</v>
      </c>
      <c r="E1154" s="1">
        <v>4</v>
      </c>
      <c r="F1154" s="1">
        <v>8</v>
      </c>
      <c r="G1154" s="1">
        <v>8</v>
      </c>
      <c r="H1154" s="1" t="s">
        <v>1307</v>
      </c>
      <c r="I1154" s="1">
        <v>4</v>
      </c>
      <c r="J1154" s="1">
        <v>7</v>
      </c>
      <c r="K1154" s="1">
        <v>9</v>
      </c>
      <c r="L1154" s="1">
        <v>60</v>
      </c>
      <c r="M1154" s="1" t="e">
        <f t="shared" ca="1" si="0"/>
        <v>#NAME?</v>
      </c>
      <c r="N1154" s="1" t="e">
        <f t="shared" si="1"/>
        <v>#VALUE!</v>
      </c>
      <c r="O1154" s="1" t="e">
        <f ca="1">IF($N1154=_xludf.MINIFS($N$2:$N2340,$R$2:$R2340,$R1154),1,
($N1154-_xludf.MINIFS($N$2:$N2340,$R$2:$R2340,$R1154))+1)</f>
        <v>#VALUE!</v>
      </c>
      <c r="P1154" s="13" t="e">
        <f t="shared" si="2"/>
        <v>#VALUE!</v>
      </c>
      <c r="Q1154" s="1" t="e">
        <f>RIGHT(YEAR($A1154),2)-(MONTH($A1154)&lt;=#REF!)
 &amp;"-"&amp;
 RIGHT(YEAR($A1154),2)+(MONTH($A1154)&gt;=#REF!)</f>
        <v>#REF!</v>
      </c>
      <c r="R1154" s="1" t="e">
        <f>CHOOSE(MONTH($P1154),#REF!,#REF!,#REF!,#REF!,#REF!,#REF!,#REF!,#REF!,#REF!,#REF!,#REF!,#REF!)&amp;" "&amp;$Q1154</f>
        <v>#VALUE!</v>
      </c>
      <c r="S1154" s="1">
        <f t="shared" si="3"/>
        <v>1</v>
      </c>
      <c r="T1154" s="1" t="str">
        <f t="array" ref="T1154">IFERROR(INDEX(#REF!,MATCH($B1154,#REF!,0)),"")</f>
        <v/>
      </c>
      <c r="U1154" s="1" t="str">
        <f t="array" ref="U1154">IFERROR(INDEX(#REF!,MATCH($B1154,#REF!,0)),"")</f>
        <v/>
      </c>
      <c r="V1154" s="76">
        <f t="array" ref="V1154">AVERAGEIFS($E$2:$E2248,$B$2:$B2248,$B1154,$P$2:$P2248,"&lt;="&amp;$P1154,$P$2:$P2248,"&gt;"&amp;$P1154-7)</f>
        <v>4.6538461538461542</v>
      </c>
      <c r="W1154" s="76">
        <f ca="1">IFERROR(__xludf.DUMMYFUNCTION("iferror(stdevp(filter($D$2:$D2250,$B$2:$B2250=$B1154,$O$2:$O2250&lt;=$O1154,$O$2:$O2250&gt;$O1154-7)),0)"),1.26491106406735)</f>
        <v>1.26491106406735</v>
      </c>
      <c r="X1154" s="77">
        <f t="shared" ca="1" si="4"/>
        <v>-0.51691077137367836</v>
      </c>
      <c r="Y1154" s="77">
        <f t="shared" ca="1" si="5"/>
        <v>2</v>
      </c>
      <c r="Z1154" s="76">
        <f t="array" ref="Z1154">AVERAGEIFS($F$2:$F2248,$B$2:$B2248,$B1154,$P$2:$P2248,"&lt;="&amp;$P1154,$P$2:$P2248,"&gt;"&amp;$P1154-7)</f>
        <v>6.8461538461538458</v>
      </c>
      <c r="AA1154" s="76">
        <f ca="1">IFERROR(__xludf.DUMMYFUNCTION("iferror(stdevp(filter($E$2:$E2250,$B$2:$B2250=$B1154,$O$2:$O2250&lt;=$O1154,$O$2:$O2250&gt;$O1154-7)),0)"),0.489897948556635)</f>
        <v>0.48989794855663499</v>
      </c>
      <c r="AB1154" s="77">
        <f t="shared" ca="1" si="6"/>
        <v>2.3552785988299827</v>
      </c>
      <c r="AC1154" s="77">
        <f t="shared" ca="1" si="7"/>
        <v>4</v>
      </c>
      <c r="AD1154" s="76">
        <f t="array" ref="AD1154">AVERAGEIFS($G$2:$G2248,$B$2:$B2248,$B1154,$P$2:$P2248,"&lt;="&amp;$P1154,$P$2:$P2248,"&gt;"&amp;$P1154-7)</f>
        <v>7.2692307692307692</v>
      </c>
      <c r="AE1154" s="76">
        <f ca="1">IFERROR(__xludf.DUMMYFUNCTION("iferror(stdevp(filter($F$2:$F2250,$B$2:$B2250=$B1154,$O$2:$O2250&lt;=$O1154,$O$2:$O2250&gt;$O1154-7)),0)"),0.489897948556635)</f>
        <v>0.48989794855663499</v>
      </c>
      <c r="AF1154" s="77">
        <f t="shared" ca="1" si="8"/>
        <v>1.4916764459256553</v>
      </c>
      <c r="AG1154" s="77">
        <f t="shared" ca="1" si="9"/>
        <v>4</v>
      </c>
      <c r="AH1154" s="76">
        <f t="array" ref="AH1154">AVERAGEIFS($I$2:$I2248,$B$2:$B2248,$B1154,$P$2:$P2248,"&lt;="&amp;$P1154,$P$2:$P2248,"&gt;"&amp;$P1154-7)</f>
        <v>4.9230769230769234</v>
      </c>
      <c r="AI1154" s="76">
        <f ca="1">IFERROR(__xludf.DUMMYFUNCTION("iferror(stdevp(filter($H$2:$H2250,$B$2:$B2250=$B1154,$O$2:$O2250&lt;=$O1154,$O$2:$O2250&gt;$O1154-7)),0)"),1.4696938456699)</f>
        <v>1.4696938456699</v>
      </c>
      <c r="AJ1154" s="77">
        <f t="shared" ca="1" si="10"/>
        <v>-0.62807429302133078</v>
      </c>
      <c r="AK1154" s="77">
        <f t="shared" ca="1" si="11"/>
        <v>2</v>
      </c>
      <c r="AL1154" s="76">
        <f t="array" ref="AL1154">AVERAGEIFS($J$2:$J2248,$B$2:$B2248,$B1154,$P$2:$P2248,"&lt;="&amp;$P1154,$P$2:$P2248,"&gt;"&amp;$P1154-7)</f>
        <v>7.5769230769230766</v>
      </c>
      <c r="AM1154" s="76">
        <f ca="1">IFERROR(__xludf.DUMMYFUNCTION("iferror(stdevp(filter($I$2:$I2250,$B$2:$B2250=$B1154,$O$2:$O2250&lt;=$O1154,$O$2:$O2250&gt;$O1154-7)),0)"),0.748331477354788)</f>
        <v>0.748331477354788</v>
      </c>
      <c r="AN1154" s="77">
        <f t="shared" ca="1" si="13"/>
        <v>-0.77094589013199333</v>
      </c>
      <c r="AO1154" s="77">
        <f t="shared" ca="1" si="14"/>
        <v>2</v>
      </c>
      <c r="AP1154" s="76">
        <f t="array" ref="AP1154">AVERAGEIFS($K$2:$K2248,$B$2:$B2248,$B1154,$P$2:$P2248,"&lt;="&amp;$P1154,$P$2:$P2248,"&gt;"&amp;$P1154-7)</f>
        <v>8</v>
      </c>
      <c r="AQ1154" s="76">
        <f ca="1">IFERROR(__xludf.DUMMYFUNCTION("iferror(stdevp(filter($J$2:$J2250,$B$2:$B2250=$B1154,$O$2:$O2250&lt;=$O1154,$O$2:$O2250&gt;$O1154-7)),0)"),0.8)</f>
        <v>0.8</v>
      </c>
      <c r="AR1154" s="77">
        <f t="shared" ca="1" si="15"/>
        <v>1.25</v>
      </c>
      <c r="AS1154" s="77">
        <f t="shared" ca="1" si="16"/>
        <v>4</v>
      </c>
      <c r="AT1154" s="78">
        <f t="shared" ca="1" si="12"/>
        <v>0.75</v>
      </c>
    </row>
    <row r="1155" spans="1:46" ht="12.5" x14ac:dyDescent="0.25">
      <c r="A1155" s="75">
        <v>44967.55126842593</v>
      </c>
      <c r="B1155" s="1" t="s">
        <v>20</v>
      </c>
      <c r="C1155" s="1" t="str">
        <f>INDEX(TBL_Name,MATCH(Table2[[#This Row],[Athlete Name]],listNames,0),2)</f>
        <v>Athlete 12</v>
      </c>
      <c r="D1155" s="1" t="s">
        <v>143</v>
      </c>
      <c r="E1155" s="1">
        <v>9</v>
      </c>
      <c r="F1155" s="1">
        <v>7</v>
      </c>
      <c r="G1155" s="1">
        <v>9</v>
      </c>
      <c r="H1155" s="1" t="s">
        <v>1532</v>
      </c>
      <c r="I1155" s="1">
        <v>4</v>
      </c>
      <c r="J1155" s="1">
        <v>6</v>
      </c>
      <c r="K1155" s="1">
        <v>6</v>
      </c>
      <c r="L1155" s="1">
        <v>65</v>
      </c>
      <c r="M1155" s="1" t="e">
        <f t="shared" ca="1" si="0"/>
        <v>#NAME?</v>
      </c>
      <c r="N1155" s="1" t="e">
        <f t="shared" si="1"/>
        <v>#VALUE!</v>
      </c>
      <c r="O1155" s="1" t="e">
        <f ca="1">IF($N1155=_xludf.MINIFS($N$2:$N2341,$R$2:$R2341,$R1155),1,
($N1155-_xludf.MINIFS($N$2:$N2341,$R$2:$R2341,$R1155))+1)</f>
        <v>#VALUE!</v>
      </c>
      <c r="P1155" s="13" t="e">
        <f t="shared" si="2"/>
        <v>#VALUE!</v>
      </c>
      <c r="Q1155" s="1" t="e">
        <f>RIGHT(YEAR($A1155),2)-(MONTH($A1155)&lt;=#REF!)
 &amp;"-"&amp;
 RIGHT(YEAR($A1155),2)+(MONTH($A1155)&gt;=#REF!)</f>
        <v>#REF!</v>
      </c>
      <c r="R1155" s="1" t="e">
        <f>CHOOSE(MONTH($P1155),#REF!,#REF!,#REF!,#REF!,#REF!,#REF!,#REF!,#REF!,#REF!,#REF!,#REF!,#REF!)&amp;" "&amp;$Q1155</f>
        <v>#VALUE!</v>
      </c>
      <c r="S1155" s="1">
        <f t="shared" si="3"/>
        <v>2</v>
      </c>
      <c r="T1155" s="1" t="str">
        <f t="array" ref="T1155">IFERROR(INDEX(#REF!,MATCH($B1155,#REF!,0)),"")</f>
        <v/>
      </c>
      <c r="U1155" s="1" t="str">
        <f t="array" ref="U1155">IFERROR(INDEX(#REF!,MATCH($B1155,#REF!,0)),"")</f>
        <v/>
      </c>
      <c r="V1155" s="76">
        <f t="array" ref="V1155">AVERAGEIFS($E$2:$E2248,$B$2:$B2248,$B1155,$P$2:$P2248,"&lt;="&amp;$P1155,$P$2:$P2248,"&gt;"&amp;$P1155-7)</f>
        <v>7.4761904761904763</v>
      </c>
      <c r="W1155" s="76">
        <f ca="1">IFERROR(__xludf.DUMMYFUNCTION("iferror(stdevp(filter($D$2:$D2250,$B$2:$B2250=$B1155,$O$2:$O2250&lt;=$O1155,$O$2:$O2250&gt;$O1155-7)),0)"),0)</f>
        <v>0</v>
      </c>
      <c r="X1155" s="77">
        <f t="shared" ca="1" si="4"/>
        <v>0</v>
      </c>
      <c r="Y1155" s="77">
        <f t="shared" ca="1" si="5"/>
        <v>3</v>
      </c>
      <c r="Z1155" s="76">
        <f t="array" ref="Z1155">AVERAGEIFS($F$2:$F2248,$B$2:$B2248,$B1155,$P$2:$P2248,"&lt;="&amp;$P1155,$P$2:$P2248,"&gt;"&amp;$P1155-7)</f>
        <v>8.1904761904761898</v>
      </c>
      <c r="AA1155" s="76">
        <f ca="1">IFERROR(__xludf.DUMMYFUNCTION("iferror(stdevp(filter($E$2:$E2250,$B$2:$B2250=$B1155,$O$2:$O2250&lt;=$O1155,$O$2:$O2250&gt;$O1155-7)),0)"),1.24721912892464)</f>
        <v>1.2472191289246399</v>
      </c>
      <c r="AB1155" s="77">
        <f t="shared" ca="1" si="6"/>
        <v>-0.95450443540152063</v>
      </c>
      <c r="AC1155" s="77">
        <f t="shared" ca="1" si="7"/>
        <v>2</v>
      </c>
      <c r="AD1155" s="76">
        <f t="array" ref="AD1155">AVERAGEIFS($G$2:$G2248,$B$2:$B2248,$B1155,$P$2:$P2248,"&lt;="&amp;$P1155,$P$2:$P2248,"&gt;"&amp;$P1155-7)</f>
        <v>8.5714285714285712</v>
      </c>
      <c r="AE1155" s="76">
        <f ca="1">IFERROR(__xludf.DUMMYFUNCTION("iferror(stdevp(filter($F$2:$F2250,$B$2:$B2250=$B1155,$O$2:$O2250&lt;=$O1155,$O$2:$O2250&gt;$O1155-7)),0)"),0.816496580927726)</f>
        <v>0.81649658092772603</v>
      </c>
      <c r="AF1155" s="77">
        <f t="shared" ca="1" si="8"/>
        <v>0.52489065916782418</v>
      </c>
      <c r="AG1155" s="77">
        <f t="shared" ca="1" si="9"/>
        <v>3</v>
      </c>
      <c r="AH1155" s="76">
        <f t="array" ref="AH1155">AVERAGEIFS($I$2:$I2248,$B$2:$B2248,$B1155,$P$2:$P2248,"&lt;="&amp;$P1155,$P$2:$P2248,"&gt;"&amp;$P1155-7)</f>
        <v>5.6190476190476186</v>
      </c>
      <c r="AI1155" s="76">
        <f ca="1">IFERROR(__xludf.DUMMYFUNCTION("iferror(stdevp(filter($H$2:$H2250,$B$2:$B2250=$B1155,$O$2:$O2250&lt;=$O1155,$O$2:$O2250&gt;$O1155-7)),0)"),0.942809041582063)</f>
        <v>0.94280904158206302</v>
      </c>
      <c r="AJ1155" s="77">
        <f t="shared" ca="1" si="10"/>
        <v>-1.7172593257387585</v>
      </c>
      <c r="AK1155" s="77">
        <f t="shared" ca="1" si="11"/>
        <v>1</v>
      </c>
      <c r="AL1155" s="76">
        <f t="array" ref="AL1155">AVERAGEIFS($J$2:$J2248,$B$2:$B2248,$B1155,$P$2:$P2248,"&lt;="&amp;$P1155,$P$2:$P2248,"&gt;"&amp;$P1155-7)</f>
        <v>7</v>
      </c>
      <c r="AM1155" s="76">
        <f ca="1">IFERROR(__xludf.DUMMYFUNCTION("iferror(stdevp(filter($I$2:$I2250,$B$2:$B2250=$B1155,$O$2:$O2250&lt;=$O1155,$O$2:$O2250&gt;$O1155-7)),0)"),1.24721912892464)</f>
        <v>1.2472191289246399</v>
      </c>
      <c r="AN1155" s="77">
        <f t="shared" ca="1" si="13"/>
        <v>-0.80178372573727774</v>
      </c>
      <c r="AO1155" s="77">
        <f t="shared" ca="1" si="14"/>
        <v>2</v>
      </c>
      <c r="AP1155" s="76">
        <f t="array" ref="AP1155">AVERAGEIFS($K$2:$K2248,$B$2:$B2248,$B1155,$P$2:$P2248,"&lt;="&amp;$P1155,$P$2:$P2248,"&gt;"&amp;$P1155-7)</f>
        <v>7.4285714285714288</v>
      </c>
      <c r="AQ1155" s="76">
        <f ca="1">IFERROR(__xludf.DUMMYFUNCTION("iferror(stdevp(filter($J$2:$J2250,$B$2:$B2250=$B1155,$O$2:$O2250&lt;=$O1155,$O$2:$O2250&gt;$O1155-7)),0)"),0.816496580927726)</f>
        <v>0.81649658092772603</v>
      </c>
      <c r="AR1155" s="77">
        <f t="shared" ca="1" si="15"/>
        <v>-1.7496355305594133</v>
      </c>
      <c r="AS1155" s="77">
        <f t="shared" ca="1" si="16"/>
        <v>1</v>
      </c>
      <c r="AT1155" s="78">
        <f t="shared" ca="1" si="12"/>
        <v>0.5</v>
      </c>
    </row>
    <row r="1156" spans="1:46" ht="12.5" x14ac:dyDescent="0.25">
      <c r="A1156" s="75">
        <v>44967.552899745366</v>
      </c>
      <c r="B1156" s="1" t="s">
        <v>10</v>
      </c>
      <c r="C1156" s="1" t="str">
        <f>INDEX(TBL_Name,MATCH(Table2[[#This Row],[Athlete Name]],listNames,0),2)</f>
        <v>Athlete 5</v>
      </c>
      <c r="D1156" s="1" t="s">
        <v>130</v>
      </c>
      <c r="E1156" s="1">
        <v>9</v>
      </c>
      <c r="F1156" s="1">
        <v>9</v>
      </c>
      <c r="G1156" s="1">
        <v>9</v>
      </c>
      <c r="H1156" s="1" t="s">
        <v>1533</v>
      </c>
      <c r="I1156" s="1">
        <v>3</v>
      </c>
      <c r="J1156" s="1">
        <v>9</v>
      </c>
      <c r="K1156" s="1">
        <v>9</v>
      </c>
      <c r="L1156" s="1">
        <v>88</v>
      </c>
      <c r="M1156" s="1" t="e">
        <f t="shared" ca="1" si="0"/>
        <v>#NAME?</v>
      </c>
      <c r="N1156" s="1" t="e">
        <f t="shared" si="1"/>
        <v>#VALUE!</v>
      </c>
      <c r="O1156" s="1" t="e">
        <f ca="1">IF($N1156=_xludf.MINIFS($N$2:$N2342,$R$2:$R2342,$R1156),1,
($N1156-_xludf.MINIFS($N$2:$N2342,$R$2:$R2342,$R1156))+1)</f>
        <v>#VALUE!</v>
      </c>
      <c r="P1156" s="13" t="e">
        <f t="shared" si="2"/>
        <v>#VALUE!</v>
      </c>
      <c r="Q1156" s="1" t="e">
        <f>RIGHT(YEAR($A1156),2)-(MONTH($A1156)&lt;=#REF!)
 &amp;"-"&amp;
 RIGHT(YEAR($A1156),2)+(MONTH($A1156)&gt;=#REF!)</f>
        <v>#REF!</v>
      </c>
      <c r="R1156" s="1" t="e">
        <f>CHOOSE(MONTH($P1156),#REF!,#REF!,#REF!,#REF!,#REF!,#REF!,#REF!,#REF!,#REF!,#REF!,#REF!,#REF!)&amp;" "&amp;$Q1156</f>
        <v>#VALUE!</v>
      </c>
      <c r="S1156" s="1">
        <f t="shared" si="3"/>
        <v>1</v>
      </c>
      <c r="T1156" s="1" t="str">
        <f t="array" ref="T1156">IFERROR(INDEX(#REF!,MATCH($B1156,#REF!,0)),"")</f>
        <v/>
      </c>
      <c r="U1156" s="1" t="str">
        <f t="array" ref="U1156">IFERROR(INDEX(#REF!,MATCH($B1156,#REF!,0)),"")</f>
        <v/>
      </c>
      <c r="V1156" s="76">
        <f t="array" ref="V1156">AVERAGEIFS($E$2:$E2248,$B$2:$B2248,$B1156,$P$2:$P2248,"&lt;="&amp;$P1156,$P$2:$P2248,"&gt;"&amp;$P1156-7)</f>
        <v>8.4042553191489358</v>
      </c>
      <c r="W1156" s="76">
        <f ca="1">IFERROR(__xludf.DUMMYFUNCTION("iferror(stdevp(filter($D$2:$D2250,$B$2:$B2250=$B1156,$O$2:$O2250&lt;=$O1156,$O$2:$O2250&gt;$O1156-7)),0)"),0.372677996249965)</f>
        <v>0.372677996249965</v>
      </c>
      <c r="X1156" s="77">
        <f t="shared" ca="1" si="4"/>
        <v>1.5985507243402761</v>
      </c>
      <c r="Y1156" s="77">
        <f t="shared" ca="1" si="5"/>
        <v>4</v>
      </c>
      <c r="Z1156" s="76">
        <f t="array" ref="Z1156">AVERAGEIFS($F$2:$F2248,$B$2:$B2248,$B1156,$P$2:$P2248,"&lt;="&amp;$P1156,$P$2:$P2248,"&gt;"&amp;$P1156-7)</f>
        <v>8.085106382978724</v>
      </c>
      <c r="AA1156" s="76">
        <f ca="1">IFERROR(__xludf.DUMMYFUNCTION("iferror(stdevp(filter($E$2:$E2250,$B$2:$B2250=$B1156,$O$2:$O2250&lt;=$O1156,$O$2:$O2250&gt;$O1156-7)),0)"),0.687184270936276)</f>
        <v>0.68718427093627599</v>
      </c>
      <c r="AB1156" s="77">
        <f t="shared" ca="1" si="6"/>
        <v>1.3313657714760412</v>
      </c>
      <c r="AC1156" s="77">
        <f t="shared" ca="1" si="7"/>
        <v>4</v>
      </c>
      <c r="AD1156" s="76">
        <f t="array" ref="AD1156">AVERAGEIFS($G$2:$G2248,$B$2:$B2248,$B1156,$P$2:$P2248,"&lt;="&amp;$P1156,$P$2:$P2248,"&gt;"&amp;$P1156-7)</f>
        <v>8.0638297872340434</v>
      </c>
      <c r="AE1156" s="76">
        <f ca="1">IFERROR(__xludf.DUMMYFUNCTION("iferror(stdevp(filter($F$2:$F2250,$B$2:$B2250=$B1156,$O$2:$O2250&lt;=$O1156,$O$2:$O2250&gt;$O1156-7)),0)"),0.687184270936276)</f>
        <v>0.68718427093627599</v>
      </c>
      <c r="AF1156" s="77">
        <f t="shared" ca="1" si="8"/>
        <v>1.3623277661615301</v>
      </c>
      <c r="AG1156" s="77">
        <f t="shared" ca="1" si="9"/>
        <v>4</v>
      </c>
      <c r="AH1156" s="76">
        <f t="array" ref="AH1156">AVERAGEIFS($I$2:$I2248,$B$2:$B2248,$B1156,$P$2:$P2248,"&lt;="&amp;$P1156,$P$2:$P2248,"&gt;"&amp;$P1156-7)</f>
        <v>6.7446808510638299</v>
      </c>
      <c r="AI1156" s="76">
        <f ca="1">IFERROR(__xludf.DUMMYFUNCTION("iferror(stdevp(filter($H$2:$H2250,$B$2:$B2250=$B1156,$O$2:$O2250&lt;=$O1156,$O$2:$O2250&gt;$O1156-7)),0)"),2.13437474581094)</f>
        <v>2.1343747458109399</v>
      </c>
      <c r="AJ1156" s="77">
        <f t="shared" ca="1" si="10"/>
        <v>-1.7544626867486037</v>
      </c>
      <c r="AK1156" s="77">
        <f t="shared" ca="1" si="11"/>
        <v>1</v>
      </c>
      <c r="AL1156" s="76">
        <f t="array" ref="AL1156">AVERAGEIFS($J$2:$J2248,$B$2:$B2248,$B1156,$P$2:$P2248,"&lt;="&amp;$P1156,$P$2:$P2248,"&gt;"&amp;$P1156-7)</f>
        <v>8.1063829787234045</v>
      </c>
      <c r="AM1156" s="76">
        <f ca="1">IFERROR(__xludf.DUMMYFUNCTION("iferror(stdevp(filter($I$2:$I2250,$B$2:$B2250=$B1156,$O$2:$O2250&lt;=$O1156,$O$2:$O2250&gt;$O1156-7)),0)"),1.24721912892464)</f>
        <v>1.2472191289246399</v>
      </c>
      <c r="AN1156" s="77">
        <f t="shared" ca="1" si="13"/>
        <v>0.71648758470139695</v>
      </c>
      <c r="AO1156" s="77">
        <f t="shared" ca="1" si="14"/>
        <v>3</v>
      </c>
      <c r="AP1156" s="76">
        <f t="array" ref="AP1156">AVERAGEIFS($K$2:$K2248,$B$2:$B2248,$B1156,$P$2:$P2248,"&lt;="&amp;$P1156,$P$2:$P2248,"&gt;"&amp;$P1156-7)</f>
        <v>8.2978723404255312</v>
      </c>
      <c r="AQ1156" s="76">
        <f ca="1">IFERROR(__xludf.DUMMYFUNCTION("iferror(stdevp(filter($J$2:$J2250,$B$2:$B2250=$B1156,$O$2:$O2250&lt;=$O1156,$O$2:$O2250&gt;$O1156-7)),0)"),0.816496580927726)</f>
        <v>0.81649658092772603</v>
      </c>
      <c r="AR1156" s="77">
        <f t="shared" ca="1" si="15"/>
        <v>0.85992725012601012</v>
      </c>
      <c r="AS1156" s="77">
        <f t="shared" ca="1" si="16"/>
        <v>3</v>
      </c>
      <c r="AT1156" s="78">
        <f t="shared" ca="1" si="12"/>
        <v>0.79166666666666663</v>
      </c>
    </row>
    <row r="1157" spans="1:46" ht="12.5" x14ac:dyDescent="0.25">
      <c r="A1157" s="75">
        <v>44967.559140231482</v>
      </c>
      <c r="B1157" s="1" t="s">
        <v>4</v>
      </c>
      <c r="C1157" s="1" t="str">
        <f>INDEX(TBL_Name,MATCH(Table2[[#This Row],[Athlete Name]],listNames,0),2)</f>
        <v>Athlete 1</v>
      </c>
      <c r="D1157" s="1" t="s">
        <v>130</v>
      </c>
      <c r="E1157" s="1">
        <v>8</v>
      </c>
      <c r="F1157" s="1">
        <v>6</v>
      </c>
      <c r="G1157" s="1">
        <v>5</v>
      </c>
      <c r="H1157" s="1" t="s">
        <v>598</v>
      </c>
      <c r="I1157" s="1">
        <v>6</v>
      </c>
      <c r="J1157" s="1">
        <v>5</v>
      </c>
      <c r="K1157" s="1">
        <v>5</v>
      </c>
      <c r="L1157" s="1">
        <v>85</v>
      </c>
      <c r="M1157" s="1" t="e">
        <f t="shared" ca="1" si="0"/>
        <v>#NAME?</v>
      </c>
      <c r="N1157" s="1" t="e">
        <f t="shared" si="1"/>
        <v>#VALUE!</v>
      </c>
      <c r="O1157" s="1" t="e">
        <f ca="1">IF($N1157=_xludf.MINIFS($N$2:$N2343,$R$2:$R2343,$R1157),1,
($N1157-_xludf.MINIFS($N$2:$N2343,$R$2:$R2343,$R1157))+1)</f>
        <v>#VALUE!</v>
      </c>
      <c r="P1157" s="13" t="e">
        <f t="shared" si="2"/>
        <v>#VALUE!</v>
      </c>
      <c r="Q1157" s="1" t="e">
        <f>RIGHT(YEAR($A1157),2)-(MONTH($A1157)&lt;=#REF!)
 &amp;"-"&amp;
 RIGHT(YEAR($A1157),2)+(MONTH($A1157)&gt;=#REF!)</f>
        <v>#REF!</v>
      </c>
      <c r="R1157" s="1" t="e">
        <f>CHOOSE(MONTH($P1157),#REF!,#REF!,#REF!,#REF!,#REF!,#REF!,#REF!,#REF!,#REF!,#REF!,#REF!,#REF!)&amp;" "&amp;$Q1157</f>
        <v>#VALUE!</v>
      </c>
      <c r="S1157" s="1">
        <f t="shared" si="3"/>
        <v>1</v>
      </c>
      <c r="T1157" s="1" t="str">
        <f t="array" ref="T1157">IFERROR(INDEX(#REF!,MATCH($B1157,#REF!,0)),"")</f>
        <v/>
      </c>
      <c r="U1157" s="1" t="str">
        <f t="array" ref="U1157">IFERROR(INDEX(#REF!,MATCH($B1157,#REF!,0)),"")</f>
        <v/>
      </c>
      <c r="V1157" s="76">
        <f t="array" ref="V1157">AVERAGEIFS($E$2:$E2248,$B$2:$B2248,$B1157,$P$2:$P2248,"&lt;="&amp;$P1157,$P$2:$P2248,"&gt;"&amp;$P1157-7)</f>
        <v>8.3809523809523814</v>
      </c>
      <c r="W1157" s="76">
        <f ca="1">IFERROR(__xludf.DUMMYFUNCTION("iferror(stdevp(filter($D$2:$D2250,$B$2:$B2250=$B1157,$O$2:$O2250&lt;=$O1157,$O$2:$O2250&gt;$O1157-7)),0)"),1)</f>
        <v>1</v>
      </c>
      <c r="X1157" s="77">
        <f t="shared" ca="1" si="4"/>
        <v>-0.38095238095238138</v>
      </c>
      <c r="Y1157" s="77">
        <f t="shared" ca="1" si="5"/>
        <v>2</v>
      </c>
      <c r="Z1157" s="76">
        <f t="array" ref="Z1157">AVERAGEIFS($F$2:$F2248,$B$2:$B2248,$B1157,$P$2:$P2248,"&lt;="&amp;$P1157,$P$2:$P2248,"&gt;"&amp;$P1157-7)</f>
        <v>6.8571428571428568</v>
      </c>
      <c r="AA1157" s="76">
        <f ca="1">IFERROR(__xludf.DUMMYFUNCTION("iferror(stdevp(filter($E$2:$E2250,$B$2:$B2250=$B1157,$O$2:$O2250&lt;=$O1157,$O$2:$O2250&gt;$O1157-7)),0)"),1.58113883008418)</f>
        <v>1.58113883008418</v>
      </c>
      <c r="AB1157" s="77">
        <f t="shared" ca="1" si="6"/>
        <v>-0.54210474174315382</v>
      </c>
      <c r="AC1157" s="77">
        <f t="shared" ca="1" si="7"/>
        <v>2</v>
      </c>
      <c r="AD1157" s="76">
        <f t="array" ref="AD1157">AVERAGEIFS($G$2:$G2248,$B$2:$B2248,$B1157,$P$2:$P2248,"&lt;="&amp;$P1157,$P$2:$P2248,"&gt;"&amp;$P1157-7)</f>
        <v>5.7619047619047619</v>
      </c>
      <c r="AE1157" s="76">
        <f ca="1">IFERROR(__xludf.DUMMYFUNCTION("iferror(stdevp(filter($F$2:$F2250,$B$2:$B2250=$B1157,$O$2:$O2250&lt;=$O1157,$O$2:$O2250&gt;$O1157-7)),0)"),0.999999999999999)</f>
        <v>0.999999999999999</v>
      </c>
      <c r="AF1157" s="77">
        <f t="shared" ca="1" si="8"/>
        <v>-0.76190476190476264</v>
      </c>
      <c r="AG1157" s="77">
        <f t="shared" ca="1" si="9"/>
        <v>2</v>
      </c>
      <c r="AH1157" s="76">
        <f t="array" ref="AH1157">AVERAGEIFS($I$2:$I2248,$B$2:$B2248,$B1157,$P$2:$P2248,"&lt;="&amp;$P1157,$P$2:$P2248,"&gt;"&amp;$P1157-7)</f>
        <v>6.8571428571428568</v>
      </c>
      <c r="AI1157" s="76">
        <f ca="1">IFERROR(__xludf.DUMMYFUNCTION("iferror(stdevp(filter($H$2:$H2250,$B$2:$B2250=$B1157,$O$2:$O2250&lt;=$O1157,$O$2:$O2250&gt;$O1157-7)),0)"),1.08972473588516)</f>
        <v>1.0897247358851601</v>
      </c>
      <c r="AJ1157" s="77">
        <f t="shared" ca="1" si="10"/>
        <v>-0.78656823041336033</v>
      </c>
      <c r="AK1157" s="77">
        <f t="shared" ca="1" si="11"/>
        <v>2</v>
      </c>
      <c r="AL1157" s="76">
        <f t="array" ref="AL1157">AVERAGEIFS($J$2:$J2248,$B$2:$B2248,$B1157,$P$2:$P2248,"&lt;="&amp;$P1157,$P$2:$P2248,"&gt;"&amp;$P1157-7)</f>
        <v>5.0952380952380949</v>
      </c>
      <c r="AM1157" s="76">
        <f ca="1">IFERROR(__xludf.DUMMYFUNCTION("iferror(stdevp(filter($I$2:$I2250,$B$2:$B2250=$B1157,$O$2:$O2250&lt;=$O1157,$O$2:$O2250&gt;$O1157-7)),0)"),0)</f>
        <v>0</v>
      </c>
      <c r="AN1157" s="77">
        <f t="shared" ca="1" si="13"/>
        <v>0</v>
      </c>
      <c r="AO1157" s="77">
        <f t="shared" ca="1" si="14"/>
        <v>3</v>
      </c>
      <c r="AP1157" s="76">
        <f t="array" ref="AP1157">AVERAGEIFS($K$2:$K2248,$B$2:$B2248,$B1157,$P$2:$P2248,"&lt;="&amp;$P1157,$P$2:$P2248,"&gt;"&amp;$P1157-7)</f>
        <v>5.3809523809523814</v>
      </c>
      <c r="AQ1157" s="76">
        <f ca="1">IFERROR(__xludf.DUMMYFUNCTION("iferror(stdevp(filter($J$2:$J2250,$B$2:$B2250=$B1157,$O$2:$O2250&lt;=$O1157,$O$2:$O2250&gt;$O1157-7)),0)"),0.82915619758885)</f>
        <v>0.82915619758884995</v>
      </c>
      <c r="AR1157" s="77">
        <f t="shared" ca="1" si="15"/>
        <v>-0.45944585840421176</v>
      </c>
      <c r="AS1157" s="77">
        <f t="shared" ca="1" si="16"/>
        <v>2</v>
      </c>
      <c r="AT1157" s="78">
        <f t="shared" ca="1" si="12"/>
        <v>0.54166666666666663</v>
      </c>
    </row>
    <row r="1158" spans="1:46" ht="12.5" x14ac:dyDescent="0.25">
      <c r="A1158" s="75">
        <v>44967.603265324069</v>
      </c>
      <c r="B1158" s="1" t="s">
        <v>13</v>
      </c>
      <c r="C1158" s="1" t="str">
        <f>INDEX(TBL_Name,MATCH(Table2[[#This Row],[Athlete Name]],listNames,0),2)</f>
        <v>Athlete 7</v>
      </c>
      <c r="D1158" s="1" t="s">
        <v>130</v>
      </c>
      <c r="E1158" s="1">
        <v>10</v>
      </c>
      <c r="F1158" s="1">
        <v>6</v>
      </c>
      <c r="G1158" s="1">
        <v>6</v>
      </c>
      <c r="H1158" s="1" t="s">
        <v>226</v>
      </c>
      <c r="I1158" s="1">
        <v>8</v>
      </c>
      <c r="J1158" s="1">
        <v>10</v>
      </c>
      <c r="K1158" s="1">
        <v>10</v>
      </c>
      <c r="L1158" s="1">
        <v>52</v>
      </c>
      <c r="M1158" s="1" t="e">
        <f t="shared" ca="1" si="0"/>
        <v>#NAME?</v>
      </c>
      <c r="N1158" s="1" t="e">
        <f t="shared" si="1"/>
        <v>#VALUE!</v>
      </c>
      <c r="O1158" s="1" t="e">
        <f ca="1">IF($N1158=_xludf.MINIFS($N$2:$N2344,$R$2:$R2344,$R1158),1,
($N1158-_xludf.MINIFS($N$2:$N2344,$R$2:$R2344,$R1158))+1)</f>
        <v>#VALUE!</v>
      </c>
      <c r="P1158" s="13" t="e">
        <f t="shared" si="2"/>
        <v>#VALUE!</v>
      </c>
      <c r="Q1158" s="1" t="e">
        <f>RIGHT(YEAR($A1158),2)-(MONTH($A1158)&lt;=#REF!)
 &amp;"-"&amp;
 RIGHT(YEAR($A1158),2)+(MONTH($A1158)&gt;=#REF!)</f>
        <v>#REF!</v>
      </c>
      <c r="R1158" s="1" t="e">
        <f>CHOOSE(MONTH($P1158),#REF!,#REF!,#REF!,#REF!,#REF!,#REF!,#REF!,#REF!,#REF!,#REF!,#REF!,#REF!)&amp;" "&amp;$Q1158</f>
        <v>#VALUE!</v>
      </c>
      <c r="S1158" s="1">
        <f t="shared" si="3"/>
        <v>1</v>
      </c>
      <c r="T1158" s="1" t="str">
        <f t="array" ref="T1158">IFERROR(INDEX(#REF!,MATCH($B1158,#REF!,0)),"")</f>
        <v/>
      </c>
      <c r="U1158" s="1" t="str">
        <f t="array" ref="U1158">IFERROR(INDEX(#REF!,MATCH($B1158,#REF!,0)),"")</f>
        <v/>
      </c>
      <c r="V1158" s="76">
        <f t="array" ref="V1158">AVERAGEIFS($E$2:$E2248,$B$2:$B2248,$B1158,$P$2:$P2248,"&lt;="&amp;$P1158,$P$2:$P2248,"&gt;"&amp;$P1158-7)</f>
        <v>7.6857142857142859</v>
      </c>
      <c r="W1158" s="76">
        <f ca="1">IFERROR(__xludf.DUMMYFUNCTION("iferror(stdevp(filter($D$2:$D2250,$B$2:$B2250=$B1158,$O$2:$O2250&lt;=$O1158,$O$2:$O2250&gt;$O1158-7)),0)"),0.748331477354788)</f>
        <v>0.748331477354788</v>
      </c>
      <c r="X1158" s="77">
        <f t="shared" ca="1" si="4"/>
        <v>3.0925943707009114</v>
      </c>
      <c r="Y1158" s="77">
        <f t="shared" ca="1" si="5"/>
        <v>4</v>
      </c>
      <c r="Z1158" s="76">
        <f t="array" ref="Z1158">AVERAGEIFS($F$2:$F2248,$B$2:$B2248,$B1158,$P$2:$P2248,"&lt;="&amp;$P1158,$P$2:$P2248,"&gt;"&amp;$P1158-7)</f>
        <v>7.0857142857142854</v>
      </c>
      <c r="AA1158" s="76">
        <f ca="1">IFERROR(__xludf.DUMMYFUNCTION("iferror(stdevp(filter($E$2:$E2250,$B$2:$B2250=$B1158,$O$2:$O2250&lt;=$O1158,$O$2:$O2250&gt;$O1158-7)),0)"),1.16619037896906)</f>
        <v>1.16619037896906</v>
      </c>
      <c r="AB1158" s="77">
        <f t="shared" ca="1" si="6"/>
        <v>-0.93099231934504778</v>
      </c>
      <c r="AC1158" s="77">
        <f t="shared" ca="1" si="7"/>
        <v>2</v>
      </c>
      <c r="AD1158" s="76">
        <f t="array" ref="AD1158">AVERAGEIFS($G$2:$G2248,$B$2:$B2248,$B1158,$P$2:$P2248,"&lt;="&amp;$P1158,$P$2:$P2248,"&gt;"&amp;$P1158-7)</f>
        <v>7.1428571428571432</v>
      </c>
      <c r="AE1158" s="76">
        <f ca="1">IFERROR(__xludf.DUMMYFUNCTION("iferror(stdevp(filter($F$2:$F2250,$B$2:$B2250=$B1158,$O$2:$O2250&lt;=$O1158,$O$2:$O2250&gt;$O1158-7)),0)"),0.8)</f>
        <v>0.8</v>
      </c>
      <c r="AF1158" s="77">
        <f t="shared" ca="1" si="8"/>
        <v>-1.428571428571429</v>
      </c>
      <c r="AG1158" s="77">
        <f t="shared" ca="1" si="9"/>
        <v>1</v>
      </c>
      <c r="AH1158" s="76">
        <f t="array" ref="AH1158">AVERAGEIFS($I$2:$I2248,$B$2:$B2248,$B1158,$P$2:$P2248,"&lt;="&amp;$P1158,$P$2:$P2248,"&gt;"&amp;$P1158-7)</f>
        <v>7.0285714285714285</v>
      </c>
      <c r="AI1158" s="76">
        <f ca="1">IFERROR(__xludf.DUMMYFUNCTION("iferror(stdevp(filter($H$2:$H2250,$B$2:$B2250=$B1158,$O$2:$O2250&lt;=$O1158,$O$2:$O2250&gt;$O1158-7)),0)"),0.748331477354788)</f>
        <v>0.748331477354788</v>
      </c>
      <c r="AJ1158" s="77">
        <f t="shared" ca="1" si="10"/>
        <v>1.2981260321460619</v>
      </c>
      <c r="AK1158" s="77">
        <f t="shared" ca="1" si="11"/>
        <v>4</v>
      </c>
      <c r="AL1158" s="76">
        <f t="array" ref="AL1158">AVERAGEIFS($J$2:$J2248,$B$2:$B2248,$B1158,$P$2:$P2248,"&lt;="&amp;$P1158,$P$2:$P2248,"&gt;"&amp;$P1158-7)</f>
        <v>9.742857142857142</v>
      </c>
      <c r="AM1158" s="76">
        <f ca="1">IFERROR(__xludf.DUMMYFUNCTION("iferror(stdevp(filter($I$2:$I2250,$B$2:$B2250=$B1158,$O$2:$O2250&lt;=$O1158,$O$2:$O2250&gt;$O1158-7)),0)"),0)</f>
        <v>0</v>
      </c>
      <c r="AN1158" s="77">
        <f t="shared" ca="1" si="13"/>
        <v>0</v>
      </c>
      <c r="AO1158" s="77">
        <f t="shared" ca="1" si="14"/>
        <v>3</v>
      </c>
      <c r="AP1158" s="76">
        <f t="array" ref="AP1158">AVERAGEIFS($K$2:$K2248,$B$2:$B2248,$B1158,$P$2:$P2248,"&lt;="&amp;$P1158,$P$2:$P2248,"&gt;"&amp;$P1158-7)</f>
        <v>9.4285714285714288</v>
      </c>
      <c r="AQ1158" s="76">
        <f ca="1">IFERROR(__xludf.DUMMYFUNCTION("iferror(stdevp(filter($J$2:$J2250,$B$2:$B2250=$B1158,$O$2:$O2250&lt;=$O1158,$O$2:$O2250&gt;$O1158-7)),0)"),0)</f>
        <v>0</v>
      </c>
      <c r="AR1158" s="77">
        <f t="shared" ca="1" si="15"/>
        <v>0</v>
      </c>
      <c r="AS1158" s="77">
        <f t="shared" ca="1" si="16"/>
        <v>3</v>
      </c>
      <c r="AT1158" s="78">
        <f t="shared" ca="1" si="12"/>
        <v>0.70833333333333337</v>
      </c>
    </row>
    <row r="1159" spans="1:46" ht="12.5" x14ac:dyDescent="0.25">
      <c r="A1159" s="75">
        <v>44967.60354030093</v>
      </c>
      <c r="B1159" s="1" t="s">
        <v>22</v>
      </c>
      <c r="C1159" s="1" t="str">
        <f>INDEX(TBL_Name,MATCH(Table2[[#This Row],[Athlete Name]],listNames,0),2)</f>
        <v>Athlete 14</v>
      </c>
      <c r="D1159" s="1" t="s">
        <v>130</v>
      </c>
      <c r="E1159" s="1">
        <v>8</v>
      </c>
      <c r="F1159" s="1">
        <v>7</v>
      </c>
      <c r="G1159" s="1">
        <v>8</v>
      </c>
      <c r="H1159" s="1" t="s">
        <v>188</v>
      </c>
      <c r="I1159" s="1">
        <v>3</v>
      </c>
      <c r="J1159" s="1">
        <v>8</v>
      </c>
      <c r="K1159" s="1">
        <v>7</v>
      </c>
      <c r="L1159" s="1">
        <v>57</v>
      </c>
      <c r="M1159" s="1" t="e">
        <f t="shared" ca="1" si="0"/>
        <v>#NAME?</v>
      </c>
      <c r="N1159" s="1" t="e">
        <f t="shared" si="1"/>
        <v>#VALUE!</v>
      </c>
      <c r="O1159" s="1" t="e">
        <f ca="1">IF($N1159=_xludf.MINIFS($N$2:$N2345,$R$2:$R2345,$R1159),1,
($N1159-_xludf.MINIFS($N$2:$N2345,$R$2:$R2345,$R1159))+1)</f>
        <v>#VALUE!</v>
      </c>
      <c r="P1159" s="13" t="e">
        <f t="shared" si="2"/>
        <v>#VALUE!</v>
      </c>
      <c r="Q1159" s="1" t="e">
        <f>RIGHT(YEAR($A1159),2)-(MONTH($A1159)&lt;=#REF!)
 &amp;"-"&amp;
 RIGHT(YEAR($A1159),2)+(MONTH($A1159)&gt;=#REF!)</f>
        <v>#REF!</v>
      </c>
      <c r="R1159" s="1" t="e">
        <f>CHOOSE(MONTH($P1159),#REF!,#REF!,#REF!,#REF!,#REF!,#REF!,#REF!,#REF!,#REF!,#REF!,#REF!,#REF!)&amp;" "&amp;$Q1159</f>
        <v>#VALUE!</v>
      </c>
      <c r="S1159" s="1">
        <f t="shared" si="3"/>
        <v>1</v>
      </c>
      <c r="T1159" s="1" t="str">
        <f t="array" ref="T1159">IFERROR(INDEX(#REF!,MATCH($B1159,#REF!,0)),"")</f>
        <v/>
      </c>
      <c r="U1159" s="1" t="str">
        <f t="array" ref="U1159">IFERROR(INDEX(#REF!,MATCH($B1159,#REF!,0)),"")</f>
        <v/>
      </c>
      <c r="V1159" s="76">
        <f t="array" ref="V1159">AVERAGEIFS($E$2:$E2248,$B$2:$B2248,$B1159,$P$2:$P2248,"&lt;="&amp;$P1159,$P$2:$P2248,"&gt;"&amp;$P1159-7)</f>
        <v>5.791666666666667</v>
      </c>
      <c r="W1159" s="76">
        <f ca="1">IFERROR(__xludf.DUMMYFUNCTION("iferror(stdevp(filter($D$2:$D2250,$B$2:$B2250=$B1159,$O$2:$O2250&lt;=$O1159,$O$2:$O2250&gt;$O1159-7)),0)"),2.57681974534502)</f>
        <v>2.5768197453450199</v>
      </c>
      <c r="X1159" s="77">
        <f t="shared" ca="1" si="4"/>
        <v>0.8569995388007442</v>
      </c>
      <c r="Y1159" s="77">
        <f t="shared" ca="1" si="5"/>
        <v>3</v>
      </c>
      <c r="Z1159" s="76">
        <f t="array" ref="Z1159">AVERAGEIFS($F$2:$F2248,$B$2:$B2248,$B1159,$P$2:$P2248,"&lt;="&amp;$P1159,$P$2:$P2248,"&gt;"&amp;$P1159-7)</f>
        <v>5.458333333333333</v>
      </c>
      <c r="AA1159" s="76">
        <f ca="1">IFERROR(__xludf.DUMMYFUNCTION("iferror(stdevp(filter($E$2:$E2250,$B$2:$B2250=$B1159,$O$2:$O2250&lt;=$O1159,$O$2:$O2250&gt;$O1159-7)),0)"),1.62480768092719)</f>
        <v>1.6248076809271901</v>
      </c>
      <c r="AB1159" s="77">
        <f t="shared" ca="1" si="6"/>
        <v>0.94883024296569118</v>
      </c>
      <c r="AC1159" s="77">
        <f t="shared" ca="1" si="7"/>
        <v>3</v>
      </c>
      <c r="AD1159" s="76">
        <f t="array" ref="AD1159">AVERAGEIFS($G$2:$G2248,$B$2:$B2248,$B1159,$P$2:$P2248,"&lt;="&amp;$P1159,$P$2:$P2248,"&gt;"&amp;$P1159-7)</f>
        <v>6.833333333333333</v>
      </c>
      <c r="AE1159" s="76">
        <f ca="1">IFERROR(__xludf.DUMMYFUNCTION("iferror(stdevp(filter($F$2:$F2250,$B$2:$B2250=$B1159,$O$2:$O2250&lt;=$O1159,$O$2:$O2250&gt;$O1159-7)),0)"),1.01980390271855)</f>
        <v>1.0198039027185499</v>
      </c>
      <c r="AF1159" s="77">
        <f t="shared" ca="1" si="8"/>
        <v>1.1440107883060817</v>
      </c>
      <c r="AG1159" s="77">
        <f t="shared" ca="1" si="9"/>
        <v>4</v>
      </c>
      <c r="AH1159" s="76">
        <f t="array" ref="AH1159">AVERAGEIFS($I$2:$I2248,$B$2:$B2248,$B1159,$P$2:$P2248,"&lt;="&amp;$P1159,$P$2:$P2248,"&gt;"&amp;$P1159-7)</f>
        <v>5.125</v>
      </c>
      <c r="AI1159" s="76">
        <f ca="1">IFERROR(__xludf.DUMMYFUNCTION("iferror(stdevp(filter($H$2:$H2250,$B$2:$B2250=$B1159,$O$2:$O2250&lt;=$O1159,$O$2:$O2250&gt;$O1159-7)),0)"),1.93907194296653)</f>
        <v>1.93907194296653</v>
      </c>
      <c r="AJ1159" s="77">
        <f t="shared" ca="1" si="10"/>
        <v>-1.0958850741499688</v>
      </c>
      <c r="AK1159" s="77">
        <f t="shared" ca="1" si="11"/>
        <v>1</v>
      </c>
      <c r="AL1159" s="76">
        <f t="array" ref="AL1159">AVERAGEIFS($J$2:$J2248,$B$2:$B2248,$B1159,$P$2:$P2248,"&lt;="&amp;$P1159,$P$2:$P2248,"&gt;"&amp;$P1159-7)</f>
        <v>7.125</v>
      </c>
      <c r="AM1159" s="76">
        <f ca="1">IFERROR(__xludf.DUMMYFUNCTION("iferror(stdevp(filter($I$2:$I2250,$B$2:$B2250=$B1159,$O$2:$O2250&lt;=$O1159,$O$2:$O2250&gt;$O1159-7)),0)"),0.748331477354788)</f>
        <v>0.748331477354788</v>
      </c>
      <c r="AN1159" s="77">
        <f t="shared" ca="1" si="13"/>
        <v>1.1692679333668572</v>
      </c>
      <c r="AO1159" s="77">
        <f t="shared" ca="1" si="14"/>
        <v>4</v>
      </c>
      <c r="AP1159" s="76">
        <f t="array" ref="AP1159">AVERAGEIFS($K$2:$K2248,$B$2:$B2248,$B1159,$P$2:$P2248,"&lt;="&amp;$P1159,$P$2:$P2248,"&gt;"&amp;$P1159-7)</f>
        <v>7.083333333333333</v>
      </c>
      <c r="AQ1159" s="76">
        <f ca="1">IFERROR(__xludf.DUMMYFUNCTION("iferror(stdevp(filter($J$2:$J2250,$B$2:$B2250=$B1159,$O$2:$O2250&lt;=$O1159,$O$2:$O2250&gt;$O1159-7)),0)"),0.489897948556635)</f>
        <v>0.48989794855663499</v>
      </c>
      <c r="AR1159" s="77">
        <f t="shared" ca="1" si="15"/>
        <v>-0.17010345435994254</v>
      </c>
      <c r="AS1159" s="77">
        <f t="shared" ca="1" si="16"/>
        <v>2</v>
      </c>
      <c r="AT1159" s="78">
        <f t="shared" ca="1" si="12"/>
        <v>0.70833333333333337</v>
      </c>
    </row>
    <row r="1160" spans="1:46" ht="12.5" x14ac:dyDescent="0.25">
      <c r="A1160" s="75">
        <v>44967.603767222223</v>
      </c>
      <c r="B1160" s="1" t="s">
        <v>24</v>
      </c>
      <c r="C1160" s="1" t="str">
        <f>INDEX(TBL_Name,MATCH(Table2[[#This Row],[Athlete Name]],listNames,0),2)</f>
        <v>Athlete 16</v>
      </c>
      <c r="D1160" s="1" t="s">
        <v>130</v>
      </c>
      <c r="E1160" s="1">
        <v>5</v>
      </c>
      <c r="F1160" s="1">
        <v>6</v>
      </c>
      <c r="G1160" s="1">
        <v>6</v>
      </c>
      <c r="H1160" s="1" t="s">
        <v>415</v>
      </c>
      <c r="I1160" s="1">
        <v>3</v>
      </c>
      <c r="J1160" s="1">
        <v>6</v>
      </c>
      <c r="K1160" s="1">
        <v>3</v>
      </c>
      <c r="L1160" s="1">
        <v>70</v>
      </c>
      <c r="M1160" s="1" t="e">
        <f t="shared" ca="1" si="0"/>
        <v>#NAME?</v>
      </c>
      <c r="N1160" s="1" t="e">
        <f t="shared" si="1"/>
        <v>#VALUE!</v>
      </c>
      <c r="O1160" s="1" t="e">
        <f ca="1">IF($N1160=_xludf.MINIFS($N$2:$N2346,$R$2:$R2346,$R1160),1,
($N1160-_xludf.MINIFS($N$2:$N2346,$R$2:$R2346,$R1160))+1)</f>
        <v>#VALUE!</v>
      </c>
      <c r="P1160" s="13" t="e">
        <f t="shared" si="2"/>
        <v>#VALUE!</v>
      </c>
      <c r="Q1160" s="1" t="e">
        <f>RIGHT(YEAR($A1160),2)-(MONTH($A1160)&lt;=#REF!)
 &amp;"-"&amp;
 RIGHT(YEAR($A1160),2)+(MONTH($A1160)&gt;=#REF!)</f>
        <v>#REF!</v>
      </c>
      <c r="R1160" s="1" t="e">
        <f>CHOOSE(MONTH($P1160),#REF!,#REF!,#REF!,#REF!,#REF!,#REF!,#REF!,#REF!,#REF!,#REF!,#REF!,#REF!)&amp;" "&amp;$Q1160</f>
        <v>#VALUE!</v>
      </c>
      <c r="S1160" s="1">
        <f t="shared" si="3"/>
        <v>1</v>
      </c>
      <c r="T1160" s="1" t="str">
        <f t="array" ref="T1160">IFERROR(INDEX(#REF!,MATCH($B1160,#REF!,0)),"")</f>
        <v/>
      </c>
      <c r="U1160" s="1" t="str">
        <f t="array" ref="U1160">IFERROR(INDEX(#REF!,MATCH($B1160,#REF!,0)),"")</f>
        <v/>
      </c>
      <c r="V1160" s="76">
        <f t="array" ref="V1160">AVERAGEIFS($E$2:$E2248,$B$2:$B2248,$B1160,$P$2:$P2248,"&lt;="&amp;$P1160,$P$2:$P2248,"&gt;"&amp;$P1160-7)</f>
        <v>4.1818181818181817</v>
      </c>
      <c r="W1160" s="76">
        <f ca="1">IFERROR(__xludf.DUMMYFUNCTION("iferror(stdevp(filter($D$2:$D2250,$B$2:$B2250=$B1160,$O$2:$O2250&lt;=$O1160,$O$2:$O2250&gt;$O1160-7)),0)"),0.829156197588849)</f>
        <v>0.82915619758884895</v>
      </c>
      <c r="X1160" s="77">
        <f t="shared" ca="1" si="4"/>
        <v>0.98676440043631874</v>
      </c>
      <c r="Y1160" s="77">
        <f t="shared" ca="1" si="5"/>
        <v>3</v>
      </c>
      <c r="Z1160" s="76">
        <f t="array" ref="Z1160">AVERAGEIFS($F$2:$F2248,$B$2:$B2248,$B1160,$P$2:$P2248,"&lt;="&amp;$P1160,$P$2:$P2248,"&gt;"&amp;$P1160-7)</f>
        <v>6</v>
      </c>
      <c r="AA1160" s="76">
        <f ca="1">IFERROR(__xludf.DUMMYFUNCTION("iferror(stdevp(filter($E$2:$E2250,$B$2:$B2250=$B1160,$O$2:$O2250&lt;=$O1160,$O$2:$O2250&gt;$O1160-7)),0)"),1.5)</f>
        <v>1.5</v>
      </c>
      <c r="AB1160" s="77">
        <f t="shared" ca="1" si="6"/>
        <v>0</v>
      </c>
      <c r="AC1160" s="77">
        <f t="shared" ca="1" si="7"/>
        <v>3</v>
      </c>
      <c r="AD1160" s="76">
        <f t="array" ref="AD1160">AVERAGEIFS($G$2:$G2248,$B$2:$B2248,$B1160,$P$2:$P2248,"&lt;="&amp;$P1160,$P$2:$P2248,"&gt;"&amp;$P1160-7)</f>
        <v>5.9090909090909092</v>
      </c>
      <c r="AE1160" s="76">
        <f ca="1">IFERROR(__xludf.DUMMYFUNCTION("iferror(stdevp(filter($F$2:$F2250,$B$2:$B2250=$B1160,$O$2:$O2250&lt;=$O1160,$O$2:$O2250&gt;$O1160-7)),0)"),1.08972473588516)</f>
        <v>1.0897247358851601</v>
      </c>
      <c r="AF1160" s="77">
        <f t="shared" ca="1" si="8"/>
        <v>8.3423903225659388E-2</v>
      </c>
      <c r="AG1160" s="77">
        <f t="shared" ca="1" si="9"/>
        <v>3</v>
      </c>
      <c r="AH1160" s="76">
        <f t="array" ref="AH1160">AVERAGEIFS($I$2:$I2248,$B$2:$B2248,$B1160,$P$2:$P2248,"&lt;="&amp;$P1160,$P$2:$P2248,"&gt;"&amp;$P1160-7)</f>
        <v>4.9545454545454541</v>
      </c>
      <c r="AI1160" s="76">
        <f ca="1">IFERROR(__xludf.DUMMYFUNCTION("iferror(stdevp(filter($H$2:$H2250,$B$2:$B2250=$B1160,$O$2:$O2250&lt;=$O1160,$O$2:$O2250&gt;$O1160-7)),0)"),1.4790199457749)</f>
        <v>1.4790199457749</v>
      </c>
      <c r="AJ1160" s="77">
        <f t="shared" ca="1" si="10"/>
        <v>-1.321513925575502</v>
      </c>
      <c r="AK1160" s="77">
        <f t="shared" ca="1" si="11"/>
        <v>1</v>
      </c>
      <c r="AL1160" s="76">
        <f t="array" ref="AL1160">AVERAGEIFS($J$2:$J2248,$B$2:$B2248,$B1160,$P$2:$P2248,"&lt;="&amp;$P1160,$P$2:$P2248,"&gt;"&amp;$P1160-7)</f>
        <v>6.9090909090909092</v>
      </c>
      <c r="AM1160" s="76">
        <f ca="1">IFERROR(__xludf.DUMMYFUNCTION("iferror(stdevp(filter($I$2:$I2250,$B$2:$B2250=$B1160,$O$2:$O2250&lt;=$O1160,$O$2:$O2250&gt;$O1160-7)),0)"),1.4790199457749)</f>
        <v>1.4790199457749</v>
      </c>
      <c r="AN1160" s="77">
        <f t="shared" ca="1" si="13"/>
        <v>-0.61465763980255916</v>
      </c>
      <c r="AO1160" s="77">
        <f t="shared" ca="1" si="14"/>
        <v>2</v>
      </c>
      <c r="AP1160" s="76">
        <f t="array" ref="AP1160">AVERAGEIFS($K$2:$K2248,$B$2:$B2248,$B1160,$P$2:$P2248,"&lt;="&amp;$P1160,$P$2:$P2248,"&gt;"&amp;$P1160-7)</f>
        <v>6.7272727272727275</v>
      </c>
      <c r="AQ1160" s="76">
        <f ca="1">IFERROR(__xludf.DUMMYFUNCTION("iferror(stdevp(filter($J$2:$J2250,$B$2:$B2250=$B1160,$O$2:$O2250&lt;=$O1160,$O$2:$O2250&gt;$O1160-7)),0)"),1.4790199457749)</f>
        <v>1.4790199457749</v>
      </c>
      <c r="AR1160" s="77">
        <f t="shared" ca="1" si="15"/>
        <v>-2.5200963231904927</v>
      </c>
      <c r="AS1160" s="77">
        <f t="shared" ca="1" si="16"/>
        <v>1</v>
      </c>
      <c r="AT1160" s="78">
        <f t="shared" ca="1" si="12"/>
        <v>0.54166666666666663</v>
      </c>
    </row>
    <row r="1161" spans="1:46" ht="12.5" x14ac:dyDescent="0.25">
      <c r="A1161" s="75">
        <v>44968.402816481481</v>
      </c>
      <c r="B1161" s="1" t="s">
        <v>4</v>
      </c>
      <c r="C1161" s="1" t="str">
        <f>INDEX(TBL_Name,MATCH(Table2[[#This Row],[Athlete Name]],listNames,0),2)</f>
        <v>Athlete 1</v>
      </c>
      <c r="D1161" s="1" t="s">
        <v>130</v>
      </c>
      <c r="E1161" s="1">
        <v>7</v>
      </c>
      <c r="F1161" s="1">
        <v>8</v>
      </c>
      <c r="G1161" s="1">
        <v>5</v>
      </c>
      <c r="H1161" s="1" t="s">
        <v>66</v>
      </c>
      <c r="I1161" s="1">
        <v>2</v>
      </c>
      <c r="J1161" s="1">
        <v>6</v>
      </c>
      <c r="K1161" s="1">
        <v>7</v>
      </c>
      <c r="L1161" s="1">
        <v>60</v>
      </c>
      <c r="M1161" s="1" t="e">
        <f t="shared" ca="1" si="0"/>
        <v>#NAME?</v>
      </c>
      <c r="N1161" s="1" t="e">
        <f t="shared" si="1"/>
        <v>#VALUE!</v>
      </c>
      <c r="O1161" s="1" t="e">
        <f ca="1">IF($N1161=_xludf.MINIFS($N$2:$N2347,$R$2:$R2347,$R1161),1,
($N1161-_xludf.MINIFS($N$2:$N2347,$R$2:$R2347,$R1161))+1)</f>
        <v>#VALUE!</v>
      </c>
      <c r="P1161" s="13" t="e">
        <f t="shared" si="2"/>
        <v>#VALUE!</v>
      </c>
      <c r="Q1161" s="1" t="e">
        <f>RIGHT(YEAR($A1161),2)-(MONTH($A1161)&lt;=#REF!)
 &amp;"-"&amp;
 RIGHT(YEAR($A1161),2)+(MONTH($A1161)&gt;=#REF!)</f>
        <v>#REF!</v>
      </c>
      <c r="R1161" s="1" t="e">
        <f>CHOOSE(MONTH($P1161),#REF!,#REF!,#REF!,#REF!,#REF!,#REF!,#REF!,#REF!,#REF!,#REF!,#REF!,#REF!)&amp;" "&amp;$Q1161</f>
        <v>#VALUE!</v>
      </c>
      <c r="S1161" s="1">
        <f t="shared" si="3"/>
        <v>1</v>
      </c>
      <c r="T1161" s="1" t="str">
        <f t="array" ref="T1161">IFERROR(INDEX(#REF!,MATCH($B1161,#REF!,0)),"")</f>
        <v/>
      </c>
      <c r="U1161" s="1" t="str">
        <f t="array" ref="U1161">IFERROR(INDEX(#REF!,MATCH($B1161,#REF!,0)),"")</f>
        <v/>
      </c>
      <c r="V1161" s="76">
        <f t="array" ref="V1161">AVERAGEIFS($E$2:$E2248,$B$2:$B2248,$B1161,$P$2:$P2248,"&lt;="&amp;$P1161,$P$2:$P2248,"&gt;"&amp;$P1161-7)</f>
        <v>8.3809523809523814</v>
      </c>
      <c r="W1161" s="76">
        <f ca="1">IFERROR(__xludf.DUMMYFUNCTION("iferror(stdevp(filter($D$2:$D2250,$B$2:$B2250=$B1161,$O$2:$O2250&lt;=$O1161,$O$2:$O2250&gt;$O1161-7)),0)"),1.2)</f>
        <v>1.2</v>
      </c>
      <c r="X1161" s="77">
        <f t="shared" ca="1" si="4"/>
        <v>-1.1507936507936511</v>
      </c>
      <c r="Y1161" s="77">
        <f t="shared" ca="1" si="5"/>
        <v>1</v>
      </c>
      <c r="Z1161" s="76">
        <f t="array" ref="Z1161">AVERAGEIFS($F$2:$F2248,$B$2:$B2248,$B1161,$P$2:$P2248,"&lt;="&amp;$P1161,$P$2:$P2248,"&gt;"&amp;$P1161-7)</f>
        <v>6.8571428571428568</v>
      </c>
      <c r="AA1161" s="76">
        <f ca="1">IFERROR(__xludf.DUMMYFUNCTION("iferror(stdevp(filter($E$2:$E2250,$B$2:$B2250=$B1161,$O$2:$O2250&lt;=$O1161,$O$2:$O2250&gt;$O1161-7)),0)"),1.41421356237309)</f>
        <v>1.41421356237309</v>
      </c>
      <c r="AB1161" s="77">
        <f t="shared" ca="1" si="6"/>
        <v>0.80812203564177176</v>
      </c>
      <c r="AC1161" s="77">
        <f t="shared" ca="1" si="7"/>
        <v>3</v>
      </c>
      <c r="AD1161" s="76">
        <f t="array" ref="AD1161">AVERAGEIFS($G$2:$G2248,$B$2:$B2248,$B1161,$P$2:$P2248,"&lt;="&amp;$P1161,$P$2:$P2248,"&gt;"&amp;$P1161-7)</f>
        <v>5.7619047619047619</v>
      </c>
      <c r="AE1161" s="76">
        <f ca="1">IFERROR(__xludf.DUMMYFUNCTION("iferror(stdevp(filter($F$2:$F2250,$B$2:$B2250=$B1161,$O$2:$O2250&lt;=$O1161,$O$2:$O2250&gt;$O1161-7)),0)"),0.979795897113271)</f>
        <v>0.97979589711327097</v>
      </c>
      <c r="AF1161" s="77">
        <f t="shared" ca="1" si="8"/>
        <v>-0.77761579135973924</v>
      </c>
      <c r="AG1161" s="77">
        <f t="shared" ca="1" si="9"/>
        <v>2</v>
      </c>
      <c r="AH1161" s="76">
        <f t="array" ref="AH1161">AVERAGEIFS($I$2:$I2248,$B$2:$B2248,$B1161,$P$2:$P2248,"&lt;="&amp;$P1161,$P$2:$P2248,"&gt;"&amp;$P1161-7)</f>
        <v>6.8571428571428568</v>
      </c>
      <c r="AI1161" s="76">
        <f ca="1">IFERROR(__xludf.DUMMYFUNCTION("iferror(stdevp(filter($H$2:$H2250,$B$2:$B2250=$B1161,$O$2:$O2250&lt;=$O1161,$O$2:$O2250&gt;$O1161-7)),0)"),2.49799919935935)</f>
        <v>2.49799919935935</v>
      </c>
      <c r="AJ1161" s="77">
        <f t="shared" ca="1" si="10"/>
        <v>-1.9444132962046365</v>
      </c>
      <c r="AK1161" s="77">
        <f t="shared" ca="1" si="11"/>
        <v>1</v>
      </c>
      <c r="AL1161" s="76">
        <f t="array" ref="AL1161">AVERAGEIFS($J$2:$J2248,$B$2:$B2248,$B1161,$P$2:$P2248,"&lt;="&amp;$P1161,$P$2:$P2248,"&gt;"&amp;$P1161-7)</f>
        <v>5.0952380952380949</v>
      </c>
      <c r="AM1161" s="76">
        <f ca="1">IFERROR(__xludf.DUMMYFUNCTION("iferror(stdevp(filter($I$2:$I2250,$B$2:$B2250=$B1161,$O$2:$O2250&lt;=$O1161,$O$2:$O2250&gt;$O1161-7)),0)"),0.399999999999999)</f>
        <v>0.39999999999999902</v>
      </c>
      <c r="AN1161" s="77">
        <f t="shared" ca="1" si="13"/>
        <v>2.2619047619047681</v>
      </c>
      <c r="AO1161" s="77">
        <f t="shared" ca="1" si="14"/>
        <v>4</v>
      </c>
      <c r="AP1161" s="76">
        <f t="array" ref="AP1161">AVERAGEIFS($K$2:$K2248,$B$2:$B2248,$B1161,$P$2:$P2248,"&lt;="&amp;$P1161,$P$2:$P2248,"&gt;"&amp;$P1161-7)</f>
        <v>5.3809523809523814</v>
      </c>
      <c r="AQ1161" s="76">
        <f ca="1">IFERROR(__xludf.DUMMYFUNCTION("iferror(stdevp(filter($J$2:$J2250,$B$2:$B2250=$B1161,$O$2:$O2250&lt;=$O1161,$O$2:$O2250&gt;$O1161-7)),0)"),0.894427190999915)</f>
        <v>0.89442719099991497</v>
      </c>
      <c r="AR1161" s="77">
        <f t="shared" ca="1" si="15"/>
        <v>1.8101502674998311</v>
      </c>
      <c r="AS1161" s="77">
        <f t="shared" ca="1" si="16"/>
        <v>4</v>
      </c>
      <c r="AT1161" s="78">
        <f t="shared" ca="1" si="12"/>
        <v>0.625</v>
      </c>
    </row>
    <row r="1162" spans="1:46" ht="12.5" x14ac:dyDescent="0.25">
      <c r="A1162" s="75">
        <v>44968.416446979165</v>
      </c>
      <c r="B1162" s="1" t="s">
        <v>6</v>
      </c>
      <c r="C1162" s="1" t="str">
        <f>INDEX(TBL_Name,MATCH(Table2[[#This Row],[Athlete Name]],listNames,0),2)</f>
        <v>Athlete 2</v>
      </c>
      <c r="D1162" s="1" t="s">
        <v>130</v>
      </c>
      <c r="E1162" s="1">
        <v>10</v>
      </c>
      <c r="F1162" s="1">
        <v>10</v>
      </c>
      <c r="G1162" s="1">
        <v>10</v>
      </c>
      <c r="H1162" s="1" t="s">
        <v>71</v>
      </c>
      <c r="I1162" s="1">
        <v>9</v>
      </c>
      <c r="J1162" s="1">
        <v>7</v>
      </c>
      <c r="K1162" s="1">
        <v>9</v>
      </c>
      <c r="L1162" s="1">
        <v>98</v>
      </c>
      <c r="M1162" s="1" t="e">
        <f t="shared" ca="1" si="0"/>
        <v>#NAME?</v>
      </c>
      <c r="N1162" s="1" t="e">
        <f t="shared" si="1"/>
        <v>#VALUE!</v>
      </c>
      <c r="O1162" s="1" t="e">
        <f ca="1">IF($N1162=_xludf.MINIFS($N$2:$N2348,$R$2:$R2348,$R1162),1,
($N1162-_xludf.MINIFS($N$2:$N2348,$R$2:$R2348,$R1162))+1)</f>
        <v>#VALUE!</v>
      </c>
      <c r="P1162" s="13" t="e">
        <f t="shared" si="2"/>
        <v>#VALUE!</v>
      </c>
      <c r="Q1162" s="1" t="e">
        <f>RIGHT(YEAR($A1162),2)-(MONTH($A1162)&lt;=#REF!)
 &amp;"-"&amp;
 RIGHT(YEAR($A1162),2)+(MONTH($A1162)&gt;=#REF!)</f>
        <v>#REF!</v>
      </c>
      <c r="R1162" s="1" t="e">
        <f>CHOOSE(MONTH($P1162),#REF!,#REF!,#REF!,#REF!,#REF!,#REF!,#REF!,#REF!,#REF!,#REF!,#REF!,#REF!)&amp;" "&amp;$Q1162</f>
        <v>#VALUE!</v>
      </c>
      <c r="S1162" s="1">
        <f t="shared" si="3"/>
        <v>1</v>
      </c>
      <c r="T1162" s="1" t="str">
        <f t="array" ref="T1162">IFERROR(INDEX(#REF!,MATCH($B1162,#REF!,0)),"")</f>
        <v/>
      </c>
      <c r="U1162" s="1" t="str">
        <f t="array" ref="U1162">IFERROR(INDEX(#REF!,MATCH($B1162,#REF!,0)),"")</f>
        <v/>
      </c>
      <c r="V1162" s="76">
        <f t="array" ref="V1162">AVERAGEIFS($E$2:$E2248,$B$2:$B2248,$B1162,$P$2:$P2248,"&lt;="&amp;$P1162,$P$2:$P2248,"&gt;"&amp;$P1162-7)</f>
        <v>9.7441860465116275</v>
      </c>
      <c r="W1162" s="76">
        <f ca="1">IFERROR(__xludf.DUMMYFUNCTION("iferror(stdevp(filter($D$2:$D2250,$B$2:$B2250=$B1162,$O$2:$O2250&lt;=$O1162,$O$2:$O2250&gt;$O1162-7)),0)"),0)</f>
        <v>0</v>
      </c>
      <c r="X1162" s="77">
        <f t="shared" ca="1" si="4"/>
        <v>0</v>
      </c>
      <c r="Y1162" s="77">
        <f t="shared" ca="1" si="5"/>
        <v>3</v>
      </c>
      <c r="Z1162" s="76">
        <f t="array" ref="Z1162">AVERAGEIFS($F$2:$F2248,$B$2:$B2248,$B1162,$P$2:$P2248,"&lt;="&amp;$P1162,$P$2:$P2248,"&gt;"&amp;$P1162-7)</f>
        <v>8.279069767441861</v>
      </c>
      <c r="AA1162" s="76">
        <f ca="1">IFERROR(__xludf.DUMMYFUNCTION("iferror(stdevp(filter($E$2:$E2250,$B$2:$B2250=$B1162,$O$2:$O2250&lt;=$O1162,$O$2:$O2250&gt;$O1162-7)),0)"),0.687184270936276)</f>
        <v>0.68718427093627599</v>
      </c>
      <c r="AB1162" s="77">
        <f t="shared" ca="1" si="6"/>
        <v>2.5043213375844635</v>
      </c>
      <c r="AC1162" s="77">
        <f t="shared" ca="1" si="7"/>
        <v>4</v>
      </c>
      <c r="AD1162" s="76">
        <f t="array" ref="AD1162">AVERAGEIFS($G$2:$G2248,$B$2:$B2248,$B1162,$P$2:$P2248,"&lt;="&amp;$P1162,$P$2:$P2248,"&gt;"&amp;$P1162-7)</f>
        <v>8.604651162790697</v>
      </c>
      <c r="AE1162" s="76">
        <f ca="1">IFERROR(__xludf.DUMMYFUNCTION("iferror(stdevp(filter($F$2:$F2250,$B$2:$B2250=$B1162,$O$2:$O2250&lt;=$O1162,$O$2:$O2250&gt;$O1162-7)),0)"),0.816496580927725)</f>
        <v>0.81649658092772504</v>
      </c>
      <c r="AF1162" s="77">
        <f t="shared" ca="1" si="8"/>
        <v>1.7089463321743132</v>
      </c>
      <c r="AG1162" s="77">
        <f t="shared" ca="1" si="9"/>
        <v>4</v>
      </c>
      <c r="AH1162" s="76">
        <f t="array" ref="AH1162">AVERAGEIFS($I$2:$I2248,$B$2:$B2248,$B1162,$P$2:$P2248,"&lt;="&amp;$P1162,$P$2:$P2248,"&gt;"&amp;$P1162-7)</f>
        <v>8.3488372093023262</v>
      </c>
      <c r="AI1162" s="76">
        <f ca="1">IFERROR(__xludf.DUMMYFUNCTION("iferror(stdevp(filter($H$2:$H2250,$B$2:$B2250=$B1162,$O$2:$O2250&lt;=$O1162,$O$2:$O2250&gt;$O1162-7)),0)"),1.15470053837925)</f>
        <v>1.1547005383792499</v>
      </c>
      <c r="AJ1162" s="77">
        <f t="shared" ca="1" si="10"/>
        <v>0.56392351874335567</v>
      </c>
      <c r="AK1162" s="77">
        <f t="shared" ca="1" si="11"/>
        <v>3</v>
      </c>
      <c r="AL1162" s="76">
        <f t="array" ref="AL1162">AVERAGEIFS($J$2:$J2248,$B$2:$B2248,$B1162,$P$2:$P2248,"&lt;="&amp;$P1162,$P$2:$P2248,"&gt;"&amp;$P1162-7)</f>
        <v>8.3023255813953494</v>
      </c>
      <c r="AM1162" s="76">
        <f ca="1">IFERROR(__xludf.DUMMYFUNCTION("iferror(stdevp(filter($I$2:$I2250,$B$2:$B2250=$B1162,$O$2:$O2250&lt;=$O1162,$O$2:$O2250&gt;$O1162-7)),0)"),0.763762615825973)</f>
        <v>0.76376261582597305</v>
      </c>
      <c r="AN1162" s="77">
        <f t="shared" ca="1" si="13"/>
        <v>-1.7051444446347326</v>
      </c>
      <c r="AO1162" s="77">
        <f t="shared" ca="1" si="14"/>
        <v>1</v>
      </c>
      <c r="AP1162" s="76">
        <f t="array" ref="AP1162">AVERAGEIFS($K$2:$K2248,$B$2:$B2248,$B1162,$P$2:$P2248,"&lt;="&amp;$P1162,$P$2:$P2248,"&gt;"&amp;$P1162-7)</f>
        <v>8.9069767441860463</v>
      </c>
      <c r="AQ1162" s="76">
        <f ca="1">IFERROR(__xludf.DUMMYFUNCTION("iferror(stdevp(filter($J$2:$J2250,$B$2:$B2250=$B1162,$O$2:$O2250&lt;=$O1162,$O$2:$O2250&gt;$O1162-7)),0)"),1.06718737290547)</f>
        <v>1.0671873729054699</v>
      </c>
      <c r="AR1162" s="77">
        <f t="shared" ca="1" si="15"/>
        <v>8.7166750821548122E-2</v>
      </c>
      <c r="AS1162" s="77">
        <f t="shared" ca="1" si="16"/>
        <v>3</v>
      </c>
      <c r="AT1162" s="78">
        <f t="shared" ca="1" si="12"/>
        <v>0.75</v>
      </c>
    </row>
    <row r="1163" spans="1:46" ht="12.5" x14ac:dyDescent="0.25">
      <c r="A1163" s="75">
        <v>44968.422428449077</v>
      </c>
      <c r="B1163" s="1" t="s">
        <v>16</v>
      </c>
      <c r="C1163" s="1" t="str">
        <f>INDEX(TBL_Name,MATCH(Table2[[#This Row],[Athlete Name]],listNames,0),2)</f>
        <v>Athlete 9</v>
      </c>
      <c r="D1163" s="1" t="s">
        <v>130</v>
      </c>
      <c r="E1163" s="1">
        <v>9</v>
      </c>
      <c r="F1163" s="1">
        <v>7</v>
      </c>
      <c r="G1163" s="1">
        <v>8</v>
      </c>
      <c r="H1163" s="1" t="s">
        <v>1395</v>
      </c>
      <c r="I1163" s="1">
        <v>5</v>
      </c>
      <c r="J1163" s="1">
        <v>8</v>
      </c>
      <c r="K1163" s="1">
        <v>10</v>
      </c>
      <c r="L1163" s="1">
        <v>80</v>
      </c>
      <c r="M1163" s="1" t="e">
        <f t="shared" ca="1" si="0"/>
        <v>#NAME?</v>
      </c>
      <c r="N1163" s="1" t="e">
        <f t="shared" si="1"/>
        <v>#VALUE!</v>
      </c>
      <c r="O1163" s="1" t="e">
        <f ca="1">IF($N1163=_xludf.MINIFS($N$2:$N2349,$R$2:$R2349,$R1163),1,
($N1163-_xludf.MINIFS($N$2:$N2349,$R$2:$R2349,$R1163))+1)</f>
        <v>#VALUE!</v>
      </c>
      <c r="P1163" s="13" t="e">
        <f t="shared" si="2"/>
        <v>#VALUE!</v>
      </c>
      <c r="Q1163" s="1" t="e">
        <f>RIGHT(YEAR($A1163),2)-(MONTH($A1163)&lt;=#REF!)
 &amp;"-"&amp;
 RIGHT(YEAR($A1163),2)+(MONTH($A1163)&gt;=#REF!)</f>
        <v>#REF!</v>
      </c>
      <c r="R1163" s="1" t="e">
        <f>CHOOSE(MONTH($P1163),#REF!,#REF!,#REF!,#REF!,#REF!,#REF!,#REF!,#REF!,#REF!,#REF!,#REF!,#REF!)&amp;" "&amp;$Q1163</f>
        <v>#VALUE!</v>
      </c>
      <c r="S1163" s="1">
        <f t="shared" si="3"/>
        <v>1</v>
      </c>
      <c r="T1163" s="1" t="str">
        <f t="array" ref="T1163">IFERROR(INDEX(#REF!,MATCH($B1163,#REF!,0)),"")</f>
        <v/>
      </c>
      <c r="U1163" s="1" t="str">
        <f t="array" ref="U1163">IFERROR(INDEX(#REF!,MATCH($B1163,#REF!,0)),"")</f>
        <v/>
      </c>
      <c r="V1163" s="76">
        <f t="array" ref="V1163">AVERAGEIFS($E$2:$E2248,$B$2:$B2248,$B1163,$P$2:$P2248,"&lt;="&amp;$P1163,$P$2:$P2248,"&gt;"&amp;$P1163-7)</f>
        <v>8.9600000000000009</v>
      </c>
      <c r="W1163" s="76">
        <f ca="1">IFERROR(__xludf.DUMMYFUNCTION("iferror(stdevp(filter($D$2:$D2250,$B$2:$B2250=$B1163,$O$2:$O2250&lt;=$O1163,$O$2:$O2250&gt;$O1163-7)),0)"),0.433012701892219)</f>
        <v>0.43301270189221902</v>
      </c>
      <c r="X1163" s="77">
        <f t="shared" ca="1" si="4"/>
        <v>9.2376043070338212E-2</v>
      </c>
      <c r="Y1163" s="77">
        <f t="shared" ca="1" si="5"/>
        <v>3</v>
      </c>
      <c r="Z1163" s="76">
        <f t="array" ref="Z1163">AVERAGEIFS($F$2:$F2248,$B$2:$B2248,$B1163,$P$2:$P2248,"&lt;="&amp;$P1163,$P$2:$P2248,"&gt;"&amp;$P1163-7)</f>
        <v>7.48</v>
      </c>
      <c r="AA1163" s="76">
        <f ca="1">IFERROR(__xludf.DUMMYFUNCTION("iferror(stdevp(filter($E$2:$E2250,$B$2:$B2250=$B1163,$O$2:$O2250&lt;=$O1163,$O$2:$O2250&gt;$O1163-7)),0)"),0.433012701892219)</f>
        <v>0.43301270189221902</v>
      </c>
      <c r="AB1163" s="77">
        <f t="shared" ca="1" si="6"/>
        <v>-1.1085125168440833</v>
      </c>
      <c r="AC1163" s="77">
        <f t="shared" ca="1" si="7"/>
        <v>1</v>
      </c>
      <c r="AD1163" s="76">
        <f t="array" ref="AD1163">AVERAGEIFS($G$2:$G2248,$B$2:$B2248,$B1163,$P$2:$P2248,"&lt;="&amp;$P1163,$P$2:$P2248,"&gt;"&amp;$P1163-7)</f>
        <v>7.56</v>
      </c>
      <c r="AE1163" s="76">
        <f ca="1">IFERROR(__xludf.DUMMYFUNCTION("iferror(stdevp(filter($F$2:$F2250,$B$2:$B2250=$B1163,$O$2:$O2250&lt;=$O1163,$O$2:$O2250&gt;$O1163-7)),0)"),0)</f>
        <v>0</v>
      </c>
      <c r="AF1163" s="77">
        <f t="shared" ca="1" si="8"/>
        <v>0</v>
      </c>
      <c r="AG1163" s="77">
        <f t="shared" ca="1" si="9"/>
        <v>3</v>
      </c>
      <c r="AH1163" s="76">
        <f t="array" ref="AH1163">AVERAGEIFS($I$2:$I2248,$B$2:$B2248,$B1163,$P$2:$P2248,"&lt;="&amp;$P1163,$P$2:$P2248,"&gt;"&amp;$P1163-7)</f>
        <v>5.8</v>
      </c>
      <c r="AI1163" s="76">
        <f ca="1">IFERROR(__xludf.DUMMYFUNCTION("iferror(stdevp(filter($H$2:$H2250,$B$2:$B2250=$B1163,$O$2:$O2250&lt;=$O1163,$O$2:$O2250&gt;$O1163-7)),0)"),0.866025403784438)</f>
        <v>0.86602540378443804</v>
      </c>
      <c r="AJ1163" s="77">
        <f t="shared" ca="1" si="10"/>
        <v>-0.92376043070340164</v>
      </c>
      <c r="AK1163" s="77">
        <f t="shared" ca="1" si="11"/>
        <v>2</v>
      </c>
      <c r="AL1163" s="76">
        <f t="array" ref="AL1163">AVERAGEIFS($J$2:$J2248,$B$2:$B2248,$B1163,$P$2:$P2248,"&lt;="&amp;$P1163,$P$2:$P2248,"&gt;"&amp;$P1163-7)</f>
        <v>7.8</v>
      </c>
      <c r="AM1163" s="76">
        <f ca="1">IFERROR(__xludf.DUMMYFUNCTION("iferror(stdevp(filter($I$2:$I2250,$B$2:$B2250=$B1163,$O$2:$O2250&lt;=$O1163,$O$2:$O2250&gt;$O1163-7)),0)"),0.82915619758885)</f>
        <v>0.82915619758884995</v>
      </c>
      <c r="AN1163" s="77">
        <f t="shared" ca="1" si="13"/>
        <v>0.24120907566221111</v>
      </c>
      <c r="AO1163" s="77">
        <f t="shared" ca="1" si="14"/>
        <v>3</v>
      </c>
      <c r="AP1163" s="76">
        <f t="array" ref="AP1163">AVERAGEIFS($K$2:$K2248,$B$2:$B2248,$B1163,$P$2:$P2248,"&lt;="&amp;$P1163,$P$2:$P2248,"&gt;"&amp;$P1163-7)</f>
        <v>8.6</v>
      </c>
      <c r="AQ1163" s="76">
        <f ca="1">IFERROR(__xludf.DUMMYFUNCTION("iferror(stdevp(filter($J$2:$J2250,$B$2:$B2250=$B1163,$O$2:$O2250&lt;=$O1163,$O$2:$O2250&gt;$O1163-7)),0)"),0.707106781186547)</f>
        <v>0.70710678118654702</v>
      </c>
      <c r="AR1163" s="77">
        <f t="shared" ca="1" si="15"/>
        <v>1.9798989873223349</v>
      </c>
      <c r="AS1163" s="77">
        <f t="shared" ca="1" si="16"/>
        <v>4</v>
      </c>
      <c r="AT1163" s="78">
        <f t="shared" ca="1" si="12"/>
        <v>0.66666666666666663</v>
      </c>
    </row>
    <row r="1164" spans="1:46" ht="12.5" x14ac:dyDescent="0.25">
      <c r="A1164" s="75">
        <v>44968.453413148149</v>
      </c>
      <c r="B1164" s="1" t="s">
        <v>29</v>
      </c>
      <c r="C1164" s="1" t="str">
        <f>INDEX(TBL_Name,MATCH(Table2[[#This Row],[Athlete Name]],listNames,0),2)</f>
        <v>Athlete 18</v>
      </c>
      <c r="D1164" s="1" t="s">
        <v>130</v>
      </c>
      <c r="E1164" s="1">
        <v>10</v>
      </c>
      <c r="F1164" s="1">
        <v>10</v>
      </c>
      <c r="G1164" s="1">
        <v>8</v>
      </c>
      <c r="H1164" s="1" t="s">
        <v>1534</v>
      </c>
      <c r="I1164" s="1">
        <v>7</v>
      </c>
      <c r="J1164" s="1">
        <v>9</v>
      </c>
      <c r="K1164" s="1">
        <v>10</v>
      </c>
      <c r="L1164" s="1">
        <v>90</v>
      </c>
      <c r="M1164" s="1" t="e">
        <f t="shared" ca="1" si="0"/>
        <v>#NAME?</v>
      </c>
      <c r="N1164" s="1" t="e">
        <f t="shared" si="1"/>
        <v>#VALUE!</v>
      </c>
      <c r="O1164" s="1" t="e">
        <f ca="1">IF($N1164=_xludf.MINIFS($N$2:$N2350,$R$2:$R2350,$R1164),1,
($N1164-_xludf.MINIFS($N$2:$N2350,$R$2:$R2350,$R1164))+1)</f>
        <v>#VALUE!</v>
      </c>
      <c r="P1164" s="13" t="e">
        <f t="shared" si="2"/>
        <v>#VALUE!</v>
      </c>
      <c r="Q1164" s="1" t="e">
        <f>RIGHT(YEAR($A1164),2)-(MONTH($A1164)&lt;=#REF!)
 &amp;"-"&amp;
 RIGHT(YEAR($A1164),2)+(MONTH($A1164)&gt;=#REF!)</f>
        <v>#REF!</v>
      </c>
      <c r="R1164" s="1" t="e">
        <f>CHOOSE(MONTH($P1164),#REF!,#REF!,#REF!,#REF!,#REF!,#REF!,#REF!,#REF!,#REF!,#REF!,#REF!,#REF!)&amp;" "&amp;$Q1164</f>
        <v>#VALUE!</v>
      </c>
      <c r="S1164" s="1">
        <f t="shared" si="3"/>
        <v>1</v>
      </c>
      <c r="T1164" s="1" t="str">
        <f t="array" ref="T1164">IFERROR(INDEX(#REF!,MATCH($B1164,#REF!,0)),"")</f>
        <v/>
      </c>
      <c r="U1164" s="1" t="str">
        <f t="array" ref="U1164">IFERROR(INDEX(#REF!,MATCH($B1164,#REF!,0)),"")</f>
        <v/>
      </c>
      <c r="V1164" s="76">
        <f t="array" ref="V1164">AVERAGEIFS($E$2:$E2248,$B$2:$B2248,$B1164,$P$2:$P2248,"&lt;="&amp;$P1164,$P$2:$P2248,"&gt;"&amp;$P1164-7)</f>
        <v>8.53125</v>
      </c>
      <c r="W1164" s="76">
        <f ca="1">IFERROR(__xludf.DUMMYFUNCTION("iferror(stdevp(filter($D$2:$D2250,$B$2:$B2250=$B1164,$O$2:$O2250&lt;=$O1164,$O$2:$O2250&gt;$O1164-7)),0)"),0.372677996249965)</f>
        <v>0.372677996249965</v>
      </c>
      <c r="X1164" s="77">
        <f t="shared" ca="1" si="4"/>
        <v>3.9410698103433788</v>
      </c>
      <c r="Y1164" s="77">
        <f t="shared" ca="1" si="5"/>
        <v>4</v>
      </c>
      <c r="Z1164" s="76">
        <f t="array" ref="Z1164">AVERAGEIFS($F$2:$F2248,$B$2:$B2248,$B1164,$P$2:$P2248,"&lt;="&amp;$P1164,$P$2:$P2248,"&gt;"&amp;$P1164-7)</f>
        <v>8.125</v>
      </c>
      <c r="AA1164" s="76">
        <f ca="1">IFERROR(__xludf.DUMMYFUNCTION("iferror(stdevp(filter($E$2:$E2250,$B$2:$B2250=$B1164,$O$2:$O2250&lt;=$O1164,$O$2:$O2250&gt;$O1164-7)),0)"),0.763762615825973)</f>
        <v>0.76376261582597305</v>
      </c>
      <c r="AB1164" s="77">
        <f t="shared" ca="1" si="6"/>
        <v>2.4549512651549152</v>
      </c>
      <c r="AC1164" s="77">
        <f t="shared" ca="1" si="7"/>
        <v>4</v>
      </c>
      <c r="AD1164" s="76">
        <f t="array" ref="AD1164">AVERAGEIFS($G$2:$G2248,$B$2:$B2248,$B1164,$P$2:$P2248,"&lt;="&amp;$P1164,$P$2:$P2248,"&gt;"&amp;$P1164-7)</f>
        <v>8.09375</v>
      </c>
      <c r="AE1164" s="76">
        <f ca="1">IFERROR(__xludf.DUMMYFUNCTION("iferror(stdevp(filter($F$2:$F2250,$B$2:$B2250=$B1164,$O$2:$O2250&lt;=$O1164,$O$2:$O2250&gt;$O1164-7)),0)"),0.471404520791031)</f>
        <v>0.47140452079103101</v>
      </c>
      <c r="AF1164" s="77">
        <f t="shared" ca="1" si="8"/>
        <v>-0.19887378220871677</v>
      </c>
      <c r="AG1164" s="77">
        <f t="shared" ca="1" si="9"/>
        <v>2</v>
      </c>
      <c r="AH1164" s="76">
        <f t="array" ref="AH1164">AVERAGEIFS($I$2:$I2248,$B$2:$B2248,$B1164,$P$2:$P2248,"&lt;="&amp;$P1164,$P$2:$P2248,"&gt;"&amp;$P1164-7)</f>
        <v>7.875</v>
      </c>
      <c r="AI1164" s="76">
        <f ca="1">IFERROR(__xludf.DUMMYFUNCTION("iferror(stdevp(filter($H$2:$H2250,$B$2:$B2250=$B1164,$O$2:$O2250&lt;=$O1164,$O$2:$O2250&gt;$O1164-7)),0)"),1.37436854187255)</f>
        <v>1.37436854187255</v>
      </c>
      <c r="AJ1164" s="77">
        <f t="shared" ca="1" si="10"/>
        <v>-0.63665601572037567</v>
      </c>
      <c r="AK1164" s="77">
        <f t="shared" ca="1" si="11"/>
        <v>2</v>
      </c>
      <c r="AL1164" s="76">
        <f t="array" ref="AL1164">AVERAGEIFS($J$2:$J2248,$B$2:$B2248,$B1164,$P$2:$P2248,"&lt;="&amp;$P1164,$P$2:$P2248,"&gt;"&amp;$P1164-7)</f>
        <v>8.34375</v>
      </c>
      <c r="AM1164" s="76">
        <f ca="1">IFERROR(__xludf.DUMMYFUNCTION("iferror(stdevp(filter($I$2:$I2250,$B$2:$B2250=$B1164,$O$2:$O2250&lt;=$O1164,$O$2:$O2250&gt;$O1164-7)),0)"),0.5)</f>
        <v>0.5</v>
      </c>
      <c r="AN1164" s="77">
        <f t="shared" ca="1" si="13"/>
        <v>1.3125</v>
      </c>
      <c r="AO1164" s="77">
        <f t="shared" ca="1" si="14"/>
        <v>4</v>
      </c>
      <c r="AP1164" s="76">
        <f t="array" ref="AP1164">AVERAGEIFS($K$2:$K2248,$B$2:$B2248,$B1164,$P$2:$P2248,"&lt;="&amp;$P1164,$P$2:$P2248,"&gt;"&amp;$P1164-7)</f>
        <v>8.46875</v>
      </c>
      <c r="AQ1164" s="76">
        <f ca="1">IFERROR(__xludf.DUMMYFUNCTION("iferror(stdevp(filter($J$2:$J2250,$B$2:$B2250=$B1164,$O$2:$O2250&lt;=$O1164,$O$2:$O2250&gt;$O1164-7)),0)"),0.942809041582063)</f>
        <v>0.94280904158206302</v>
      </c>
      <c r="AR1164" s="77">
        <f t="shared" ca="1" si="15"/>
        <v>1.624135888037852</v>
      </c>
      <c r="AS1164" s="77">
        <f t="shared" ca="1" si="16"/>
        <v>4</v>
      </c>
      <c r="AT1164" s="78">
        <f t="shared" ca="1" si="12"/>
        <v>0.83333333333333337</v>
      </c>
    </row>
    <row r="1165" spans="1:46" ht="12.5" x14ac:dyDescent="0.25">
      <c r="A1165" s="75">
        <v>44968.528618194439</v>
      </c>
      <c r="B1165" s="1" t="s">
        <v>21</v>
      </c>
      <c r="C1165" s="1" t="str">
        <f>INDEX(TBL_Name,MATCH(Table2[[#This Row],[Athlete Name]],listNames,0),2)</f>
        <v>Athlete 13</v>
      </c>
      <c r="D1165" s="1" t="s">
        <v>143</v>
      </c>
      <c r="E1165" s="1">
        <v>7</v>
      </c>
      <c r="F1165" s="1">
        <v>8</v>
      </c>
      <c r="G1165" s="1">
        <v>8</v>
      </c>
      <c r="H1165" s="1" t="s">
        <v>1535</v>
      </c>
      <c r="I1165" s="1">
        <v>5</v>
      </c>
      <c r="J1165" s="1">
        <v>6</v>
      </c>
      <c r="K1165" s="1">
        <v>6</v>
      </c>
      <c r="L1165" s="1">
        <v>75</v>
      </c>
      <c r="M1165" s="1" t="e">
        <f t="shared" ca="1" si="0"/>
        <v>#NAME?</v>
      </c>
      <c r="N1165" s="1" t="e">
        <f t="shared" si="1"/>
        <v>#VALUE!</v>
      </c>
      <c r="O1165" s="1" t="e">
        <f ca="1">IF($N1165=_xludf.MINIFS($N$2:$N2351,$R$2:$R2351,$R1165),1,
($N1165-_xludf.MINIFS($N$2:$N2351,$R$2:$R2351,$R1165))+1)</f>
        <v>#VALUE!</v>
      </c>
      <c r="P1165" s="13" t="e">
        <f t="shared" si="2"/>
        <v>#VALUE!</v>
      </c>
      <c r="Q1165" s="1" t="e">
        <f>RIGHT(YEAR($A1165),2)-(MONTH($A1165)&lt;=#REF!)
 &amp;"-"&amp;
 RIGHT(YEAR($A1165),2)+(MONTH($A1165)&gt;=#REF!)</f>
        <v>#REF!</v>
      </c>
      <c r="R1165" s="1" t="e">
        <f>CHOOSE(MONTH($P1165),#REF!,#REF!,#REF!,#REF!,#REF!,#REF!,#REF!,#REF!,#REF!,#REF!,#REF!,#REF!)&amp;" "&amp;$Q1165</f>
        <v>#VALUE!</v>
      </c>
      <c r="S1165" s="1">
        <f t="shared" si="3"/>
        <v>2</v>
      </c>
      <c r="T1165" s="1" t="str">
        <f t="array" ref="T1165">IFERROR(INDEX(#REF!,MATCH($B1165,#REF!,0)),"")</f>
        <v/>
      </c>
      <c r="U1165" s="1" t="str">
        <f t="array" ref="U1165">IFERROR(INDEX(#REF!,MATCH($B1165,#REF!,0)),"")</f>
        <v/>
      </c>
      <c r="V1165" s="76">
        <f t="array" ref="V1165">AVERAGEIFS($E$2:$E2248,$B$2:$B2248,$B1165,$P$2:$P2248,"&lt;="&amp;$P1165,$P$2:$P2248,"&gt;"&amp;$P1165-7)</f>
        <v>6.6304347826086953</v>
      </c>
      <c r="W1165" s="76">
        <f ca="1">IFERROR(__xludf.DUMMYFUNCTION("iferror(stdevp(filter($D$2:$D2250,$B$2:$B2250=$B1165,$O$2:$O2250&lt;=$O1165,$O$2:$O2250&gt;$O1165-7)),0)"),0.534522483824848)</f>
        <v>0.53452248382484802</v>
      </c>
      <c r="X1165" s="77">
        <f t="shared" ca="1" si="4"/>
        <v>0.69139321277344723</v>
      </c>
      <c r="Y1165" s="77">
        <f t="shared" ca="1" si="5"/>
        <v>3</v>
      </c>
      <c r="Z1165" s="76">
        <f t="array" ref="Z1165">AVERAGEIFS($F$2:$F2248,$B$2:$B2248,$B1165,$P$2:$P2248,"&lt;="&amp;$P1165,$P$2:$P2248,"&gt;"&amp;$P1165-7)</f>
        <v>7.6956521739130439</v>
      </c>
      <c r="AA1165" s="76">
        <f ca="1">IFERROR(__xludf.DUMMYFUNCTION("iferror(stdevp(filter($E$2:$E2250,$B$2:$B2250=$B1165,$O$2:$O2250&lt;=$O1165,$O$2:$O2250&gt;$O1165-7)),0)"),1.04978131833564)</f>
        <v>1.0497813183356399</v>
      </c>
      <c r="AB1165" s="77">
        <f t="shared" ca="1" si="6"/>
        <v>0.2899154526482523</v>
      </c>
      <c r="AC1165" s="77">
        <f t="shared" ca="1" si="7"/>
        <v>3</v>
      </c>
      <c r="AD1165" s="76">
        <f t="array" ref="AD1165">AVERAGEIFS($G$2:$G2248,$B$2:$B2248,$B1165,$P$2:$P2248,"&lt;="&amp;$P1165,$P$2:$P2248,"&gt;"&amp;$P1165-7)</f>
        <v>8.2608695652173907</v>
      </c>
      <c r="AE1165" s="76">
        <f ca="1">IFERROR(__xludf.DUMMYFUNCTION("iferror(stdevp(filter($F$2:$F2250,$B$2:$B2250=$B1165,$O$2:$O2250&lt;=$O1165,$O$2:$O2250&gt;$O1165-7)),0)"),0.451753951452625)</f>
        <v>0.45175395145262498</v>
      </c>
      <c r="AF1165" s="77">
        <f t="shared" ca="1" si="8"/>
        <v>-0.57745939881335573</v>
      </c>
      <c r="AG1165" s="77">
        <f t="shared" ca="1" si="9"/>
        <v>2</v>
      </c>
      <c r="AH1165" s="76">
        <f t="array" ref="AH1165">AVERAGEIFS($I$2:$I2248,$B$2:$B2248,$B1165,$P$2:$P2248,"&lt;="&amp;$P1165,$P$2:$P2248,"&gt;"&amp;$P1165-7)</f>
        <v>5.7391304347826084</v>
      </c>
      <c r="AI1165" s="76">
        <f ca="1">IFERROR(__xludf.DUMMYFUNCTION("iferror(stdevp(filter($H$2:$H2250,$B$2:$B2250=$B1165,$O$2:$O2250&lt;=$O1165,$O$2:$O2250&gt;$O1165-7)),0)"),1.39970842444753)</f>
        <v>1.39970842444753</v>
      </c>
      <c r="AJ1165" s="77">
        <f t="shared" ca="1" si="10"/>
        <v>-0.52806028875217059</v>
      </c>
      <c r="AK1165" s="77">
        <f t="shared" ca="1" si="11"/>
        <v>2</v>
      </c>
      <c r="AL1165" s="76">
        <f t="array" ref="AL1165">AVERAGEIFS($J$2:$J2248,$B$2:$B2248,$B1165,$P$2:$P2248,"&lt;="&amp;$P1165,$P$2:$P2248,"&gt;"&amp;$P1165-7)</f>
        <v>6.5434782608695654</v>
      </c>
      <c r="AM1165" s="76">
        <f ca="1">IFERROR(__xludf.DUMMYFUNCTION("iferror(stdevp(filter($I$2:$I2250,$B$2:$B2250=$B1165,$O$2:$O2250&lt;=$O1165,$O$2:$O2250&gt;$O1165-7)),0)"),0.451753951452625)</f>
        <v>0.45175395145262498</v>
      </c>
      <c r="AN1165" s="77">
        <f t="shared" ca="1" si="13"/>
        <v>-1.2030404141944944</v>
      </c>
      <c r="AO1165" s="77">
        <f t="shared" ca="1" si="14"/>
        <v>1</v>
      </c>
      <c r="AP1165" s="76">
        <f t="array" ref="AP1165">AVERAGEIFS($K$2:$K2248,$B$2:$B2248,$B1165,$P$2:$P2248,"&lt;="&amp;$P1165,$P$2:$P2248,"&gt;"&amp;$P1165-7)</f>
        <v>6.6086956521739131</v>
      </c>
      <c r="AQ1165" s="76">
        <f ca="1">IFERROR(__xludf.DUMMYFUNCTION("iferror(stdevp(filter($J$2:$J2250,$B$2:$B2250=$B1165,$O$2:$O2250&lt;=$O1165,$O$2:$O2250&gt;$O1165-7)),0)"),0.494871659305393)</f>
        <v>0.49487165930539301</v>
      </c>
      <c r="AR1165" s="77">
        <f t="shared" ca="1" si="15"/>
        <v>-1.2300070952300737</v>
      </c>
      <c r="AS1165" s="77">
        <f t="shared" ca="1" si="16"/>
        <v>1</v>
      </c>
      <c r="AT1165" s="78">
        <f t="shared" ca="1" si="12"/>
        <v>0.5</v>
      </c>
    </row>
    <row r="1166" spans="1:46" ht="12.5" x14ac:dyDescent="0.25">
      <c r="A1166" s="75">
        <v>44968.632024652776</v>
      </c>
      <c r="B1166" s="1" t="s">
        <v>10</v>
      </c>
      <c r="C1166" s="1" t="str">
        <f>INDEX(TBL_Name,MATCH(Table2[[#This Row],[Athlete Name]],listNames,0),2)</f>
        <v>Athlete 5</v>
      </c>
      <c r="D1166" s="1" t="s">
        <v>130</v>
      </c>
      <c r="E1166" s="1">
        <v>8</v>
      </c>
      <c r="F1166" s="1">
        <v>9</v>
      </c>
      <c r="G1166" s="1">
        <v>9</v>
      </c>
      <c r="H1166" s="1" t="s">
        <v>1536</v>
      </c>
      <c r="I1166" s="1">
        <v>4</v>
      </c>
      <c r="J1166" s="1">
        <v>7</v>
      </c>
      <c r="K1166" s="1">
        <v>9</v>
      </c>
      <c r="L1166" s="1">
        <v>86</v>
      </c>
      <c r="M1166" s="1" t="e">
        <f t="shared" ca="1" si="0"/>
        <v>#NAME?</v>
      </c>
      <c r="N1166" s="1" t="e">
        <f t="shared" si="1"/>
        <v>#VALUE!</v>
      </c>
      <c r="O1166" s="1" t="e">
        <f ca="1">IF($N1166=_xludf.MINIFS($N$2:$N2352,$R$2:$R2352,$R1166),1,
($N1166-_xludf.MINIFS($N$2:$N2352,$R$2:$R2352,$R1166))+1)</f>
        <v>#VALUE!</v>
      </c>
      <c r="P1166" s="13" t="e">
        <f t="shared" si="2"/>
        <v>#VALUE!</v>
      </c>
      <c r="Q1166" s="1" t="e">
        <f>RIGHT(YEAR($A1166),2)-(MONTH($A1166)&lt;=#REF!)
 &amp;"-"&amp;
 RIGHT(YEAR($A1166),2)+(MONTH($A1166)&gt;=#REF!)</f>
        <v>#REF!</v>
      </c>
      <c r="R1166" s="1" t="e">
        <f>CHOOSE(MONTH($P1166),#REF!,#REF!,#REF!,#REF!,#REF!,#REF!,#REF!,#REF!,#REF!,#REF!,#REF!,#REF!)&amp;" "&amp;$Q1166</f>
        <v>#VALUE!</v>
      </c>
      <c r="S1166" s="1">
        <f t="shared" si="3"/>
        <v>1</v>
      </c>
      <c r="T1166" s="1" t="str">
        <f t="array" ref="T1166">IFERROR(INDEX(#REF!,MATCH($B1166,#REF!,0)),"")</f>
        <v/>
      </c>
      <c r="U1166" s="1" t="str">
        <f t="array" ref="U1166">IFERROR(INDEX(#REF!,MATCH($B1166,#REF!,0)),"")</f>
        <v/>
      </c>
      <c r="V1166" s="76">
        <f t="array" ref="V1166">AVERAGEIFS($E$2:$E2248,$B$2:$B2248,$B1166,$P$2:$P2248,"&lt;="&amp;$P1166,$P$2:$P2248,"&gt;"&amp;$P1166-7)</f>
        <v>8.4042553191489358</v>
      </c>
      <c r="W1166" s="76">
        <f ca="1">IFERROR(__xludf.DUMMYFUNCTION("iferror(stdevp(filter($D$2:$D2250,$B$2:$B2250=$B1166,$O$2:$O2250&lt;=$O1166,$O$2:$O2250&gt;$O1166-7)),0)"),0.471404520791031)</f>
        <v>0.47140452079103101</v>
      </c>
      <c r="X1166" s="77">
        <f t="shared" ca="1" si="4"/>
        <v>-0.8575550325028346</v>
      </c>
      <c r="Y1166" s="77">
        <f t="shared" ca="1" si="5"/>
        <v>2</v>
      </c>
      <c r="Z1166" s="76">
        <f t="array" ref="Z1166">AVERAGEIFS($F$2:$F2248,$B$2:$B2248,$B1166,$P$2:$P2248,"&lt;="&amp;$P1166,$P$2:$P2248,"&gt;"&amp;$P1166-7)</f>
        <v>8.085106382978724</v>
      </c>
      <c r="AA1166" s="76">
        <f ca="1">IFERROR(__xludf.DUMMYFUNCTION("iferror(stdevp(filter($E$2:$E2250,$B$2:$B2250=$B1166,$O$2:$O2250&lt;=$O1166,$O$2:$O2250&gt;$O1166-7)),0)"),0.687184270936276)</f>
        <v>0.68718427093627599</v>
      </c>
      <c r="AB1166" s="77">
        <f t="shared" ca="1" si="6"/>
        <v>1.3313657714760412</v>
      </c>
      <c r="AC1166" s="77">
        <f t="shared" ca="1" si="7"/>
        <v>4</v>
      </c>
      <c r="AD1166" s="76">
        <f t="array" ref="AD1166">AVERAGEIFS($G$2:$G2248,$B$2:$B2248,$B1166,$P$2:$P2248,"&lt;="&amp;$P1166,$P$2:$P2248,"&gt;"&amp;$P1166-7)</f>
        <v>8.0638297872340434</v>
      </c>
      <c r="AE1166" s="76">
        <f ca="1">IFERROR(__xludf.DUMMYFUNCTION("iferror(stdevp(filter($F$2:$F2250,$B$2:$B2250=$B1166,$O$2:$O2250&lt;=$O1166,$O$2:$O2250&gt;$O1166-7)),0)"),0.687184270936276)</f>
        <v>0.68718427093627599</v>
      </c>
      <c r="AF1166" s="77">
        <f t="shared" ca="1" si="8"/>
        <v>1.3623277661615301</v>
      </c>
      <c r="AG1166" s="77">
        <f t="shared" ca="1" si="9"/>
        <v>4</v>
      </c>
      <c r="AH1166" s="76">
        <f t="array" ref="AH1166">AVERAGEIFS($I$2:$I2248,$B$2:$B2248,$B1166,$P$2:$P2248,"&lt;="&amp;$P1166,$P$2:$P2248,"&gt;"&amp;$P1166-7)</f>
        <v>6.7446808510638299</v>
      </c>
      <c r="AI1166" s="76">
        <f ca="1">IFERROR(__xludf.DUMMYFUNCTION("iferror(stdevp(filter($H$2:$H2250,$B$2:$B2250=$B1166,$O$2:$O2250&lt;=$O1166,$O$2:$O2250&gt;$O1166-7)),0)"),2.13437474581094)</f>
        <v>2.1343747458109399</v>
      </c>
      <c r="AJ1166" s="77">
        <f t="shared" ca="1" si="10"/>
        <v>-1.2859414010827834</v>
      </c>
      <c r="AK1166" s="77">
        <f t="shared" ca="1" si="11"/>
        <v>1</v>
      </c>
      <c r="AL1166" s="76">
        <f t="array" ref="AL1166">AVERAGEIFS($J$2:$J2248,$B$2:$B2248,$B1166,$P$2:$P2248,"&lt;="&amp;$P1166,$P$2:$P2248,"&gt;"&amp;$P1166-7)</f>
        <v>8.1063829787234045</v>
      </c>
      <c r="AM1166" s="76">
        <f ca="1">IFERROR(__xludf.DUMMYFUNCTION("iferror(stdevp(filter($I$2:$I2250,$B$2:$B2250=$B1166,$O$2:$O2250&lt;=$O1166,$O$2:$O2250&gt;$O1166-7)),0)"),1)</f>
        <v>1</v>
      </c>
      <c r="AN1166" s="77">
        <f t="shared" ca="1" si="13"/>
        <v>-1.1063829787234045</v>
      </c>
      <c r="AO1166" s="77">
        <f t="shared" ca="1" si="14"/>
        <v>1</v>
      </c>
      <c r="AP1166" s="76">
        <f t="array" ref="AP1166">AVERAGEIFS($K$2:$K2248,$B$2:$B2248,$B1166,$P$2:$P2248,"&lt;="&amp;$P1166,$P$2:$P2248,"&gt;"&amp;$P1166-7)</f>
        <v>8.2978723404255312</v>
      </c>
      <c r="AQ1166" s="76">
        <f ca="1">IFERROR(__xludf.DUMMYFUNCTION("iferror(stdevp(filter($J$2:$J2250,$B$2:$B2250=$B1166,$O$2:$O2250&lt;=$O1166,$O$2:$O2250&gt;$O1166-7)),0)"),0.89752746785575)</f>
        <v>0.89752746785574999</v>
      </c>
      <c r="AR1166" s="77">
        <f t="shared" ca="1" si="15"/>
        <v>0.78229099912885813</v>
      </c>
      <c r="AS1166" s="77">
        <f t="shared" ca="1" si="16"/>
        <v>3</v>
      </c>
      <c r="AT1166" s="78">
        <f t="shared" ca="1" si="12"/>
        <v>0.625</v>
      </c>
    </row>
    <row r="1167" spans="1:46" ht="12.5" x14ac:dyDescent="0.25">
      <c r="A1167" s="75">
        <v>44969.409425474536</v>
      </c>
      <c r="B1167" s="1" t="s">
        <v>21</v>
      </c>
      <c r="C1167" s="1" t="str">
        <f>INDEX(TBL_Name,MATCH(Table2[[#This Row],[Athlete Name]],listNames,0),2)</f>
        <v>Athlete 13</v>
      </c>
      <c r="D1167" s="1" t="s">
        <v>143</v>
      </c>
      <c r="E1167" s="1">
        <v>6</v>
      </c>
      <c r="F1167" s="1">
        <v>8</v>
      </c>
      <c r="G1167" s="1">
        <v>8</v>
      </c>
      <c r="H1167" s="1" t="s">
        <v>1537</v>
      </c>
      <c r="I1167" s="1">
        <v>6</v>
      </c>
      <c r="J1167" s="1">
        <v>6</v>
      </c>
      <c r="K1167" s="1">
        <v>6</v>
      </c>
      <c r="L1167" s="1">
        <v>70</v>
      </c>
      <c r="M1167" s="1" t="e">
        <f t="shared" ca="1" si="0"/>
        <v>#NAME?</v>
      </c>
      <c r="N1167" s="1" t="e">
        <f t="shared" si="1"/>
        <v>#VALUE!</v>
      </c>
      <c r="O1167" s="1" t="e">
        <f ca="1">IF($N1167=_xludf.MINIFS($N$2:$N2353,$R$2:$R2353,$R1167),1,
($N1167-_xludf.MINIFS($N$2:$N2353,$R$2:$R2353,$R1167))+1)</f>
        <v>#VALUE!</v>
      </c>
      <c r="P1167" s="13" t="e">
        <f t="shared" si="2"/>
        <v>#VALUE!</v>
      </c>
      <c r="Q1167" s="1" t="e">
        <f>RIGHT(YEAR($A1167),2)-(MONTH($A1167)&lt;=#REF!)
 &amp;"-"&amp;
 RIGHT(YEAR($A1167),2)+(MONTH($A1167)&gt;=#REF!)</f>
        <v>#REF!</v>
      </c>
      <c r="R1167" s="1" t="e">
        <f>CHOOSE(MONTH($P1167),#REF!,#REF!,#REF!,#REF!,#REF!,#REF!,#REF!,#REF!,#REF!,#REF!,#REF!,#REF!)&amp;" "&amp;$Q1167</f>
        <v>#VALUE!</v>
      </c>
      <c r="S1167" s="1">
        <f t="shared" si="3"/>
        <v>2</v>
      </c>
      <c r="T1167" s="1" t="str">
        <f t="array" ref="T1167">IFERROR(INDEX(#REF!,MATCH($B1167,#REF!,0)),"")</f>
        <v/>
      </c>
      <c r="U1167" s="1" t="str">
        <f t="array" ref="U1167">IFERROR(INDEX(#REF!,MATCH($B1167,#REF!,0)),"")</f>
        <v/>
      </c>
      <c r="V1167" s="76">
        <f t="array" ref="V1167">AVERAGEIFS($E$2:$E2248,$B$2:$B2248,$B1167,$P$2:$P2248,"&lt;="&amp;$P1167,$P$2:$P2248,"&gt;"&amp;$P1167-7)</f>
        <v>6.6304347826086953</v>
      </c>
      <c r="W1167" s="76">
        <f ca="1">IFERROR(__xludf.DUMMYFUNCTION("iferror(stdevp(filter($D$2:$D2250,$B$2:$B2250=$B1167,$O$2:$O2250&lt;=$O1167,$O$2:$O2250&gt;$O1167-7)),0)"),0.638876564999939)</f>
        <v>0.63887656499993895</v>
      </c>
      <c r="X1167" s="77">
        <f t="shared" ca="1" si="4"/>
        <v>-0.98678652050534299</v>
      </c>
      <c r="Y1167" s="77">
        <f t="shared" ca="1" si="5"/>
        <v>2</v>
      </c>
      <c r="Z1167" s="76">
        <f t="array" ref="Z1167">AVERAGEIFS($F$2:$F2248,$B$2:$B2248,$B1167,$P$2:$P2248,"&lt;="&amp;$P1167,$P$2:$P2248,"&gt;"&amp;$P1167-7)</f>
        <v>7.6956521739130439</v>
      </c>
      <c r="AA1167" s="76">
        <f ca="1">IFERROR(__xludf.DUMMYFUNCTION("iferror(stdevp(filter($E$2:$E2250,$B$2:$B2250=$B1167,$O$2:$O2250&lt;=$O1167,$O$2:$O2250&gt;$O1167-7)),0)"),0.903507902905251)</f>
        <v>0.90350790290525096</v>
      </c>
      <c r="AB1167" s="77">
        <f t="shared" ca="1" si="6"/>
        <v>0.33685131597445744</v>
      </c>
      <c r="AC1167" s="77">
        <f t="shared" ca="1" si="7"/>
        <v>3</v>
      </c>
      <c r="AD1167" s="76">
        <f t="array" ref="AD1167">AVERAGEIFS($G$2:$G2248,$B$2:$B2248,$B1167,$P$2:$P2248,"&lt;="&amp;$P1167,$P$2:$P2248,"&gt;"&amp;$P1167-7)</f>
        <v>8.2608695652173907</v>
      </c>
      <c r="AE1167" s="76">
        <f ca="1">IFERROR(__xludf.DUMMYFUNCTION("iferror(stdevp(filter($F$2:$F2250,$B$2:$B2250=$B1167,$O$2:$O2250&lt;=$O1167,$O$2:$O2250&gt;$O1167-7)),0)"),0.349927106111882)</f>
        <v>0.34992710611188199</v>
      </c>
      <c r="AF1167" s="77">
        <f t="shared" ca="1" si="8"/>
        <v>-0.74549687823835808</v>
      </c>
      <c r="AG1167" s="77">
        <f t="shared" ca="1" si="9"/>
        <v>2</v>
      </c>
      <c r="AH1167" s="76">
        <f t="array" ref="AH1167">AVERAGEIFS($I$2:$I2248,$B$2:$B2248,$B1167,$P$2:$P2248,"&lt;="&amp;$P1167,$P$2:$P2248,"&gt;"&amp;$P1167-7)</f>
        <v>5.7391304347826084</v>
      </c>
      <c r="AI1167" s="76">
        <f ca="1">IFERROR(__xludf.DUMMYFUNCTION("iferror(stdevp(filter($H$2:$H2250,$B$2:$B2250=$B1167,$O$2:$O2250&lt;=$O1167,$O$2:$O2250&gt;$O1167-7)),0)"),1.29362644830534)</f>
        <v>1.2936264483053399</v>
      </c>
      <c r="AJ1167" s="77">
        <f t="shared" ca="1" si="10"/>
        <v>0.20165756935406864</v>
      </c>
      <c r="AK1167" s="77">
        <f t="shared" ca="1" si="11"/>
        <v>3</v>
      </c>
      <c r="AL1167" s="76">
        <f t="array" ref="AL1167">AVERAGEIFS($J$2:$J2248,$B$2:$B2248,$B1167,$P$2:$P2248,"&lt;="&amp;$P1167,$P$2:$P2248,"&gt;"&amp;$P1167-7)</f>
        <v>6.5434782608695654</v>
      </c>
      <c r="AM1167" s="76">
        <f ca="1">IFERROR(__xludf.DUMMYFUNCTION("iferror(stdevp(filter($I$2:$I2250,$B$2:$B2250=$B1167,$O$2:$O2250&lt;=$O1167,$O$2:$O2250&gt;$O1167-7)),0)"),0.349927106111882)</f>
        <v>0.34992710611188199</v>
      </c>
      <c r="AN1167" s="77">
        <f t="shared" ca="1" si="13"/>
        <v>-1.5531184963299169</v>
      </c>
      <c r="AO1167" s="77">
        <f t="shared" ca="1" si="14"/>
        <v>1</v>
      </c>
      <c r="AP1167" s="76">
        <f t="array" ref="AP1167">AVERAGEIFS($K$2:$K2248,$B$2:$B2248,$B1167,$P$2:$P2248,"&lt;="&amp;$P1167,$P$2:$P2248,"&gt;"&amp;$P1167-7)</f>
        <v>6.6086956521739131</v>
      </c>
      <c r="AQ1167" s="76">
        <f ca="1">IFERROR(__xludf.DUMMYFUNCTION("iferror(stdevp(filter($J$2:$J2250,$B$2:$B2250=$B1167,$O$2:$O2250&lt;=$O1167,$O$2:$O2250&gt;$O1167-7)),0)"),0.451753951452625)</f>
        <v>0.45175395145262498</v>
      </c>
      <c r="AR1167" s="77">
        <f t="shared" ca="1" si="15"/>
        <v>-1.3474052638978331</v>
      </c>
      <c r="AS1167" s="77">
        <f t="shared" ca="1" si="16"/>
        <v>1</v>
      </c>
      <c r="AT1167" s="78">
        <f t="shared" ca="1" si="12"/>
        <v>0.5</v>
      </c>
    </row>
    <row r="1168" spans="1:46" ht="12.5" x14ac:dyDescent="0.25">
      <c r="A1168" s="75">
        <v>44969.633604131945</v>
      </c>
      <c r="B1168" s="1" t="s">
        <v>10</v>
      </c>
      <c r="C1168" s="1" t="str">
        <f>INDEX(TBL_Name,MATCH(Table2[[#This Row],[Athlete Name]],listNames,0),2)</f>
        <v>Athlete 5</v>
      </c>
      <c r="D1168" s="1" t="s">
        <v>130</v>
      </c>
      <c r="E1168" s="1">
        <v>6</v>
      </c>
      <c r="F1168" s="1">
        <v>8</v>
      </c>
      <c r="G1168" s="1">
        <v>8</v>
      </c>
      <c r="H1168" s="1" t="s">
        <v>226</v>
      </c>
      <c r="I1168" s="1">
        <v>8</v>
      </c>
      <c r="J1168" s="1">
        <v>7</v>
      </c>
      <c r="K1168" s="1">
        <v>7</v>
      </c>
      <c r="L1168" s="1">
        <v>74</v>
      </c>
      <c r="M1168" s="1" t="e">
        <f t="shared" ca="1" si="0"/>
        <v>#NAME?</v>
      </c>
      <c r="N1168" s="1" t="e">
        <f t="shared" si="1"/>
        <v>#VALUE!</v>
      </c>
      <c r="O1168" s="1" t="e">
        <f ca="1">IF($N1168=_xludf.MINIFS($N$2:$N2354,$R$2:$R2354,$R1168),1,
($N1168-_xludf.MINIFS($N$2:$N2354,$R$2:$R2354,$R1168))+1)</f>
        <v>#VALUE!</v>
      </c>
      <c r="P1168" s="13" t="e">
        <f t="shared" si="2"/>
        <v>#VALUE!</v>
      </c>
      <c r="Q1168" s="1" t="e">
        <f>RIGHT(YEAR($A1168),2)-(MONTH($A1168)&lt;=#REF!)
 &amp;"-"&amp;
 RIGHT(YEAR($A1168),2)+(MONTH($A1168)&gt;=#REF!)</f>
        <v>#REF!</v>
      </c>
      <c r="R1168" s="1" t="e">
        <f>CHOOSE(MONTH($P1168),#REF!,#REF!,#REF!,#REF!,#REF!,#REF!,#REF!,#REF!,#REF!,#REF!,#REF!,#REF!)&amp;" "&amp;$Q1168</f>
        <v>#VALUE!</v>
      </c>
      <c r="S1168" s="1">
        <f t="shared" si="3"/>
        <v>1</v>
      </c>
      <c r="T1168" s="1" t="str">
        <f t="array" ref="T1168">IFERROR(INDEX(#REF!,MATCH($B1168,#REF!,0)),"")</f>
        <v/>
      </c>
      <c r="U1168" s="1" t="str">
        <f t="array" ref="U1168">IFERROR(INDEX(#REF!,MATCH($B1168,#REF!,0)),"")</f>
        <v/>
      </c>
      <c r="V1168" s="76">
        <f t="array" ref="V1168">AVERAGEIFS($E$2:$E2248,$B$2:$B2248,$B1168,$P$2:$P2248,"&lt;="&amp;$P1168,$P$2:$P2248,"&gt;"&amp;$P1168-7)</f>
        <v>8.4042553191489358</v>
      </c>
      <c r="W1168" s="76">
        <f ca="1">IFERROR(__xludf.DUMMYFUNCTION("iferror(stdevp(filter($D$2:$D2250,$B$2:$B2250=$B1168,$O$2:$O2250&lt;=$O1168,$O$2:$O2250&gt;$O1168-7)),0)"),1.03015750727542)</f>
        <v>1.0301575072754201</v>
      </c>
      <c r="X1168" s="77">
        <f t="shared" ca="1" si="4"/>
        <v>-2.333871570288077</v>
      </c>
      <c r="Y1168" s="77">
        <f t="shared" ca="1" si="5"/>
        <v>1</v>
      </c>
      <c r="Z1168" s="76">
        <f t="array" ref="Z1168">AVERAGEIFS($F$2:$F2248,$B$2:$B2248,$B1168,$P$2:$P2248,"&lt;="&amp;$P1168,$P$2:$P2248,"&gt;"&amp;$P1168-7)</f>
        <v>8.085106382978724</v>
      </c>
      <c r="AA1168" s="76">
        <f ca="1">IFERROR(__xludf.DUMMYFUNCTION("iferror(stdevp(filter($E$2:$E2250,$B$2:$B2250=$B1168,$O$2:$O2250&lt;=$O1168,$O$2:$O2250&gt;$O1168-7)),0)"),0.638876564999939)</f>
        <v>0.63887656499993895</v>
      </c>
      <c r="AB1168" s="77">
        <f t="shared" ca="1" si="6"/>
        <v>-0.13321256036169069</v>
      </c>
      <c r="AC1168" s="77">
        <f t="shared" ca="1" si="7"/>
        <v>2</v>
      </c>
      <c r="AD1168" s="76">
        <f t="array" ref="AD1168">AVERAGEIFS($G$2:$G2248,$B$2:$B2248,$B1168,$P$2:$P2248,"&lt;="&amp;$P1168,$P$2:$P2248,"&gt;"&amp;$P1168-7)</f>
        <v>8.0638297872340434</v>
      </c>
      <c r="AE1168" s="76">
        <f ca="1">IFERROR(__xludf.DUMMYFUNCTION("iferror(stdevp(filter($F$2:$F2250,$B$2:$B2250=$B1168,$O$2:$O2250&lt;=$O1168,$O$2:$O2250&gt;$O1168-7)),0)"),0.638876564999939)</f>
        <v>0.63887656499993895</v>
      </c>
      <c r="AF1168" s="77">
        <f t="shared" ca="1" si="8"/>
        <v>-9.9909420271268715E-2</v>
      </c>
      <c r="AG1168" s="77">
        <f t="shared" ca="1" si="9"/>
        <v>2</v>
      </c>
      <c r="AH1168" s="76">
        <f t="array" ref="AH1168">AVERAGEIFS($I$2:$I2248,$B$2:$B2248,$B1168,$P$2:$P2248,"&lt;="&amp;$P1168,$P$2:$P2248,"&gt;"&amp;$P1168-7)</f>
        <v>6.7446808510638299</v>
      </c>
      <c r="AI1168" s="76">
        <f ca="1">IFERROR(__xludf.DUMMYFUNCTION("iferror(stdevp(filter($H$2:$H2250,$B$2:$B2250=$B1168,$O$2:$O2250&lt;=$O1168,$O$2:$O2250&gt;$O1168-7)),0)"),2.18529407725405)</f>
        <v>2.1852940772540501</v>
      </c>
      <c r="AJ1168" s="77">
        <f t="shared" ca="1" si="10"/>
        <v>0.57443945966007104</v>
      </c>
      <c r="AK1168" s="77">
        <f t="shared" ca="1" si="11"/>
        <v>3</v>
      </c>
      <c r="AL1168" s="76">
        <f t="array" ref="AL1168">AVERAGEIFS($J$2:$J2248,$B$2:$B2248,$B1168,$P$2:$P2248,"&lt;="&amp;$P1168,$P$2:$P2248,"&gt;"&amp;$P1168-7)</f>
        <v>8.1063829787234045</v>
      </c>
      <c r="AM1168" s="76">
        <f ca="1">IFERROR(__xludf.DUMMYFUNCTION("iferror(stdevp(filter($I$2:$I2250,$B$2:$B2250=$B1168,$O$2:$O2250&lt;=$O1168,$O$2:$O2250&gt;$O1168-7)),0)"),0.925820099772551)</f>
        <v>0.92582009977255098</v>
      </c>
      <c r="AN1168" s="77">
        <f t="shared" ca="1" si="13"/>
        <v>-1.1950301997064148</v>
      </c>
      <c r="AO1168" s="77">
        <f t="shared" ca="1" si="14"/>
        <v>1</v>
      </c>
      <c r="AP1168" s="76">
        <f t="array" ref="AP1168">AVERAGEIFS($K$2:$K2248,$B$2:$B2248,$B1168,$P$2:$P2248,"&lt;="&amp;$P1168,$P$2:$P2248,"&gt;"&amp;$P1168-7)</f>
        <v>8.2978723404255312</v>
      </c>
      <c r="AQ1168" s="76">
        <f ca="1">IFERROR(__xludf.DUMMYFUNCTION("iferror(stdevp(filter($J$2:$J2250,$B$2:$B2250=$B1168,$O$2:$O2250&lt;=$O1168,$O$2:$O2250&gt;$O1168-7)),0)"),0.925820099772551)</f>
        <v>0.92582009977255098</v>
      </c>
      <c r="AR1168" s="77">
        <f t="shared" ca="1" si="15"/>
        <v>-1.4018623496556011</v>
      </c>
      <c r="AS1168" s="77">
        <f t="shared" ca="1" si="16"/>
        <v>1</v>
      </c>
      <c r="AT1168" s="78">
        <f t="shared" ca="1" si="12"/>
        <v>0.41666666666666669</v>
      </c>
    </row>
    <row r="1169" spans="1:46" ht="12.5" x14ac:dyDescent="0.25">
      <c r="A1169" s="75">
        <v>44969.79651104167</v>
      </c>
      <c r="B1169" s="1" t="s">
        <v>9</v>
      </c>
      <c r="C1169" s="1" t="str">
        <f>INDEX(TBL_Name,MATCH(Table2[[#This Row],[Athlete Name]],listNames,0),2)</f>
        <v>Athlete 4</v>
      </c>
      <c r="D1169" s="1" t="s">
        <v>130</v>
      </c>
      <c r="E1169" s="1">
        <v>8</v>
      </c>
      <c r="F1169" s="1">
        <v>7</v>
      </c>
      <c r="G1169" s="1">
        <v>7</v>
      </c>
      <c r="H1169" s="1" t="s">
        <v>1538</v>
      </c>
      <c r="I1169" s="1">
        <v>5</v>
      </c>
      <c r="J1169" s="1">
        <v>8</v>
      </c>
      <c r="K1169" s="1">
        <v>8</v>
      </c>
      <c r="L1169" s="1">
        <v>90</v>
      </c>
      <c r="M1169" s="1" t="e">
        <f t="shared" ca="1" si="0"/>
        <v>#NAME?</v>
      </c>
      <c r="N1169" s="1" t="e">
        <f t="shared" si="1"/>
        <v>#VALUE!</v>
      </c>
      <c r="O1169" s="1" t="e">
        <f ca="1">IF($N1169=_xludf.MINIFS($N$2:$N2355,$R$2:$R2355,$R1169),1,
($N1169-_xludf.MINIFS($N$2:$N2355,$R$2:$R2355,$R1169))+1)</f>
        <v>#VALUE!</v>
      </c>
      <c r="P1169" s="13" t="e">
        <f t="shared" si="2"/>
        <v>#VALUE!</v>
      </c>
      <c r="Q1169" s="1" t="e">
        <f>RIGHT(YEAR($A1169),2)-(MONTH($A1169)&lt;=#REF!)
 &amp;"-"&amp;
 RIGHT(YEAR($A1169),2)+(MONTH($A1169)&gt;=#REF!)</f>
        <v>#REF!</v>
      </c>
      <c r="R1169" s="1" t="e">
        <f>CHOOSE(MONTH($P1169),#REF!,#REF!,#REF!,#REF!,#REF!,#REF!,#REF!,#REF!,#REF!,#REF!,#REF!,#REF!)&amp;" "&amp;$Q1169</f>
        <v>#VALUE!</v>
      </c>
      <c r="S1169" s="1">
        <f t="shared" si="3"/>
        <v>1</v>
      </c>
      <c r="T1169" s="1" t="str">
        <f t="array" ref="T1169">IFERROR(INDEX(#REF!,MATCH($B1169,#REF!,0)),"")</f>
        <v/>
      </c>
      <c r="U1169" s="1" t="str">
        <f t="array" ref="U1169">IFERROR(INDEX(#REF!,MATCH($B1169,#REF!,0)),"")</f>
        <v/>
      </c>
      <c r="V1169" s="76">
        <f t="array" ref="V1169">AVERAGEIFS($E$2:$E2248,$B$2:$B2248,$B1169,$P$2:$P2248,"&lt;="&amp;$P1169,$P$2:$P2248,"&gt;"&amp;$P1169-7)</f>
        <v>7.4230769230769234</v>
      </c>
      <c r="W1169" s="76">
        <f ca="1">IFERROR(__xludf.DUMMYFUNCTION("iferror(stdevp(filter($D$2:$D2250,$B$2:$B2250=$B1169,$O$2:$O2250&lt;=$O1169,$O$2:$O2250&gt;$O1169-7)),0)"),0)</f>
        <v>0</v>
      </c>
      <c r="X1169" s="77">
        <f t="shared" ca="1" si="4"/>
        <v>0</v>
      </c>
      <c r="Y1169" s="77">
        <f t="shared" ca="1" si="5"/>
        <v>3</v>
      </c>
      <c r="Z1169" s="76">
        <f t="array" ref="Z1169">AVERAGEIFS($F$2:$F2248,$B$2:$B2248,$B1169,$P$2:$P2248,"&lt;="&amp;$P1169,$P$2:$P2248,"&gt;"&amp;$P1169-7)</f>
        <v>7.1538461538461542</v>
      </c>
      <c r="AA1169" s="76">
        <f ca="1">IFERROR(__xludf.DUMMYFUNCTION("iferror(stdevp(filter($E$2:$E2250,$B$2:$B2250=$B1169,$O$2:$O2250&lt;=$O1169,$O$2:$O2250&gt;$O1169-7)),0)"),0.471404520791031)</f>
        <v>0.47140452079103101</v>
      </c>
      <c r="AB1169" s="77">
        <f t="shared" ca="1" si="6"/>
        <v>-0.32635697593225388</v>
      </c>
      <c r="AC1169" s="77">
        <f t="shared" ca="1" si="7"/>
        <v>2</v>
      </c>
      <c r="AD1169" s="76">
        <f t="array" ref="AD1169">AVERAGEIFS($G$2:$G2248,$B$2:$B2248,$B1169,$P$2:$P2248,"&lt;="&amp;$P1169,$P$2:$P2248,"&gt;"&amp;$P1169-7)</f>
        <v>7.615384615384615</v>
      </c>
      <c r="AE1169" s="76">
        <f ca="1">IFERROR(__xludf.DUMMYFUNCTION("iferror(stdevp(filter($F$2:$F2250,$B$2:$B2250=$B1169,$O$2:$O2250&lt;=$O1169,$O$2:$O2250&gt;$O1169-7)),0)"),0)</f>
        <v>0</v>
      </c>
      <c r="AF1169" s="77">
        <f t="shared" ca="1" si="8"/>
        <v>0</v>
      </c>
      <c r="AG1169" s="77">
        <f t="shared" ca="1" si="9"/>
        <v>3</v>
      </c>
      <c r="AH1169" s="76">
        <f t="array" ref="AH1169">AVERAGEIFS($I$2:$I2248,$B$2:$B2248,$B1169,$P$2:$P2248,"&lt;="&amp;$P1169,$P$2:$P2248,"&gt;"&amp;$P1169-7)</f>
        <v>5.1923076923076925</v>
      </c>
      <c r="AI1169" s="76">
        <f ca="1">IFERROR(__xludf.DUMMYFUNCTION("iferror(stdevp(filter($H$2:$H2250,$B$2:$B2250=$B1169,$O$2:$O2250&lt;=$O1169,$O$2:$O2250&gt;$O1169-7)),0)"),0.816496580927726)</f>
        <v>0.81649658092772603</v>
      </c>
      <c r="AJ1169" s="77">
        <f t="shared" ca="1" si="10"/>
        <v>-0.23552785988299815</v>
      </c>
      <c r="AK1169" s="77">
        <f t="shared" ca="1" si="11"/>
        <v>2</v>
      </c>
      <c r="AL1169" s="76">
        <f t="array" ref="AL1169">AVERAGEIFS($J$2:$J2248,$B$2:$B2248,$B1169,$P$2:$P2248,"&lt;="&amp;$P1169,$P$2:$P2248,"&gt;"&amp;$P1169-7)</f>
        <v>7.6923076923076925</v>
      </c>
      <c r="AM1169" s="76">
        <f ca="1">IFERROR(__xludf.DUMMYFUNCTION("iferror(stdevp(filter($I$2:$I2250,$B$2:$B2250=$B1169,$O$2:$O2250&lt;=$O1169,$O$2:$O2250&gt;$O1169-7)),0)"),0.816496580927726)</f>
        <v>0.81649658092772603</v>
      </c>
      <c r="AN1169" s="77">
        <f t="shared" ca="1" si="13"/>
        <v>0.3768445758127964</v>
      </c>
      <c r="AO1169" s="77">
        <f t="shared" ca="1" si="14"/>
        <v>3</v>
      </c>
      <c r="AP1169" s="76">
        <f t="array" ref="AP1169">AVERAGEIFS($K$2:$K2248,$B$2:$B2248,$B1169,$P$2:$P2248,"&lt;="&amp;$P1169,$P$2:$P2248,"&gt;"&amp;$P1169-7)</f>
        <v>7.8461538461538458</v>
      </c>
      <c r="AQ1169" s="76">
        <f ca="1">IFERROR(__xludf.DUMMYFUNCTION("iferror(stdevp(filter($J$2:$J2250,$B$2:$B2250=$B1169,$O$2:$O2250&lt;=$O1169,$O$2:$O2250&gt;$O1169-7)),0)"),0.471404520791031)</f>
        <v>0.47140452079103101</v>
      </c>
      <c r="AR1169" s="77">
        <f t="shared" ca="1" si="15"/>
        <v>0.32635697593225388</v>
      </c>
      <c r="AS1169" s="77">
        <f t="shared" ca="1" si="16"/>
        <v>3</v>
      </c>
      <c r="AT1169" s="78">
        <f t="shared" ca="1" si="12"/>
        <v>0.66666666666666663</v>
      </c>
    </row>
    <row r="1170" spans="1:46" ht="12.5" x14ac:dyDescent="0.25">
      <c r="A1170" s="75">
        <v>44970.395332245374</v>
      </c>
      <c r="B1170" s="1" t="s">
        <v>21</v>
      </c>
      <c r="C1170" s="1" t="str">
        <f>INDEX(TBL_Name,MATCH(Table2[[#This Row],[Athlete Name]],listNames,0),2)</f>
        <v>Athlete 13</v>
      </c>
      <c r="D1170" s="1" t="s">
        <v>143</v>
      </c>
      <c r="E1170" s="1">
        <v>6</v>
      </c>
      <c r="F1170" s="1">
        <v>8</v>
      </c>
      <c r="G1170" s="1">
        <v>8</v>
      </c>
      <c r="H1170" s="1" t="s">
        <v>1062</v>
      </c>
      <c r="I1170" s="1">
        <v>7</v>
      </c>
      <c r="J1170" s="1">
        <v>7</v>
      </c>
      <c r="K1170" s="1">
        <v>7</v>
      </c>
      <c r="L1170" s="1">
        <v>80</v>
      </c>
      <c r="M1170" s="1" t="e">
        <f t="shared" ca="1" si="0"/>
        <v>#NAME?</v>
      </c>
      <c r="N1170" s="1" t="e">
        <f t="shared" si="1"/>
        <v>#VALUE!</v>
      </c>
      <c r="O1170" s="1" t="e">
        <f ca="1">IF($N1170=_xludf.MINIFS($N$2:$N2356,$R$2:$R2356,$R1170),1,
($N1170-_xludf.MINIFS($N$2:$N2356,$R$2:$R2356,$R1170))+1)</f>
        <v>#VALUE!</v>
      </c>
      <c r="P1170" s="13" t="e">
        <f t="shared" si="2"/>
        <v>#VALUE!</v>
      </c>
      <c r="Q1170" s="1" t="e">
        <f>RIGHT(YEAR($A1170),2)-(MONTH($A1170)&lt;=#REF!)
 &amp;"-"&amp;
 RIGHT(YEAR($A1170),2)+(MONTH($A1170)&gt;=#REF!)</f>
        <v>#REF!</v>
      </c>
      <c r="R1170" s="1" t="e">
        <f>CHOOSE(MONTH($P1170),#REF!,#REF!,#REF!,#REF!,#REF!,#REF!,#REF!,#REF!,#REF!,#REF!,#REF!,#REF!)&amp;" "&amp;$Q1170</f>
        <v>#VALUE!</v>
      </c>
      <c r="S1170" s="1">
        <f t="shared" si="3"/>
        <v>2</v>
      </c>
      <c r="T1170" s="1" t="str">
        <f t="array" ref="T1170">IFERROR(INDEX(#REF!,MATCH($B1170,#REF!,0)),"")</f>
        <v/>
      </c>
      <c r="U1170" s="1" t="str">
        <f t="array" ref="U1170">IFERROR(INDEX(#REF!,MATCH($B1170,#REF!,0)),"")</f>
        <v/>
      </c>
      <c r="V1170" s="76">
        <f t="array" ref="V1170">AVERAGEIFS($E$2:$E2248,$B$2:$B2248,$B1170,$P$2:$P2248,"&lt;="&amp;$P1170,$P$2:$P2248,"&gt;"&amp;$P1170-7)</f>
        <v>6.6304347826086953</v>
      </c>
      <c r="W1170" s="76">
        <f ca="1">IFERROR(__xludf.DUMMYFUNCTION("iferror(stdevp(filter($D$2:$D2250,$B$2:$B2250=$B1170,$O$2:$O2250&lt;=$O1170,$O$2:$O2250&gt;$O1170-7)),0)"),0.638876564999939)</f>
        <v>0.63887656499993895</v>
      </c>
      <c r="X1170" s="77">
        <f t="shared" ca="1" si="4"/>
        <v>-0.98678652050534299</v>
      </c>
      <c r="Y1170" s="77">
        <f t="shared" ca="1" si="5"/>
        <v>2</v>
      </c>
      <c r="Z1170" s="76">
        <f t="array" ref="Z1170">AVERAGEIFS($F$2:$F2248,$B$2:$B2248,$B1170,$P$2:$P2248,"&lt;="&amp;$P1170,$P$2:$P2248,"&gt;"&amp;$P1170-7)</f>
        <v>7.6956521739130439</v>
      </c>
      <c r="AA1170" s="76">
        <f ca="1">IFERROR(__xludf.DUMMYFUNCTION("iferror(stdevp(filter($E$2:$E2250,$B$2:$B2250=$B1170,$O$2:$O2250&lt;=$O1170,$O$2:$O2250&gt;$O1170-7)),0)"),0.903507902905251)</f>
        <v>0.90350790290525096</v>
      </c>
      <c r="AB1170" s="77">
        <f t="shared" ca="1" si="6"/>
        <v>0.33685131597445744</v>
      </c>
      <c r="AC1170" s="77">
        <f t="shared" ca="1" si="7"/>
        <v>3</v>
      </c>
      <c r="AD1170" s="76">
        <f t="array" ref="AD1170">AVERAGEIFS($G$2:$G2248,$B$2:$B2248,$B1170,$P$2:$P2248,"&lt;="&amp;$P1170,$P$2:$P2248,"&gt;"&amp;$P1170-7)</f>
        <v>8.2608695652173907</v>
      </c>
      <c r="AE1170" s="76">
        <f ca="1">IFERROR(__xludf.DUMMYFUNCTION("iferror(stdevp(filter($F$2:$F2250,$B$2:$B2250=$B1170,$O$2:$O2250&lt;=$O1170,$O$2:$O2250&gt;$O1170-7)),0)"),0.349927106111882)</f>
        <v>0.34992710611188199</v>
      </c>
      <c r="AF1170" s="77">
        <f t="shared" ca="1" si="8"/>
        <v>-0.74549687823835808</v>
      </c>
      <c r="AG1170" s="77">
        <f t="shared" ca="1" si="9"/>
        <v>2</v>
      </c>
      <c r="AH1170" s="76">
        <f t="array" ref="AH1170">AVERAGEIFS($I$2:$I2248,$B$2:$B2248,$B1170,$P$2:$P2248,"&lt;="&amp;$P1170,$P$2:$P2248,"&gt;"&amp;$P1170-7)</f>
        <v>5.7391304347826084</v>
      </c>
      <c r="AI1170" s="76">
        <f ca="1">IFERROR(__xludf.DUMMYFUNCTION("iferror(stdevp(filter($H$2:$H2250,$B$2:$B2250=$B1170,$O$2:$O2250&lt;=$O1170,$O$2:$O2250&gt;$O1170-7)),0)"),1.03015750727542)</f>
        <v>1.0301575072754201</v>
      </c>
      <c r="AJ1170" s="77">
        <f t="shared" ca="1" si="10"/>
        <v>1.2239580416708926</v>
      </c>
      <c r="AK1170" s="77">
        <f t="shared" ca="1" si="11"/>
        <v>4</v>
      </c>
      <c r="AL1170" s="76">
        <f t="array" ref="AL1170">AVERAGEIFS($J$2:$J2248,$B$2:$B2248,$B1170,$P$2:$P2248,"&lt;="&amp;$P1170,$P$2:$P2248,"&gt;"&amp;$P1170-7)</f>
        <v>6.5434782608695654</v>
      </c>
      <c r="AM1170" s="76">
        <f ca="1">IFERROR(__xludf.DUMMYFUNCTION("iferror(stdevp(filter($I$2:$I2250,$B$2:$B2250=$B1170,$O$2:$O2250&lt;=$O1170,$O$2:$O2250&gt;$O1170-7)),0)"),0.534522483824848)</f>
        <v>0.53452248382484802</v>
      </c>
      <c r="AN1170" s="77">
        <f t="shared" ca="1" si="13"/>
        <v>0.85407396872013963</v>
      </c>
      <c r="AO1170" s="77">
        <f t="shared" ca="1" si="14"/>
        <v>3</v>
      </c>
      <c r="AP1170" s="76">
        <f t="array" ref="AP1170">AVERAGEIFS($K$2:$K2248,$B$2:$B2248,$B1170,$P$2:$P2248,"&lt;="&amp;$P1170,$P$2:$P2248,"&gt;"&amp;$P1170-7)</f>
        <v>6.6086956521739131</v>
      </c>
      <c r="AQ1170" s="76">
        <f ca="1">IFERROR(__xludf.DUMMYFUNCTION("iferror(stdevp(filter($J$2:$J2250,$B$2:$B2250=$B1170,$O$2:$O2250&lt;=$O1170,$O$2:$O2250&gt;$O1170-7)),0)"),0.451753951452625)</f>
        <v>0.45175395145262498</v>
      </c>
      <c r="AR1170" s="77">
        <f t="shared" ca="1" si="15"/>
        <v>0.86618909822003542</v>
      </c>
      <c r="AS1170" s="77">
        <f t="shared" ca="1" si="16"/>
        <v>3</v>
      </c>
      <c r="AT1170" s="78">
        <f t="shared" ca="1" si="12"/>
        <v>0.70833333333333337</v>
      </c>
    </row>
    <row r="1171" spans="1:46" ht="12.5" x14ac:dyDescent="0.25">
      <c r="A1171" s="75">
        <v>44970.398060428241</v>
      </c>
      <c r="B1171" s="1" t="s">
        <v>6</v>
      </c>
      <c r="C1171" s="1" t="str">
        <f>INDEX(TBL_Name,MATCH(Table2[[#This Row],[Athlete Name]],listNames,0),2)</f>
        <v>Athlete 2</v>
      </c>
      <c r="D1171" s="1" t="s">
        <v>130</v>
      </c>
      <c r="E1171" s="1">
        <v>10</v>
      </c>
      <c r="F1171" s="1">
        <v>9</v>
      </c>
      <c r="G1171" s="1">
        <v>10</v>
      </c>
      <c r="H1171" s="1" t="s">
        <v>71</v>
      </c>
      <c r="I1171" s="1">
        <v>9</v>
      </c>
      <c r="J1171" s="1">
        <v>7</v>
      </c>
      <c r="K1171" s="1">
        <v>8</v>
      </c>
      <c r="L1171" s="1">
        <v>99</v>
      </c>
      <c r="M1171" s="1" t="e">
        <f t="shared" ca="1" si="0"/>
        <v>#NAME?</v>
      </c>
      <c r="N1171" s="1" t="e">
        <f t="shared" si="1"/>
        <v>#VALUE!</v>
      </c>
      <c r="O1171" s="1" t="e">
        <f ca="1">IF($N1171=_xludf.MINIFS($N$2:$N2357,$R$2:$R2357,$R1171),1,
($N1171-_xludf.MINIFS($N$2:$N2357,$R$2:$R2357,$R1171))+1)</f>
        <v>#VALUE!</v>
      </c>
      <c r="P1171" s="13" t="e">
        <f t="shared" si="2"/>
        <v>#VALUE!</v>
      </c>
      <c r="Q1171" s="1" t="e">
        <f>RIGHT(YEAR($A1171),2)-(MONTH($A1171)&lt;=#REF!)
 &amp;"-"&amp;
 RIGHT(YEAR($A1171),2)+(MONTH($A1171)&gt;=#REF!)</f>
        <v>#REF!</v>
      </c>
      <c r="R1171" s="1" t="e">
        <f>CHOOSE(MONTH($P1171),#REF!,#REF!,#REF!,#REF!,#REF!,#REF!,#REF!,#REF!,#REF!,#REF!,#REF!,#REF!)&amp;" "&amp;$Q1171</f>
        <v>#VALUE!</v>
      </c>
      <c r="S1171" s="1">
        <f t="shared" si="3"/>
        <v>1</v>
      </c>
      <c r="T1171" s="1" t="str">
        <f t="array" ref="T1171">IFERROR(INDEX(#REF!,MATCH($B1171,#REF!,0)),"")</f>
        <v/>
      </c>
      <c r="U1171" s="1" t="str">
        <f t="array" ref="U1171">IFERROR(INDEX(#REF!,MATCH($B1171,#REF!,0)),"")</f>
        <v/>
      </c>
      <c r="V1171" s="76">
        <f t="array" ref="V1171">AVERAGEIFS($E$2:$E2248,$B$2:$B2248,$B1171,$P$2:$P2248,"&lt;="&amp;$P1171,$P$2:$P2248,"&gt;"&amp;$P1171-7)</f>
        <v>9.7441860465116275</v>
      </c>
      <c r="W1171" s="76">
        <f ca="1">IFERROR(__xludf.DUMMYFUNCTION("iferror(stdevp(filter($D$2:$D2250,$B$2:$B2250=$B1171,$O$2:$O2250&lt;=$O1171,$O$2:$O2250&gt;$O1171-7)),0)"),0)</f>
        <v>0</v>
      </c>
      <c r="X1171" s="77">
        <f t="shared" ca="1" si="4"/>
        <v>0</v>
      </c>
      <c r="Y1171" s="77">
        <f t="shared" ca="1" si="5"/>
        <v>3</v>
      </c>
      <c r="Z1171" s="76">
        <f t="array" ref="Z1171">AVERAGEIFS($F$2:$F2248,$B$2:$B2248,$B1171,$P$2:$P2248,"&lt;="&amp;$P1171,$P$2:$P2248,"&gt;"&amp;$P1171-7)</f>
        <v>8.279069767441861</v>
      </c>
      <c r="AA1171" s="76">
        <f ca="1">IFERROR(__xludf.DUMMYFUNCTION("iferror(stdevp(filter($E$2:$E2250,$B$2:$B2250=$B1171,$O$2:$O2250&lt;=$O1171,$O$2:$O2250&gt;$O1171-7)),0)"),0.489897948556635)</f>
        <v>0.48989794855663499</v>
      </c>
      <c r="AB1171" s="77">
        <f t="shared" ca="1" si="6"/>
        <v>1.4715926749278792</v>
      </c>
      <c r="AC1171" s="77">
        <f t="shared" ca="1" si="7"/>
        <v>4</v>
      </c>
      <c r="AD1171" s="76">
        <f t="array" ref="AD1171">AVERAGEIFS($G$2:$G2248,$B$2:$B2248,$B1171,$P$2:$P2248,"&lt;="&amp;$P1171,$P$2:$P2248,"&gt;"&amp;$P1171-7)</f>
        <v>8.604651162790697</v>
      </c>
      <c r="AE1171" s="76">
        <f ca="1">IFERROR(__xludf.DUMMYFUNCTION("iferror(stdevp(filter($F$2:$F2250,$B$2:$B2250=$B1171,$O$2:$O2250&lt;=$O1171,$O$2:$O2250&gt;$O1171-7)),0)"),0.748331477354788)</f>
        <v>0.748331477354788</v>
      </c>
      <c r="AF1171" s="77">
        <f t="shared" ca="1" si="8"/>
        <v>1.8646133156680786</v>
      </c>
      <c r="AG1171" s="77">
        <f t="shared" ca="1" si="9"/>
        <v>4</v>
      </c>
      <c r="AH1171" s="76">
        <f t="array" ref="AH1171">AVERAGEIFS($I$2:$I2248,$B$2:$B2248,$B1171,$P$2:$P2248,"&lt;="&amp;$P1171,$P$2:$P2248,"&gt;"&amp;$P1171-7)</f>
        <v>8.3488372093023262</v>
      </c>
      <c r="AI1171" s="76">
        <f ca="1">IFERROR(__xludf.DUMMYFUNCTION("iferror(stdevp(filter($H$2:$H2250,$B$2:$B2250=$B1171,$O$2:$O2250&lt;=$O1171,$O$2:$O2250&gt;$O1171-7)),0)"),1.16619037896906)</f>
        <v>1.16619037896906</v>
      </c>
      <c r="AJ1171" s="77">
        <f t="shared" ca="1" si="10"/>
        <v>0.55836748651049339</v>
      </c>
      <c r="AK1171" s="77">
        <f t="shared" ca="1" si="11"/>
        <v>3</v>
      </c>
      <c r="AL1171" s="76">
        <f t="array" ref="AL1171">AVERAGEIFS($J$2:$J2248,$B$2:$B2248,$B1171,$P$2:$P2248,"&lt;="&amp;$P1171,$P$2:$P2248,"&gt;"&amp;$P1171-7)</f>
        <v>8.3023255813953494</v>
      </c>
      <c r="AM1171" s="76">
        <f ca="1">IFERROR(__xludf.DUMMYFUNCTION("iferror(stdevp(filter($I$2:$I2250,$B$2:$B2250=$B1171,$O$2:$O2250&lt;=$O1171,$O$2:$O2250&gt;$O1171-7)),0)"),0)</f>
        <v>0</v>
      </c>
      <c r="AN1171" s="77">
        <f t="shared" ca="1" si="13"/>
        <v>0</v>
      </c>
      <c r="AO1171" s="77">
        <f t="shared" ca="1" si="14"/>
        <v>3</v>
      </c>
      <c r="AP1171" s="76">
        <f t="array" ref="AP1171">AVERAGEIFS($K$2:$K2248,$B$2:$B2248,$B1171,$P$2:$P2248,"&lt;="&amp;$P1171,$P$2:$P2248,"&gt;"&amp;$P1171-7)</f>
        <v>8.9069767441860463</v>
      </c>
      <c r="AQ1171" s="76">
        <f ca="1">IFERROR(__xludf.DUMMYFUNCTION("iferror(stdevp(filter($J$2:$J2250,$B$2:$B2250=$B1171,$O$2:$O2250&lt;=$O1171,$O$2:$O2250&gt;$O1171-7)),0)"),0.748331477354788)</f>
        <v>0.748331477354788</v>
      </c>
      <c r="AR1171" s="77">
        <f t="shared" ca="1" si="15"/>
        <v>-1.2119986551842503</v>
      </c>
      <c r="AS1171" s="77">
        <f t="shared" ca="1" si="16"/>
        <v>1</v>
      </c>
      <c r="AT1171" s="78">
        <f t="shared" ca="1" si="12"/>
        <v>0.75</v>
      </c>
    </row>
    <row r="1172" spans="1:46" ht="12.5" x14ac:dyDescent="0.25">
      <c r="A1172" s="75">
        <v>44970.414690081016</v>
      </c>
      <c r="B1172" s="1" t="s">
        <v>29</v>
      </c>
      <c r="C1172" s="1" t="str">
        <f>INDEX(TBL_Name,MATCH(Table2[[#This Row],[Athlete Name]],listNames,0),2)</f>
        <v>Athlete 18</v>
      </c>
      <c r="D1172" s="1" t="s">
        <v>130</v>
      </c>
      <c r="E1172" s="1">
        <v>9</v>
      </c>
      <c r="F1172" s="1">
        <v>8</v>
      </c>
      <c r="G1172" s="1">
        <v>8</v>
      </c>
      <c r="H1172" s="1" t="s">
        <v>586</v>
      </c>
      <c r="I1172" s="1">
        <v>9</v>
      </c>
      <c r="J1172" s="1">
        <v>10</v>
      </c>
      <c r="K1172" s="1">
        <v>10</v>
      </c>
      <c r="L1172" s="1">
        <v>96</v>
      </c>
      <c r="M1172" s="1" t="e">
        <f t="shared" ca="1" si="0"/>
        <v>#NAME?</v>
      </c>
      <c r="N1172" s="1" t="e">
        <f t="shared" si="1"/>
        <v>#VALUE!</v>
      </c>
      <c r="O1172" s="1" t="e">
        <f ca="1">IF($N1172=_xludf.MINIFS($N$2:$N2358,$R$2:$R2358,$R1172),1,
($N1172-_xludf.MINIFS($N$2:$N2358,$R$2:$R2358,$R1172))+1)</f>
        <v>#VALUE!</v>
      </c>
      <c r="P1172" s="13" t="e">
        <f t="shared" si="2"/>
        <v>#VALUE!</v>
      </c>
      <c r="Q1172" s="1" t="e">
        <f>RIGHT(YEAR($A1172),2)-(MONTH($A1172)&lt;=#REF!)
 &amp;"-"&amp;
 RIGHT(YEAR($A1172),2)+(MONTH($A1172)&gt;=#REF!)</f>
        <v>#REF!</v>
      </c>
      <c r="R1172" s="1" t="e">
        <f>CHOOSE(MONTH($P1172),#REF!,#REF!,#REF!,#REF!,#REF!,#REF!,#REF!,#REF!,#REF!,#REF!,#REF!,#REF!)&amp;" "&amp;$Q1172</f>
        <v>#VALUE!</v>
      </c>
      <c r="S1172" s="1">
        <f t="shared" si="3"/>
        <v>1</v>
      </c>
      <c r="T1172" s="1" t="str">
        <f t="array" ref="T1172">IFERROR(INDEX(#REF!,MATCH($B1172,#REF!,0)),"")</f>
        <v/>
      </c>
      <c r="U1172" s="1" t="str">
        <f t="array" ref="U1172">IFERROR(INDEX(#REF!,MATCH($B1172,#REF!,0)),"")</f>
        <v/>
      </c>
      <c r="V1172" s="76">
        <f t="array" ref="V1172">AVERAGEIFS($E$2:$E2248,$B$2:$B2248,$B1172,$P$2:$P2248,"&lt;="&amp;$P1172,$P$2:$P2248,"&gt;"&amp;$P1172-7)</f>
        <v>8.53125</v>
      </c>
      <c r="W1172" s="76">
        <f ca="1">IFERROR(__xludf.DUMMYFUNCTION("iferror(stdevp(filter($D$2:$D2250,$B$2:$B2250=$B1172,$O$2:$O2250&lt;=$O1172,$O$2:$O2250&gt;$O1172-7)),0)"),0.372677996249965)</f>
        <v>0.372677996249965</v>
      </c>
      <c r="X1172" s="77">
        <f t="shared" ca="1" si="4"/>
        <v>1.2577882373436315</v>
      </c>
      <c r="Y1172" s="77">
        <f t="shared" ca="1" si="5"/>
        <v>4</v>
      </c>
      <c r="Z1172" s="76">
        <f t="array" ref="Z1172">AVERAGEIFS($F$2:$F2248,$B$2:$B2248,$B1172,$P$2:$P2248,"&lt;="&amp;$P1172,$P$2:$P2248,"&gt;"&amp;$P1172-7)</f>
        <v>8.125</v>
      </c>
      <c r="AA1172" s="76">
        <f ca="1">IFERROR(__xludf.DUMMYFUNCTION("iferror(stdevp(filter($E$2:$E2250,$B$2:$B2250=$B1172,$O$2:$O2250&lt;=$O1172,$O$2:$O2250&gt;$O1172-7)),0)"),0.89752746785575)</f>
        <v>0.89752746785574999</v>
      </c>
      <c r="AB1172" s="77">
        <f t="shared" ca="1" si="6"/>
        <v>-0.13927150363278901</v>
      </c>
      <c r="AC1172" s="77">
        <f t="shared" ca="1" si="7"/>
        <v>2</v>
      </c>
      <c r="AD1172" s="76">
        <f t="array" ref="AD1172">AVERAGEIFS($G$2:$G2248,$B$2:$B2248,$B1172,$P$2:$P2248,"&lt;="&amp;$P1172,$P$2:$P2248,"&gt;"&amp;$P1172-7)</f>
        <v>8.09375</v>
      </c>
      <c r="AE1172" s="76">
        <f ca="1">IFERROR(__xludf.DUMMYFUNCTION("iferror(stdevp(filter($F$2:$F2250,$B$2:$B2250=$B1172,$O$2:$O2250&lt;=$O1172,$O$2:$O2250&gt;$O1172-7)),0)"),0.471404520791031)</f>
        <v>0.47140452079103101</v>
      </c>
      <c r="AF1172" s="77">
        <f t="shared" ca="1" si="8"/>
        <v>-0.19887378220871677</v>
      </c>
      <c r="AG1172" s="77">
        <f t="shared" ca="1" si="9"/>
        <v>2</v>
      </c>
      <c r="AH1172" s="76">
        <f t="array" ref="AH1172">AVERAGEIFS($I$2:$I2248,$B$2:$B2248,$B1172,$P$2:$P2248,"&lt;="&amp;$P1172,$P$2:$P2248,"&gt;"&amp;$P1172-7)</f>
        <v>7.875</v>
      </c>
      <c r="AI1172" s="76">
        <f ca="1">IFERROR(__xludf.DUMMYFUNCTION("iferror(stdevp(filter($H$2:$H2250,$B$2:$B2250=$B1172,$O$2:$O2250&lt;=$O1172,$O$2:$O2250&gt;$O1172-7)),0)"),1.06718737290547)</f>
        <v>1.0671873729054699</v>
      </c>
      <c r="AJ1172" s="77">
        <f t="shared" ca="1" si="10"/>
        <v>1.0541728927480958</v>
      </c>
      <c r="AK1172" s="77">
        <f t="shared" ca="1" si="11"/>
        <v>4</v>
      </c>
      <c r="AL1172" s="76">
        <f t="array" ref="AL1172">AVERAGEIFS($J$2:$J2248,$B$2:$B2248,$B1172,$P$2:$P2248,"&lt;="&amp;$P1172,$P$2:$P2248,"&gt;"&amp;$P1172-7)</f>
        <v>8.34375</v>
      </c>
      <c r="AM1172" s="76">
        <f ca="1">IFERROR(__xludf.DUMMYFUNCTION("iferror(stdevp(filter($I$2:$I2250,$B$2:$B2250=$B1172,$O$2:$O2250&lt;=$O1172,$O$2:$O2250&gt;$O1172-7)),0)"),0.745355992499929)</f>
        <v>0.74535599249992901</v>
      </c>
      <c r="AN1172" s="77">
        <f t="shared" ca="1" si="13"/>
        <v>2.2220925526404187</v>
      </c>
      <c r="AO1172" s="77">
        <f t="shared" ca="1" si="14"/>
        <v>4</v>
      </c>
      <c r="AP1172" s="76">
        <f t="array" ref="AP1172">AVERAGEIFS($K$2:$K2248,$B$2:$B2248,$B1172,$P$2:$P2248,"&lt;="&amp;$P1172,$P$2:$P2248,"&gt;"&amp;$P1172-7)</f>
        <v>8.46875</v>
      </c>
      <c r="AQ1172" s="76">
        <f ca="1">IFERROR(__xludf.DUMMYFUNCTION("iferror(stdevp(filter($J$2:$J2250,$B$2:$B2250=$B1172,$O$2:$O2250&lt;=$O1172,$O$2:$O2250&gt;$O1172-7)),0)"),0.89752746785575)</f>
        <v>0.89752746785574999</v>
      </c>
      <c r="AR1172" s="77">
        <f t="shared" ca="1" si="15"/>
        <v>1.7060759195016653</v>
      </c>
      <c r="AS1172" s="77">
        <f t="shared" ca="1" si="16"/>
        <v>4</v>
      </c>
      <c r="AT1172" s="78">
        <f t="shared" ca="1" si="12"/>
        <v>0.83333333333333337</v>
      </c>
    </row>
    <row r="1173" spans="1:46" ht="12.5" x14ac:dyDescent="0.25">
      <c r="A1173" s="75">
        <v>44970.432815659718</v>
      </c>
      <c r="B1173" s="1" t="s">
        <v>17</v>
      </c>
      <c r="C1173" s="1" t="str">
        <f>INDEX(TBL_Name,MATCH(Table2[[#This Row],[Athlete Name]],listNames,0),2)</f>
        <v>Athlete 10</v>
      </c>
      <c r="D1173" s="1" t="s">
        <v>130</v>
      </c>
      <c r="E1173" s="1">
        <v>6</v>
      </c>
      <c r="F1173" s="1">
        <v>5</v>
      </c>
      <c r="G1173" s="1">
        <v>6</v>
      </c>
      <c r="H1173" s="1" t="s">
        <v>66</v>
      </c>
      <c r="I1173" s="1">
        <v>8</v>
      </c>
      <c r="J1173" s="1">
        <v>5</v>
      </c>
      <c r="K1173" s="1">
        <v>8</v>
      </c>
      <c r="L1173" s="1">
        <v>78</v>
      </c>
      <c r="M1173" s="1" t="e">
        <f t="shared" ca="1" si="0"/>
        <v>#NAME?</v>
      </c>
      <c r="N1173" s="1" t="e">
        <f t="shared" si="1"/>
        <v>#VALUE!</v>
      </c>
      <c r="O1173" s="1" t="e">
        <f ca="1">IF($N1173=_xludf.MINIFS($N$2:$N2359,$R$2:$R2359,$R1173),1,
($N1173-_xludf.MINIFS($N$2:$N2359,$R$2:$R2359,$R1173))+1)</f>
        <v>#VALUE!</v>
      </c>
      <c r="P1173" s="13" t="e">
        <f t="shared" si="2"/>
        <v>#VALUE!</v>
      </c>
      <c r="Q1173" s="1" t="e">
        <f>RIGHT(YEAR($A1173),2)-(MONTH($A1173)&lt;=#REF!)
 &amp;"-"&amp;
 RIGHT(YEAR($A1173),2)+(MONTH($A1173)&gt;=#REF!)</f>
        <v>#REF!</v>
      </c>
      <c r="R1173" s="1" t="e">
        <f>CHOOSE(MONTH($P1173),#REF!,#REF!,#REF!,#REF!,#REF!,#REF!,#REF!,#REF!,#REF!,#REF!,#REF!,#REF!)&amp;" "&amp;$Q1173</f>
        <v>#VALUE!</v>
      </c>
      <c r="S1173" s="1">
        <f t="shared" si="3"/>
        <v>1</v>
      </c>
      <c r="T1173" s="1" t="str">
        <f t="array" ref="T1173">IFERROR(INDEX(#REF!,MATCH($B1173,#REF!,0)),"")</f>
        <v/>
      </c>
      <c r="U1173" s="1" t="str">
        <f t="array" ref="U1173">IFERROR(INDEX(#REF!,MATCH($B1173,#REF!,0)),"")</f>
        <v/>
      </c>
      <c r="V1173" s="76">
        <f t="array" ref="V1173">AVERAGEIFS($E$2:$E2248,$B$2:$B2248,$B1173,$P$2:$P2248,"&lt;="&amp;$P1173,$P$2:$P2248,"&gt;"&amp;$P1173-7)</f>
        <v>6.9024390243902438</v>
      </c>
      <c r="W1173" s="76">
        <f ca="1">IFERROR(__xludf.DUMMYFUNCTION("iferror(stdevp(filter($D$2:$D2250,$B$2:$B2250=$B1173,$O$2:$O2250&lt;=$O1173,$O$2:$O2250&gt;$O1173-7)),0)"),1.16619037896906)</f>
        <v>1.16619037896906</v>
      </c>
      <c r="X1173" s="77">
        <f t="shared" ca="1" si="4"/>
        <v>-0.77383507930156425</v>
      </c>
      <c r="Y1173" s="77">
        <f t="shared" ca="1" si="5"/>
        <v>2</v>
      </c>
      <c r="Z1173" s="76">
        <f t="array" ref="Z1173">AVERAGEIFS($F$2:$F2248,$B$2:$B2248,$B1173,$P$2:$P2248,"&lt;="&amp;$P1173,$P$2:$P2248,"&gt;"&amp;$P1173-7)</f>
        <v>7.2926829268292686</v>
      </c>
      <c r="AA1173" s="76">
        <f ca="1">IFERROR(__xludf.DUMMYFUNCTION("iferror(stdevp(filter($E$2:$E2250,$B$2:$B2250=$B1173,$O$2:$O2250&lt;=$O1173,$O$2:$O2250&gt;$O1173-7)),0)"),1.01980390271855)</f>
        <v>1.0198039027185499</v>
      </c>
      <c r="AB1173" s="77">
        <f t="shared" ca="1" si="6"/>
        <v>-2.2481605735352961</v>
      </c>
      <c r="AC1173" s="77">
        <f t="shared" ca="1" si="7"/>
        <v>1</v>
      </c>
      <c r="AD1173" s="76">
        <f t="array" ref="AD1173">AVERAGEIFS($G$2:$G2248,$B$2:$B2248,$B1173,$P$2:$P2248,"&lt;="&amp;$P1173,$P$2:$P2248,"&gt;"&amp;$P1173-7)</f>
        <v>7.8048780487804876</v>
      </c>
      <c r="AE1173" s="76">
        <f ca="1">IFERROR(__xludf.DUMMYFUNCTION("iferror(stdevp(filter($F$2:$F2250,$B$2:$B2250=$B1173,$O$2:$O2250&lt;=$O1173,$O$2:$O2250&gt;$O1173-7)),0)"),0.979795897113271)</f>
        <v>0.97979589711327097</v>
      </c>
      <c r="AF1173" s="77">
        <f t="shared" ca="1" si="8"/>
        <v>-1.8420959447759675</v>
      </c>
      <c r="AG1173" s="77">
        <f t="shared" ca="1" si="9"/>
        <v>1</v>
      </c>
      <c r="AH1173" s="76">
        <f t="array" ref="AH1173">AVERAGEIFS($I$2:$I2248,$B$2:$B2248,$B1173,$P$2:$P2248,"&lt;="&amp;$P1173,$P$2:$P2248,"&gt;"&amp;$P1173-7)</f>
        <v>6.3170731707317076</v>
      </c>
      <c r="AI1173" s="76">
        <f ca="1">IFERROR(__xludf.DUMMYFUNCTION("iferror(stdevp(filter($H$2:$H2250,$B$2:$B2250=$B1173,$O$2:$O2250&lt;=$O1173,$O$2:$O2250&gt;$O1173-7)),0)"),1.62480768092719)</f>
        <v>1.6248076809271901</v>
      </c>
      <c r="AJ1173" s="77">
        <f t="shared" ca="1" si="10"/>
        <v>1.0357698631187766</v>
      </c>
      <c r="AK1173" s="77">
        <f t="shared" ca="1" si="11"/>
        <v>4</v>
      </c>
      <c r="AL1173" s="76">
        <f t="array" ref="AL1173">AVERAGEIFS($J$2:$J2248,$B$2:$B2248,$B1173,$P$2:$P2248,"&lt;="&amp;$P1173,$P$2:$P2248,"&gt;"&amp;$P1173-7)</f>
        <v>6.9024390243902438</v>
      </c>
      <c r="AM1173" s="76">
        <f ca="1">IFERROR(__xludf.DUMMYFUNCTION("iferror(stdevp(filter($I$2:$I2250,$B$2:$B2250=$B1173,$O$2:$O2250&lt;=$O1173,$O$2:$O2250&gt;$O1173-7)),0)"),1.26491106406735)</f>
        <v>1.26491106406735</v>
      </c>
      <c r="AN1173" s="77">
        <f t="shared" ca="1" si="13"/>
        <v>-1.5040101066654508</v>
      </c>
      <c r="AO1173" s="77">
        <f t="shared" ca="1" si="14"/>
        <v>1</v>
      </c>
      <c r="AP1173" s="76">
        <f t="array" ref="AP1173">AVERAGEIFS($K$2:$K2248,$B$2:$B2248,$B1173,$P$2:$P2248,"&lt;="&amp;$P1173,$P$2:$P2248,"&gt;"&amp;$P1173-7)</f>
        <v>8</v>
      </c>
      <c r="AQ1173" s="76">
        <f ca="1">IFERROR(__xludf.DUMMYFUNCTION("iferror(stdevp(filter($J$2:$J2250,$B$2:$B2250=$B1173,$O$2:$O2250&lt;=$O1173,$O$2:$O2250&gt;$O1173-7)),0)"),0.8)</f>
        <v>0.8</v>
      </c>
      <c r="AR1173" s="77">
        <f t="shared" ca="1" si="15"/>
        <v>0</v>
      </c>
      <c r="AS1173" s="77">
        <f t="shared" ca="1" si="16"/>
        <v>3</v>
      </c>
      <c r="AT1173" s="78">
        <f t="shared" ca="1" si="12"/>
        <v>0.5</v>
      </c>
    </row>
    <row r="1174" spans="1:46" ht="12.5" x14ac:dyDescent="0.25">
      <c r="A1174" s="75">
        <v>44970.456400949071</v>
      </c>
      <c r="B1174" s="1" t="s">
        <v>15</v>
      </c>
      <c r="C1174" s="1" t="str">
        <f>INDEX(TBL_Name,MATCH(Table2[[#This Row],[Athlete Name]],listNames,0),2)</f>
        <v>Athlete 8</v>
      </c>
      <c r="D1174" s="1" t="s">
        <v>130</v>
      </c>
      <c r="E1174" s="1">
        <v>10</v>
      </c>
      <c r="F1174" s="1">
        <v>10</v>
      </c>
      <c r="G1174" s="1">
        <v>7</v>
      </c>
      <c r="H1174" s="1" t="s">
        <v>228</v>
      </c>
      <c r="I1174" s="1">
        <v>8</v>
      </c>
      <c r="J1174" s="1">
        <v>10</v>
      </c>
      <c r="K1174" s="1">
        <v>10</v>
      </c>
      <c r="L1174" s="1">
        <v>78</v>
      </c>
      <c r="M1174" s="1" t="e">
        <f t="shared" ca="1" si="0"/>
        <v>#NAME?</v>
      </c>
      <c r="N1174" s="1" t="e">
        <f t="shared" si="1"/>
        <v>#VALUE!</v>
      </c>
      <c r="O1174" s="1" t="e">
        <f ca="1">IF($N1174=_xludf.MINIFS($N$2:$N2360,$R$2:$R2360,$R1174),1,
($N1174-_xludf.MINIFS($N$2:$N2360,$R$2:$R2360,$R1174))+1)</f>
        <v>#VALUE!</v>
      </c>
      <c r="P1174" s="13" t="e">
        <f t="shared" si="2"/>
        <v>#VALUE!</v>
      </c>
      <c r="Q1174" s="1" t="e">
        <f>RIGHT(YEAR($A1174),2)-(MONTH($A1174)&lt;=#REF!)
 &amp;"-"&amp;
 RIGHT(YEAR($A1174),2)+(MONTH($A1174)&gt;=#REF!)</f>
        <v>#REF!</v>
      </c>
      <c r="R1174" s="1" t="e">
        <f>CHOOSE(MONTH($P1174),#REF!,#REF!,#REF!,#REF!,#REF!,#REF!,#REF!,#REF!,#REF!,#REF!,#REF!,#REF!)&amp;" "&amp;$Q1174</f>
        <v>#VALUE!</v>
      </c>
      <c r="S1174" s="1">
        <f t="shared" si="3"/>
        <v>1</v>
      </c>
      <c r="T1174" s="1" t="str">
        <f t="array" ref="T1174">IFERROR(INDEX(#REF!,MATCH($B1174,#REF!,0)),"")</f>
        <v/>
      </c>
      <c r="U1174" s="1" t="str">
        <f t="array" ref="U1174">IFERROR(INDEX(#REF!,MATCH($B1174,#REF!,0)),"")</f>
        <v/>
      </c>
      <c r="V1174" s="76">
        <f t="array" ref="V1174">AVERAGEIFS($E$2:$E2248,$B$2:$B2248,$B1174,$P$2:$P2248,"&lt;="&amp;$P1174,$P$2:$P2248,"&gt;"&amp;$P1174-7)</f>
        <v>8.935483870967742</v>
      </c>
      <c r="W1174" s="76">
        <f ca="1">IFERROR(__xludf.DUMMYFUNCTION("iferror(stdevp(filter($D$2:$D2250,$B$2:$B2250=$B1174,$O$2:$O2250&lt;=$O1174,$O$2:$O2250&gt;$O1174-7)),0)"),1.2)</f>
        <v>1.2</v>
      </c>
      <c r="X1174" s="77">
        <f t="shared" ca="1" si="4"/>
        <v>0.88709677419354838</v>
      </c>
      <c r="Y1174" s="77">
        <f t="shared" ca="1" si="5"/>
        <v>3</v>
      </c>
      <c r="Z1174" s="76">
        <f t="array" ref="Z1174">AVERAGEIFS($F$2:$F2248,$B$2:$B2248,$B1174,$P$2:$P2248,"&lt;="&amp;$P1174,$P$2:$P2248,"&gt;"&amp;$P1174-7)</f>
        <v>8.741935483870968</v>
      </c>
      <c r="AA1174" s="76">
        <f ca="1">IFERROR(__xludf.DUMMYFUNCTION("iferror(stdevp(filter($E$2:$E2250,$B$2:$B2250=$B1174,$O$2:$O2250&lt;=$O1174,$O$2:$O2250&gt;$O1174-7)),0)"),1.2)</f>
        <v>1.2</v>
      </c>
      <c r="AB1174" s="77">
        <f t="shared" ca="1" si="6"/>
        <v>1.0483870967741935</v>
      </c>
      <c r="AC1174" s="77">
        <f t="shared" ca="1" si="7"/>
        <v>4</v>
      </c>
      <c r="AD1174" s="76">
        <f t="array" ref="AD1174">AVERAGEIFS($G$2:$G2248,$B$2:$B2248,$B1174,$P$2:$P2248,"&lt;="&amp;$P1174,$P$2:$P2248,"&gt;"&amp;$P1174-7)</f>
        <v>7.32258064516129</v>
      </c>
      <c r="AE1174" s="76">
        <f ca="1">IFERROR(__xludf.DUMMYFUNCTION("iferror(stdevp(filter($F$2:$F2250,$B$2:$B2250=$B1174,$O$2:$O2250&lt;=$O1174,$O$2:$O2250&gt;$O1174-7)),0)"),0.979795897113271)</f>
        <v>0.97979589711327097</v>
      </c>
      <c r="AF1174" s="77">
        <f t="shared" ca="1" si="8"/>
        <v>-0.32923249230956675</v>
      </c>
      <c r="AG1174" s="77">
        <f t="shared" ca="1" si="9"/>
        <v>2</v>
      </c>
      <c r="AH1174" s="76">
        <f t="array" ref="AH1174">AVERAGEIFS($I$2:$I2248,$B$2:$B2248,$B1174,$P$2:$P2248,"&lt;="&amp;$P1174,$P$2:$P2248,"&gt;"&amp;$P1174-7)</f>
        <v>6.419354838709677</v>
      </c>
      <c r="AI1174" s="76">
        <f ca="1">IFERROR(__xludf.DUMMYFUNCTION("iferror(stdevp(filter($H$2:$H2250,$B$2:$B2250=$B1174,$O$2:$O2250&lt;=$O1174,$O$2:$O2250&gt;$O1174-7)),0)"),1.16619037896906)</f>
        <v>1.16619037896906</v>
      </c>
      <c r="AJ1174" s="77">
        <f t="shared" ca="1" si="10"/>
        <v>1.3553920438682154</v>
      </c>
      <c r="AK1174" s="77">
        <f t="shared" ca="1" si="11"/>
        <v>4</v>
      </c>
      <c r="AL1174" s="76">
        <f t="array" ref="AL1174">AVERAGEIFS($J$2:$J2248,$B$2:$B2248,$B1174,$P$2:$P2248,"&lt;="&amp;$P1174,$P$2:$P2248,"&gt;"&amp;$P1174-7)</f>
        <v>9.612903225806452</v>
      </c>
      <c r="AM1174" s="76">
        <f ca="1">IFERROR(__xludf.DUMMYFUNCTION("iferror(stdevp(filter($I$2:$I2250,$B$2:$B2250=$B1174,$O$2:$O2250&lt;=$O1174,$O$2:$O2250&gt;$O1174-7)),0)"),0)</f>
        <v>0</v>
      </c>
      <c r="AN1174" s="77">
        <f t="shared" ca="1" si="13"/>
        <v>0</v>
      </c>
      <c r="AO1174" s="77">
        <f t="shared" ca="1" si="14"/>
        <v>3</v>
      </c>
      <c r="AP1174" s="76">
        <f t="array" ref="AP1174">AVERAGEIFS($K$2:$K2248,$B$2:$B2248,$B1174,$P$2:$P2248,"&lt;="&amp;$P1174,$P$2:$P2248,"&gt;"&amp;$P1174-7)</f>
        <v>10</v>
      </c>
      <c r="AQ1174" s="76">
        <f ca="1">IFERROR(__xludf.DUMMYFUNCTION("iferror(stdevp(filter($J$2:$J2250,$B$2:$B2250=$B1174,$O$2:$O2250&lt;=$O1174,$O$2:$O2250&gt;$O1174-7)),0)"),0)</f>
        <v>0</v>
      </c>
      <c r="AR1174" s="77">
        <f t="shared" ca="1" si="15"/>
        <v>0</v>
      </c>
      <c r="AS1174" s="77">
        <f t="shared" ca="1" si="16"/>
        <v>3</v>
      </c>
      <c r="AT1174" s="78">
        <f t="shared" ca="1" si="12"/>
        <v>0.79166666666666663</v>
      </c>
    </row>
    <row r="1175" spans="1:46" ht="12.5" x14ac:dyDescent="0.25">
      <c r="A1175" s="75">
        <v>44970.478921400463</v>
      </c>
      <c r="B1175" s="1" t="s">
        <v>9</v>
      </c>
      <c r="C1175" s="1" t="str">
        <f>INDEX(TBL_Name,MATCH(Table2[[#This Row],[Athlete Name]],listNames,0),2)</f>
        <v>Athlete 4</v>
      </c>
      <c r="D1175" s="1" t="s">
        <v>130</v>
      </c>
      <c r="E1175" s="1">
        <v>7</v>
      </c>
      <c r="F1175" s="1">
        <v>7</v>
      </c>
      <c r="G1175" s="1">
        <v>8</v>
      </c>
      <c r="H1175" s="1" t="s">
        <v>1539</v>
      </c>
      <c r="I1175" s="1">
        <v>6</v>
      </c>
      <c r="J1175" s="1">
        <v>8</v>
      </c>
      <c r="K1175" s="1">
        <v>8</v>
      </c>
      <c r="L1175" s="1">
        <v>90</v>
      </c>
      <c r="M1175" s="1" t="e">
        <f t="shared" ca="1" si="0"/>
        <v>#NAME?</v>
      </c>
      <c r="N1175" s="1" t="e">
        <f t="shared" si="1"/>
        <v>#VALUE!</v>
      </c>
      <c r="O1175" s="1" t="e">
        <f ca="1">IF($N1175=_xludf.MINIFS($N$2:$N2361,$R$2:$R2361,$R1175),1,
($N1175-_xludf.MINIFS($N$2:$N2361,$R$2:$R2361,$R1175))+1)</f>
        <v>#VALUE!</v>
      </c>
      <c r="P1175" s="13" t="e">
        <f t="shared" si="2"/>
        <v>#VALUE!</v>
      </c>
      <c r="Q1175" s="1" t="e">
        <f>RIGHT(YEAR($A1175),2)-(MONTH($A1175)&lt;=#REF!)
 &amp;"-"&amp;
 RIGHT(YEAR($A1175),2)+(MONTH($A1175)&gt;=#REF!)</f>
        <v>#REF!</v>
      </c>
      <c r="R1175" s="1" t="e">
        <f>CHOOSE(MONTH($P1175),#REF!,#REF!,#REF!,#REF!,#REF!,#REF!,#REF!,#REF!,#REF!,#REF!,#REF!,#REF!)&amp;" "&amp;$Q1175</f>
        <v>#VALUE!</v>
      </c>
      <c r="S1175" s="1">
        <f t="shared" si="3"/>
        <v>1</v>
      </c>
      <c r="T1175" s="1" t="str">
        <f t="array" ref="T1175">IFERROR(INDEX(#REF!,MATCH($B1175,#REF!,0)),"")</f>
        <v/>
      </c>
      <c r="U1175" s="1" t="str">
        <f t="array" ref="U1175">IFERROR(INDEX(#REF!,MATCH($B1175,#REF!,0)),"")</f>
        <v/>
      </c>
      <c r="V1175" s="76">
        <f t="array" ref="V1175">AVERAGEIFS($E$2:$E2248,$B$2:$B2248,$B1175,$P$2:$P2248,"&lt;="&amp;$P1175,$P$2:$P2248,"&gt;"&amp;$P1175-7)</f>
        <v>7.4230769230769234</v>
      </c>
      <c r="W1175" s="76">
        <f ca="1">IFERROR(__xludf.DUMMYFUNCTION("iferror(stdevp(filter($D$2:$D2250,$B$2:$B2250=$B1175,$O$2:$O2250&lt;=$O1175,$O$2:$O2250&gt;$O1175-7)),0)"),0.433012701892219)</f>
        <v>0.43301270189221902</v>
      </c>
      <c r="X1175" s="77">
        <f t="shared" ca="1" si="4"/>
        <v>-0.97705430170552188</v>
      </c>
      <c r="Y1175" s="77">
        <f t="shared" ca="1" si="5"/>
        <v>2</v>
      </c>
      <c r="Z1175" s="76">
        <f t="array" ref="Z1175">AVERAGEIFS($F$2:$F2248,$B$2:$B2248,$B1175,$P$2:$P2248,"&lt;="&amp;$P1175,$P$2:$P2248,"&gt;"&amp;$P1175-7)</f>
        <v>7.1538461538461542</v>
      </c>
      <c r="AA1175" s="76">
        <f ca="1">IFERROR(__xludf.DUMMYFUNCTION("iferror(stdevp(filter($E$2:$E2250,$B$2:$B2250=$B1175,$O$2:$O2250&lt;=$O1175,$O$2:$O2250&gt;$O1175-7)),0)"),0.5)</f>
        <v>0.5</v>
      </c>
      <c r="AB1175" s="77">
        <f t="shared" ca="1" si="6"/>
        <v>-0.30769230769230838</v>
      </c>
      <c r="AC1175" s="77">
        <f t="shared" ca="1" si="7"/>
        <v>2</v>
      </c>
      <c r="AD1175" s="76">
        <f t="array" ref="AD1175">AVERAGEIFS($G$2:$G2248,$B$2:$B2248,$B1175,$P$2:$P2248,"&lt;="&amp;$P1175,$P$2:$P2248,"&gt;"&amp;$P1175-7)</f>
        <v>7.615384615384615</v>
      </c>
      <c r="AE1175" s="76">
        <f ca="1">IFERROR(__xludf.DUMMYFUNCTION("iferror(stdevp(filter($F$2:$F2250,$B$2:$B2250=$B1175,$O$2:$O2250&lt;=$O1175,$O$2:$O2250&gt;$O1175-7)),0)"),0.433012701892219)</f>
        <v>0.43301270189221902</v>
      </c>
      <c r="AF1175" s="77">
        <f t="shared" ca="1" si="8"/>
        <v>0.88823118336865658</v>
      </c>
      <c r="AG1175" s="77">
        <f t="shared" ca="1" si="9"/>
        <v>3</v>
      </c>
      <c r="AH1175" s="76">
        <f t="array" ref="AH1175">AVERAGEIFS($I$2:$I2248,$B$2:$B2248,$B1175,$P$2:$P2248,"&lt;="&amp;$P1175,$P$2:$P2248,"&gt;"&amp;$P1175-7)</f>
        <v>5.1923076923076925</v>
      </c>
      <c r="AI1175" s="76">
        <f ca="1">IFERROR(__xludf.DUMMYFUNCTION("iferror(stdevp(filter($H$2:$H2250,$B$2:$B2250=$B1175,$O$2:$O2250&lt;=$O1175,$O$2:$O2250&gt;$O1175-7)),0)"),0.82915619758885)</f>
        <v>0.82915619758884995</v>
      </c>
      <c r="AJ1175" s="77">
        <f t="shared" ca="1" si="10"/>
        <v>0.97411357478969762</v>
      </c>
      <c r="AK1175" s="77">
        <f t="shared" ca="1" si="11"/>
        <v>3</v>
      </c>
      <c r="AL1175" s="76">
        <f t="array" ref="AL1175">AVERAGEIFS($J$2:$J2248,$B$2:$B2248,$B1175,$P$2:$P2248,"&lt;="&amp;$P1175,$P$2:$P2248,"&gt;"&amp;$P1175-7)</f>
        <v>7.6923076923076925</v>
      </c>
      <c r="AM1175" s="76">
        <f ca="1">IFERROR(__xludf.DUMMYFUNCTION("iferror(stdevp(filter($I$2:$I2250,$B$2:$B2250=$B1175,$O$2:$O2250&lt;=$O1175,$O$2:$O2250&gt;$O1175-7)),0)"),0.707106781186547)</f>
        <v>0.70710678118654702</v>
      </c>
      <c r="AN1175" s="77">
        <f t="shared" ca="1" si="13"/>
        <v>0.43514263457633695</v>
      </c>
      <c r="AO1175" s="77">
        <f t="shared" ca="1" si="14"/>
        <v>3</v>
      </c>
      <c r="AP1175" s="76">
        <f t="array" ref="AP1175">AVERAGEIFS($K$2:$K2248,$B$2:$B2248,$B1175,$P$2:$P2248,"&lt;="&amp;$P1175,$P$2:$P2248,"&gt;"&amp;$P1175-7)</f>
        <v>7.8461538461538458</v>
      </c>
      <c r="AQ1175" s="76">
        <f ca="1">IFERROR(__xludf.DUMMYFUNCTION("iferror(stdevp(filter($J$2:$J2250,$B$2:$B2250=$B1175,$O$2:$O2250&lt;=$O1175,$O$2:$O2250&gt;$O1175-7)),0)"),0.5)</f>
        <v>0.5</v>
      </c>
      <c r="AR1175" s="77">
        <f t="shared" ca="1" si="15"/>
        <v>0.30769230769230838</v>
      </c>
      <c r="AS1175" s="77">
        <f t="shared" ca="1" si="16"/>
        <v>3</v>
      </c>
      <c r="AT1175" s="78">
        <f t="shared" ca="1" si="12"/>
        <v>0.66666666666666663</v>
      </c>
    </row>
    <row r="1176" spans="1:46" ht="12.5" x14ac:dyDescent="0.25">
      <c r="A1176" s="75">
        <v>44970.54543864583</v>
      </c>
      <c r="B1176" s="1" t="s">
        <v>19</v>
      </c>
      <c r="C1176" s="1" t="str">
        <f>INDEX(TBL_Name,MATCH(Table2[[#This Row],[Athlete Name]],listNames,0),2)</f>
        <v>Athlete 11</v>
      </c>
      <c r="D1176" s="1" t="s">
        <v>130</v>
      </c>
      <c r="E1176" s="1">
        <v>3</v>
      </c>
      <c r="F1176" s="1">
        <v>4</v>
      </c>
      <c r="G1176" s="1">
        <v>7</v>
      </c>
      <c r="H1176" s="1" t="s">
        <v>203</v>
      </c>
      <c r="I1176" s="1">
        <v>7</v>
      </c>
      <c r="J1176" s="1">
        <v>5</v>
      </c>
      <c r="K1176" s="1">
        <v>5</v>
      </c>
      <c r="L1176" s="1">
        <v>45</v>
      </c>
      <c r="M1176" s="1" t="e">
        <f t="shared" ca="1" si="0"/>
        <v>#NAME?</v>
      </c>
      <c r="N1176" s="1" t="e">
        <f t="shared" si="1"/>
        <v>#VALUE!</v>
      </c>
      <c r="O1176" s="1" t="e">
        <f ca="1">IF($N1176=_xludf.MINIFS($N$2:$N2362,$R$2:$R2362,$R1176),1,
($N1176-_xludf.MINIFS($N$2:$N2362,$R$2:$R2362,$R1176))+1)</f>
        <v>#VALUE!</v>
      </c>
      <c r="P1176" s="13" t="e">
        <f t="shared" si="2"/>
        <v>#VALUE!</v>
      </c>
      <c r="Q1176" s="1" t="e">
        <f>RIGHT(YEAR($A1176),2)-(MONTH($A1176)&lt;=#REF!)
 &amp;"-"&amp;
 RIGHT(YEAR($A1176),2)+(MONTH($A1176)&gt;=#REF!)</f>
        <v>#REF!</v>
      </c>
      <c r="R1176" s="1" t="e">
        <f>CHOOSE(MONTH($P1176),#REF!,#REF!,#REF!,#REF!,#REF!,#REF!,#REF!,#REF!,#REF!,#REF!,#REF!,#REF!)&amp;" "&amp;$Q1176</f>
        <v>#VALUE!</v>
      </c>
      <c r="S1176" s="1">
        <f t="shared" si="3"/>
        <v>1</v>
      </c>
      <c r="T1176" s="1" t="str">
        <f t="array" ref="T1176">IFERROR(INDEX(#REF!,MATCH($B1176,#REF!,0)),"")</f>
        <v/>
      </c>
      <c r="U1176" s="1" t="str">
        <f t="array" ref="U1176">IFERROR(INDEX(#REF!,MATCH($B1176,#REF!,0)),"")</f>
        <v/>
      </c>
      <c r="V1176" s="76">
        <f t="array" ref="V1176">AVERAGEIFS($E$2:$E2248,$B$2:$B2248,$B1176,$P$2:$P2248,"&lt;="&amp;$P1176,$P$2:$P2248,"&gt;"&amp;$P1176-7)</f>
        <v>4.6538461538461542</v>
      </c>
      <c r="W1176" s="76">
        <f ca="1">IFERROR(__xludf.DUMMYFUNCTION("iferror(stdevp(filter($D$2:$D2250,$B$2:$B2250=$B1176,$O$2:$O2250&lt;=$O1176,$O$2:$O2250&gt;$O1176-7)),0)"),0.979795897113271)</f>
        <v>0.97979589711327097</v>
      </c>
      <c r="X1176" s="77">
        <f t="shared" ca="1" si="4"/>
        <v>-1.6879496624948191</v>
      </c>
      <c r="Y1176" s="77">
        <f t="shared" ca="1" si="5"/>
        <v>1</v>
      </c>
      <c r="Z1176" s="76">
        <f t="array" ref="Z1176">AVERAGEIFS($F$2:$F2248,$B$2:$B2248,$B1176,$P$2:$P2248,"&lt;="&amp;$P1176,$P$2:$P2248,"&gt;"&amp;$P1176-7)</f>
        <v>6.8461538461538458</v>
      </c>
      <c r="AA1176" s="76">
        <f ca="1">IFERROR(__xludf.DUMMYFUNCTION("iferror(stdevp(filter($E$2:$E2250,$B$2:$B2250=$B1176,$O$2:$O2250&lt;=$O1176,$O$2:$O2250&gt;$O1176-7)),0)"),1.4696938456699)</f>
        <v>1.4696938456699</v>
      </c>
      <c r="AB1176" s="77">
        <f t="shared" ca="1" si="6"/>
        <v>-1.9365624034824358</v>
      </c>
      <c r="AC1176" s="77">
        <f t="shared" ca="1" si="7"/>
        <v>1</v>
      </c>
      <c r="AD1176" s="76">
        <f t="array" ref="AD1176">AVERAGEIFS($G$2:$G2248,$B$2:$B2248,$B1176,$P$2:$P2248,"&lt;="&amp;$P1176,$P$2:$P2248,"&gt;"&amp;$P1176-7)</f>
        <v>7.2692307692307692</v>
      </c>
      <c r="AE1176" s="76">
        <f ca="1">IFERROR(__xludf.DUMMYFUNCTION("iferror(stdevp(filter($F$2:$F2250,$B$2:$B2250=$B1176,$O$2:$O2250&lt;=$O1176,$O$2:$O2250&gt;$O1176-7)),0)"),0.489897948556635)</f>
        <v>0.48989794855663499</v>
      </c>
      <c r="AF1176" s="77">
        <f t="shared" ca="1" si="8"/>
        <v>-0.54956500639366235</v>
      </c>
      <c r="AG1176" s="77">
        <f t="shared" ca="1" si="9"/>
        <v>2</v>
      </c>
      <c r="AH1176" s="76">
        <f t="array" ref="AH1176">AVERAGEIFS($I$2:$I2248,$B$2:$B2248,$B1176,$P$2:$P2248,"&lt;="&amp;$P1176,$P$2:$P2248,"&gt;"&amp;$P1176-7)</f>
        <v>4.9230769230769234</v>
      </c>
      <c r="AI1176" s="76">
        <f ca="1">IFERROR(__xludf.DUMMYFUNCTION("iferror(stdevp(filter($H$2:$H2250,$B$2:$B2250=$B1176,$O$2:$O2250&lt;=$O1176,$O$2:$O2250&gt;$O1176-7)),0)"),1.4696938456699)</f>
        <v>1.4696938456699</v>
      </c>
      <c r="AJ1176" s="77">
        <f t="shared" ca="1" si="10"/>
        <v>1.4131671592979937</v>
      </c>
      <c r="AK1176" s="77">
        <f t="shared" ca="1" si="11"/>
        <v>4</v>
      </c>
      <c r="AL1176" s="76">
        <f t="array" ref="AL1176">AVERAGEIFS($J$2:$J2248,$B$2:$B2248,$B1176,$P$2:$P2248,"&lt;="&amp;$P1176,$P$2:$P2248,"&gt;"&amp;$P1176-7)</f>
        <v>7.5769230769230766</v>
      </c>
      <c r="AM1176" s="76">
        <f ca="1">IFERROR(__xludf.DUMMYFUNCTION("iferror(stdevp(filter($I$2:$I2250,$B$2:$B2250=$B1176,$O$2:$O2250&lt;=$O1176,$O$2:$O2250&gt;$O1176-7)),0)"),1.32664991614216)</f>
        <v>1.3266499161421601</v>
      </c>
      <c r="AN1176" s="77">
        <f t="shared" ca="1" si="13"/>
        <v>-1.9424288544913613</v>
      </c>
      <c r="AO1176" s="77">
        <f t="shared" ca="1" si="14"/>
        <v>1</v>
      </c>
      <c r="AP1176" s="76">
        <f t="array" ref="AP1176">AVERAGEIFS($K$2:$K2248,$B$2:$B2248,$B1176,$P$2:$P2248,"&lt;="&amp;$P1176,$P$2:$P2248,"&gt;"&amp;$P1176-7)</f>
        <v>8</v>
      </c>
      <c r="AQ1176" s="76">
        <f ca="1">IFERROR(__xludf.DUMMYFUNCTION("iferror(stdevp(filter($J$2:$J2250,$B$2:$B2250=$B1176,$O$2:$O2250&lt;=$O1176,$O$2:$O2250&gt;$O1176-7)),0)"),1.85472369909914)</f>
        <v>1.85472369909914</v>
      </c>
      <c r="AR1176" s="77">
        <f t="shared" ca="1" si="15"/>
        <v>-1.6174915980515769</v>
      </c>
      <c r="AS1176" s="77">
        <f t="shared" ca="1" si="16"/>
        <v>1</v>
      </c>
      <c r="AT1176" s="78">
        <f t="shared" ca="1" si="12"/>
        <v>0.41666666666666669</v>
      </c>
    </row>
    <row r="1177" spans="1:46" ht="12.5" x14ac:dyDescent="0.25">
      <c r="A1177" s="75">
        <v>44970.588092546299</v>
      </c>
      <c r="B1177" s="1" t="s">
        <v>13</v>
      </c>
      <c r="C1177" s="1" t="str">
        <f>INDEX(TBL_Name,MATCH(Table2[[#This Row],[Athlete Name]],listNames,0),2)</f>
        <v>Athlete 7</v>
      </c>
      <c r="D1177" s="1" t="s">
        <v>130</v>
      </c>
      <c r="E1177" s="1">
        <v>10</v>
      </c>
      <c r="F1177" s="1">
        <v>7</v>
      </c>
      <c r="G1177" s="1">
        <v>7</v>
      </c>
      <c r="H1177" s="86"/>
      <c r="I1177" s="1">
        <v>9</v>
      </c>
      <c r="J1177" s="1">
        <v>10</v>
      </c>
      <c r="K1177" s="1">
        <v>7</v>
      </c>
      <c r="L1177" s="1">
        <v>71</v>
      </c>
      <c r="M1177" s="1" t="e">
        <f t="shared" ca="1" si="0"/>
        <v>#NAME?</v>
      </c>
      <c r="N1177" s="1" t="e">
        <f t="shared" si="1"/>
        <v>#VALUE!</v>
      </c>
      <c r="O1177" s="1" t="e">
        <f ca="1">IF($N1177=_xludf.MINIFS($N$2:$N2363,$R$2:$R2363,$R1177),1,
($N1177-_xludf.MINIFS($N$2:$N2363,$R$2:$R2363,$R1177))+1)</f>
        <v>#VALUE!</v>
      </c>
      <c r="P1177" s="13" t="e">
        <f t="shared" si="2"/>
        <v>#VALUE!</v>
      </c>
      <c r="Q1177" s="1" t="e">
        <f>RIGHT(YEAR($A1177),2)-(MONTH($A1177)&lt;=#REF!)
 &amp;"-"&amp;
 RIGHT(YEAR($A1177),2)+(MONTH($A1177)&gt;=#REF!)</f>
        <v>#REF!</v>
      </c>
      <c r="R1177" s="1" t="e">
        <f>CHOOSE(MONTH($P1177),#REF!,#REF!,#REF!,#REF!,#REF!,#REF!,#REF!,#REF!,#REF!,#REF!,#REF!,#REF!)&amp;" "&amp;$Q1177</f>
        <v>#VALUE!</v>
      </c>
      <c r="S1177" s="1">
        <f t="shared" si="3"/>
        <v>1</v>
      </c>
      <c r="T1177" s="1" t="str">
        <f t="array" ref="T1177">IFERROR(INDEX(#REF!,MATCH($B1177,#REF!,0)),"")</f>
        <v/>
      </c>
      <c r="U1177" s="1" t="str">
        <f t="array" ref="U1177">IFERROR(INDEX(#REF!,MATCH($B1177,#REF!,0)),"")</f>
        <v/>
      </c>
      <c r="V1177" s="76">
        <f t="array" ref="V1177">AVERAGEIFS($E$2:$E2248,$B$2:$B2248,$B1177,$P$2:$P2248,"&lt;="&amp;$P1177,$P$2:$P2248,"&gt;"&amp;$P1177-7)</f>
        <v>7.6857142857142859</v>
      </c>
      <c r="W1177" s="76">
        <f ca="1">IFERROR(__xludf.DUMMYFUNCTION("iferror(stdevp(filter($D$2:$D2250,$B$2:$B2250=$B1177,$O$2:$O2250&lt;=$O1177,$O$2:$O2250&gt;$O1177-7)),0)"),0.894427190999915)</f>
        <v>0.89442719099991497</v>
      </c>
      <c r="X1177" s="77">
        <f t="shared" ca="1" si="4"/>
        <v>2.5874500882497591</v>
      </c>
      <c r="Y1177" s="77">
        <f t="shared" ca="1" si="5"/>
        <v>4</v>
      </c>
      <c r="Z1177" s="76">
        <f t="array" ref="Z1177">AVERAGEIFS($F$2:$F2248,$B$2:$B2248,$B1177,$P$2:$P2248,"&lt;="&amp;$P1177,$P$2:$P2248,"&gt;"&amp;$P1177-7)</f>
        <v>7.0857142857142854</v>
      </c>
      <c r="AA1177" s="76">
        <f ca="1">IFERROR(__xludf.DUMMYFUNCTION("iferror(stdevp(filter($E$2:$E2250,$B$2:$B2250=$B1177,$O$2:$O2250&lt;=$O1177,$O$2:$O2250&gt;$O1177-7)),0)"),1.01980390271855)</f>
        <v>1.0198039027185499</v>
      </c>
      <c r="AB1177" s="77">
        <f t="shared" ca="1" si="6"/>
        <v>-8.4049772202079154E-2</v>
      </c>
      <c r="AC1177" s="77">
        <f t="shared" ca="1" si="7"/>
        <v>2</v>
      </c>
      <c r="AD1177" s="76">
        <f t="array" ref="AD1177">AVERAGEIFS($G$2:$G2248,$B$2:$B2248,$B1177,$P$2:$P2248,"&lt;="&amp;$P1177,$P$2:$P2248,"&gt;"&amp;$P1177-7)</f>
        <v>7.1428571428571432</v>
      </c>
      <c r="AE1177" s="76">
        <f ca="1">IFERROR(__xludf.DUMMYFUNCTION("iferror(stdevp(filter($F$2:$F2250,$B$2:$B2250=$B1177,$O$2:$O2250&lt;=$O1177,$O$2:$O2250&gt;$O1177-7)),0)"),0.748331477354788)</f>
        <v>0.748331477354788</v>
      </c>
      <c r="AF1177" s="77">
        <f t="shared" ca="1" si="8"/>
        <v>-0.1909008870803037</v>
      </c>
      <c r="AG1177" s="77">
        <f t="shared" ca="1" si="9"/>
        <v>2</v>
      </c>
      <c r="AH1177" s="76">
        <f t="array" ref="AH1177">AVERAGEIFS($I$2:$I2248,$B$2:$B2248,$B1177,$P$2:$P2248,"&lt;="&amp;$P1177,$P$2:$P2248,"&gt;"&amp;$P1177-7)</f>
        <v>7.0285714285714285</v>
      </c>
      <c r="AI1177" s="76">
        <f ca="1">IFERROR(__xludf.DUMMYFUNCTION("iferror(stdevp(filter($H$2:$H2250,$B$2:$B2250=$B1177,$O$2:$O2250&lt;=$O1177,$O$2:$O2250&gt;$O1177-7)),0)"),0.748331477354788)</f>
        <v>0.748331477354788</v>
      </c>
      <c r="AJ1177" s="77">
        <f t="shared" ca="1" si="10"/>
        <v>2.6344322417081845</v>
      </c>
      <c r="AK1177" s="77">
        <f t="shared" ca="1" si="11"/>
        <v>4</v>
      </c>
      <c r="AL1177" s="76">
        <f t="array" ref="AL1177">AVERAGEIFS($J$2:$J2248,$B$2:$B2248,$B1177,$P$2:$P2248,"&lt;="&amp;$P1177,$P$2:$P2248,"&gt;"&amp;$P1177-7)</f>
        <v>9.742857142857142</v>
      </c>
      <c r="AM1177" s="76">
        <f ca="1">IFERROR(__xludf.DUMMYFUNCTION("iferror(stdevp(filter($I$2:$I2250,$B$2:$B2250=$B1177,$O$2:$O2250&lt;=$O1177,$O$2:$O2250&gt;$O1177-7)),0)"),0)</f>
        <v>0</v>
      </c>
      <c r="AN1177" s="77">
        <f t="shared" ca="1" si="13"/>
        <v>0</v>
      </c>
      <c r="AO1177" s="77">
        <f t="shared" ca="1" si="14"/>
        <v>3</v>
      </c>
      <c r="AP1177" s="76">
        <f t="array" ref="AP1177">AVERAGEIFS($K$2:$K2248,$B$2:$B2248,$B1177,$P$2:$P2248,"&lt;="&amp;$P1177,$P$2:$P2248,"&gt;"&amp;$P1177-7)</f>
        <v>9.4285714285714288</v>
      </c>
      <c r="AQ1177" s="76">
        <f ca="1">IFERROR(__xludf.DUMMYFUNCTION("iferror(stdevp(filter($J$2:$J2250,$B$2:$B2250=$B1177,$O$2:$O2250&lt;=$O1177,$O$2:$O2250&gt;$O1177-7)),0)"),1.2)</f>
        <v>1.2</v>
      </c>
      <c r="AR1177" s="77">
        <f t="shared" ca="1" si="15"/>
        <v>-2.0238095238095242</v>
      </c>
      <c r="AS1177" s="77">
        <f t="shared" ca="1" si="16"/>
        <v>1</v>
      </c>
      <c r="AT1177" s="78">
        <f t="shared" ca="1" si="12"/>
        <v>0.66666666666666663</v>
      </c>
    </row>
    <row r="1178" spans="1:46" ht="12.5" x14ac:dyDescent="0.25">
      <c r="A1178" s="75">
        <v>44970.594904699072</v>
      </c>
      <c r="B1178" s="1" t="s">
        <v>7</v>
      </c>
      <c r="C1178" s="1" t="str">
        <f>INDEX(TBL_Name,MATCH(Table2[[#This Row],[Athlete Name]],listNames,0),2)</f>
        <v>Athlete 3</v>
      </c>
      <c r="D1178" s="1" t="s">
        <v>130</v>
      </c>
      <c r="E1178" s="1">
        <v>4</v>
      </c>
      <c r="F1178" s="1">
        <v>8</v>
      </c>
      <c r="G1178" s="1">
        <v>8</v>
      </c>
      <c r="H1178" s="86"/>
      <c r="I1178" s="1">
        <v>9</v>
      </c>
      <c r="J1178" s="1">
        <v>7</v>
      </c>
      <c r="K1178" s="1">
        <v>8</v>
      </c>
      <c r="L1178" s="1">
        <v>92</v>
      </c>
      <c r="M1178" s="1" t="e">
        <f t="shared" ca="1" si="0"/>
        <v>#NAME?</v>
      </c>
      <c r="N1178" s="1" t="e">
        <f t="shared" si="1"/>
        <v>#VALUE!</v>
      </c>
      <c r="O1178" s="1" t="e">
        <f ca="1">IF($N1178=_xludf.MINIFS($N$2:$N2364,$R$2:$R2364,$R1178),1,
($N1178-_xludf.MINIFS($N$2:$N2364,$R$2:$R2364,$R1178))+1)</f>
        <v>#VALUE!</v>
      </c>
      <c r="P1178" s="13" t="e">
        <f t="shared" si="2"/>
        <v>#VALUE!</v>
      </c>
      <c r="Q1178" s="1" t="e">
        <f>RIGHT(YEAR($A1178),2)-(MONTH($A1178)&lt;=#REF!)
 &amp;"-"&amp;
 RIGHT(YEAR($A1178),2)+(MONTH($A1178)&gt;=#REF!)</f>
        <v>#REF!</v>
      </c>
      <c r="R1178" s="1" t="e">
        <f>CHOOSE(MONTH($P1178),#REF!,#REF!,#REF!,#REF!,#REF!,#REF!,#REF!,#REF!,#REF!,#REF!,#REF!,#REF!)&amp;" "&amp;$Q1178</f>
        <v>#VALUE!</v>
      </c>
      <c r="S1178" s="1">
        <f t="shared" si="3"/>
        <v>1</v>
      </c>
      <c r="T1178" s="1" t="str">
        <f t="array" ref="T1178">IFERROR(INDEX(#REF!,MATCH($B1178,#REF!,0)),"")</f>
        <v/>
      </c>
      <c r="U1178" s="1" t="str">
        <f t="array" ref="U1178">IFERROR(INDEX(#REF!,MATCH($B1178,#REF!,0)),"")</f>
        <v/>
      </c>
      <c r="V1178" s="76">
        <f t="array" ref="V1178">AVERAGEIFS($E$2:$E2248,$B$2:$B2248,$B1178,$P$2:$P2248,"&lt;="&amp;$P1178,$P$2:$P2248,"&gt;"&amp;$P1178-7)</f>
        <v>6</v>
      </c>
      <c r="W1178" s="76">
        <f ca="1">IFERROR(__xludf.DUMMYFUNCTION("iferror(stdevp(filter($D$2:$D2250,$B$2:$B2250=$B1178,$O$2:$O2250&lt;=$O1178,$O$2:$O2250&gt;$O1178-7)),0)"),1.58113883008418)</f>
        <v>1.58113883008418</v>
      </c>
      <c r="X1178" s="77">
        <f t="shared" ca="1" si="4"/>
        <v>-1.2649110640673595</v>
      </c>
      <c r="Y1178" s="77">
        <f t="shared" ca="1" si="5"/>
        <v>1</v>
      </c>
      <c r="Z1178" s="76">
        <f t="array" ref="Z1178">AVERAGEIFS($F$2:$F2248,$B$2:$B2248,$B1178,$P$2:$P2248,"&lt;="&amp;$P1178,$P$2:$P2248,"&gt;"&amp;$P1178-7)</f>
        <v>7.3703703703703702</v>
      </c>
      <c r="AA1178" s="76">
        <f ca="1">IFERROR(__xludf.DUMMYFUNCTION("iferror(stdevp(filter($E$2:$E2250,$B$2:$B2250=$B1178,$O$2:$O2250&lt;=$O1178,$O$2:$O2250&gt;$O1178-7)),0)"),0.433012701892219)</f>
        <v>0.43301270189221902</v>
      </c>
      <c r="AB1178" s="77">
        <f t="shared" ca="1" si="6"/>
        <v>1.4540673446257255</v>
      </c>
      <c r="AC1178" s="77">
        <f t="shared" ca="1" si="7"/>
        <v>4</v>
      </c>
      <c r="AD1178" s="76">
        <f t="array" ref="AD1178">AVERAGEIFS($G$2:$G2248,$B$2:$B2248,$B1178,$P$2:$P2248,"&lt;="&amp;$P1178,$P$2:$P2248,"&gt;"&amp;$P1178-7)</f>
        <v>7.7777777777777777</v>
      </c>
      <c r="AE1178" s="76">
        <f ca="1">IFERROR(__xludf.DUMMYFUNCTION("iferror(stdevp(filter($F$2:$F2250,$B$2:$B2250=$B1178,$O$2:$O2250&lt;=$O1178,$O$2:$O2250&gt;$O1178-7)),0)"),0.433012701892219)</f>
        <v>0.43301270189221902</v>
      </c>
      <c r="AF1178" s="77">
        <f t="shared" ca="1" si="8"/>
        <v>0.51320023927966796</v>
      </c>
      <c r="AG1178" s="77">
        <f t="shared" ca="1" si="9"/>
        <v>3</v>
      </c>
      <c r="AH1178" s="76">
        <f t="array" ref="AH1178">AVERAGEIFS($I$2:$I2248,$B$2:$B2248,$B1178,$P$2:$P2248,"&lt;="&amp;$P1178,$P$2:$P2248,"&gt;"&amp;$P1178-7)</f>
        <v>6.333333333333333</v>
      </c>
      <c r="AI1178" s="76">
        <f ca="1">IFERROR(__xludf.DUMMYFUNCTION("iferror(stdevp(filter($H$2:$H2250,$B$2:$B2250=$B1178,$O$2:$O2250&lt;=$O1178,$O$2:$O2250&gt;$O1178-7)),0)"),3.0413812651491)</f>
        <v>3.0413812651490999</v>
      </c>
      <c r="AJ1178" s="77">
        <f t="shared" ca="1" si="10"/>
        <v>0.87679459896190848</v>
      </c>
      <c r="AK1178" s="77">
        <f t="shared" ca="1" si="11"/>
        <v>3</v>
      </c>
      <c r="AL1178" s="76">
        <f t="array" ref="AL1178">AVERAGEIFS($J$2:$J2248,$B$2:$B2248,$B1178,$P$2:$P2248,"&lt;="&amp;$P1178,$P$2:$P2248,"&gt;"&amp;$P1178-7)</f>
        <v>5.4230769230769234</v>
      </c>
      <c r="AM1178" s="76">
        <f ca="1">IFERROR(__xludf.DUMMYFUNCTION("iferror(stdevp(filter($I$2:$I2250,$B$2:$B2250=$B1178,$O$2:$O2250&lt;=$O1178,$O$2:$O2250&gt;$O1178-7)),0)"),2.38484800354236)</f>
        <v>2.38484800354236</v>
      </c>
      <c r="AN1178" s="77">
        <f t="shared" ca="1" si="13"/>
        <v>0.66122582008613406</v>
      </c>
      <c r="AO1178" s="77">
        <f t="shared" ca="1" si="14"/>
        <v>3</v>
      </c>
      <c r="AP1178" s="76">
        <f t="array" ref="AP1178">AVERAGEIFS($K$2:$K2248,$B$2:$B2248,$B1178,$P$2:$P2248,"&lt;="&amp;$P1178,$P$2:$P2248,"&gt;"&amp;$P1178-7)</f>
        <v>7.5769230769230766</v>
      </c>
      <c r="AQ1178" s="76">
        <f ca="1">IFERROR(__xludf.DUMMYFUNCTION("iferror(stdevp(filter($J$2:$J2250,$B$2:$B2250=$B1178,$O$2:$O2250&lt;=$O1178,$O$2:$O2250&gt;$O1178-7)),0)"),0.5)</f>
        <v>0.5</v>
      </c>
      <c r="AR1178" s="77">
        <f t="shared" ca="1" si="15"/>
        <v>0.8461538461538467</v>
      </c>
      <c r="AS1178" s="77">
        <f t="shared" ca="1" si="16"/>
        <v>3</v>
      </c>
      <c r="AT1178" s="78">
        <f t="shared" ca="1" si="12"/>
        <v>0.70833333333333337</v>
      </c>
    </row>
    <row r="1179" spans="1:46" ht="12.5" x14ac:dyDescent="0.25">
      <c r="A1179" s="75">
        <v>44970.595783854165</v>
      </c>
      <c r="B1179" s="1" t="s">
        <v>20</v>
      </c>
      <c r="C1179" s="1" t="str">
        <f>INDEX(TBL_Name,MATCH(Table2[[#This Row],[Athlete Name]],listNames,0),2)</f>
        <v>Athlete 12</v>
      </c>
      <c r="D1179" s="1" t="s">
        <v>143</v>
      </c>
      <c r="E1179" s="1">
        <v>7</v>
      </c>
      <c r="F1179" s="1">
        <v>7</v>
      </c>
      <c r="G1179" s="1">
        <v>8</v>
      </c>
      <c r="H1179" s="1" t="s">
        <v>215</v>
      </c>
      <c r="I1179" s="1">
        <v>7</v>
      </c>
      <c r="J1179" s="1">
        <v>4</v>
      </c>
      <c r="K1179" s="1">
        <v>7</v>
      </c>
      <c r="L1179" s="1">
        <v>85</v>
      </c>
      <c r="M1179" s="1" t="e">
        <f t="shared" ca="1" si="0"/>
        <v>#NAME?</v>
      </c>
      <c r="N1179" s="1" t="e">
        <f t="shared" si="1"/>
        <v>#VALUE!</v>
      </c>
      <c r="O1179" s="1" t="e">
        <f ca="1">IF($N1179=_xludf.MINIFS($N$2:$N2365,$R$2:$R2365,$R1179),1,
($N1179-_xludf.MINIFS($N$2:$N2365,$R$2:$R2365,$R1179))+1)</f>
        <v>#VALUE!</v>
      </c>
      <c r="P1179" s="13" t="e">
        <f t="shared" si="2"/>
        <v>#VALUE!</v>
      </c>
      <c r="Q1179" s="1" t="e">
        <f>RIGHT(YEAR($A1179),2)-(MONTH($A1179)&lt;=#REF!)
 &amp;"-"&amp;
 RIGHT(YEAR($A1179),2)+(MONTH($A1179)&gt;=#REF!)</f>
        <v>#REF!</v>
      </c>
      <c r="R1179" s="1" t="e">
        <f>CHOOSE(MONTH($P1179),#REF!,#REF!,#REF!,#REF!,#REF!,#REF!,#REF!,#REF!,#REF!,#REF!,#REF!,#REF!)&amp;" "&amp;$Q1179</f>
        <v>#VALUE!</v>
      </c>
      <c r="S1179" s="1">
        <f t="shared" si="3"/>
        <v>2</v>
      </c>
      <c r="T1179" s="1" t="str">
        <f t="array" ref="T1179">IFERROR(INDEX(#REF!,MATCH($B1179,#REF!,0)),"")</f>
        <v/>
      </c>
      <c r="U1179" s="1" t="str">
        <f t="array" ref="U1179">IFERROR(INDEX(#REF!,MATCH($B1179,#REF!,0)),"")</f>
        <v/>
      </c>
      <c r="V1179" s="76">
        <f t="array" ref="V1179">AVERAGEIFS($E$2:$E2248,$B$2:$B2248,$B1179,$P$2:$P2248,"&lt;="&amp;$P1179,$P$2:$P2248,"&gt;"&amp;$P1179-7)</f>
        <v>7.4761904761904763</v>
      </c>
      <c r="W1179" s="76">
        <f ca="1">IFERROR(__xludf.DUMMYFUNCTION("iferror(stdevp(filter($D$2:$D2250,$B$2:$B2250=$B1179,$O$2:$O2250&lt;=$O1179,$O$2:$O2250&gt;$O1179-7)),0)"),0.942809041582063)</f>
        <v>0.94280904158206302</v>
      </c>
      <c r="X1179" s="77">
        <f t="shared" ca="1" si="4"/>
        <v>-0.50507627227610563</v>
      </c>
      <c r="Y1179" s="77">
        <f t="shared" ca="1" si="5"/>
        <v>2</v>
      </c>
      <c r="Z1179" s="76">
        <f t="array" ref="Z1179">AVERAGEIFS($F$2:$F2248,$B$2:$B2248,$B1179,$P$2:$P2248,"&lt;="&amp;$P1179,$P$2:$P2248,"&gt;"&amp;$P1179-7)</f>
        <v>8.1904761904761898</v>
      </c>
      <c r="AA1179" s="76">
        <f ca="1">IFERROR(__xludf.DUMMYFUNCTION("iferror(stdevp(filter($E$2:$E2250,$B$2:$B2250=$B1179,$O$2:$O2250&lt;=$O1179,$O$2:$O2250&gt;$O1179-7)),0)"),1.41421356237309)</f>
        <v>1.41421356237309</v>
      </c>
      <c r="AB1179" s="77">
        <f t="shared" ca="1" si="6"/>
        <v>-0.84179378712684483</v>
      </c>
      <c r="AC1179" s="77">
        <f t="shared" ca="1" si="7"/>
        <v>2</v>
      </c>
      <c r="AD1179" s="76">
        <f t="array" ref="AD1179">AVERAGEIFS($G$2:$G2248,$B$2:$B2248,$B1179,$P$2:$P2248,"&lt;="&amp;$P1179,$P$2:$P2248,"&gt;"&amp;$P1179-7)</f>
        <v>8.5714285714285712</v>
      </c>
      <c r="AE1179" s="76">
        <f ca="1">IFERROR(__xludf.DUMMYFUNCTION("iferror(stdevp(filter($F$2:$F2250,$B$2:$B2250=$B1179,$O$2:$O2250&lt;=$O1179,$O$2:$O2250&gt;$O1179-7)),0)"),0.816496580927726)</f>
        <v>0.81649658092772603</v>
      </c>
      <c r="AF1179" s="77">
        <f t="shared" ca="1" si="8"/>
        <v>-0.69985421222376487</v>
      </c>
      <c r="AG1179" s="77">
        <f t="shared" ca="1" si="9"/>
        <v>2</v>
      </c>
      <c r="AH1179" s="76">
        <f t="array" ref="AH1179">AVERAGEIFS($I$2:$I2248,$B$2:$B2248,$B1179,$P$2:$P2248,"&lt;="&amp;$P1179,$P$2:$P2248,"&gt;"&amp;$P1179-7)</f>
        <v>5.6190476190476186</v>
      </c>
      <c r="AI1179" s="76">
        <f ca="1">IFERROR(__xludf.DUMMYFUNCTION("iferror(stdevp(filter($H$2:$H2250,$B$2:$B2250=$B1179,$O$2:$O2250&lt;=$O1179,$O$2:$O2250&gt;$O1179-7)),0)"),1.24721912892464)</f>
        <v>1.2472191289246399</v>
      </c>
      <c r="AJ1179" s="77">
        <f t="shared" ca="1" si="10"/>
        <v>1.1072251450657649</v>
      </c>
      <c r="AK1179" s="77">
        <f t="shared" ca="1" si="11"/>
        <v>4</v>
      </c>
      <c r="AL1179" s="76">
        <f t="array" ref="AL1179">AVERAGEIFS($J$2:$J2248,$B$2:$B2248,$B1179,$P$2:$P2248,"&lt;="&amp;$P1179,$P$2:$P2248,"&gt;"&amp;$P1179-7)</f>
        <v>7</v>
      </c>
      <c r="AM1179" s="76">
        <f ca="1">IFERROR(__xludf.DUMMYFUNCTION("iferror(stdevp(filter($I$2:$I2250,$B$2:$B2250=$B1179,$O$2:$O2250&lt;=$O1179,$O$2:$O2250&gt;$O1179-7)),0)"),0.942809041582063)</f>
        <v>0.94280904158206302</v>
      </c>
      <c r="AN1179" s="77">
        <f t="shared" ca="1" si="13"/>
        <v>-3.1819805153394651</v>
      </c>
      <c r="AO1179" s="77">
        <f t="shared" ca="1" si="14"/>
        <v>1</v>
      </c>
      <c r="AP1179" s="76">
        <f t="array" ref="AP1179">AVERAGEIFS($K$2:$K2248,$B$2:$B2248,$B1179,$P$2:$P2248,"&lt;="&amp;$P1179,$P$2:$P2248,"&gt;"&amp;$P1179-7)</f>
        <v>7.4285714285714288</v>
      </c>
      <c r="AQ1179" s="76">
        <f ca="1">IFERROR(__xludf.DUMMYFUNCTION("iferror(stdevp(filter($J$2:$J2250,$B$2:$B2250=$B1179,$O$2:$O2250&lt;=$O1179,$O$2:$O2250&gt;$O1179-7)),0)"),0.471404520791031)</f>
        <v>0.47140452079103101</v>
      </c>
      <c r="AR1179" s="77">
        <f t="shared" ca="1" si="15"/>
        <v>-0.90913729009699151</v>
      </c>
      <c r="AS1179" s="77">
        <f t="shared" ca="1" si="16"/>
        <v>2</v>
      </c>
      <c r="AT1179" s="78">
        <f t="shared" ca="1" si="12"/>
        <v>0.54166666666666663</v>
      </c>
    </row>
    <row r="1180" spans="1:46" ht="12.5" x14ac:dyDescent="0.25">
      <c r="A1180" s="75">
        <v>44970.599682384258</v>
      </c>
      <c r="B1180" s="1" t="s">
        <v>24</v>
      </c>
      <c r="C1180" s="1" t="str">
        <f>INDEX(TBL_Name,MATCH(Table2[[#This Row],[Athlete Name]],listNames,0),2)</f>
        <v>Athlete 16</v>
      </c>
      <c r="D1180" s="1" t="s">
        <v>130</v>
      </c>
      <c r="E1180" s="1">
        <v>4</v>
      </c>
      <c r="F1180" s="1">
        <v>9</v>
      </c>
      <c r="G1180" s="1">
        <v>6</v>
      </c>
      <c r="H1180" s="1" t="s">
        <v>144</v>
      </c>
      <c r="I1180" s="1">
        <v>7</v>
      </c>
      <c r="J1180" s="1">
        <v>7</v>
      </c>
      <c r="K1180" s="1">
        <v>6</v>
      </c>
      <c r="L1180" s="1">
        <v>91</v>
      </c>
      <c r="M1180" s="1" t="e">
        <f t="shared" ca="1" si="0"/>
        <v>#NAME?</v>
      </c>
      <c r="N1180" s="1" t="e">
        <f t="shared" si="1"/>
        <v>#VALUE!</v>
      </c>
      <c r="O1180" s="1" t="e">
        <f ca="1">IF($N1180=_xludf.MINIFS($N$2:$N2366,$R$2:$R2366,$R1180),1,
($N1180-_xludf.MINIFS($N$2:$N2366,$R$2:$R2366,$R1180))+1)</f>
        <v>#VALUE!</v>
      </c>
      <c r="P1180" s="13" t="e">
        <f t="shared" si="2"/>
        <v>#VALUE!</v>
      </c>
      <c r="Q1180" s="1" t="e">
        <f>RIGHT(YEAR($A1180),2)-(MONTH($A1180)&lt;=#REF!)
 &amp;"-"&amp;
 RIGHT(YEAR($A1180),2)+(MONTH($A1180)&gt;=#REF!)</f>
        <v>#REF!</v>
      </c>
      <c r="R1180" s="1" t="e">
        <f>CHOOSE(MONTH($P1180),#REF!,#REF!,#REF!,#REF!,#REF!,#REF!,#REF!,#REF!,#REF!,#REF!,#REF!,#REF!)&amp;" "&amp;$Q1180</f>
        <v>#VALUE!</v>
      </c>
      <c r="S1180" s="1">
        <f t="shared" si="3"/>
        <v>1</v>
      </c>
      <c r="T1180" s="1" t="str">
        <f t="array" ref="T1180">IFERROR(INDEX(#REF!,MATCH($B1180,#REF!,0)),"")</f>
        <v/>
      </c>
      <c r="U1180" s="1" t="str">
        <f t="array" ref="U1180">IFERROR(INDEX(#REF!,MATCH($B1180,#REF!,0)),"")</f>
        <v/>
      </c>
      <c r="V1180" s="76">
        <f t="array" ref="V1180">AVERAGEIFS($E$2:$E2248,$B$2:$B2248,$B1180,$P$2:$P2248,"&lt;="&amp;$P1180,$P$2:$P2248,"&gt;"&amp;$P1180-7)</f>
        <v>4.1818181818181817</v>
      </c>
      <c r="W1180" s="76">
        <f ca="1">IFERROR(__xludf.DUMMYFUNCTION("iferror(stdevp(filter($D$2:$D2250,$B$2:$B2250=$B1180,$O$2:$O2250&lt;=$O1180,$O$2:$O2250&gt;$O1180-7)),0)"),0.748331477354788)</f>
        <v>0.748331477354788</v>
      </c>
      <c r="X1180" s="77">
        <f t="shared" ca="1" si="4"/>
        <v>-0.24296476537493114</v>
      </c>
      <c r="Y1180" s="77">
        <f t="shared" ca="1" si="5"/>
        <v>2</v>
      </c>
      <c r="Z1180" s="76">
        <f t="array" ref="Z1180">AVERAGEIFS($F$2:$F2248,$B$2:$B2248,$B1180,$P$2:$P2248,"&lt;="&amp;$P1180,$P$2:$P2248,"&gt;"&amp;$P1180-7)</f>
        <v>6</v>
      </c>
      <c r="AA1180" s="76">
        <f ca="1">IFERROR(__xludf.DUMMYFUNCTION("iferror(stdevp(filter($E$2:$E2250,$B$2:$B2250=$B1180,$O$2:$O2250&lt;=$O1180,$O$2:$O2250&gt;$O1180-7)),0)"),1.93907194296653)</f>
        <v>1.93907194296653</v>
      </c>
      <c r="AB1180" s="77">
        <f t="shared" ca="1" si="6"/>
        <v>1.5471318693881915</v>
      </c>
      <c r="AC1180" s="77">
        <f t="shared" ca="1" si="7"/>
        <v>4</v>
      </c>
      <c r="AD1180" s="76">
        <f t="array" ref="AD1180">AVERAGEIFS($G$2:$G2248,$B$2:$B2248,$B1180,$P$2:$P2248,"&lt;="&amp;$P1180,$P$2:$P2248,"&gt;"&amp;$P1180-7)</f>
        <v>5.9090909090909092</v>
      </c>
      <c r="AE1180" s="76">
        <f ca="1">IFERROR(__xludf.DUMMYFUNCTION("iferror(stdevp(filter($F$2:$F2250,$B$2:$B2250=$B1180,$O$2:$O2250&lt;=$O1180,$O$2:$O2250&gt;$O1180-7)),0)"),0.979795897113271)</f>
        <v>0.97979589711327097</v>
      </c>
      <c r="AF1180" s="77">
        <f t="shared" ca="1" si="8"/>
        <v>9.2783702378150631E-2</v>
      </c>
      <c r="AG1180" s="77">
        <f t="shared" ca="1" si="9"/>
        <v>3</v>
      </c>
      <c r="AH1180" s="76">
        <f t="array" ref="AH1180">AVERAGEIFS($I$2:$I2248,$B$2:$B2248,$B1180,$P$2:$P2248,"&lt;="&amp;$P1180,$P$2:$P2248,"&gt;"&amp;$P1180-7)</f>
        <v>4.9545454545454541</v>
      </c>
      <c r="AI1180" s="76">
        <f ca="1">IFERROR(__xludf.DUMMYFUNCTION("iferror(stdevp(filter($H$2:$H2250,$B$2:$B2250=$B1180,$O$2:$O2250&lt;=$O1180,$O$2:$O2250&gt;$O1180-7)),0)"),1.6)</f>
        <v>1.6</v>
      </c>
      <c r="AJ1180" s="77">
        <f t="shared" ca="1" si="10"/>
        <v>1.2784090909090911</v>
      </c>
      <c r="AK1180" s="77">
        <f t="shared" ca="1" si="11"/>
        <v>4</v>
      </c>
      <c r="AL1180" s="76">
        <f t="array" ref="AL1180">AVERAGEIFS($J$2:$J2248,$B$2:$B2248,$B1180,$P$2:$P2248,"&lt;="&amp;$P1180,$P$2:$P2248,"&gt;"&amp;$P1180-7)</f>
        <v>6.9090909090909092</v>
      </c>
      <c r="AM1180" s="76">
        <f ca="1">IFERROR(__xludf.DUMMYFUNCTION("iferror(stdevp(filter($I$2:$I2250,$B$2:$B2250=$B1180,$O$2:$O2250&lt;=$O1180,$O$2:$O2250&gt;$O1180-7)),0)"),1.41421356237309)</f>
        <v>1.41421356237309</v>
      </c>
      <c r="AN1180" s="77">
        <f t="shared" ca="1" si="13"/>
        <v>6.4282434653322673E-2</v>
      </c>
      <c r="AO1180" s="77">
        <f t="shared" ca="1" si="14"/>
        <v>3</v>
      </c>
      <c r="AP1180" s="76">
        <f t="array" ref="AP1180">AVERAGEIFS($K$2:$K2248,$B$2:$B2248,$B1180,$P$2:$P2248,"&lt;="&amp;$P1180,$P$2:$P2248,"&gt;"&amp;$P1180-7)</f>
        <v>6.7272727272727275</v>
      </c>
      <c r="AQ1180" s="76">
        <f ca="1">IFERROR(__xludf.DUMMYFUNCTION("iferror(stdevp(filter($J$2:$J2250,$B$2:$B2250=$B1180,$O$2:$O2250&lt;=$O1180,$O$2:$O2250&gt;$O1180-7)),0)"),1.35646599662505)</f>
        <v>1.3564659966250501</v>
      </c>
      <c r="AR1180" s="77">
        <f t="shared" ca="1" si="15"/>
        <v>-0.53615256783599119</v>
      </c>
      <c r="AS1180" s="77">
        <f t="shared" ca="1" si="16"/>
        <v>2</v>
      </c>
      <c r="AT1180" s="78">
        <f t="shared" ca="1" si="12"/>
        <v>0.75</v>
      </c>
    </row>
    <row r="1181" spans="1:46" ht="12.5" x14ac:dyDescent="0.25">
      <c r="A1181" s="75">
        <v>44970.60235637732</v>
      </c>
      <c r="B1181" s="1" t="s">
        <v>4</v>
      </c>
      <c r="C1181" s="1" t="str">
        <f>INDEX(TBL_Name,MATCH(Table2[[#This Row],[Athlete Name]],listNames,0),2)</f>
        <v>Athlete 1</v>
      </c>
      <c r="D1181" s="1" t="s">
        <v>130</v>
      </c>
      <c r="E1181" s="1">
        <v>6</v>
      </c>
      <c r="F1181" s="1">
        <v>7</v>
      </c>
      <c r="G1181" s="1">
        <v>5</v>
      </c>
      <c r="H1181" s="1" t="s">
        <v>598</v>
      </c>
      <c r="I1181" s="1">
        <v>6</v>
      </c>
      <c r="J1181" s="1">
        <v>7</v>
      </c>
      <c r="K1181" s="1">
        <v>5</v>
      </c>
      <c r="L1181" s="1">
        <v>90</v>
      </c>
      <c r="M1181" s="1" t="e">
        <f t="shared" ca="1" si="0"/>
        <v>#NAME?</v>
      </c>
      <c r="N1181" s="1" t="e">
        <f t="shared" si="1"/>
        <v>#VALUE!</v>
      </c>
      <c r="O1181" s="1" t="e">
        <f ca="1">IF($N1181=_xludf.MINIFS($N$2:$N2367,$R$2:$R2367,$R1181),1,
($N1181-_xludf.MINIFS($N$2:$N2367,$R$2:$R2367,$R1181))+1)</f>
        <v>#VALUE!</v>
      </c>
      <c r="P1181" s="13" t="e">
        <f t="shared" si="2"/>
        <v>#VALUE!</v>
      </c>
      <c r="Q1181" s="1" t="e">
        <f>RIGHT(YEAR($A1181),2)-(MONTH($A1181)&lt;=#REF!)
 &amp;"-"&amp;
 RIGHT(YEAR($A1181),2)+(MONTH($A1181)&gt;=#REF!)</f>
        <v>#REF!</v>
      </c>
      <c r="R1181" s="1" t="e">
        <f>CHOOSE(MONTH($P1181),#REF!,#REF!,#REF!,#REF!,#REF!,#REF!,#REF!,#REF!,#REF!,#REF!,#REF!,#REF!)&amp;" "&amp;$Q1181</f>
        <v>#VALUE!</v>
      </c>
      <c r="S1181" s="1">
        <f t="shared" si="3"/>
        <v>1</v>
      </c>
      <c r="T1181" s="1" t="str">
        <f t="array" ref="T1181">IFERROR(INDEX(#REF!,MATCH($B1181,#REF!,0)),"")</f>
        <v/>
      </c>
      <c r="U1181" s="1" t="str">
        <f t="array" ref="U1181">IFERROR(INDEX(#REF!,MATCH($B1181,#REF!,0)),"")</f>
        <v/>
      </c>
      <c r="V1181" s="76">
        <f t="array" ref="V1181">AVERAGEIFS($E$2:$E2248,$B$2:$B2248,$B1181,$P$2:$P2248,"&lt;="&amp;$P1181,$P$2:$P2248,"&gt;"&amp;$P1181-7)</f>
        <v>8.3809523809523814</v>
      </c>
      <c r="W1181" s="76">
        <f ca="1">IFERROR(__xludf.DUMMYFUNCTION("iferror(stdevp(filter($D$2:$D2250,$B$2:$B2250=$B1181,$O$2:$O2250&lt;=$O1181,$O$2:$O2250&gt;$O1181-7)),0)"),1.32664991614215)</f>
        <v>1.3266499161421501</v>
      </c>
      <c r="X1181" s="77">
        <f t="shared" ca="1" si="4"/>
        <v>-1.7947103843914638</v>
      </c>
      <c r="Y1181" s="77">
        <f t="shared" ca="1" si="5"/>
        <v>1</v>
      </c>
      <c r="Z1181" s="76">
        <f t="array" ref="Z1181">AVERAGEIFS($F$2:$F2248,$B$2:$B2248,$B1181,$P$2:$P2248,"&lt;="&amp;$P1181,$P$2:$P2248,"&gt;"&amp;$P1181-7)</f>
        <v>6.8571428571428568</v>
      </c>
      <c r="AA1181" s="76">
        <f ca="1">IFERROR(__xludf.DUMMYFUNCTION("iferror(stdevp(filter($E$2:$E2250,$B$2:$B2250=$B1181,$O$2:$O2250&lt;=$O1181,$O$2:$O2250&gt;$O1181-7)),0)"),1.41421356237309)</f>
        <v>1.41421356237309</v>
      </c>
      <c r="AB1181" s="77">
        <f t="shared" ca="1" si="6"/>
        <v>0.10101525445522171</v>
      </c>
      <c r="AC1181" s="77">
        <f t="shared" ca="1" si="7"/>
        <v>3</v>
      </c>
      <c r="AD1181" s="76">
        <f t="array" ref="AD1181">AVERAGEIFS($G$2:$G2248,$B$2:$B2248,$B1181,$P$2:$P2248,"&lt;="&amp;$P1181,$P$2:$P2248,"&gt;"&amp;$P1181-7)</f>
        <v>5.7619047619047619</v>
      </c>
      <c r="AE1181" s="76">
        <f ca="1">IFERROR(__xludf.DUMMYFUNCTION("iferror(stdevp(filter($F$2:$F2250,$B$2:$B2250=$B1181,$O$2:$O2250&lt;=$O1181,$O$2:$O2250&gt;$O1181-7)),0)"),0.8)</f>
        <v>0.8</v>
      </c>
      <c r="AF1181" s="77">
        <f t="shared" ca="1" si="8"/>
        <v>-0.95238095238095233</v>
      </c>
      <c r="AG1181" s="77">
        <f t="shared" ca="1" si="9"/>
        <v>2</v>
      </c>
      <c r="AH1181" s="76">
        <f t="array" ref="AH1181">AVERAGEIFS($I$2:$I2248,$B$2:$B2248,$B1181,$P$2:$P2248,"&lt;="&amp;$P1181,$P$2:$P2248,"&gt;"&amp;$P1181-7)</f>
        <v>6.8571428571428568</v>
      </c>
      <c r="AI1181" s="76">
        <f ca="1">IFERROR(__xludf.DUMMYFUNCTION("iferror(stdevp(filter($H$2:$H2250,$B$2:$B2250=$B1181,$O$2:$O2250&lt;=$O1181,$O$2:$O2250&gt;$O1181-7)),0)"),2.4)</f>
        <v>2.4</v>
      </c>
      <c r="AJ1181" s="77">
        <f t="shared" ca="1" si="10"/>
        <v>-0.35714285714285698</v>
      </c>
      <c r="AK1181" s="77">
        <f t="shared" ca="1" si="11"/>
        <v>2</v>
      </c>
      <c r="AL1181" s="76">
        <f t="array" ref="AL1181">AVERAGEIFS($J$2:$J2248,$B$2:$B2248,$B1181,$P$2:$P2248,"&lt;="&amp;$P1181,$P$2:$P2248,"&gt;"&amp;$P1181-7)</f>
        <v>5.0952380952380949</v>
      </c>
      <c r="AM1181" s="76">
        <f ca="1">IFERROR(__xludf.DUMMYFUNCTION("iferror(stdevp(filter($I$2:$I2250,$B$2:$B2250=$B1181,$O$2:$O2250&lt;=$O1181,$O$2:$O2250&gt;$O1181-7)),0)"),0.8)</f>
        <v>0.8</v>
      </c>
      <c r="AN1181" s="77">
        <f t="shared" ca="1" si="13"/>
        <v>2.3809523809523814</v>
      </c>
      <c r="AO1181" s="77">
        <f t="shared" ca="1" si="14"/>
        <v>4</v>
      </c>
      <c r="AP1181" s="76">
        <f t="array" ref="AP1181">AVERAGEIFS($K$2:$K2248,$B$2:$B2248,$B1181,$P$2:$P2248,"&lt;="&amp;$P1181,$P$2:$P2248,"&gt;"&amp;$P1181-7)</f>
        <v>5.3809523809523814</v>
      </c>
      <c r="AQ1181" s="76">
        <f ca="1">IFERROR(__xludf.DUMMYFUNCTION("iferror(stdevp(filter($J$2:$J2250,$B$2:$B2250=$B1181,$O$2:$O2250&lt;=$O1181,$O$2:$O2250&gt;$O1181-7)),0)"),0.979795897113271)</f>
        <v>0.97979589711327097</v>
      </c>
      <c r="AR1181" s="77">
        <f t="shared" ca="1" si="15"/>
        <v>-0.38880789567987006</v>
      </c>
      <c r="AS1181" s="77">
        <f t="shared" ca="1" si="16"/>
        <v>2</v>
      </c>
      <c r="AT1181" s="78">
        <f t="shared" ca="1" si="12"/>
        <v>0.58333333333333337</v>
      </c>
    </row>
    <row r="1182" spans="1:46" ht="12.5" x14ac:dyDescent="0.25">
      <c r="A1182" s="75">
        <v>44970.782517962958</v>
      </c>
      <c r="B1182" s="1" t="s">
        <v>10</v>
      </c>
      <c r="C1182" s="1" t="str">
        <f>INDEX(TBL_Name,MATCH(Table2[[#This Row],[Athlete Name]],listNames,0),2)</f>
        <v>Athlete 5</v>
      </c>
      <c r="D1182" s="1" t="s">
        <v>130</v>
      </c>
      <c r="E1182" s="1">
        <v>5</v>
      </c>
      <c r="F1182" s="1">
        <v>6</v>
      </c>
      <c r="G1182" s="1">
        <v>6</v>
      </c>
      <c r="H1182" s="86"/>
      <c r="I1182" s="1">
        <v>10</v>
      </c>
      <c r="J1182" s="1">
        <v>8</v>
      </c>
      <c r="K1182" s="1">
        <v>8</v>
      </c>
      <c r="L1182" s="1">
        <v>68</v>
      </c>
      <c r="M1182" s="1" t="e">
        <f t="shared" ca="1" si="0"/>
        <v>#NAME?</v>
      </c>
      <c r="N1182" s="1" t="e">
        <f t="shared" si="1"/>
        <v>#VALUE!</v>
      </c>
      <c r="O1182" s="1" t="e">
        <f ca="1">IF($N1182=_xludf.MINIFS($N$2:$N2368,$R$2:$R2368,$R1182),1,
($N1182-_xludf.MINIFS($N$2:$N2368,$R$2:$R2368,$R1182))+1)</f>
        <v>#VALUE!</v>
      </c>
      <c r="P1182" s="13" t="e">
        <f t="shared" si="2"/>
        <v>#VALUE!</v>
      </c>
      <c r="Q1182" s="1" t="e">
        <f>RIGHT(YEAR($A1182),2)-(MONTH($A1182)&lt;=#REF!)
 &amp;"-"&amp;
 RIGHT(YEAR($A1182),2)+(MONTH($A1182)&gt;=#REF!)</f>
        <v>#REF!</v>
      </c>
      <c r="R1182" s="1" t="e">
        <f>CHOOSE(MONTH($P1182),#REF!,#REF!,#REF!,#REF!,#REF!,#REF!,#REF!,#REF!,#REF!,#REF!,#REF!,#REF!)&amp;" "&amp;$Q1182</f>
        <v>#VALUE!</v>
      </c>
      <c r="S1182" s="1">
        <f t="shared" si="3"/>
        <v>1</v>
      </c>
      <c r="T1182" s="1" t="str">
        <f t="array" ref="T1182">IFERROR(INDEX(#REF!,MATCH($B1182,#REF!,0)),"")</f>
        <v/>
      </c>
      <c r="U1182" s="1" t="str">
        <f t="array" ref="U1182">IFERROR(INDEX(#REF!,MATCH($B1182,#REF!,0)),"")</f>
        <v/>
      </c>
      <c r="V1182" s="76">
        <f t="array" ref="V1182">AVERAGEIFS($E$2:$E2248,$B$2:$B2248,$B1182,$P$2:$P2248,"&lt;="&amp;$P1182,$P$2:$P2248,"&gt;"&amp;$P1182-7)</f>
        <v>8.4042553191489358</v>
      </c>
      <c r="W1182" s="76">
        <f ca="1">IFERROR(__xludf.DUMMYFUNCTION("iferror(stdevp(filter($D$2:$D2250,$B$2:$B2250=$B1182,$O$2:$O2250&lt;=$O1182,$O$2:$O2250&gt;$O1182-7)),0)"),1.48461497791618)</f>
        <v>1.4846149779161799</v>
      </c>
      <c r="X1182" s="77">
        <f t="shared" ca="1" si="4"/>
        <v>-2.2930223457176635</v>
      </c>
      <c r="Y1182" s="77">
        <f t="shared" ca="1" si="5"/>
        <v>1</v>
      </c>
      <c r="Z1182" s="76">
        <f t="array" ref="Z1182">AVERAGEIFS($F$2:$F2248,$B$2:$B2248,$B1182,$P$2:$P2248,"&lt;="&amp;$P1182,$P$2:$P2248,"&gt;"&amp;$P1182-7)</f>
        <v>8.085106382978724</v>
      </c>
      <c r="AA1182" s="76">
        <f ca="1">IFERROR(__xludf.DUMMYFUNCTION("iferror(stdevp(filter($E$2:$E2250,$B$2:$B2250=$B1182,$O$2:$O2250&lt;=$O1182,$O$2:$O2250&gt;$O1182-7)),0)"),0.925820099772551)</f>
        <v>0.92582009977255098</v>
      </c>
      <c r="AB1182" s="77">
        <f t="shared" ca="1" si="6"/>
        <v>-2.2521722994467051</v>
      </c>
      <c r="AC1182" s="77">
        <f t="shared" ca="1" si="7"/>
        <v>1</v>
      </c>
      <c r="AD1182" s="76">
        <f t="array" ref="AD1182">AVERAGEIFS($G$2:$G2248,$B$2:$B2248,$B1182,$P$2:$P2248,"&lt;="&amp;$P1182,$P$2:$P2248,"&gt;"&amp;$P1182-7)</f>
        <v>8.0638297872340434</v>
      </c>
      <c r="AE1182" s="76">
        <f ca="1">IFERROR(__xludf.DUMMYFUNCTION("iferror(stdevp(filter($F$2:$F2250,$B$2:$B2250=$B1182,$O$2:$O2250&lt;=$O1182,$O$2:$O2250&gt;$O1182-7)),0)"),0.925820099772551)</f>
        <v>0.92582009977255098</v>
      </c>
      <c r="AF1182" s="77">
        <f t="shared" ca="1" si="8"/>
        <v>-2.2291909494523514</v>
      </c>
      <c r="AG1182" s="77">
        <f t="shared" ca="1" si="9"/>
        <v>1</v>
      </c>
      <c r="AH1182" s="76">
        <f t="array" ref="AH1182">AVERAGEIFS($I$2:$I2248,$B$2:$B2248,$B1182,$P$2:$P2248,"&lt;="&amp;$P1182,$P$2:$P2248,"&gt;"&amp;$P1182-7)</f>
        <v>6.7446808510638299</v>
      </c>
      <c r="AI1182" s="76">
        <f ca="1">IFERROR(__xludf.DUMMYFUNCTION("iferror(stdevp(filter($H$2:$H2250,$B$2:$B2250=$B1182,$O$2:$O2250&lt;=$O1182,$O$2:$O2250&gt;$O1182-7)),0)"),2.56347977784662)</f>
        <v>2.5634797778466201</v>
      </c>
      <c r="AJ1182" s="77">
        <f t="shared" ca="1" si="10"/>
        <v>1.2698829056770289</v>
      </c>
      <c r="AK1182" s="77">
        <f t="shared" ca="1" si="11"/>
        <v>4</v>
      </c>
      <c r="AL1182" s="76">
        <f t="array" ref="AL1182">AVERAGEIFS($J$2:$J2248,$B$2:$B2248,$B1182,$P$2:$P2248,"&lt;="&amp;$P1182,$P$2:$P2248,"&gt;"&amp;$P1182-7)</f>
        <v>8.1063829787234045</v>
      </c>
      <c r="AM1182" s="76">
        <f ca="1">IFERROR(__xludf.DUMMYFUNCTION("iferror(stdevp(filter($I$2:$I2250,$B$2:$B2250=$B1182,$O$2:$O2250&lt;=$O1182,$O$2:$O2250&gt;$O1182-7)),0)"),0.88063057185271)</f>
        <v>0.88063057185270999</v>
      </c>
      <c r="AN1182" s="77">
        <f t="shared" ca="1" si="13"/>
        <v>-0.12080318594844061</v>
      </c>
      <c r="AO1182" s="77">
        <f t="shared" ca="1" si="14"/>
        <v>2</v>
      </c>
      <c r="AP1182" s="76">
        <f t="array" ref="AP1182">AVERAGEIFS($K$2:$K2248,$B$2:$B2248,$B1182,$P$2:$P2248,"&lt;="&amp;$P1182,$P$2:$P2248,"&gt;"&amp;$P1182-7)</f>
        <v>8.2978723404255312</v>
      </c>
      <c r="AQ1182" s="76">
        <f ca="1">IFERROR(__xludf.DUMMYFUNCTION("iferror(stdevp(filter($J$2:$J2250,$B$2:$B2250=$B1182,$O$2:$O2250&lt;=$O1182,$O$2:$O2250&gt;$O1182-7)),0)"),0.832993127835043)</f>
        <v>0.83299312783504298</v>
      </c>
      <c r="AR1182" s="77">
        <f t="shared" ca="1" si="15"/>
        <v>-0.3575927945524644</v>
      </c>
      <c r="AS1182" s="77">
        <f t="shared" ca="1" si="16"/>
        <v>2</v>
      </c>
      <c r="AT1182" s="78">
        <f t="shared" ca="1" si="12"/>
        <v>0.45833333333333331</v>
      </c>
    </row>
    <row r="1183" spans="1:46" ht="12.5" x14ac:dyDescent="0.25">
      <c r="A1183" s="75">
        <v>44971.327230474533</v>
      </c>
      <c r="B1183" s="1" t="s">
        <v>29</v>
      </c>
      <c r="C1183" s="1" t="str">
        <f>INDEX(TBL_Name,MATCH(Table2[[#This Row],[Athlete Name]],listNames,0),2)</f>
        <v>Athlete 18</v>
      </c>
      <c r="D1183" s="1" t="s">
        <v>130</v>
      </c>
      <c r="E1183" s="1">
        <v>9</v>
      </c>
      <c r="F1183" s="1">
        <v>8</v>
      </c>
      <c r="G1183" s="1">
        <v>8</v>
      </c>
      <c r="H1183" s="1" t="s">
        <v>226</v>
      </c>
      <c r="I1183" s="1">
        <v>9</v>
      </c>
      <c r="J1183" s="1">
        <v>9</v>
      </c>
      <c r="K1183" s="1">
        <v>9</v>
      </c>
      <c r="L1183" s="1">
        <v>90</v>
      </c>
      <c r="M1183" s="1" t="e">
        <f t="shared" ca="1" si="0"/>
        <v>#NAME?</v>
      </c>
      <c r="N1183" s="1" t="e">
        <f t="shared" si="1"/>
        <v>#VALUE!</v>
      </c>
      <c r="O1183" s="1" t="e">
        <f ca="1">IF($N1183=_xludf.MINIFS($N$2:$N2369,$R$2:$R2369,$R1183),1,
($N1183-_xludf.MINIFS($N$2:$N2369,$R$2:$R2369,$R1183))+1)</f>
        <v>#VALUE!</v>
      </c>
      <c r="P1183" s="13" t="e">
        <f t="shared" si="2"/>
        <v>#VALUE!</v>
      </c>
      <c r="Q1183" s="1" t="e">
        <f>RIGHT(YEAR($A1183),2)-(MONTH($A1183)&lt;=#REF!)
 &amp;"-"&amp;
 RIGHT(YEAR($A1183),2)+(MONTH($A1183)&gt;=#REF!)</f>
        <v>#REF!</v>
      </c>
      <c r="R1183" s="1" t="e">
        <f>CHOOSE(MONTH($P1183),#REF!,#REF!,#REF!,#REF!,#REF!,#REF!,#REF!,#REF!,#REF!,#REF!,#REF!,#REF!)&amp;" "&amp;$Q1183</f>
        <v>#VALUE!</v>
      </c>
      <c r="S1183" s="1">
        <f t="shared" si="3"/>
        <v>1</v>
      </c>
      <c r="T1183" s="1" t="str">
        <f t="array" ref="T1183">IFERROR(INDEX(#REF!,MATCH($B1183,#REF!,0)),"")</f>
        <v/>
      </c>
      <c r="U1183" s="1" t="str">
        <f t="array" ref="U1183">IFERROR(INDEX(#REF!,MATCH($B1183,#REF!,0)),"")</f>
        <v/>
      </c>
      <c r="V1183" s="76">
        <f t="array" ref="V1183">AVERAGEIFS($E$2:$E2248,$B$2:$B2248,$B1183,$P$2:$P2248,"&lt;="&amp;$P1183,$P$2:$P2248,"&gt;"&amp;$P1183-7)</f>
        <v>8.53125</v>
      </c>
      <c r="W1183" s="76">
        <f ca="1">IFERROR(__xludf.DUMMYFUNCTION("iferror(stdevp(filter($D$2:$D2250,$B$2:$B2250=$B1183,$O$2:$O2250&lt;=$O1183,$O$2:$O2250&gt;$O1183-7)),0)"),0.372677996249964)</f>
        <v>0.37267799624996401</v>
      </c>
      <c r="X1183" s="77">
        <f t="shared" ca="1" si="4"/>
        <v>1.2577882373436349</v>
      </c>
      <c r="Y1183" s="77">
        <f t="shared" ca="1" si="5"/>
        <v>4</v>
      </c>
      <c r="Z1183" s="76">
        <f t="array" ref="Z1183">AVERAGEIFS($F$2:$F2248,$B$2:$B2248,$B1183,$P$2:$P2248,"&lt;="&amp;$P1183,$P$2:$P2248,"&gt;"&amp;$P1183-7)</f>
        <v>8.125</v>
      </c>
      <c r="AA1183" s="76">
        <f ca="1">IFERROR(__xludf.DUMMYFUNCTION("iferror(stdevp(filter($E$2:$E2250,$B$2:$B2250=$B1183,$O$2:$O2250&lt;=$O1183,$O$2:$O2250&gt;$O1183-7)),0)"),0.89752746785575)</f>
        <v>0.89752746785574999</v>
      </c>
      <c r="AB1183" s="77">
        <f t="shared" ca="1" si="6"/>
        <v>-0.13927150363278901</v>
      </c>
      <c r="AC1183" s="77">
        <f t="shared" ca="1" si="7"/>
        <v>2</v>
      </c>
      <c r="AD1183" s="76">
        <f t="array" ref="AD1183">AVERAGEIFS($G$2:$G2248,$B$2:$B2248,$B1183,$P$2:$P2248,"&lt;="&amp;$P1183,$P$2:$P2248,"&gt;"&amp;$P1183-7)</f>
        <v>8.09375</v>
      </c>
      <c r="AE1183" s="76">
        <f ca="1">IFERROR(__xludf.DUMMYFUNCTION("iferror(stdevp(filter($F$2:$F2250,$B$2:$B2250=$B1183,$O$2:$O2250&lt;=$O1183,$O$2:$O2250&gt;$O1183-7)),0)"),0.372677996249964)</f>
        <v>0.37267799624996401</v>
      </c>
      <c r="AF1183" s="77">
        <f t="shared" ca="1" si="8"/>
        <v>-0.251557647468727</v>
      </c>
      <c r="AG1183" s="77">
        <f t="shared" ca="1" si="9"/>
        <v>2</v>
      </c>
      <c r="AH1183" s="76">
        <f t="array" ref="AH1183">AVERAGEIFS($I$2:$I2248,$B$2:$B2248,$B1183,$P$2:$P2248,"&lt;="&amp;$P1183,$P$2:$P2248,"&gt;"&amp;$P1183-7)</f>
        <v>7.875</v>
      </c>
      <c r="AI1183" s="76">
        <f ca="1">IFERROR(__xludf.DUMMYFUNCTION("iferror(stdevp(filter($H$2:$H2250,$B$2:$B2250=$B1183,$O$2:$O2250&lt;=$O1183,$O$2:$O2250&gt;$O1183-7)),0)"),1.24721912892464)</f>
        <v>1.2472191289246399</v>
      </c>
      <c r="AJ1183" s="77">
        <f t="shared" ca="1" si="10"/>
        <v>0.90200669145443746</v>
      </c>
      <c r="AK1183" s="77">
        <f t="shared" ca="1" si="11"/>
        <v>3</v>
      </c>
      <c r="AL1183" s="76">
        <f t="array" ref="AL1183">AVERAGEIFS($J$2:$J2248,$B$2:$B2248,$B1183,$P$2:$P2248,"&lt;="&amp;$P1183,$P$2:$P2248,"&gt;"&amp;$P1183-7)</f>
        <v>8.34375</v>
      </c>
      <c r="AM1183" s="76">
        <f ca="1">IFERROR(__xludf.DUMMYFUNCTION("iferror(stdevp(filter($I$2:$I2250,$B$2:$B2250=$B1183,$O$2:$O2250&lt;=$O1183,$O$2:$O2250&gt;$O1183-7)),0)"),0.687184270936276)</f>
        <v>0.68718427093627599</v>
      </c>
      <c r="AN1183" s="77">
        <f t="shared" ca="1" si="13"/>
        <v>0.95498402358056211</v>
      </c>
      <c r="AO1183" s="77">
        <f t="shared" ca="1" si="14"/>
        <v>3</v>
      </c>
      <c r="AP1183" s="76">
        <f t="array" ref="AP1183">AVERAGEIFS($K$2:$K2248,$B$2:$B2248,$B1183,$P$2:$P2248,"&lt;="&amp;$P1183,$P$2:$P2248,"&gt;"&amp;$P1183-7)</f>
        <v>8.46875</v>
      </c>
      <c r="AQ1183" s="76">
        <f ca="1">IFERROR(__xludf.DUMMYFUNCTION("iferror(stdevp(filter($J$2:$J2250,$B$2:$B2250=$B1183,$O$2:$O2250&lt;=$O1183,$O$2:$O2250&gt;$O1183-7)),0)"),0.816496580927725)</f>
        <v>0.81649658092772504</v>
      </c>
      <c r="AR1183" s="77">
        <f t="shared" ca="1" si="15"/>
        <v>0.65064571292678253</v>
      </c>
      <c r="AS1183" s="77">
        <f t="shared" ca="1" si="16"/>
        <v>3</v>
      </c>
      <c r="AT1183" s="78">
        <f t="shared" ca="1" si="12"/>
        <v>0.70833333333333337</v>
      </c>
    </row>
    <row r="1184" spans="1:46" ht="12.5" x14ac:dyDescent="0.25">
      <c r="A1184" s="75">
        <v>44971.368665127316</v>
      </c>
      <c r="B1184" s="1" t="s">
        <v>21</v>
      </c>
      <c r="C1184" s="1" t="str">
        <f>INDEX(TBL_Name,MATCH(Table2[[#This Row],[Athlete Name]],listNames,0),2)</f>
        <v>Athlete 13</v>
      </c>
      <c r="D1184" s="1" t="s">
        <v>143</v>
      </c>
      <c r="E1184" s="1">
        <v>7</v>
      </c>
      <c r="F1184" s="1">
        <v>7</v>
      </c>
      <c r="G1184" s="1">
        <v>8</v>
      </c>
      <c r="H1184" s="1" t="s">
        <v>1540</v>
      </c>
      <c r="I1184" s="1">
        <v>6</v>
      </c>
      <c r="J1184" s="1">
        <v>5</v>
      </c>
      <c r="K1184" s="1">
        <v>5</v>
      </c>
      <c r="L1184" s="1">
        <v>70</v>
      </c>
      <c r="M1184" s="1" t="e">
        <f t="shared" ca="1" si="0"/>
        <v>#NAME?</v>
      </c>
      <c r="N1184" s="1" t="e">
        <f t="shared" si="1"/>
        <v>#VALUE!</v>
      </c>
      <c r="O1184" s="1" t="e">
        <f ca="1">IF($N1184=_xludf.MINIFS($N$2:$N2370,$R$2:$R2370,$R1184),1,
($N1184-_xludf.MINIFS($N$2:$N2370,$R$2:$R2370,$R1184))+1)</f>
        <v>#VALUE!</v>
      </c>
      <c r="P1184" s="13" t="e">
        <f t="shared" si="2"/>
        <v>#VALUE!</v>
      </c>
      <c r="Q1184" s="1" t="e">
        <f>RIGHT(YEAR($A1184),2)-(MONTH($A1184)&lt;=#REF!)
 &amp;"-"&amp;
 RIGHT(YEAR($A1184),2)+(MONTH($A1184)&gt;=#REF!)</f>
        <v>#REF!</v>
      </c>
      <c r="R1184" s="1" t="e">
        <f>CHOOSE(MONTH($P1184),#REF!,#REF!,#REF!,#REF!,#REF!,#REF!,#REF!,#REF!,#REF!,#REF!,#REF!,#REF!)&amp;" "&amp;$Q1184</f>
        <v>#VALUE!</v>
      </c>
      <c r="S1184" s="1">
        <f t="shared" si="3"/>
        <v>2</v>
      </c>
      <c r="T1184" s="1" t="str">
        <f t="array" ref="T1184">IFERROR(INDEX(#REF!,MATCH($B1184,#REF!,0)),"")</f>
        <v/>
      </c>
      <c r="U1184" s="1" t="str">
        <f t="array" ref="U1184">IFERROR(INDEX(#REF!,MATCH($B1184,#REF!,0)),"")</f>
        <v/>
      </c>
      <c r="V1184" s="76">
        <f t="array" ref="V1184">AVERAGEIFS($E$2:$E2248,$B$2:$B2248,$B1184,$P$2:$P2248,"&lt;="&amp;$P1184,$P$2:$P2248,"&gt;"&amp;$P1184-7)</f>
        <v>6.6304347826086953</v>
      </c>
      <c r="W1184" s="76">
        <f ca="1">IFERROR(__xludf.DUMMYFUNCTION("iferror(stdevp(filter($D$2:$D2250,$B$2:$B2250=$B1184,$O$2:$O2250&lt;=$O1184,$O$2:$O2250&gt;$O1184-7)),0)"),0.451753951452625)</f>
        <v>0.45175395145262498</v>
      </c>
      <c r="X1184" s="77">
        <f t="shared" ca="1" si="4"/>
        <v>0.81806748165225651</v>
      </c>
      <c r="Y1184" s="77">
        <f t="shared" ca="1" si="5"/>
        <v>3</v>
      </c>
      <c r="Z1184" s="76">
        <f t="array" ref="Z1184">AVERAGEIFS($F$2:$F2248,$B$2:$B2248,$B1184,$P$2:$P2248,"&lt;="&amp;$P1184,$P$2:$P2248,"&gt;"&amp;$P1184-7)</f>
        <v>7.6956521739130439</v>
      </c>
      <c r="AA1184" s="76">
        <f ca="1">IFERROR(__xludf.DUMMYFUNCTION("iferror(stdevp(filter($E$2:$E2250,$B$2:$B2250=$B1184,$O$2:$O2250&lt;=$O1184,$O$2:$O2250&gt;$O1184-7)),0)"),0.699854212223765)</f>
        <v>0.69985421222376498</v>
      </c>
      <c r="AB1184" s="77">
        <f t="shared" ca="1" si="6"/>
        <v>-0.99399583765114563</v>
      </c>
      <c r="AC1184" s="77">
        <f t="shared" ca="1" si="7"/>
        <v>2</v>
      </c>
      <c r="AD1184" s="76">
        <f t="array" ref="AD1184">AVERAGEIFS($G$2:$G2248,$B$2:$B2248,$B1184,$P$2:$P2248,"&lt;="&amp;$P1184,$P$2:$P2248,"&gt;"&amp;$P1184-7)</f>
        <v>8.2608695652173907</v>
      </c>
      <c r="AE1184" s="76">
        <f ca="1">IFERROR(__xludf.DUMMYFUNCTION("iferror(stdevp(filter($F$2:$F2250,$B$2:$B2250=$B1184,$O$2:$O2250&lt;=$O1184,$O$2:$O2250&gt;$O1184-7)),0)"),0)</f>
        <v>0</v>
      </c>
      <c r="AF1184" s="77">
        <f t="shared" ca="1" si="8"/>
        <v>0</v>
      </c>
      <c r="AG1184" s="77">
        <f t="shared" ca="1" si="9"/>
        <v>3</v>
      </c>
      <c r="AH1184" s="76">
        <f t="array" ref="AH1184">AVERAGEIFS($I$2:$I2248,$B$2:$B2248,$B1184,$P$2:$P2248,"&lt;="&amp;$P1184,$P$2:$P2248,"&gt;"&amp;$P1184-7)</f>
        <v>5.7391304347826084</v>
      </c>
      <c r="AI1184" s="76">
        <f ca="1">IFERROR(__xludf.DUMMYFUNCTION("iferror(stdevp(filter($H$2:$H2250,$B$2:$B2250=$B1184,$O$2:$O2250&lt;=$O1184,$O$2:$O2250&gt;$O1184-7)),0)"),1.03015750727542)</f>
        <v>1.0301575072754201</v>
      </c>
      <c r="AJ1184" s="77">
        <f t="shared" ca="1" si="10"/>
        <v>0.25323269827673661</v>
      </c>
      <c r="AK1184" s="77">
        <f t="shared" ca="1" si="11"/>
        <v>3</v>
      </c>
      <c r="AL1184" s="76">
        <f t="array" ref="AL1184">AVERAGEIFS($J$2:$J2248,$B$2:$B2248,$B1184,$P$2:$P2248,"&lt;="&amp;$P1184,$P$2:$P2248,"&gt;"&amp;$P1184-7)</f>
        <v>6.5434782608695654</v>
      </c>
      <c r="AM1184" s="76">
        <f ca="1">IFERROR(__xludf.DUMMYFUNCTION("iferror(stdevp(filter($I$2:$I2250,$B$2:$B2250=$B1184,$O$2:$O2250&lt;=$O1184,$O$2:$O2250&gt;$O1184-7)),0)"),0.534522483824848)</f>
        <v>0.53452248382484802</v>
      </c>
      <c r="AN1184" s="77">
        <f t="shared" ca="1" si="13"/>
        <v>-2.8875834180538069</v>
      </c>
      <c r="AO1184" s="77">
        <f t="shared" ca="1" si="14"/>
        <v>1</v>
      </c>
      <c r="AP1184" s="76">
        <f t="array" ref="AP1184">AVERAGEIFS($K$2:$K2248,$B$2:$B2248,$B1184,$P$2:$P2248,"&lt;="&amp;$P1184,$P$2:$P2248,"&gt;"&amp;$P1184-7)</f>
        <v>6.6086956521739131</v>
      </c>
      <c r="AQ1184" s="76">
        <f ca="1">IFERROR(__xludf.DUMMYFUNCTION("iferror(stdevp(filter($J$2:$J2250,$B$2:$B2250=$B1184,$O$2:$O2250&lt;=$O1184,$O$2:$O2250&gt;$O1184-7)),0)"),0.638876564999939)</f>
        <v>0.63887656499993895</v>
      </c>
      <c r="AR1184" s="77">
        <f t="shared" ca="1" si="15"/>
        <v>-2.5180069833584628</v>
      </c>
      <c r="AS1184" s="77">
        <f t="shared" ca="1" si="16"/>
        <v>1</v>
      </c>
      <c r="AT1184" s="78">
        <f t="shared" ca="1" si="12"/>
        <v>0.54166666666666663</v>
      </c>
    </row>
    <row r="1185" spans="1:46" ht="12.5" x14ac:dyDescent="0.25">
      <c r="A1185" s="75">
        <v>44971.375354155098</v>
      </c>
      <c r="B1185" s="1" t="s">
        <v>17</v>
      </c>
      <c r="C1185" s="1" t="str">
        <f>INDEX(TBL_Name,MATCH(Table2[[#This Row],[Athlete Name]],listNames,0),2)</f>
        <v>Athlete 10</v>
      </c>
      <c r="D1185" s="1" t="s">
        <v>130</v>
      </c>
      <c r="E1185" s="1">
        <v>8</v>
      </c>
      <c r="F1185" s="1">
        <v>9</v>
      </c>
      <c r="G1185" s="1">
        <v>9</v>
      </c>
      <c r="H1185" s="1" t="s">
        <v>1213</v>
      </c>
      <c r="I1185" s="1">
        <v>6</v>
      </c>
      <c r="J1185" s="1">
        <v>6</v>
      </c>
      <c r="K1185" s="1">
        <v>7</v>
      </c>
      <c r="L1185" s="1">
        <v>76</v>
      </c>
      <c r="M1185" s="1" t="e">
        <f t="shared" ca="1" si="0"/>
        <v>#NAME?</v>
      </c>
      <c r="N1185" s="1" t="e">
        <f t="shared" si="1"/>
        <v>#VALUE!</v>
      </c>
      <c r="O1185" s="1" t="e">
        <f ca="1">IF($N1185=_xludf.MINIFS($N$2:$N2371,$R$2:$R2371,$R1185),1,
($N1185-_xludf.MINIFS($N$2:$N2371,$R$2:$R2371,$R1185))+1)</f>
        <v>#VALUE!</v>
      </c>
      <c r="P1185" s="13" t="e">
        <f t="shared" si="2"/>
        <v>#VALUE!</v>
      </c>
      <c r="Q1185" s="1" t="e">
        <f>RIGHT(YEAR($A1185),2)-(MONTH($A1185)&lt;=#REF!)
 &amp;"-"&amp;
 RIGHT(YEAR($A1185),2)+(MONTH($A1185)&gt;=#REF!)</f>
        <v>#REF!</v>
      </c>
      <c r="R1185" s="1" t="e">
        <f>CHOOSE(MONTH($P1185),#REF!,#REF!,#REF!,#REF!,#REF!,#REF!,#REF!,#REF!,#REF!,#REF!,#REF!,#REF!)&amp;" "&amp;$Q1185</f>
        <v>#VALUE!</v>
      </c>
      <c r="S1185" s="1">
        <f t="shared" si="3"/>
        <v>1</v>
      </c>
      <c r="T1185" s="1" t="str">
        <f t="array" ref="T1185">IFERROR(INDEX(#REF!,MATCH($B1185,#REF!,0)),"")</f>
        <v/>
      </c>
      <c r="U1185" s="1" t="str">
        <f t="array" ref="U1185">IFERROR(INDEX(#REF!,MATCH($B1185,#REF!,0)),"")</f>
        <v/>
      </c>
      <c r="V1185" s="76">
        <f t="array" ref="V1185">AVERAGEIFS($E$2:$E2248,$B$2:$B2248,$B1185,$P$2:$P2248,"&lt;="&amp;$P1185,$P$2:$P2248,"&gt;"&amp;$P1185-7)</f>
        <v>6.9024390243902438</v>
      </c>
      <c r="W1185" s="76">
        <f ca="1">IFERROR(__xludf.DUMMYFUNCTION("iferror(stdevp(filter($D$2:$D2250,$B$2:$B2250=$B1185,$O$2:$O2250&lt;=$O1185,$O$2:$O2250&gt;$O1185-7)),0)"),1.01980390271855)</f>
        <v>1.0198039027185499</v>
      </c>
      <c r="X1185" s="77">
        <f t="shared" ca="1" si="4"/>
        <v>1.0762470830754076</v>
      </c>
      <c r="Y1185" s="77">
        <f t="shared" ca="1" si="5"/>
        <v>4</v>
      </c>
      <c r="Z1185" s="76">
        <f t="array" ref="Z1185">AVERAGEIFS($F$2:$F2248,$B$2:$B2248,$B1185,$P$2:$P2248,"&lt;="&amp;$P1185,$P$2:$P2248,"&gt;"&amp;$P1185-7)</f>
        <v>7.2926829268292686</v>
      </c>
      <c r="AA1185" s="76">
        <f ca="1">IFERROR(__xludf.DUMMYFUNCTION("iferror(stdevp(filter($E$2:$E2250,$B$2:$B2250=$B1185,$O$2:$O2250&lt;=$O1185,$O$2:$O2250&gt;$O1185-7)),0)"),1.32664991614216)</f>
        <v>1.3266499161421601</v>
      </c>
      <c r="AB1185" s="77">
        <f t="shared" ca="1" si="6"/>
        <v>1.2869386658806981</v>
      </c>
      <c r="AC1185" s="77">
        <f t="shared" ca="1" si="7"/>
        <v>4</v>
      </c>
      <c r="AD1185" s="76">
        <f t="array" ref="AD1185">AVERAGEIFS($G$2:$G2248,$B$2:$B2248,$B1185,$P$2:$P2248,"&lt;="&amp;$P1185,$P$2:$P2248,"&gt;"&amp;$P1185-7)</f>
        <v>7.8048780487804876</v>
      </c>
      <c r="AE1185" s="76">
        <f ca="1">IFERROR(__xludf.DUMMYFUNCTION("iferror(stdevp(filter($F$2:$F2250,$B$2:$B2250=$B1185,$O$2:$O2250&lt;=$O1185,$O$2:$O2250&gt;$O1185-7)),0)"),1.09544511501033)</f>
        <v>1.0954451150103299</v>
      </c>
      <c r="AF1185" s="77">
        <f t="shared" ca="1" si="8"/>
        <v>1.0909920860875284</v>
      </c>
      <c r="AG1185" s="77">
        <f t="shared" ca="1" si="9"/>
        <v>4</v>
      </c>
      <c r="AH1185" s="76">
        <f t="array" ref="AH1185">AVERAGEIFS($I$2:$I2248,$B$2:$B2248,$B1185,$P$2:$P2248,"&lt;="&amp;$P1185,$P$2:$P2248,"&gt;"&amp;$P1185-7)</f>
        <v>6.3170731707317076</v>
      </c>
      <c r="AI1185" s="76">
        <f ca="1">IFERROR(__xludf.DUMMYFUNCTION("iferror(stdevp(filter($H$2:$H2250,$B$2:$B2250=$B1185,$O$2:$O2250&lt;=$O1185,$O$2:$O2250&gt;$O1185-7)),0)"),1.62480768092719)</f>
        <v>1.6248076809271901</v>
      </c>
      <c r="AJ1185" s="77">
        <f t="shared" ca="1" si="10"/>
        <v>-0.19514504667455232</v>
      </c>
      <c r="AK1185" s="77">
        <f t="shared" ca="1" si="11"/>
        <v>2</v>
      </c>
      <c r="AL1185" s="76">
        <f t="array" ref="AL1185">AVERAGEIFS($J$2:$J2248,$B$2:$B2248,$B1185,$P$2:$P2248,"&lt;="&amp;$P1185,$P$2:$P2248,"&gt;"&amp;$P1185-7)</f>
        <v>6.9024390243902438</v>
      </c>
      <c r="AM1185" s="76">
        <f ca="1">IFERROR(__xludf.DUMMYFUNCTION("iferror(stdevp(filter($I$2:$I2250,$B$2:$B2250=$B1185,$O$2:$O2250&lt;=$O1185,$O$2:$O2250&gt;$O1185-7)),0)"),1.16619037896906)</f>
        <v>1.16619037896906</v>
      </c>
      <c r="AN1185" s="77">
        <f t="shared" ca="1" si="13"/>
        <v>-0.77383507930156425</v>
      </c>
      <c r="AO1185" s="77">
        <f t="shared" ca="1" si="14"/>
        <v>2</v>
      </c>
      <c r="AP1185" s="76">
        <f t="array" ref="AP1185">AVERAGEIFS($K$2:$K2248,$B$2:$B2248,$B1185,$P$2:$P2248,"&lt;="&amp;$P1185,$P$2:$P2248,"&gt;"&amp;$P1185-7)</f>
        <v>8</v>
      </c>
      <c r="AQ1185" s="76">
        <f ca="1">IFERROR(__xludf.DUMMYFUNCTION("iferror(stdevp(filter($J$2:$J2250,$B$2:$B2250=$B1185,$O$2:$O2250&lt;=$O1185,$O$2:$O2250&gt;$O1185-7)),0)"),0.748331477354788)</f>
        <v>0.748331477354788</v>
      </c>
      <c r="AR1185" s="77">
        <f t="shared" ca="1" si="15"/>
        <v>-1.3363062095621223</v>
      </c>
      <c r="AS1185" s="77">
        <f t="shared" ca="1" si="16"/>
        <v>1</v>
      </c>
      <c r="AT1185" s="78">
        <f t="shared" ca="1" si="12"/>
        <v>0.70833333333333337</v>
      </c>
    </row>
    <row r="1186" spans="1:46" ht="12.5" x14ac:dyDescent="0.25">
      <c r="A1186" s="75">
        <v>44971.380836550925</v>
      </c>
      <c r="B1186" s="1" t="s">
        <v>7</v>
      </c>
      <c r="C1186" s="1" t="str">
        <f>INDEX(TBL_Name,MATCH(Table2[[#This Row],[Athlete Name]],listNames,0),2)</f>
        <v>Athlete 3</v>
      </c>
      <c r="D1186" s="1" t="s">
        <v>130</v>
      </c>
      <c r="E1186" s="1">
        <v>8</v>
      </c>
      <c r="F1186" s="1">
        <v>6</v>
      </c>
      <c r="G1186" s="1">
        <v>8</v>
      </c>
      <c r="H1186" s="86"/>
      <c r="I1186" s="1">
        <v>8</v>
      </c>
      <c r="J1186" s="1">
        <v>7</v>
      </c>
      <c r="K1186" s="1">
        <v>8</v>
      </c>
      <c r="L1186" s="1">
        <v>92</v>
      </c>
      <c r="M1186" s="1" t="e">
        <f t="shared" ca="1" si="0"/>
        <v>#NAME?</v>
      </c>
      <c r="N1186" s="1" t="e">
        <f t="shared" si="1"/>
        <v>#VALUE!</v>
      </c>
      <c r="O1186" s="1" t="e">
        <f ca="1">IF($N1186=_xludf.MINIFS($N$2:$N2372,$R$2:$R2372,$R1186),1,
($N1186-_xludf.MINIFS($N$2:$N2372,$R$2:$R2372,$R1186))+1)</f>
        <v>#VALUE!</v>
      </c>
      <c r="P1186" s="13" t="e">
        <f t="shared" si="2"/>
        <v>#VALUE!</v>
      </c>
      <c r="Q1186" s="1" t="e">
        <f>RIGHT(YEAR($A1186),2)-(MONTH($A1186)&lt;=#REF!)
 &amp;"-"&amp;
 RIGHT(YEAR($A1186),2)+(MONTH($A1186)&gt;=#REF!)</f>
        <v>#REF!</v>
      </c>
      <c r="R1186" s="1" t="e">
        <f>CHOOSE(MONTH($P1186),#REF!,#REF!,#REF!,#REF!,#REF!,#REF!,#REF!,#REF!,#REF!,#REF!,#REF!,#REF!)&amp;" "&amp;$Q1186</f>
        <v>#VALUE!</v>
      </c>
      <c r="S1186" s="1">
        <f t="shared" si="3"/>
        <v>1</v>
      </c>
      <c r="T1186" s="1" t="str">
        <f t="array" ref="T1186">IFERROR(INDEX(#REF!,MATCH($B1186,#REF!,0)),"")</f>
        <v/>
      </c>
      <c r="U1186" s="1" t="str">
        <f t="array" ref="U1186">IFERROR(INDEX(#REF!,MATCH($B1186,#REF!,0)),"")</f>
        <v/>
      </c>
      <c r="V1186" s="76">
        <f t="array" ref="V1186">AVERAGEIFS($E$2:$E2248,$B$2:$B2248,$B1186,$P$2:$P2248,"&lt;="&amp;$P1186,$P$2:$P2248,"&gt;"&amp;$P1186-7)</f>
        <v>6</v>
      </c>
      <c r="W1186" s="76">
        <f ca="1">IFERROR(__xludf.DUMMYFUNCTION("iferror(stdevp(filter($D$2:$D2250,$B$2:$B2250=$B1186,$O$2:$O2250&lt;=$O1186,$O$2:$O2250&gt;$O1186-7)),0)"),1.85472369909914)</f>
        <v>1.85472369909914</v>
      </c>
      <c r="X1186" s="77">
        <f t="shared" ca="1" si="4"/>
        <v>1.0783277320343845</v>
      </c>
      <c r="Y1186" s="77">
        <f t="shared" ca="1" si="5"/>
        <v>4</v>
      </c>
      <c r="Z1186" s="76">
        <f t="array" ref="Z1186">AVERAGEIFS($F$2:$F2248,$B$2:$B2248,$B1186,$P$2:$P2248,"&lt;="&amp;$P1186,$P$2:$P2248,"&gt;"&amp;$P1186-7)</f>
        <v>7.3703703703703702</v>
      </c>
      <c r="AA1186" s="76">
        <f ca="1">IFERROR(__xludf.DUMMYFUNCTION("iferror(stdevp(filter($E$2:$E2250,$B$2:$B2250=$B1186,$O$2:$O2250&lt;=$O1186,$O$2:$O2250&gt;$O1186-7)),0)"),0.632455532033675)</f>
        <v>0.63245553203367499</v>
      </c>
      <c r="AB1186" s="77">
        <f t="shared" ca="1" si="6"/>
        <v>-2.1667458041894481</v>
      </c>
      <c r="AC1186" s="77">
        <f t="shared" ca="1" si="7"/>
        <v>1</v>
      </c>
      <c r="AD1186" s="76">
        <f t="array" ref="AD1186">AVERAGEIFS($G$2:$G2248,$B$2:$B2248,$B1186,$P$2:$P2248,"&lt;="&amp;$P1186,$P$2:$P2248,"&gt;"&amp;$P1186-7)</f>
        <v>7.7777777777777777</v>
      </c>
      <c r="AE1186" s="76">
        <f ca="1">IFERROR(__xludf.DUMMYFUNCTION("iferror(stdevp(filter($F$2:$F2250,$B$2:$B2250=$B1186,$O$2:$O2250&lt;=$O1186,$O$2:$O2250&gt;$O1186-7)),0)"),0.399999999999999)</f>
        <v>0.39999999999999902</v>
      </c>
      <c r="AF1186" s="77">
        <f t="shared" ca="1" si="8"/>
        <v>0.55555555555555713</v>
      </c>
      <c r="AG1186" s="77">
        <f t="shared" ca="1" si="9"/>
        <v>3</v>
      </c>
      <c r="AH1186" s="76">
        <f t="array" ref="AH1186">AVERAGEIFS($I$2:$I2248,$B$2:$B2248,$B1186,$P$2:$P2248,"&lt;="&amp;$P1186,$P$2:$P2248,"&gt;"&amp;$P1186-7)</f>
        <v>6.333333333333333</v>
      </c>
      <c r="AI1186" s="76">
        <f ca="1">IFERROR(__xludf.DUMMYFUNCTION("iferror(stdevp(filter($H$2:$H2250,$B$2:$B2250=$B1186,$O$2:$O2250&lt;=$O1186,$O$2:$O2250&gt;$O1186-7)),0)"),2.89827534923788)</f>
        <v>2.8982753492378799</v>
      </c>
      <c r="AJ1186" s="77">
        <f t="shared" ca="1" si="10"/>
        <v>0.57505463278529678</v>
      </c>
      <c r="AK1186" s="77">
        <f t="shared" ca="1" si="11"/>
        <v>3</v>
      </c>
      <c r="AL1186" s="76">
        <f t="array" ref="AL1186">AVERAGEIFS($J$2:$J2248,$B$2:$B2248,$B1186,$P$2:$P2248,"&lt;="&amp;$P1186,$P$2:$P2248,"&gt;"&amp;$P1186-7)</f>
        <v>5.4230769230769234</v>
      </c>
      <c r="AM1186" s="76">
        <f ca="1">IFERROR(__xludf.DUMMYFUNCTION("iferror(stdevp(filter($I$2:$I2250,$B$2:$B2250=$B1186,$O$2:$O2250&lt;=$O1186,$O$2:$O2250&gt;$O1186-7)),0)"),2.24499443206436)</f>
        <v>2.24499443206436</v>
      </c>
      <c r="AN1186" s="77">
        <f t="shared" ca="1" si="13"/>
        <v>0.70241736656470655</v>
      </c>
      <c r="AO1186" s="77">
        <f t="shared" ca="1" si="14"/>
        <v>3</v>
      </c>
      <c r="AP1186" s="76">
        <f t="array" ref="AP1186">AVERAGEIFS($K$2:$K2248,$B$2:$B2248,$B1186,$P$2:$P2248,"&lt;="&amp;$P1186,$P$2:$P2248,"&gt;"&amp;$P1186-7)</f>
        <v>7.5769230769230766</v>
      </c>
      <c r="AQ1186" s="76">
        <f ca="1">IFERROR(__xludf.DUMMYFUNCTION("iferror(stdevp(filter($J$2:$J2250,$B$2:$B2250=$B1186,$O$2:$O2250&lt;=$O1186,$O$2:$O2250&gt;$O1186-7)),0)"),0.489897948556635)</f>
        <v>0.48989794855663499</v>
      </c>
      <c r="AR1186" s="77">
        <f t="shared" ca="1" si="15"/>
        <v>0.86360215290432729</v>
      </c>
      <c r="AS1186" s="77">
        <f t="shared" ca="1" si="16"/>
        <v>3</v>
      </c>
      <c r="AT1186" s="78">
        <f t="shared" ca="1" si="12"/>
        <v>0.70833333333333337</v>
      </c>
    </row>
    <row r="1187" spans="1:46" ht="12.5" x14ac:dyDescent="0.25">
      <c r="A1187" s="75">
        <v>44971.402591574079</v>
      </c>
      <c r="B1187" s="1" t="s">
        <v>24</v>
      </c>
      <c r="C1187" s="1" t="str">
        <f>INDEX(TBL_Name,MATCH(Table2[[#This Row],[Athlete Name]],listNames,0),2)</f>
        <v>Athlete 16</v>
      </c>
      <c r="D1187" s="1" t="s">
        <v>130</v>
      </c>
      <c r="E1187" s="1">
        <v>5</v>
      </c>
      <c r="F1187" s="1">
        <v>5</v>
      </c>
      <c r="G1187" s="1">
        <v>6</v>
      </c>
      <c r="H1187" s="1" t="s">
        <v>1541</v>
      </c>
      <c r="I1187" s="1">
        <v>6</v>
      </c>
      <c r="J1187" s="1">
        <v>7</v>
      </c>
      <c r="K1187" s="1">
        <v>6</v>
      </c>
      <c r="L1187" s="1">
        <v>95</v>
      </c>
      <c r="M1187" s="1" t="e">
        <f t="shared" ca="1" si="0"/>
        <v>#NAME?</v>
      </c>
      <c r="N1187" s="1" t="e">
        <f t="shared" si="1"/>
        <v>#VALUE!</v>
      </c>
      <c r="O1187" s="1" t="e">
        <f ca="1">IF($N1187=_xludf.MINIFS($N$2:$N2373,$R$2:$R2373,$R1187),1,
($N1187-_xludf.MINIFS($N$2:$N2373,$R$2:$R2373,$R1187))+1)</f>
        <v>#VALUE!</v>
      </c>
      <c r="P1187" s="13" t="e">
        <f t="shared" si="2"/>
        <v>#VALUE!</v>
      </c>
      <c r="Q1187" s="1" t="e">
        <f>RIGHT(YEAR($A1187),2)-(MONTH($A1187)&lt;=#REF!)
 &amp;"-"&amp;
 RIGHT(YEAR($A1187),2)+(MONTH($A1187)&gt;=#REF!)</f>
        <v>#REF!</v>
      </c>
      <c r="R1187" s="1" t="e">
        <f>CHOOSE(MONTH($P1187),#REF!,#REF!,#REF!,#REF!,#REF!,#REF!,#REF!,#REF!,#REF!,#REF!,#REF!,#REF!)&amp;" "&amp;$Q1187</f>
        <v>#VALUE!</v>
      </c>
      <c r="S1187" s="1">
        <f t="shared" si="3"/>
        <v>1</v>
      </c>
      <c r="T1187" s="1" t="str">
        <f t="array" ref="T1187">IFERROR(INDEX(#REF!,MATCH($B1187,#REF!,0)),"")</f>
        <v/>
      </c>
      <c r="U1187" s="1" t="str">
        <f t="array" ref="U1187">IFERROR(INDEX(#REF!,MATCH($B1187,#REF!,0)),"")</f>
        <v/>
      </c>
      <c r="V1187" s="76">
        <f t="array" ref="V1187">AVERAGEIFS($E$2:$E2248,$B$2:$B2248,$B1187,$P$2:$P2248,"&lt;="&amp;$P1187,$P$2:$P2248,"&gt;"&amp;$P1187-7)</f>
        <v>4.1818181818181817</v>
      </c>
      <c r="W1187" s="76">
        <f ca="1">IFERROR(__xludf.DUMMYFUNCTION("iferror(stdevp(filter($D$2:$D2250,$B$2:$B2250=$B1187,$O$2:$O2250&lt;=$O1187,$O$2:$O2250&gt;$O1187-7)),0)"),0.748331477354788)</f>
        <v>0.748331477354788</v>
      </c>
      <c r="X1187" s="77">
        <f t="shared" ca="1" si="4"/>
        <v>1.0933414441871914</v>
      </c>
      <c r="Y1187" s="77">
        <f t="shared" ca="1" si="5"/>
        <v>4</v>
      </c>
      <c r="Z1187" s="76">
        <f t="array" ref="Z1187">AVERAGEIFS($F$2:$F2248,$B$2:$B2248,$B1187,$P$2:$P2248,"&lt;="&amp;$P1187,$P$2:$P2248,"&gt;"&amp;$P1187-7)</f>
        <v>6</v>
      </c>
      <c r="AA1187" s="76">
        <f ca="1">IFERROR(__xludf.DUMMYFUNCTION("iferror(stdevp(filter($E$2:$E2250,$B$2:$B2250=$B1187,$O$2:$O2250&lt;=$O1187,$O$2:$O2250&gt;$O1187-7)),0)"),2)</f>
        <v>2</v>
      </c>
      <c r="AB1187" s="77">
        <f t="shared" ca="1" si="6"/>
        <v>-0.5</v>
      </c>
      <c r="AC1187" s="77">
        <f t="shared" ca="1" si="7"/>
        <v>2</v>
      </c>
      <c r="AD1187" s="76">
        <f t="array" ref="AD1187">AVERAGEIFS($G$2:$G2248,$B$2:$B2248,$B1187,$P$2:$P2248,"&lt;="&amp;$P1187,$P$2:$P2248,"&gt;"&amp;$P1187-7)</f>
        <v>5.9090909090909092</v>
      </c>
      <c r="AE1187" s="76">
        <f ca="1">IFERROR(__xludf.DUMMYFUNCTION("iferror(stdevp(filter($F$2:$F2250,$B$2:$B2250=$B1187,$O$2:$O2250&lt;=$O1187,$O$2:$O2250&gt;$O1187-7)),0)"),0.8)</f>
        <v>0.8</v>
      </c>
      <c r="AF1187" s="77">
        <f t="shared" ca="1" si="8"/>
        <v>0.11363636363636354</v>
      </c>
      <c r="AG1187" s="77">
        <f t="shared" ca="1" si="9"/>
        <v>3</v>
      </c>
      <c r="AH1187" s="76">
        <f t="array" ref="AH1187">AVERAGEIFS($I$2:$I2248,$B$2:$B2248,$B1187,$P$2:$P2248,"&lt;="&amp;$P1187,$P$2:$P2248,"&gt;"&amp;$P1187-7)</f>
        <v>4.9545454545454541</v>
      </c>
      <c r="AI1187" s="76">
        <f ca="1">IFERROR(__xludf.DUMMYFUNCTION("iferror(stdevp(filter($H$2:$H2250,$B$2:$B2250=$B1187,$O$2:$O2250&lt;=$O1187,$O$2:$O2250&gt;$O1187-7)),0)"),1.41421356237309)</f>
        <v>1.41421356237309</v>
      </c>
      <c r="AJ1187" s="77">
        <f t="shared" ca="1" si="10"/>
        <v>0.73924799851321166</v>
      </c>
      <c r="AK1187" s="77">
        <f t="shared" ca="1" si="11"/>
        <v>3</v>
      </c>
      <c r="AL1187" s="76">
        <f t="array" ref="AL1187">AVERAGEIFS($J$2:$J2248,$B$2:$B2248,$B1187,$P$2:$P2248,"&lt;="&amp;$P1187,$P$2:$P2248,"&gt;"&amp;$P1187-7)</f>
        <v>6.9090909090909092</v>
      </c>
      <c r="AM1187" s="76">
        <f ca="1">IFERROR(__xludf.DUMMYFUNCTION("iferror(stdevp(filter($I$2:$I2250,$B$2:$B2250=$B1187,$O$2:$O2250&lt;=$O1187,$O$2:$O2250&gt;$O1187-7)),0)"),1.35646599662505)</f>
        <v>1.3564659966250501</v>
      </c>
      <c r="AN1187" s="77">
        <f t="shared" ca="1" si="13"/>
        <v>6.7019070979498815E-2</v>
      </c>
      <c r="AO1187" s="77">
        <f t="shared" ca="1" si="14"/>
        <v>3</v>
      </c>
      <c r="AP1187" s="76">
        <f t="array" ref="AP1187">AVERAGEIFS($K$2:$K2248,$B$2:$B2248,$B1187,$P$2:$P2248,"&lt;="&amp;$P1187,$P$2:$P2248,"&gt;"&amp;$P1187-7)</f>
        <v>6.7272727272727275</v>
      </c>
      <c r="AQ1187" s="76">
        <f ca="1">IFERROR(__xludf.DUMMYFUNCTION("iferror(stdevp(filter($J$2:$J2250,$B$2:$B2250=$B1187,$O$2:$O2250&lt;=$O1187,$O$2:$O2250&gt;$O1187-7)),0)"),1.16619037896906)</f>
        <v>1.16619037896906</v>
      </c>
      <c r="AR1187" s="77">
        <f t="shared" ca="1" si="15"/>
        <v>-0.62363121870003246</v>
      </c>
      <c r="AS1187" s="77">
        <f t="shared" ca="1" si="16"/>
        <v>2</v>
      </c>
      <c r="AT1187" s="78">
        <f t="shared" ca="1" si="12"/>
        <v>0.70833333333333337</v>
      </c>
    </row>
    <row r="1188" spans="1:46" ht="12.5" x14ac:dyDescent="0.25">
      <c r="A1188" s="75">
        <v>44971.436870277779</v>
      </c>
      <c r="B1188" s="1" t="s">
        <v>9</v>
      </c>
      <c r="C1188" s="1" t="str">
        <f>INDEX(TBL_Name,MATCH(Table2[[#This Row],[Athlete Name]],listNames,0),2)</f>
        <v>Athlete 4</v>
      </c>
      <c r="D1188" s="1" t="s">
        <v>130</v>
      </c>
      <c r="E1188" s="1">
        <v>8</v>
      </c>
      <c r="F1188" s="1">
        <v>7</v>
      </c>
      <c r="G1188" s="1">
        <v>7</v>
      </c>
      <c r="H1188" s="1" t="s">
        <v>1542</v>
      </c>
      <c r="I1188" s="1">
        <v>7</v>
      </c>
      <c r="J1188" s="1">
        <v>9</v>
      </c>
      <c r="K1188" s="1">
        <v>9</v>
      </c>
      <c r="L1188" s="1">
        <v>95</v>
      </c>
      <c r="M1188" s="1" t="e">
        <f t="shared" ca="1" si="0"/>
        <v>#NAME?</v>
      </c>
      <c r="N1188" s="1" t="e">
        <f t="shared" si="1"/>
        <v>#VALUE!</v>
      </c>
      <c r="O1188" s="1" t="e">
        <f ca="1">IF($N1188=_xludf.MINIFS($N$2:$N2374,$R$2:$R2374,$R1188),1,
($N1188-_xludf.MINIFS($N$2:$N2374,$R$2:$R2374,$R1188))+1)</f>
        <v>#VALUE!</v>
      </c>
      <c r="P1188" s="13" t="e">
        <f t="shared" si="2"/>
        <v>#VALUE!</v>
      </c>
      <c r="Q1188" s="1" t="e">
        <f>RIGHT(YEAR($A1188),2)-(MONTH($A1188)&lt;=#REF!)
 &amp;"-"&amp;
 RIGHT(YEAR($A1188),2)+(MONTH($A1188)&gt;=#REF!)</f>
        <v>#REF!</v>
      </c>
      <c r="R1188" s="1" t="e">
        <f>CHOOSE(MONTH($P1188),#REF!,#REF!,#REF!,#REF!,#REF!,#REF!,#REF!,#REF!,#REF!,#REF!,#REF!,#REF!)&amp;" "&amp;$Q1188</f>
        <v>#VALUE!</v>
      </c>
      <c r="S1188" s="1">
        <f t="shared" si="3"/>
        <v>1</v>
      </c>
      <c r="T1188" s="1" t="str">
        <f t="array" ref="T1188">IFERROR(INDEX(#REF!,MATCH($B1188,#REF!,0)),"")</f>
        <v/>
      </c>
      <c r="U1188" s="1" t="str">
        <f t="array" ref="U1188">IFERROR(INDEX(#REF!,MATCH($B1188,#REF!,0)),"")</f>
        <v/>
      </c>
      <c r="V1188" s="76">
        <f t="array" ref="V1188">AVERAGEIFS($E$2:$E2248,$B$2:$B2248,$B1188,$P$2:$P2248,"&lt;="&amp;$P1188,$P$2:$P2248,"&gt;"&amp;$P1188-7)</f>
        <v>7.4230769230769234</v>
      </c>
      <c r="W1188" s="76">
        <f ca="1">IFERROR(__xludf.DUMMYFUNCTION("iferror(stdevp(filter($D$2:$D2250,$B$2:$B2250=$B1188,$O$2:$O2250&lt;=$O1188,$O$2:$O2250&gt;$O1188-7)),0)"),0.433012701892219)</f>
        <v>0.43301270189221902</v>
      </c>
      <c r="X1188" s="77">
        <f t="shared" ca="1" si="4"/>
        <v>1.3323467750529829</v>
      </c>
      <c r="Y1188" s="77">
        <f t="shared" ca="1" si="5"/>
        <v>4</v>
      </c>
      <c r="Z1188" s="76">
        <f t="array" ref="Z1188">AVERAGEIFS($F$2:$F2248,$B$2:$B2248,$B1188,$P$2:$P2248,"&lt;="&amp;$P1188,$P$2:$P2248,"&gt;"&amp;$P1188-7)</f>
        <v>7.1538461538461542</v>
      </c>
      <c r="AA1188" s="76">
        <f ca="1">IFERROR(__xludf.DUMMYFUNCTION("iferror(stdevp(filter($E$2:$E2250,$B$2:$B2250=$B1188,$O$2:$O2250&lt;=$O1188,$O$2:$O2250&gt;$O1188-7)),0)"),0.433012701892219)</f>
        <v>0.43301270189221902</v>
      </c>
      <c r="AB1188" s="77">
        <f t="shared" ca="1" si="6"/>
        <v>-0.35529247334746306</v>
      </c>
      <c r="AC1188" s="77">
        <f t="shared" ca="1" si="7"/>
        <v>2</v>
      </c>
      <c r="AD1188" s="76">
        <f t="array" ref="AD1188">AVERAGEIFS($G$2:$G2248,$B$2:$B2248,$B1188,$P$2:$P2248,"&lt;="&amp;$P1188,$P$2:$P2248,"&gt;"&amp;$P1188-7)</f>
        <v>7.615384615384615</v>
      </c>
      <c r="AE1188" s="76">
        <f ca="1">IFERROR(__xludf.DUMMYFUNCTION("iferror(stdevp(filter($F$2:$F2250,$B$2:$B2250=$B1188,$O$2:$O2250&lt;=$O1188,$O$2:$O2250&gt;$O1188-7)),0)"),0.433012701892219)</f>
        <v>0.43301270189221902</v>
      </c>
      <c r="AF1188" s="77">
        <f t="shared" ca="1" si="8"/>
        <v>-1.421169893389848</v>
      </c>
      <c r="AG1188" s="77">
        <f t="shared" ca="1" si="9"/>
        <v>1</v>
      </c>
      <c r="AH1188" s="76">
        <f t="array" ref="AH1188">AVERAGEIFS($I$2:$I2248,$B$2:$B2248,$B1188,$P$2:$P2248,"&lt;="&amp;$P1188,$P$2:$P2248,"&gt;"&amp;$P1188-7)</f>
        <v>5.1923076923076925</v>
      </c>
      <c r="AI1188" s="76">
        <f ca="1">IFERROR(__xludf.DUMMYFUNCTION("iferror(stdevp(filter($H$2:$H2250,$B$2:$B2250=$B1188,$O$2:$O2250&lt;=$O1188,$O$2:$O2250&gt;$O1188-7)),0)"),1.11803398874989)</f>
        <v>1.11803398874989</v>
      </c>
      <c r="AJ1188" s="77">
        <f t="shared" ca="1" si="10"/>
        <v>1.6168491529613931</v>
      </c>
      <c r="AK1188" s="77">
        <f t="shared" ca="1" si="11"/>
        <v>4</v>
      </c>
      <c r="AL1188" s="76">
        <f t="array" ref="AL1188">AVERAGEIFS($J$2:$J2248,$B$2:$B2248,$B1188,$P$2:$P2248,"&lt;="&amp;$P1188,$P$2:$P2248,"&gt;"&amp;$P1188-7)</f>
        <v>7.6923076923076925</v>
      </c>
      <c r="AM1188" s="76">
        <f ca="1">IFERROR(__xludf.DUMMYFUNCTION("iferror(stdevp(filter($I$2:$I2250,$B$2:$B2250=$B1188,$O$2:$O2250&lt;=$O1188,$O$2:$O2250&gt;$O1188-7)),0)"),0.5)</f>
        <v>0.5</v>
      </c>
      <c r="AN1188" s="77">
        <f t="shared" ca="1" si="13"/>
        <v>2.615384615384615</v>
      </c>
      <c r="AO1188" s="77">
        <f t="shared" ca="1" si="14"/>
        <v>4</v>
      </c>
      <c r="AP1188" s="76">
        <f t="array" ref="AP1188">AVERAGEIFS($K$2:$K2248,$B$2:$B2248,$B1188,$P$2:$P2248,"&lt;="&amp;$P1188,$P$2:$P2248,"&gt;"&amp;$P1188-7)</f>
        <v>7.8461538461538458</v>
      </c>
      <c r="AQ1188" s="76">
        <f ca="1">IFERROR(__xludf.DUMMYFUNCTION("iferror(stdevp(filter($J$2:$J2250,$B$2:$B2250=$B1188,$O$2:$O2250&lt;=$O1188,$O$2:$O2250&gt;$O1188-7)),0)"),0.707106781186547)</f>
        <v>0.70710678118654702</v>
      </c>
      <c r="AR1188" s="77">
        <f t="shared" ca="1" si="15"/>
        <v>1.6317848796612651</v>
      </c>
      <c r="AS1188" s="77">
        <f t="shared" ca="1" si="16"/>
        <v>4</v>
      </c>
      <c r="AT1188" s="78">
        <f t="shared" ca="1" si="12"/>
        <v>0.79166666666666663</v>
      </c>
    </row>
    <row r="1189" spans="1:46" ht="12.5" x14ac:dyDescent="0.25">
      <c r="A1189" s="75">
        <v>44971.446505451386</v>
      </c>
      <c r="B1189" s="1" t="s">
        <v>6</v>
      </c>
      <c r="C1189" s="1" t="str">
        <f>INDEX(TBL_Name,MATCH(Table2[[#This Row],[Athlete Name]],listNames,0),2)</f>
        <v>Athlete 2</v>
      </c>
      <c r="D1189" s="1" t="s">
        <v>130</v>
      </c>
      <c r="E1189" s="1">
        <v>10</v>
      </c>
      <c r="F1189" s="1">
        <v>10</v>
      </c>
      <c r="G1189" s="1">
        <v>9</v>
      </c>
      <c r="H1189" s="1" t="s">
        <v>417</v>
      </c>
      <c r="I1189" s="1">
        <v>9</v>
      </c>
      <c r="J1189" s="1">
        <v>9</v>
      </c>
      <c r="K1189" s="1">
        <v>8</v>
      </c>
      <c r="L1189" s="1">
        <v>99</v>
      </c>
      <c r="M1189" s="1" t="e">
        <f t="shared" ca="1" si="0"/>
        <v>#NAME?</v>
      </c>
      <c r="N1189" s="1" t="e">
        <f t="shared" si="1"/>
        <v>#VALUE!</v>
      </c>
      <c r="O1189" s="1" t="e">
        <f ca="1">IF($N1189=_xludf.MINIFS($N$2:$N2375,$R$2:$R2375,$R1189),1,
($N1189-_xludf.MINIFS($N$2:$N2375,$R$2:$R2375,$R1189))+1)</f>
        <v>#VALUE!</v>
      </c>
      <c r="P1189" s="13" t="e">
        <f t="shared" si="2"/>
        <v>#VALUE!</v>
      </c>
      <c r="Q1189" s="1" t="e">
        <f>RIGHT(YEAR($A1189),2)-(MONTH($A1189)&lt;=#REF!)
 &amp;"-"&amp;
 RIGHT(YEAR($A1189),2)+(MONTH($A1189)&gt;=#REF!)</f>
        <v>#REF!</v>
      </c>
      <c r="R1189" s="1" t="e">
        <f>CHOOSE(MONTH($P1189),#REF!,#REF!,#REF!,#REF!,#REF!,#REF!,#REF!,#REF!,#REF!,#REF!,#REF!,#REF!)&amp;" "&amp;$Q1189</f>
        <v>#VALUE!</v>
      </c>
      <c r="S1189" s="1">
        <f t="shared" si="3"/>
        <v>1</v>
      </c>
      <c r="T1189" s="1" t="str">
        <f t="array" ref="T1189">IFERROR(INDEX(#REF!,MATCH($B1189,#REF!,0)),"")</f>
        <v/>
      </c>
      <c r="U1189" s="1" t="str">
        <f t="array" ref="U1189">IFERROR(INDEX(#REF!,MATCH($B1189,#REF!,0)),"")</f>
        <v/>
      </c>
      <c r="V1189" s="76">
        <f t="array" ref="V1189">AVERAGEIFS($E$2:$E2248,$B$2:$B2248,$B1189,$P$2:$P2248,"&lt;="&amp;$P1189,$P$2:$P2248,"&gt;"&amp;$P1189-7)</f>
        <v>9.7441860465116275</v>
      </c>
      <c r="W1189" s="76">
        <f ca="1">IFERROR(__xludf.DUMMYFUNCTION("iferror(stdevp(filter($D$2:$D2250,$B$2:$B2250=$B1189,$O$2:$O2250&lt;=$O1189,$O$2:$O2250&gt;$O1189-7)),0)"),0)</f>
        <v>0</v>
      </c>
      <c r="X1189" s="77">
        <f t="shared" ca="1" si="4"/>
        <v>0</v>
      </c>
      <c r="Y1189" s="77">
        <f t="shared" ca="1" si="5"/>
        <v>3</v>
      </c>
      <c r="Z1189" s="76">
        <f t="array" ref="Z1189">AVERAGEIFS($F$2:$F2248,$B$2:$B2248,$B1189,$P$2:$P2248,"&lt;="&amp;$P1189,$P$2:$P2248,"&gt;"&amp;$P1189-7)</f>
        <v>8.279069767441861</v>
      </c>
      <c r="AA1189" s="76">
        <f ca="1">IFERROR(__xludf.DUMMYFUNCTION("iferror(stdevp(filter($E$2:$E2250,$B$2:$B2250=$B1189,$O$2:$O2250&lt;=$O1189,$O$2:$O2250&gt;$O1189-7)),0)"),0.489897948556635)</f>
        <v>0.48989794855663499</v>
      </c>
      <c r="AB1189" s="77">
        <f t="shared" ca="1" si="6"/>
        <v>3.512834127247197</v>
      </c>
      <c r="AC1189" s="77">
        <f t="shared" ca="1" si="7"/>
        <v>4</v>
      </c>
      <c r="AD1189" s="76">
        <f t="array" ref="AD1189">AVERAGEIFS($G$2:$G2248,$B$2:$B2248,$B1189,$P$2:$P2248,"&lt;="&amp;$P1189,$P$2:$P2248,"&gt;"&amp;$P1189-7)</f>
        <v>8.604651162790697</v>
      </c>
      <c r="AE1189" s="76">
        <f ca="1">IFERROR(__xludf.DUMMYFUNCTION("iferror(stdevp(filter($F$2:$F2250,$B$2:$B2250=$B1189,$O$2:$O2250&lt;=$O1189,$O$2:$O2250&gt;$O1189-7)),0)"),0.748331477354788)</f>
        <v>0.748331477354788</v>
      </c>
      <c r="AF1189" s="77">
        <f t="shared" ca="1" si="8"/>
        <v>0.52830710610595633</v>
      </c>
      <c r="AG1189" s="77">
        <f t="shared" ca="1" si="9"/>
        <v>3</v>
      </c>
      <c r="AH1189" s="76">
        <f t="array" ref="AH1189">AVERAGEIFS($I$2:$I2248,$B$2:$B2248,$B1189,$P$2:$P2248,"&lt;="&amp;$P1189,$P$2:$P2248,"&gt;"&amp;$P1189-7)</f>
        <v>8.3488372093023262</v>
      </c>
      <c r="AI1189" s="76">
        <f ca="1">IFERROR(__xludf.DUMMYFUNCTION("iferror(stdevp(filter($H$2:$H2250,$B$2:$B2250=$B1189,$O$2:$O2250&lt;=$O1189,$O$2:$O2250&gt;$O1189-7)),0)"),1.16619037896906)</f>
        <v>1.16619037896906</v>
      </c>
      <c r="AJ1189" s="77">
        <f t="shared" ca="1" si="10"/>
        <v>0.55836748651049339</v>
      </c>
      <c r="AK1189" s="77">
        <f t="shared" ca="1" si="11"/>
        <v>3</v>
      </c>
      <c r="AL1189" s="76">
        <f t="array" ref="AL1189">AVERAGEIFS($J$2:$J2248,$B$2:$B2248,$B1189,$P$2:$P2248,"&lt;="&amp;$P1189,$P$2:$P2248,"&gt;"&amp;$P1189-7)</f>
        <v>8.3023255813953494</v>
      </c>
      <c r="AM1189" s="76">
        <f ca="1">IFERROR(__xludf.DUMMYFUNCTION("iferror(stdevp(filter($I$2:$I2250,$B$2:$B2250=$B1189,$O$2:$O2250&lt;=$O1189,$O$2:$O2250&gt;$O1189-7)),0)"),0.799999999999999)</f>
        <v>0.79999999999999905</v>
      </c>
      <c r="AN1189" s="77">
        <f t="shared" ca="1" si="13"/>
        <v>0.87209302325581428</v>
      </c>
      <c r="AO1189" s="77">
        <f t="shared" ca="1" si="14"/>
        <v>3</v>
      </c>
      <c r="AP1189" s="76">
        <f t="array" ref="AP1189">AVERAGEIFS($K$2:$K2248,$B$2:$B2248,$B1189,$P$2:$P2248,"&lt;="&amp;$P1189,$P$2:$P2248,"&gt;"&amp;$P1189-7)</f>
        <v>8.9069767441860463</v>
      </c>
      <c r="AQ1189" s="76">
        <f ca="1">IFERROR(__xludf.DUMMYFUNCTION("iferror(stdevp(filter($J$2:$J2250,$B$2:$B2250=$B1189,$O$2:$O2250&lt;=$O1189,$O$2:$O2250&gt;$O1189-7)),0)"),0.489897948556635)</f>
        <v>0.48989794855663499</v>
      </c>
      <c r="AR1189" s="77">
        <f t="shared" ca="1" si="15"/>
        <v>-1.8513585265221715</v>
      </c>
      <c r="AS1189" s="77">
        <f t="shared" ca="1" si="16"/>
        <v>1</v>
      </c>
      <c r="AT1189" s="78">
        <f t="shared" ca="1" si="12"/>
        <v>0.70833333333333337</v>
      </c>
    </row>
    <row r="1190" spans="1:46" ht="12.5" x14ac:dyDescent="0.25">
      <c r="A1190" s="75">
        <v>44971.461289756946</v>
      </c>
      <c r="B1190" s="1" t="s">
        <v>19</v>
      </c>
      <c r="C1190" s="1" t="str">
        <f>INDEX(TBL_Name,MATCH(Table2[[#This Row],[Athlete Name]],listNames,0),2)</f>
        <v>Athlete 11</v>
      </c>
      <c r="D1190" s="1" t="s">
        <v>130</v>
      </c>
      <c r="E1190" s="1">
        <v>4</v>
      </c>
      <c r="F1190" s="1">
        <v>7</v>
      </c>
      <c r="G1190" s="1">
        <v>7</v>
      </c>
      <c r="H1190" s="1" t="s">
        <v>1543</v>
      </c>
      <c r="I1190" s="1">
        <v>5</v>
      </c>
      <c r="J1190" s="1">
        <v>6</v>
      </c>
      <c r="K1190" s="1">
        <v>5</v>
      </c>
      <c r="L1190" s="1">
        <v>44</v>
      </c>
      <c r="M1190" s="1" t="e">
        <f t="shared" ca="1" si="0"/>
        <v>#NAME?</v>
      </c>
      <c r="N1190" s="1" t="e">
        <f t="shared" si="1"/>
        <v>#VALUE!</v>
      </c>
      <c r="O1190" s="1" t="e">
        <f ca="1">IF($N1190=_xludf.MINIFS($N$2:$N2376,$R$2:$R2376,$R1190),1,
($N1190-_xludf.MINIFS($N$2:$N2376,$R$2:$R2376,$R1190))+1)</f>
        <v>#VALUE!</v>
      </c>
      <c r="P1190" s="13" t="e">
        <f t="shared" si="2"/>
        <v>#VALUE!</v>
      </c>
      <c r="Q1190" s="1" t="e">
        <f>RIGHT(YEAR($A1190),2)-(MONTH($A1190)&lt;=#REF!)
 &amp;"-"&amp;
 RIGHT(YEAR($A1190),2)+(MONTH($A1190)&gt;=#REF!)</f>
        <v>#REF!</v>
      </c>
      <c r="R1190" s="1" t="e">
        <f>CHOOSE(MONTH($P1190),#REF!,#REF!,#REF!,#REF!,#REF!,#REF!,#REF!,#REF!,#REF!,#REF!,#REF!,#REF!)&amp;" "&amp;$Q1190</f>
        <v>#VALUE!</v>
      </c>
      <c r="S1190" s="1">
        <f t="shared" si="3"/>
        <v>1</v>
      </c>
      <c r="T1190" s="1" t="str">
        <f t="array" ref="T1190">IFERROR(INDEX(#REF!,MATCH($B1190,#REF!,0)),"")</f>
        <v/>
      </c>
      <c r="U1190" s="1" t="str">
        <f t="array" ref="U1190">IFERROR(INDEX(#REF!,MATCH($B1190,#REF!,0)),"")</f>
        <v/>
      </c>
      <c r="V1190" s="76">
        <f t="array" ref="V1190">AVERAGEIFS($E$2:$E2248,$B$2:$B2248,$B1190,$P$2:$P2248,"&lt;="&amp;$P1190,$P$2:$P2248,"&gt;"&amp;$P1190-7)</f>
        <v>4.6538461538461542</v>
      </c>
      <c r="W1190" s="76">
        <f ca="1">IFERROR(__xludf.DUMMYFUNCTION("iferror(stdevp(filter($D$2:$D2250,$B$2:$B2250=$B1190,$O$2:$O2250&lt;=$O1190,$O$2:$O2250&gt;$O1190-7)),0)"),0.979795897113271)</f>
        <v>0.97979589711327097</v>
      </c>
      <c r="X1190" s="77">
        <f t="shared" ca="1" si="4"/>
        <v>-0.66732893633516122</v>
      </c>
      <c r="Y1190" s="77">
        <f t="shared" ca="1" si="5"/>
        <v>2</v>
      </c>
      <c r="Z1190" s="76">
        <f t="array" ref="Z1190">AVERAGEIFS($F$2:$F2248,$B$2:$B2248,$B1190,$P$2:$P2248,"&lt;="&amp;$P1190,$P$2:$P2248,"&gt;"&amp;$P1190-7)</f>
        <v>6.8461538461538458</v>
      </c>
      <c r="AA1190" s="76">
        <f ca="1">IFERROR(__xludf.DUMMYFUNCTION("iferror(stdevp(filter($E$2:$E2250,$B$2:$B2250=$B1190,$O$2:$O2250&lt;=$O1190,$O$2:$O2250&gt;$O1190-7)),0)"),1.4696938456699)</f>
        <v>1.4696938456699</v>
      </c>
      <c r="AB1190" s="77">
        <f t="shared" ca="1" si="6"/>
        <v>0.10467904883688867</v>
      </c>
      <c r="AC1190" s="77">
        <f t="shared" ca="1" si="7"/>
        <v>3</v>
      </c>
      <c r="AD1190" s="76">
        <f t="array" ref="AD1190">AVERAGEIFS($G$2:$G2248,$B$2:$B2248,$B1190,$P$2:$P2248,"&lt;="&amp;$P1190,$P$2:$P2248,"&gt;"&amp;$P1190-7)</f>
        <v>7.2692307692307692</v>
      </c>
      <c r="AE1190" s="76">
        <f ca="1">IFERROR(__xludf.DUMMYFUNCTION("iferror(stdevp(filter($F$2:$F2250,$B$2:$B2250=$B1190,$O$2:$O2250&lt;=$O1190,$O$2:$O2250&gt;$O1190-7)),0)"),0.489897948556635)</f>
        <v>0.48989794855663499</v>
      </c>
      <c r="AF1190" s="77">
        <f t="shared" ca="1" si="8"/>
        <v>-0.54956500639366235</v>
      </c>
      <c r="AG1190" s="77">
        <f t="shared" ca="1" si="9"/>
        <v>2</v>
      </c>
      <c r="AH1190" s="76">
        <f t="array" ref="AH1190">AVERAGEIFS($I$2:$I2248,$B$2:$B2248,$B1190,$P$2:$P2248,"&lt;="&amp;$P1190,$P$2:$P2248,"&gt;"&amp;$P1190-7)</f>
        <v>4.9230769230769234</v>
      </c>
      <c r="AI1190" s="76">
        <f ca="1">IFERROR(__xludf.DUMMYFUNCTION("iferror(stdevp(filter($H$2:$H2250,$B$2:$B2250=$B1190,$O$2:$O2250&lt;=$O1190,$O$2:$O2250&gt;$O1190-7)),0)"),1.35646599662505)</f>
        <v>1.3564659966250501</v>
      </c>
      <c r="AJ1190" s="77">
        <f t="shared" ca="1" si="10"/>
        <v>5.6708444674960383E-2</v>
      </c>
      <c r="AK1190" s="77">
        <f t="shared" ca="1" si="11"/>
        <v>3</v>
      </c>
      <c r="AL1190" s="76">
        <f t="array" ref="AL1190">AVERAGEIFS($J$2:$J2248,$B$2:$B2248,$B1190,$P$2:$P2248,"&lt;="&amp;$P1190,$P$2:$P2248,"&gt;"&amp;$P1190-7)</f>
        <v>7.5769230769230766</v>
      </c>
      <c r="AM1190" s="76">
        <f ca="1">IFERROR(__xludf.DUMMYFUNCTION("iferror(stdevp(filter($I$2:$I2250,$B$2:$B2250=$B1190,$O$2:$O2250&lt;=$O1190,$O$2:$O2250&gt;$O1190-7)),0)"),1.32664991614216)</f>
        <v>1.3266499161421601</v>
      </c>
      <c r="AN1190" s="77">
        <f t="shared" ca="1" si="13"/>
        <v>-1.1886504930469524</v>
      </c>
      <c r="AO1190" s="77">
        <f t="shared" ca="1" si="14"/>
        <v>1</v>
      </c>
      <c r="AP1190" s="76">
        <f t="array" ref="AP1190">AVERAGEIFS($K$2:$K2248,$B$2:$B2248,$B1190,$P$2:$P2248,"&lt;="&amp;$P1190,$P$2:$P2248,"&gt;"&amp;$P1190-7)</f>
        <v>8</v>
      </c>
      <c r="AQ1190" s="76">
        <f ca="1">IFERROR(__xludf.DUMMYFUNCTION("iferror(stdevp(filter($J$2:$J2250,$B$2:$B2250=$B1190,$O$2:$O2250&lt;=$O1190,$O$2:$O2250&gt;$O1190-7)),0)"),2.0591260281974)</f>
        <v>2.0591260281974</v>
      </c>
      <c r="AR1190" s="77">
        <f t="shared" ca="1" si="15"/>
        <v>-1.4569287935358963</v>
      </c>
      <c r="AS1190" s="77">
        <f t="shared" ca="1" si="16"/>
        <v>1</v>
      </c>
      <c r="AT1190" s="78">
        <f t="shared" ca="1" si="12"/>
        <v>0.5</v>
      </c>
    </row>
    <row r="1191" spans="1:46" ht="12.5" x14ac:dyDescent="0.25">
      <c r="A1191" s="75">
        <v>44971.468338819446</v>
      </c>
      <c r="B1191" s="1" t="s">
        <v>15</v>
      </c>
      <c r="C1191" s="1" t="str">
        <f>INDEX(TBL_Name,MATCH(Table2[[#This Row],[Athlete Name]],listNames,0),2)</f>
        <v>Athlete 8</v>
      </c>
      <c r="D1191" s="1" t="s">
        <v>143</v>
      </c>
      <c r="E1191" s="1">
        <v>10</v>
      </c>
      <c r="F1191" s="1">
        <v>10</v>
      </c>
      <c r="G1191" s="1">
        <v>7</v>
      </c>
      <c r="H1191" s="1" t="s">
        <v>947</v>
      </c>
      <c r="I1191" s="1">
        <v>7</v>
      </c>
      <c r="J1191" s="1">
        <v>10</v>
      </c>
      <c r="K1191" s="1">
        <v>10</v>
      </c>
      <c r="L1191" s="1">
        <v>80</v>
      </c>
      <c r="M1191" s="1" t="e">
        <f t="shared" ca="1" si="0"/>
        <v>#NAME?</v>
      </c>
      <c r="N1191" s="1" t="e">
        <f t="shared" si="1"/>
        <v>#VALUE!</v>
      </c>
      <c r="O1191" s="1" t="e">
        <f ca="1">IF($N1191=_xludf.MINIFS($N$2:$N2377,$R$2:$R2377,$R1191),1,
($N1191-_xludf.MINIFS($N$2:$N2377,$R$2:$R2377,$R1191))+1)</f>
        <v>#VALUE!</v>
      </c>
      <c r="P1191" s="13" t="e">
        <f t="shared" si="2"/>
        <v>#VALUE!</v>
      </c>
      <c r="Q1191" s="1" t="e">
        <f>RIGHT(YEAR($A1191),2)-(MONTH($A1191)&lt;=#REF!)
 &amp;"-"&amp;
 RIGHT(YEAR($A1191),2)+(MONTH($A1191)&gt;=#REF!)</f>
        <v>#REF!</v>
      </c>
      <c r="R1191" s="1" t="e">
        <f>CHOOSE(MONTH($P1191),#REF!,#REF!,#REF!,#REF!,#REF!,#REF!,#REF!,#REF!,#REF!,#REF!,#REF!,#REF!)&amp;" "&amp;$Q1191</f>
        <v>#VALUE!</v>
      </c>
      <c r="S1191" s="1">
        <f t="shared" si="3"/>
        <v>2</v>
      </c>
      <c r="T1191" s="1" t="str">
        <f t="array" ref="T1191">IFERROR(INDEX(#REF!,MATCH($B1191,#REF!,0)),"")</f>
        <v/>
      </c>
      <c r="U1191" s="1" t="str">
        <f t="array" ref="U1191">IFERROR(INDEX(#REF!,MATCH($B1191,#REF!,0)),"")</f>
        <v/>
      </c>
      <c r="V1191" s="76">
        <f t="array" ref="V1191">AVERAGEIFS($E$2:$E2248,$B$2:$B2248,$B1191,$P$2:$P2248,"&lt;="&amp;$P1191,$P$2:$P2248,"&gt;"&amp;$P1191-7)</f>
        <v>8.935483870967742</v>
      </c>
      <c r="W1191" s="76">
        <f ca="1">IFERROR(__xludf.DUMMYFUNCTION("iferror(stdevp(filter($D$2:$D2250,$B$2:$B2250=$B1191,$O$2:$O2250&lt;=$O1191,$O$2:$O2250&gt;$O1191-7)),0)"),0)</f>
        <v>0</v>
      </c>
      <c r="X1191" s="77">
        <f t="shared" ca="1" si="4"/>
        <v>0</v>
      </c>
      <c r="Y1191" s="77">
        <f t="shared" ca="1" si="5"/>
        <v>3</v>
      </c>
      <c r="Z1191" s="76">
        <f t="array" ref="Z1191">AVERAGEIFS($F$2:$F2248,$B$2:$B2248,$B1191,$P$2:$P2248,"&lt;="&amp;$P1191,$P$2:$P2248,"&gt;"&amp;$P1191-7)</f>
        <v>8.741935483870968</v>
      </c>
      <c r="AA1191" s="76">
        <f ca="1">IFERROR(__xludf.DUMMYFUNCTION("iferror(stdevp(filter($E$2:$E2250,$B$2:$B2250=$B1191,$O$2:$O2250&lt;=$O1191,$O$2:$O2250&gt;$O1191-7)),0)"),1.2)</f>
        <v>1.2</v>
      </c>
      <c r="AB1191" s="77">
        <f t="shared" ca="1" si="6"/>
        <v>1.0483870967741935</v>
      </c>
      <c r="AC1191" s="77">
        <f t="shared" ca="1" si="7"/>
        <v>4</v>
      </c>
      <c r="AD1191" s="76">
        <f t="array" ref="AD1191">AVERAGEIFS($G$2:$G2248,$B$2:$B2248,$B1191,$P$2:$P2248,"&lt;="&amp;$P1191,$P$2:$P2248,"&gt;"&amp;$P1191-7)</f>
        <v>7.32258064516129</v>
      </c>
      <c r="AE1191" s="76">
        <f ca="1">IFERROR(__xludf.DUMMYFUNCTION("iferror(stdevp(filter($F$2:$F2250,$B$2:$B2250=$B1191,$O$2:$O2250&lt;=$O1191,$O$2:$O2250&gt;$O1191-7)),0)"),0.979795897113271)</f>
        <v>0.97979589711327097</v>
      </c>
      <c r="AF1191" s="77">
        <f t="shared" ca="1" si="8"/>
        <v>-0.32923249230956675</v>
      </c>
      <c r="AG1191" s="77">
        <f t="shared" ca="1" si="9"/>
        <v>2</v>
      </c>
      <c r="AH1191" s="76">
        <f t="array" ref="AH1191">AVERAGEIFS($I$2:$I2248,$B$2:$B2248,$B1191,$P$2:$P2248,"&lt;="&amp;$P1191,$P$2:$P2248,"&gt;"&amp;$P1191-7)</f>
        <v>6.419354838709677</v>
      </c>
      <c r="AI1191" s="76">
        <f ca="1">IFERROR(__xludf.DUMMYFUNCTION("iferror(stdevp(filter($H$2:$H2250,$B$2:$B2250=$B1191,$O$2:$O2250&lt;=$O1191,$O$2:$O2250&gt;$O1191-7)),0)"),1.16619037896906)</f>
        <v>1.16619037896906</v>
      </c>
      <c r="AJ1191" s="77">
        <f t="shared" ca="1" si="10"/>
        <v>0.49789911815567117</v>
      </c>
      <c r="AK1191" s="77">
        <f t="shared" ca="1" si="11"/>
        <v>3</v>
      </c>
      <c r="AL1191" s="76">
        <f t="array" ref="AL1191">AVERAGEIFS($J$2:$J2248,$B$2:$B2248,$B1191,$P$2:$P2248,"&lt;="&amp;$P1191,$P$2:$P2248,"&gt;"&amp;$P1191-7)</f>
        <v>9.612903225806452</v>
      </c>
      <c r="AM1191" s="76">
        <f ca="1">IFERROR(__xludf.DUMMYFUNCTION("iferror(stdevp(filter($I$2:$I2250,$B$2:$B2250=$B1191,$O$2:$O2250&lt;=$O1191,$O$2:$O2250&gt;$O1191-7)),0)"),0)</f>
        <v>0</v>
      </c>
      <c r="AN1191" s="77">
        <f t="shared" ca="1" si="13"/>
        <v>0</v>
      </c>
      <c r="AO1191" s="77">
        <f t="shared" ca="1" si="14"/>
        <v>3</v>
      </c>
      <c r="AP1191" s="76">
        <f t="array" ref="AP1191">AVERAGEIFS($K$2:$K2248,$B$2:$B2248,$B1191,$P$2:$P2248,"&lt;="&amp;$P1191,$P$2:$P2248,"&gt;"&amp;$P1191-7)</f>
        <v>10</v>
      </c>
      <c r="AQ1191" s="76">
        <f ca="1">IFERROR(__xludf.DUMMYFUNCTION("iferror(stdevp(filter($J$2:$J2250,$B$2:$B2250=$B1191,$O$2:$O2250&lt;=$O1191,$O$2:$O2250&gt;$O1191-7)),0)"),0)</f>
        <v>0</v>
      </c>
      <c r="AR1191" s="77">
        <f t="shared" ca="1" si="15"/>
        <v>0</v>
      </c>
      <c r="AS1191" s="77">
        <f t="shared" ca="1" si="16"/>
        <v>3</v>
      </c>
      <c r="AT1191" s="78">
        <f t="shared" ca="1" si="12"/>
        <v>0.75</v>
      </c>
    </row>
    <row r="1192" spans="1:46" ht="12.5" x14ac:dyDescent="0.25">
      <c r="A1192" s="75">
        <v>44971.486750381941</v>
      </c>
      <c r="B1192" s="1" t="s">
        <v>16</v>
      </c>
      <c r="C1192" s="1" t="str">
        <f>INDEX(TBL_Name,MATCH(Table2[[#This Row],[Athlete Name]],listNames,0),2)</f>
        <v>Athlete 9</v>
      </c>
      <c r="D1192" s="1" t="s">
        <v>130</v>
      </c>
      <c r="E1192" s="1">
        <v>9</v>
      </c>
      <c r="F1192" s="1">
        <v>7</v>
      </c>
      <c r="G1192" s="1">
        <v>7</v>
      </c>
      <c r="H1192" s="1" t="s">
        <v>1506</v>
      </c>
      <c r="I1192" s="1">
        <v>6</v>
      </c>
      <c r="J1192" s="1">
        <v>7</v>
      </c>
      <c r="K1192" s="1">
        <v>8</v>
      </c>
      <c r="L1192" s="1">
        <v>85</v>
      </c>
      <c r="M1192" s="1" t="e">
        <f t="shared" ca="1" si="0"/>
        <v>#NAME?</v>
      </c>
      <c r="N1192" s="1" t="e">
        <f t="shared" si="1"/>
        <v>#VALUE!</v>
      </c>
      <c r="O1192" s="1" t="e">
        <f ca="1">IF($N1192=_xludf.MINIFS($N$2:$N2378,$R$2:$R2378,$R1192),1,
($N1192-_xludf.MINIFS($N$2:$N2378,$R$2:$R2378,$R1192))+1)</f>
        <v>#VALUE!</v>
      </c>
      <c r="P1192" s="13" t="e">
        <f t="shared" si="2"/>
        <v>#VALUE!</v>
      </c>
      <c r="Q1192" s="1" t="e">
        <f>RIGHT(YEAR($A1192),2)-(MONTH($A1192)&lt;=#REF!)
 &amp;"-"&amp;
 RIGHT(YEAR($A1192),2)+(MONTH($A1192)&gt;=#REF!)</f>
        <v>#REF!</v>
      </c>
      <c r="R1192" s="1" t="e">
        <f>CHOOSE(MONTH($P1192),#REF!,#REF!,#REF!,#REF!,#REF!,#REF!,#REF!,#REF!,#REF!,#REF!,#REF!,#REF!)&amp;" "&amp;$Q1192</f>
        <v>#VALUE!</v>
      </c>
      <c r="S1192" s="1">
        <f t="shared" si="3"/>
        <v>1</v>
      </c>
      <c r="T1192" s="1" t="str">
        <f t="array" ref="T1192">IFERROR(INDEX(#REF!,MATCH($B1192,#REF!,0)),"")</f>
        <v/>
      </c>
      <c r="U1192" s="1" t="str">
        <f t="array" ref="U1192">IFERROR(INDEX(#REF!,MATCH($B1192,#REF!,0)),"")</f>
        <v/>
      </c>
      <c r="V1192" s="76">
        <f t="array" ref="V1192">AVERAGEIFS($E$2:$E2248,$B$2:$B2248,$B1192,$P$2:$P2248,"&lt;="&amp;$P1192,$P$2:$P2248,"&gt;"&amp;$P1192-7)</f>
        <v>8.9600000000000009</v>
      </c>
      <c r="W1192" s="76">
        <f ca="1">IFERROR(__xludf.DUMMYFUNCTION("iferror(stdevp(filter($D$2:$D2250,$B$2:$B2250=$B1192,$O$2:$O2250&lt;=$O1192,$O$2:$O2250&gt;$O1192-7)),0)"),0)</f>
        <v>0</v>
      </c>
      <c r="X1192" s="77">
        <f t="shared" ca="1" si="4"/>
        <v>0</v>
      </c>
      <c r="Y1192" s="77">
        <f t="shared" ca="1" si="5"/>
        <v>3</v>
      </c>
      <c r="Z1192" s="76">
        <f t="array" ref="Z1192">AVERAGEIFS($F$2:$F2248,$B$2:$B2248,$B1192,$P$2:$P2248,"&lt;="&amp;$P1192,$P$2:$P2248,"&gt;"&amp;$P1192-7)</f>
        <v>7.48</v>
      </c>
      <c r="AA1192" s="76">
        <f ca="1">IFERROR(__xludf.DUMMYFUNCTION("iferror(stdevp(filter($E$2:$E2250,$B$2:$B2250=$B1192,$O$2:$O2250&lt;=$O1192,$O$2:$O2250&gt;$O1192-7)),0)"),0.471404520791031)</f>
        <v>0.47140452079103101</v>
      </c>
      <c r="AB1192" s="77">
        <f t="shared" ca="1" si="6"/>
        <v>-1.0182337649086308</v>
      </c>
      <c r="AC1192" s="77">
        <f t="shared" ca="1" si="7"/>
        <v>1</v>
      </c>
      <c r="AD1192" s="76">
        <f t="array" ref="AD1192">AVERAGEIFS($G$2:$G2248,$B$2:$B2248,$B1192,$P$2:$P2248,"&lt;="&amp;$P1192,$P$2:$P2248,"&gt;"&amp;$P1192-7)</f>
        <v>7.56</v>
      </c>
      <c r="AE1192" s="76">
        <f ca="1">IFERROR(__xludf.DUMMYFUNCTION("iferror(stdevp(filter($F$2:$F2250,$B$2:$B2250=$B1192,$O$2:$O2250&lt;=$O1192,$O$2:$O2250&gt;$O1192-7)),0)"),0.471404520791031)</f>
        <v>0.47140452079103101</v>
      </c>
      <c r="AF1192" s="77">
        <f t="shared" ca="1" si="8"/>
        <v>-1.1879393923934007</v>
      </c>
      <c r="AG1192" s="77">
        <f t="shared" ca="1" si="9"/>
        <v>1</v>
      </c>
      <c r="AH1192" s="76">
        <f t="array" ref="AH1192">AVERAGEIFS($I$2:$I2248,$B$2:$B2248,$B1192,$P$2:$P2248,"&lt;="&amp;$P1192,$P$2:$P2248,"&gt;"&amp;$P1192-7)</f>
        <v>5.8</v>
      </c>
      <c r="AI1192" s="76">
        <f ca="1">IFERROR(__xludf.DUMMYFUNCTION("iferror(stdevp(filter($H$2:$H2250,$B$2:$B2250=$B1192,$O$2:$O2250&lt;=$O1192,$O$2:$O2250&gt;$O1192-7)),0)"),0.816496580927726)</f>
        <v>0.81649658092772603</v>
      </c>
      <c r="AJ1192" s="77">
        <f t="shared" ca="1" si="10"/>
        <v>0.24494897427831802</v>
      </c>
      <c r="AK1192" s="77">
        <f t="shared" ca="1" si="11"/>
        <v>3</v>
      </c>
      <c r="AL1192" s="76">
        <f t="array" ref="AL1192">AVERAGEIFS($J$2:$J2248,$B$2:$B2248,$B1192,$P$2:$P2248,"&lt;="&amp;$P1192,$P$2:$P2248,"&gt;"&amp;$P1192-7)</f>
        <v>7.8</v>
      </c>
      <c r="AM1192" s="76">
        <f ca="1">IFERROR(__xludf.DUMMYFUNCTION("iferror(stdevp(filter($I$2:$I2250,$B$2:$B2250=$B1192,$O$2:$O2250&lt;=$O1192,$O$2:$O2250&gt;$O1192-7)),0)"),0.471404520791031)</f>
        <v>0.47140452079103101</v>
      </c>
      <c r="AN1192" s="77">
        <f t="shared" ca="1" si="13"/>
        <v>-1.697056274847716</v>
      </c>
      <c r="AO1192" s="77">
        <f t="shared" ca="1" si="14"/>
        <v>1</v>
      </c>
      <c r="AP1192" s="76">
        <f t="array" ref="AP1192">AVERAGEIFS($K$2:$K2248,$B$2:$B2248,$B1192,$P$2:$P2248,"&lt;="&amp;$P1192,$P$2:$P2248,"&gt;"&amp;$P1192-7)</f>
        <v>8.6</v>
      </c>
      <c r="AQ1192" s="76">
        <f ca="1">IFERROR(__xludf.DUMMYFUNCTION("iferror(stdevp(filter($J$2:$J2250,$B$2:$B2250=$B1192,$O$2:$O2250&lt;=$O1192,$O$2:$O2250&gt;$O1192-7)),0)"),0.942809041582063)</f>
        <v>0.94280904158206302</v>
      </c>
      <c r="AR1192" s="77">
        <f t="shared" ca="1" si="15"/>
        <v>-0.63639610306789263</v>
      </c>
      <c r="AS1192" s="77">
        <f t="shared" ca="1" si="16"/>
        <v>2</v>
      </c>
      <c r="AT1192" s="78">
        <f t="shared" ca="1" si="12"/>
        <v>0.45833333333333331</v>
      </c>
    </row>
    <row r="1193" spans="1:46" ht="12.5" x14ac:dyDescent="0.25">
      <c r="A1193" s="75">
        <v>44971.490778333333</v>
      </c>
      <c r="B1193" s="1" t="s">
        <v>10</v>
      </c>
      <c r="C1193" s="1" t="str">
        <f>INDEX(TBL_Name,MATCH(Table2[[#This Row],[Athlete Name]],listNames,0),2)</f>
        <v>Athlete 5</v>
      </c>
      <c r="D1193" s="1" t="s">
        <v>130</v>
      </c>
      <c r="E1193" s="1">
        <v>6</v>
      </c>
      <c r="F1193" s="1">
        <v>7</v>
      </c>
      <c r="G1193" s="1">
        <v>7</v>
      </c>
      <c r="H1193" s="1" t="s">
        <v>69</v>
      </c>
      <c r="I1193" s="1">
        <v>9</v>
      </c>
      <c r="J1193" s="1">
        <v>9</v>
      </c>
      <c r="K1193" s="1">
        <v>8</v>
      </c>
      <c r="L1193" s="1">
        <v>74</v>
      </c>
      <c r="M1193" s="1" t="e">
        <f t="shared" ca="1" si="0"/>
        <v>#NAME?</v>
      </c>
      <c r="N1193" s="1" t="e">
        <f t="shared" si="1"/>
        <v>#VALUE!</v>
      </c>
      <c r="O1193" s="1" t="e">
        <f ca="1">IF($N1193=_xludf.MINIFS($N$2:$N2379,$R$2:$R2379,$R1193),1,
($N1193-_xludf.MINIFS($N$2:$N2379,$R$2:$R2379,$R1193))+1)</f>
        <v>#VALUE!</v>
      </c>
      <c r="P1193" s="13" t="e">
        <f t="shared" si="2"/>
        <v>#VALUE!</v>
      </c>
      <c r="Q1193" s="1" t="e">
        <f>RIGHT(YEAR($A1193),2)-(MONTH($A1193)&lt;=#REF!)
 &amp;"-"&amp;
 RIGHT(YEAR($A1193),2)+(MONTH($A1193)&gt;=#REF!)</f>
        <v>#REF!</v>
      </c>
      <c r="R1193" s="1" t="e">
        <f>CHOOSE(MONTH($P1193),#REF!,#REF!,#REF!,#REF!,#REF!,#REF!,#REF!,#REF!,#REF!,#REF!,#REF!,#REF!)&amp;" "&amp;$Q1193</f>
        <v>#VALUE!</v>
      </c>
      <c r="S1193" s="1">
        <f t="shared" si="3"/>
        <v>1</v>
      </c>
      <c r="T1193" s="1" t="str">
        <f t="array" ref="T1193">IFERROR(INDEX(#REF!,MATCH($B1193,#REF!,0)),"")</f>
        <v/>
      </c>
      <c r="U1193" s="1" t="str">
        <f t="array" ref="U1193">IFERROR(INDEX(#REF!,MATCH($B1193,#REF!,0)),"")</f>
        <v/>
      </c>
      <c r="V1193" s="76">
        <f t="array" ref="V1193">AVERAGEIFS($E$2:$E2248,$B$2:$B2248,$B1193,$P$2:$P2248,"&lt;="&amp;$P1193,$P$2:$P2248,"&gt;"&amp;$P1193-7)</f>
        <v>8.4042553191489358</v>
      </c>
      <c r="W1193" s="76">
        <f ca="1">IFERROR(__xludf.DUMMYFUNCTION("iferror(stdevp(filter($D$2:$D2250,$B$2:$B2250=$B1193,$O$2:$O2250&lt;=$O1193,$O$2:$O2250&gt;$O1193-7)),0)"),1.48461497791618)</f>
        <v>1.4846149779161799</v>
      </c>
      <c r="X1193" s="77">
        <f t="shared" ca="1" si="4"/>
        <v>-1.6194470316630996</v>
      </c>
      <c r="Y1193" s="77">
        <f t="shared" ca="1" si="5"/>
        <v>1</v>
      </c>
      <c r="Z1193" s="76">
        <f t="array" ref="Z1193">AVERAGEIFS($F$2:$F2248,$B$2:$B2248,$B1193,$P$2:$P2248,"&lt;="&amp;$P1193,$P$2:$P2248,"&gt;"&amp;$P1193-7)</f>
        <v>8.085106382978724</v>
      </c>
      <c r="AA1193" s="76">
        <f ca="1">IFERROR(__xludf.DUMMYFUNCTION("iferror(stdevp(filter($E$2:$E2250,$B$2:$B2250=$B1193,$O$2:$O2250&lt;=$O1193,$O$2:$O2250&gt;$O1193-7)),0)"),0.989743318610787)</f>
        <v>0.98974331861078702</v>
      </c>
      <c r="AB1193" s="77">
        <f t="shared" ca="1" si="6"/>
        <v>-1.096351309046258</v>
      </c>
      <c r="AC1193" s="77">
        <f t="shared" ca="1" si="7"/>
        <v>1</v>
      </c>
      <c r="AD1193" s="76">
        <f t="array" ref="AD1193">AVERAGEIFS($G$2:$G2248,$B$2:$B2248,$B1193,$P$2:$P2248,"&lt;="&amp;$P1193,$P$2:$P2248,"&gt;"&amp;$P1193-7)</f>
        <v>8.0638297872340434</v>
      </c>
      <c r="AE1193" s="76">
        <f ca="1">IFERROR(__xludf.DUMMYFUNCTION("iferror(stdevp(filter($F$2:$F2250,$B$2:$B2250=$B1193,$O$2:$O2250&lt;=$O1193,$O$2:$O2250&gt;$O1193-7)),0)"),0.989743318610787)</f>
        <v>0.98974331861078702</v>
      </c>
      <c r="AF1193" s="77">
        <f t="shared" ca="1" si="8"/>
        <v>-1.0748542245551553</v>
      </c>
      <c r="AG1193" s="77">
        <f t="shared" ca="1" si="9"/>
        <v>1</v>
      </c>
      <c r="AH1193" s="76">
        <f t="array" ref="AH1193">AVERAGEIFS($I$2:$I2248,$B$2:$B2248,$B1193,$P$2:$P2248,"&lt;="&amp;$P1193,$P$2:$P2248,"&gt;"&amp;$P1193-7)</f>
        <v>6.7446808510638299</v>
      </c>
      <c r="AI1193" s="76">
        <f ca="1">IFERROR(__xludf.DUMMYFUNCTION("iferror(stdevp(filter($H$2:$H2250,$B$2:$B2250=$B1193,$O$2:$O2250&lt;=$O1193,$O$2:$O2250&gt;$O1193-7)),0)"),2.6954231805876)</f>
        <v>2.6954231805875999</v>
      </c>
      <c r="AJ1193" s="77">
        <f t="shared" ca="1" si="10"/>
        <v>0.83672173081353129</v>
      </c>
      <c r="AK1193" s="77">
        <f t="shared" ca="1" si="11"/>
        <v>3</v>
      </c>
      <c r="AL1193" s="76">
        <f t="array" ref="AL1193">AVERAGEIFS($J$2:$J2248,$B$2:$B2248,$B1193,$P$2:$P2248,"&lt;="&amp;$P1193,$P$2:$P2248,"&gt;"&amp;$P1193-7)</f>
        <v>8.1063829787234045</v>
      </c>
      <c r="AM1193" s="76">
        <f ca="1">IFERROR(__xludf.DUMMYFUNCTION("iferror(stdevp(filter($I$2:$I2250,$B$2:$B2250=$B1193,$O$2:$O2250&lt;=$O1193,$O$2:$O2250&gt;$O1193-7)),0)"),1.04978131833564)</f>
        <v>1.0497813183356399</v>
      </c>
      <c r="AN1193" s="77">
        <f t="shared" ca="1" si="13"/>
        <v>0.85124111628635879</v>
      </c>
      <c r="AO1193" s="77">
        <f t="shared" ca="1" si="14"/>
        <v>3</v>
      </c>
      <c r="AP1193" s="76">
        <f t="array" ref="AP1193">AVERAGEIFS($K$2:$K2248,$B$2:$B2248,$B1193,$P$2:$P2248,"&lt;="&amp;$P1193,$P$2:$P2248,"&gt;"&amp;$P1193-7)</f>
        <v>8.2978723404255312</v>
      </c>
      <c r="AQ1193" s="76">
        <f ca="1">IFERROR(__xludf.DUMMYFUNCTION("iferror(stdevp(filter($J$2:$J2250,$B$2:$B2250=$B1193,$O$2:$O2250&lt;=$O1193,$O$2:$O2250&gt;$O1193-7)),0)"),0.755928946018454)</f>
        <v>0.75592894601845395</v>
      </c>
      <c r="AR1193" s="77">
        <f t="shared" ca="1" si="15"/>
        <v>-0.39404806760536393</v>
      </c>
      <c r="AS1193" s="77">
        <f t="shared" ca="1" si="16"/>
        <v>2</v>
      </c>
      <c r="AT1193" s="78">
        <f t="shared" ca="1" si="12"/>
        <v>0.45833333333333331</v>
      </c>
    </row>
    <row r="1194" spans="1:46" ht="12.5" x14ac:dyDescent="0.25">
      <c r="A1194" s="75">
        <v>44971.49416858796</v>
      </c>
      <c r="B1194" s="1" t="s">
        <v>13</v>
      </c>
      <c r="C1194" s="1" t="str">
        <f>INDEX(TBL_Name,MATCH(Table2[[#This Row],[Athlete Name]],listNames,0),2)</f>
        <v>Athlete 7</v>
      </c>
      <c r="D1194" s="1" t="s">
        <v>130</v>
      </c>
      <c r="E1194" s="1">
        <v>9</v>
      </c>
      <c r="F1194" s="1">
        <v>8</v>
      </c>
      <c r="G1194" s="1">
        <v>7</v>
      </c>
      <c r="H1194" s="1" t="s">
        <v>226</v>
      </c>
      <c r="I1194" s="1">
        <v>9</v>
      </c>
      <c r="J1194" s="1">
        <v>10</v>
      </c>
      <c r="K1194" s="1">
        <v>10</v>
      </c>
      <c r="L1194" s="1">
        <v>70</v>
      </c>
      <c r="M1194" s="1" t="e">
        <f t="shared" ca="1" si="0"/>
        <v>#NAME?</v>
      </c>
      <c r="N1194" s="1" t="e">
        <f t="shared" si="1"/>
        <v>#VALUE!</v>
      </c>
      <c r="O1194" s="1" t="e">
        <f ca="1">IF($N1194=_xludf.MINIFS($N$2:$N2380,$R$2:$R2380,$R1194),1,
($N1194-_xludf.MINIFS($N$2:$N2380,$R$2:$R2380,$R1194))+1)</f>
        <v>#VALUE!</v>
      </c>
      <c r="P1194" s="13" t="e">
        <f t="shared" si="2"/>
        <v>#VALUE!</v>
      </c>
      <c r="Q1194" s="1" t="e">
        <f>RIGHT(YEAR($A1194),2)-(MONTH($A1194)&lt;=#REF!)
 &amp;"-"&amp;
 RIGHT(YEAR($A1194),2)+(MONTH($A1194)&gt;=#REF!)</f>
        <v>#REF!</v>
      </c>
      <c r="R1194" s="1" t="e">
        <f>CHOOSE(MONTH($P1194),#REF!,#REF!,#REF!,#REF!,#REF!,#REF!,#REF!,#REF!,#REF!,#REF!,#REF!,#REF!)&amp;" "&amp;$Q1194</f>
        <v>#VALUE!</v>
      </c>
      <c r="S1194" s="1">
        <f t="shared" si="3"/>
        <v>1</v>
      </c>
      <c r="T1194" s="1" t="str">
        <f t="array" ref="T1194">IFERROR(INDEX(#REF!,MATCH($B1194,#REF!,0)),"")</f>
        <v/>
      </c>
      <c r="U1194" s="1" t="str">
        <f t="array" ref="U1194">IFERROR(INDEX(#REF!,MATCH($B1194,#REF!,0)),"")</f>
        <v/>
      </c>
      <c r="V1194" s="76">
        <f t="array" ref="V1194">AVERAGEIFS($E$2:$E2248,$B$2:$B2248,$B1194,$P$2:$P2248,"&lt;="&amp;$P1194,$P$2:$P2248,"&gt;"&amp;$P1194-7)</f>
        <v>7.6857142857142859</v>
      </c>
      <c r="W1194" s="76">
        <f ca="1">IFERROR(__xludf.DUMMYFUNCTION("iferror(stdevp(filter($D$2:$D2250,$B$2:$B2250=$B1194,$O$2:$O2250&lt;=$O1194,$O$2:$O2250&gt;$O1194-7)),0)"),0.748331477354788)</f>
        <v>0.748331477354788</v>
      </c>
      <c r="X1194" s="77">
        <f t="shared" ca="1" si="4"/>
        <v>1.7562881611387891</v>
      </c>
      <c r="Y1194" s="77">
        <f t="shared" ca="1" si="5"/>
        <v>4</v>
      </c>
      <c r="Z1194" s="76">
        <f t="array" ref="Z1194">AVERAGEIFS($F$2:$F2248,$B$2:$B2248,$B1194,$P$2:$P2248,"&lt;="&amp;$P1194,$P$2:$P2248,"&gt;"&amp;$P1194-7)</f>
        <v>7.0857142857142854</v>
      </c>
      <c r="AA1194" s="76">
        <f ca="1">IFERROR(__xludf.DUMMYFUNCTION("iferror(stdevp(filter($E$2:$E2250,$B$2:$B2250=$B1194,$O$2:$O2250&lt;=$O1194,$O$2:$O2250&gt;$O1194-7)),0)"),0.748331477354788)</f>
        <v>0.748331477354788</v>
      </c>
      <c r="AB1194" s="77">
        <f t="shared" ca="1" si="6"/>
        <v>1.2217656773139409</v>
      </c>
      <c r="AC1194" s="77">
        <f t="shared" ca="1" si="7"/>
        <v>4</v>
      </c>
      <c r="AD1194" s="76">
        <f t="array" ref="AD1194">AVERAGEIFS($G$2:$G2248,$B$2:$B2248,$B1194,$P$2:$P2248,"&lt;="&amp;$P1194,$P$2:$P2248,"&gt;"&amp;$P1194-7)</f>
        <v>7.1428571428571432</v>
      </c>
      <c r="AE1194" s="76">
        <f ca="1">IFERROR(__xludf.DUMMYFUNCTION("iferror(stdevp(filter($F$2:$F2250,$B$2:$B2250=$B1194,$O$2:$O2250&lt;=$O1194,$O$2:$O2250&gt;$O1194-7)),0)"),0.632455532033675)</f>
        <v>0.63245553203367499</v>
      </c>
      <c r="AF1194" s="77">
        <f t="shared" ca="1" si="8"/>
        <v>-0.22587697572631371</v>
      </c>
      <c r="AG1194" s="77">
        <f t="shared" ca="1" si="9"/>
        <v>2</v>
      </c>
      <c r="AH1194" s="76">
        <f t="array" ref="AH1194">AVERAGEIFS($I$2:$I2248,$B$2:$B2248,$B1194,$P$2:$P2248,"&lt;="&amp;$P1194,$P$2:$P2248,"&gt;"&amp;$P1194-7)</f>
        <v>7.0285714285714285</v>
      </c>
      <c r="AI1194" s="76">
        <f ca="1">IFERROR(__xludf.DUMMYFUNCTION("iferror(stdevp(filter($H$2:$H2250,$B$2:$B2250=$B1194,$O$2:$O2250&lt;=$O1194,$O$2:$O2250&gt;$O1194-7)),0)"),0.748331477354788)</f>
        <v>0.748331477354788</v>
      </c>
      <c r="AJ1194" s="77">
        <f t="shared" ca="1" si="10"/>
        <v>2.6344322417081845</v>
      </c>
      <c r="AK1194" s="77">
        <f t="shared" ca="1" si="11"/>
        <v>4</v>
      </c>
      <c r="AL1194" s="76">
        <f t="array" ref="AL1194">AVERAGEIFS($J$2:$J2248,$B$2:$B2248,$B1194,$P$2:$P2248,"&lt;="&amp;$P1194,$P$2:$P2248,"&gt;"&amp;$P1194-7)</f>
        <v>9.742857142857142</v>
      </c>
      <c r="AM1194" s="76">
        <f ca="1">IFERROR(__xludf.DUMMYFUNCTION("iferror(stdevp(filter($I$2:$I2250,$B$2:$B2250=$B1194,$O$2:$O2250&lt;=$O1194,$O$2:$O2250&gt;$O1194-7)),0)"),0)</f>
        <v>0</v>
      </c>
      <c r="AN1194" s="77">
        <f t="shared" ca="1" si="13"/>
        <v>0</v>
      </c>
      <c r="AO1194" s="77">
        <f t="shared" ca="1" si="14"/>
        <v>3</v>
      </c>
      <c r="AP1194" s="76">
        <f t="array" ref="AP1194">AVERAGEIFS($K$2:$K2248,$B$2:$B2248,$B1194,$P$2:$P2248,"&lt;="&amp;$P1194,$P$2:$P2248,"&gt;"&amp;$P1194-7)</f>
        <v>9.4285714285714288</v>
      </c>
      <c r="AQ1194" s="76">
        <f ca="1">IFERROR(__xludf.DUMMYFUNCTION("iferror(stdevp(filter($J$2:$J2250,$B$2:$B2250=$B1194,$O$2:$O2250&lt;=$O1194,$O$2:$O2250&gt;$O1194-7)),0)"),1.2)</f>
        <v>1.2</v>
      </c>
      <c r="AR1194" s="77">
        <f t="shared" ca="1" si="15"/>
        <v>0.476190476190476</v>
      </c>
      <c r="AS1194" s="77">
        <f t="shared" ca="1" si="16"/>
        <v>3</v>
      </c>
      <c r="AT1194" s="78">
        <f t="shared" ca="1" si="12"/>
        <v>0.83333333333333337</v>
      </c>
    </row>
    <row r="1195" spans="1:46" ht="12.5" x14ac:dyDescent="0.25">
      <c r="A1195" s="75">
        <v>44971.502134178241</v>
      </c>
      <c r="B1195" s="1" t="s">
        <v>20</v>
      </c>
      <c r="C1195" s="1" t="str">
        <f>INDEX(TBL_Name,MATCH(Table2[[#This Row],[Athlete Name]],listNames,0),2)</f>
        <v>Athlete 12</v>
      </c>
      <c r="D1195" s="1" t="s">
        <v>143</v>
      </c>
      <c r="E1195" s="1">
        <v>9</v>
      </c>
      <c r="F1195" s="1">
        <v>10</v>
      </c>
      <c r="G1195" s="1">
        <v>10</v>
      </c>
      <c r="H1195" s="1" t="s">
        <v>450</v>
      </c>
      <c r="I1195" s="1">
        <v>4</v>
      </c>
      <c r="J1195" s="1">
        <v>6</v>
      </c>
      <c r="K1195" s="1">
        <v>6</v>
      </c>
      <c r="L1195" s="1">
        <v>78</v>
      </c>
      <c r="M1195" s="1" t="e">
        <f t="shared" ca="1" si="0"/>
        <v>#NAME?</v>
      </c>
      <c r="N1195" s="1" t="e">
        <f t="shared" si="1"/>
        <v>#VALUE!</v>
      </c>
      <c r="O1195" s="1" t="e">
        <f ca="1">IF($N1195=_xludf.MINIFS($N$2:$N2381,$R$2:$R2381,$R1195),1,
($N1195-_xludf.MINIFS($N$2:$N2381,$R$2:$R2381,$R1195))+1)</f>
        <v>#VALUE!</v>
      </c>
      <c r="P1195" s="13" t="e">
        <f t="shared" si="2"/>
        <v>#VALUE!</v>
      </c>
      <c r="Q1195" s="1" t="e">
        <f>RIGHT(YEAR($A1195),2)-(MONTH($A1195)&lt;=#REF!)
 &amp;"-"&amp;
 RIGHT(YEAR($A1195),2)+(MONTH($A1195)&gt;=#REF!)</f>
        <v>#REF!</v>
      </c>
      <c r="R1195" s="1" t="e">
        <f>CHOOSE(MONTH($P1195),#REF!,#REF!,#REF!,#REF!,#REF!,#REF!,#REF!,#REF!,#REF!,#REF!,#REF!,#REF!)&amp;" "&amp;$Q1195</f>
        <v>#VALUE!</v>
      </c>
      <c r="S1195" s="1">
        <f t="shared" si="3"/>
        <v>2</v>
      </c>
      <c r="T1195" s="1" t="str">
        <f t="array" ref="T1195">IFERROR(INDEX(#REF!,MATCH($B1195,#REF!,0)),"")</f>
        <v/>
      </c>
      <c r="U1195" s="1" t="str">
        <f t="array" ref="U1195">IFERROR(INDEX(#REF!,MATCH($B1195,#REF!,0)),"")</f>
        <v/>
      </c>
      <c r="V1195" s="76">
        <f t="array" ref="V1195">AVERAGEIFS($E$2:$E2248,$B$2:$B2248,$B1195,$P$2:$P2248,"&lt;="&amp;$P1195,$P$2:$P2248,"&gt;"&amp;$P1195-7)</f>
        <v>7.4761904761904763</v>
      </c>
      <c r="W1195" s="76">
        <f ca="1">IFERROR(__xludf.DUMMYFUNCTION("iferror(stdevp(filter($D$2:$D2250,$B$2:$B2250=$B1195,$O$2:$O2250&lt;=$O1195,$O$2:$O2250&gt;$O1195-7)),0)"),0.942809041582063)</f>
        <v>0.94280904158206302</v>
      </c>
      <c r="X1195" s="77">
        <f t="shared" ca="1" si="4"/>
        <v>1.6162440712835378</v>
      </c>
      <c r="Y1195" s="77">
        <f t="shared" ca="1" si="5"/>
        <v>4</v>
      </c>
      <c r="Z1195" s="76">
        <f t="array" ref="Z1195">AVERAGEIFS($F$2:$F2248,$B$2:$B2248,$B1195,$P$2:$P2248,"&lt;="&amp;$P1195,$P$2:$P2248,"&gt;"&amp;$P1195-7)</f>
        <v>8.1904761904761898</v>
      </c>
      <c r="AA1195" s="76">
        <f ca="1">IFERROR(__xludf.DUMMYFUNCTION("iferror(stdevp(filter($E$2:$E2250,$B$2:$B2250=$B1195,$O$2:$O2250&lt;=$O1195,$O$2:$O2250&gt;$O1195-7)),0)"),1.41421356237309)</f>
        <v>1.41421356237309</v>
      </c>
      <c r="AB1195" s="77">
        <f t="shared" ca="1" si="6"/>
        <v>1.2795265564328053</v>
      </c>
      <c r="AC1195" s="77">
        <f t="shared" ca="1" si="7"/>
        <v>4</v>
      </c>
      <c r="AD1195" s="76">
        <f t="array" ref="AD1195">AVERAGEIFS($G$2:$G2248,$B$2:$B2248,$B1195,$P$2:$P2248,"&lt;="&amp;$P1195,$P$2:$P2248,"&gt;"&amp;$P1195-7)</f>
        <v>8.5714285714285712</v>
      </c>
      <c r="AE1195" s="76">
        <f ca="1">IFERROR(__xludf.DUMMYFUNCTION("iferror(stdevp(filter($F$2:$F2250,$B$2:$B2250=$B1195,$O$2:$O2250&lt;=$O1195,$O$2:$O2250&gt;$O1195-7)),0)"),0.816496580927726)</f>
        <v>0.81649658092772603</v>
      </c>
      <c r="AF1195" s="77">
        <f t="shared" ca="1" si="8"/>
        <v>1.7496355305594133</v>
      </c>
      <c r="AG1195" s="77">
        <f t="shared" ca="1" si="9"/>
        <v>4</v>
      </c>
      <c r="AH1195" s="76">
        <f t="array" ref="AH1195">AVERAGEIFS($I$2:$I2248,$B$2:$B2248,$B1195,$P$2:$P2248,"&lt;="&amp;$P1195,$P$2:$P2248,"&gt;"&amp;$P1195-7)</f>
        <v>5.6190476190476186</v>
      </c>
      <c r="AI1195" s="76">
        <f ca="1">IFERROR(__xludf.DUMMYFUNCTION("iferror(stdevp(filter($H$2:$H2250,$B$2:$B2250=$B1195,$O$2:$O2250&lt;=$O1195,$O$2:$O2250&gt;$O1195-7)),0)"),1.41421356237309)</f>
        <v>1.41421356237309</v>
      </c>
      <c r="AJ1195" s="77">
        <f t="shared" ca="1" si="10"/>
        <v>-1.1448395504925093</v>
      </c>
      <c r="AK1195" s="77">
        <f t="shared" ca="1" si="11"/>
        <v>1</v>
      </c>
      <c r="AL1195" s="76">
        <f t="array" ref="AL1195">AVERAGEIFS($J$2:$J2248,$B$2:$B2248,$B1195,$P$2:$P2248,"&lt;="&amp;$P1195,$P$2:$P2248,"&gt;"&amp;$P1195-7)</f>
        <v>7</v>
      </c>
      <c r="AM1195" s="76">
        <f ca="1">IFERROR(__xludf.DUMMYFUNCTION("iferror(stdevp(filter($I$2:$I2250,$B$2:$B2250=$B1195,$O$2:$O2250&lt;=$O1195,$O$2:$O2250&gt;$O1195-7)),0)"),0.942809041582063)</f>
        <v>0.94280904158206302</v>
      </c>
      <c r="AN1195" s="77">
        <f t="shared" ca="1" si="13"/>
        <v>-1.0606601717798216</v>
      </c>
      <c r="AO1195" s="77">
        <f t="shared" ca="1" si="14"/>
        <v>1</v>
      </c>
      <c r="AP1195" s="76">
        <f t="array" ref="AP1195">AVERAGEIFS($K$2:$K2248,$B$2:$B2248,$B1195,$P$2:$P2248,"&lt;="&amp;$P1195,$P$2:$P2248,"&gt;"&amp;$P1195-7)</f>
        <v>7.4285714285714288</v>
      </c>
      <c r="AQ1195" s="76">
        <f ca="1">IFERROR(__xludf.DUMMYFUNCTION("iferror(stdevp(filter($J$2:$J2250,$B$2:$B2250=$B1195,$O$2:$O2250&lt;=$O1195,$O$2:$O2250&gt;$O1195-7)),0)"),0.471404520791031)</f>
        <v>0.47140452079103101</v>
      </c>
      <c r="AR1195" s="77">
        <f t="shared" ca="1" si="15"/>
        <v>-3.0304576336566371</v>
      </c>
      <c r="AS1195" s="77">
        <f t="shared" ca="1" si="16"/>
        <v>1</v>
      </c>
      <c r="AT1195" s="78">
        <f t="shared" ca="1" si="12"/>
        <v>0.625</v>
      </c>
    </row>
    <row r="1196" spans="1:46" ht="12.5" x14ac:dyDescent="0.25">
      <c r="A1196" s="75">
        <v>44972.313766145831</v>
      </c>
      <c r="B1196" s="1" t="s">
        <v>29</v>
      </c>
      <c r="C1196" s="1" t="str">
        <f>INDEX(TBL_Name,MATCH(Table2[[#This Row],[Athlete Name]],listNames,0),2)</f>
        <v>Athlete 18</v>
      </c>
      <c r="D1196" s="1" t="s">
        <v>130</v>
      </c>
      <c r="E1196" s="1">
        <v>9</v>
      </c>
      <c r="F1196" s="1">
        <v>9</v>
      </c>
      <c r="G1196" s="1">
        <v>8</v>
      </c>
      <c r="H1196" s="1" t="s">
        <v>69</v>
      </c>
      <c r="I1196" s="1">
        <v>7</v>
      </c>
      <c r="J1196" s="1">
        <v>9</v>
      </c>
      <c r="K1196" s="1">
        <v>8</v>
      </c>
      <c r="L1196" s="1">
        <v>94</v>
      </c>
      <c r="M1196" s="1" t="e">
        <f t="shared" ca="1" si="0"/>
        <v>#NAME?</v>
      </c>
      <c r="N1196" s="1" t="e">
        <f t="shared" si="1"/>
        <v>#VALUE!</v>
      </c>
      <c r="O1196" s="1" t="e">
        <f ca="1">IF($N1196=_xludf.MINIFS($N$2:$N2382,$R$2:$R2382,$R1196),1,
($N1196-_xludf.MINIFS($N$2:$N2382,$R$2:$R2382,$R1196))+1)</f>
        <v>#VALUE!</v>
      </c>
      <c r="P1196" s="13" t="e">
        <f t="shared" si="2"/>
        <v>#VALUE!</v>
      </c>
      <c r="Q1196" s="1" t="e">
        <f>RIGHT(YEAR($A1196),2)-(MONTH($A1196)&lt;=#REF!)
 &amp;"-"&amp;
 RIGHT(YEAR($A1196),2)+(MONTH($A1196)&gt;=#REF!)</f>
        <v>#REF!</v>
      </c>
      <c r="R1196" s="1" t="e">
        <f>CHOOSE(MONTH($P1196),#REF!,#REF!,#REF!,#REF!,#REF!,#REF!,#REF!,#REF!,#REF!,#REF!,#REF!,#REF!)&amp;" "&amp;$Q1196</f>
        <v>#VALUE!</v>
      </c>
      <c r="S1196" s="1">
        <f t="shared" si="3"/>
        <v>1</v>
      </c>
      <c r="T1196" s="1" t="str">
        <f t="array" ref="T1196">IFERROR(INDEX(#REF!,MATCH($B1196,#REF!,0)),"")</f>
        <v/>
      </c>
      <c r="U1196" s="1" t="str">
        <f t="array" ref="U1196">IFERROR(INDEX(#REF!,MATCH($B1196,#REF!,0)),"")</f>
        <v/>
      </c>
      <c r="V1196" s="76">
        <f t="array" ref="V1196">AVERAGEIFS($E$2:$E2248,$B$2:$B2248,$B1196,$P$2:$P2248,"&lt;="&amp;$P1196,$P$2:$P2248,"&gt;"&amp;$P1196-7)</f>
        <v>8.53125</v>
      </c>
      <c r="W1196" s="76">
        <f ca="1">IFERROR(__xludf.DUMMYFUNCTION("iferror(stdevp(filter($D$2:$D2250,$B$2:$B2250=$B1196,$O$2:$O2250&lt;=$O1196,$O$2:$O2250&gt;$O1196-7)),0)"),0.372677996249964)</f>
        <v>0.37267799624996401</v>
      </c>
      <c r="X1196" s="77">
        <f t="shared" ca="1" si="4"/>
        <v>1.2577882373436349</v>
      </c>
      <c r="Y1196" s="77">
        <f t="shared" ca="1" si="5"/>
        <v>4</v>
      </c>
      <c r="Z1196" s="76">
        <f t="array" ref="Z1196">AVERAGEIFS($F$2:$F2248,$B$2:$B2248,$B1196,$P$2:$P2248,"&lt;="&amp;$P1196,$P$2:$P2248,"&gt;"&amp;$P1196-7)</f>
        <v>8.125</v>
      </c>
      <c r="AA1196" s="76">
        <f ca="1">IFERROR(__xludf.DUMMYFUNCTION("iferror(stdevp(filter($E$2:$E2250,$B$2:$B2250=$B1196,$O$2:$O2250&lt;=$O1196,$O$2:$O2250&gt;$O1196-7)),0)"),0.816496580927726)</f>
        <v>0.81649658092772603</v>
      </c>
      <c r="AB1196" s="77">
        <f t="shared" ca="1" si="6"/>
        <v>1.0716517624676405</v>
      </c>
      <c r="AC1196" s="77">
        <f t="shared" ca="1" si="7"/>
        <v>4</v>
      </c>
      <c r="AD1196" s="76">
        <f t="array" ref="AD1196">AVERAGEIFS($G$2:$G2248,$B$2:$B2248,$B1196,$P$2:$P2248,"&lt;="&amp;$P1196,$P$2:$P2248,"&gt;"&amp;$P1196-7)</f>
        <v>8.09375</v>
      </c>
      <c r="AE1196" s="76">
        <f ca="1">IFERROR(__xludf.DUMMYFUNCTION("iferror(stdevp(filter($F$2:$F2250,$B$2:$B2250=$B1196,$O$2:$O2250&lt;=$O1196,$O$2:$O2250&gt;$O1196-7)),0)"),0.372677996249964)</f>
        <v>0.37267799624996401</v>
      </c>
      <c r="AF1196" s="77">
        <f t="shared" ca="1" si="8"/>
        <v>-0.251557647468727</v>
      </c>
      <c r="AG1196" s="77">
        <f t="shared" ca="1" si="9"/>
        <v>2</v>
      </c>
      <c r="AH1196" s="76">
        <f t="array" ref="AH1196">AVERAGEIFS($I$2:$I2248,$B$2:$B2248,$B1196,$P$2:$P2248,"&lt;="&amp;$P1196,$P$2:$P2248,"&gt;"&amp;$P1196-7)</f>
        <v>7.875</v>
      </c>
      <c r="AI1196" s="76">
        <f ca="1">IFERROR(__xludf.DUMMYFUNCTION("iferror(stdevp(filter($H$2:$H2250,$B$2:$B2250=$B1196,$O$2:$O2250&lt;=$O1196,$O$2:$O2250&gt;$O1196-7)),0)"),1.24721912892464)</f>
        <v>1.2472191289246399</v>
      </c>
      <c r="AJ1196" s="77">
        <f t="shared" ca="1" si="10"/>
        <v>-0.70156076002011802</v>
      </c>
      <c r="AK1196" s="77">
        <f t="shared" ca="1" si="11"/>
        <v>2</v>
      </c>
      <c r="AL1196" s="76">
        <f t="array" ref="AL1196">AVERAGEIFS($J$2:$J2248,$B$2:$B2248,$B1196,$P$2:$P2248,"&lt;="&amp;$P1196,$P$2:$P2248,"&gt;"&amp;$P1196-7)</f>
        <v>8.34375</v>
      </c>
      <c r="AM1196" s="76">
        <f ca="1">IFERROR(__xludf.DUMMYFUNCTION("iferror(stdevp(filter($I$2:$I2250,$B$2:$B2250=$B1196,$O$2:$O2250&lt;=$O1196,$O$2:$O2250&gt;$O1196-7)),0)"),0.577350269189625)</f>
        <v>0.57735026918962495</v>
      </c>
      <c r="AN1196" s="77">
        <f t="shared" ca="1" si="13"/>
        <v>1.1366583424670773</v>
      </c>
      <c r="AO1196" s="77">
        <f t="shared" ca="1" si="14"/>
        <v>4</v>
      </c>
      <c r="AP1196" s="76">
        <f t="array" ref="AP1196">AVERAGEIFS($K$2:$K2248,$B$2:$B2248,$B1196,$P$2:$P2248,"&lt;="&amp;$P1196,$P$2:$P2248,"&gt;"&amp;$P1196-7)</f>
        <v>8.46875</v>
      </c>
      <c r="AQ1196" s="76">
        <f ca="1">IFERROR(__xludf.DUMMYFUNCTION("iferror(stdevp(filter($J$2:$J2250,$B$2:$B2250=$B1196,$O$2:$O2250&lt;=$O1196,$O$2:$O2250&gt;$O1196-7)),0)"),0.816496580927725)</f>
        <v>0.81649658092772504</v>
      </c>
      <c r="AR1196" s="77">
        <f t="shared" ca="1" si="15"/>
        <v>-0.57409915846480808</v>
      </c>
      <c r="AS1196" s="77">
        <f t="shared" ca="1" si="16"/>
        <v>2</v>
      </c>
      <c r="AT1196" s="78">
        <f t="shared" ca="1" si="12"/>
        <v>0.75</v>
      </c>
    </row>
    <row r="1197" spans="1:46" ht="12.5" x14ac:dyDescent="0.25">
      <c r="A1197" s="75">
        <v>44972.317988483795</v>
      </c>
      <c r="B1197" s="1" t="s">
        <v>21</v>
      </c>
      <c r="C1197" s="1" t="str">
        <f>INDEX(TBL_Name,MATCH(Table2[[#This Row],[Athlete Name]],listNames,0),2)</f>
        <v>Athlete 13</v>
      </c>
      <c r="D1197" s="1" t="s">
        <v>143</v>
      </c>
      <c r="E1197" s="1">
        <v>6</v>
      </c>
      <c r="F1197" s="1">
        <v>8</v>
      </c>
      <c r="G1197" s="1">
        <v>8</v>
      </c>
      <c r="H1197" s="1" t="s">
        <v>1540</v>
      </c>
      <c r="I1197" s="1">
        <v>4</v>
      </c>
      <c r="J1197" s="1">
        <v>6</v>
      </c>
      <c r="K1197" s="1">
        <v>6</v>
      </c>
      <c r="L1197" s="1">
        <v>70</v>
      </c>
      <c r="M1197" s="1" t="e">
        <f t="shared" ca="1" si="0"/>
        <v>#NAME?</v>
      </c>
      <c r="N1197" s="1" t="e">
        <f t="shared" si="1"/>
        <v>#VALUE!</v>
      </c>
      <c r="O1197" s="1" t="e">
        <f ca="1">IF($N1197=_xludf.MINIFS($N$2:$N2383,$R$2:$R2383,$R1197),1,
($N1197-_xludf.MINIFS($N$2:$N2383,$R$2:$R2383,$R1197))+1)</f>
        <v>#VALUE!</v>
      </c>
      <c r="P1197" s="13" t="e">
        <f t="shared" si="2"/>
        <v>#VALUE!</v>
      </c>
      <c r="Q1197" s="1" t="e">
        <f>RIGHT(YEAR($A1197),2)-(MONTH($A1197)&lt;=#REF!)
 &amp;"-"&amp;
 RIGHT(YEAR($A1197),2)+(MONTH($A1197)&gt;=#REF!)</f>
        <v>#REF!</v>
      </c>
      <c r="R1197" s="1" t="e">
        <f>CHOOSE(MONTH($P1197),#REF!,#REF!,#REF!,#REF!,#REF!,#REF!,#REF!,#REF!,#REF!,#REF!,#REF!,#REF!)&amp;" "&amp;$Q1197</f>
        <v>#VALUE!</v>
      </c>
      <c r="S1197" s="1">
        <f t="shared" si="3"/>
        <v>2</v>
      </c>
      <c r="T1197" s="1" t="str">
        <f t="array" ref="T1197">IFERROR(INDEX(#REF!,MATCH($B1197,#REF!,0)),"")</f>
        <v/>
      </c>
      <c r="U1197" s="1" t="str">
        <f t="array" ref="U1197">IFERROR(INDEX(#REF!,MATCH($B1197,#REF!,0)),"")</f>
        <v/>
      </c>
      <c r="V1197" s="76">
        <f t="array" ref="V1197">AVERAGEIFS($E$2:$E2248,$B$2:$B2248,$B1197,$P$2:$P2248,"&lt;="&amp;$P1197,$P$2:$P2248,"&gt;"&amp;$P1197-7)</f>
        <v>6.6304347826086953</v>
      </c>
      <c r="W1197" s="76">
        <f ca="1">IFERROR(__xludf.DUMMYFUNCTION("iferror(stdevp(filter($D$2:$D2250,$B$2:$B2250=$B1197,$O$2:$O2250&lt;=$O1197,$O$2:$O2250&gt;$O1197-7)),0)"),0.494871659305393)</f>
        <v>0.49487165930539301</v>
      </c>
      <c r="X1197" s="77">
        <f t="shared" ca="1" si="4"/>
        <v>-1.2739359200597185</v>
      </c>
      <c r="Y1197" s="77">
        <f t="shared" ca="1" si="5"/>
        <v>1</v>
      </c>
      <c r="Z1197" s="76">
        <f t="array" ref="Z1197">AVERAGEIFS($F$2:$F2248,$B$2:$B2248,$B1197,$P$2:$P2248,"&lt;="&amp;$P1197,$P$2:$P2248,"&gt;"&amp;$P1197-7)</f>
        <v>7.6956521739130439</v>
      </c>
      <c r="AA1197" s="76">
        <f ca="1">IFERROR(__xludf.DUMMYFUNCTION("iferror(stdevp(filter($E$2:$E2250,$B$2:$B2250=$B1197,$O$2:$O2250&lt;=$O1197,$O$2:$O2250&gt;$O1197-7)),0)"),0.728431359084683)</f>
        <v>0.72843135908468304</v>
      </c>
      <c r="AB1197" s="77">
        <f t="shared" ca="1" si="6"/>
        <v>0.41781263572917438</v>
      </c>
      <c r="AC1197" s="77">
        <f t="shared" ca="1" si="7"/>
        <v>3</v>
      </c>
      <c r="AD1197" s="76">
        <f t="array" ref="AD1197">AVERAGEIFS($G$2:$G2248,$B$2:$B2248,$B1197,$P$2:$P2248,"&lt;="&amp;$P1197,$P$2:$P2248,"&gt;"&amp;$P1197-7)</f>
        <v>8.2608695652173907</v>
      </c>
      <c r="AE1197" s="76">
        <f ca="1">IFERROR(__xludf.DUMMYFUNCTION("iferror(stdevp(filter($F$2:$F2250,$B$2:$B2250=$B1197,$O$2:$O2250&lt;=$O1197,$O$2:$O2250&gt;$O1197-7)),0)"),0)</f>
        <v>0</v>
      </c>
      <c r="AF1197" s="77">
        <f t="shared" ca="1" si="8"/>
        <v>0</v>
      </c>
      <c r="AG1197" s="77">
        <f t="shared" ca="1" si="9"/>
        <v>3</v>
      </c>
      <c r="AH1197" s="76">
        <f t="array" ref="AH1197">AVERAGEIFS($I$2:$I2248,$B$2:$B2248,$B1197,$P$2:$P2248,"&lt;="&amp;$P1197,$P$2:$P2248,"&gt;"&amp;$P1197-7)</f>
        <v>5.7391304347826084</v>
      </c>
      <c r="AI1197" s="76">
        <f ca="1">IFERROR(__xludf.DUMMYFUNCTION("iferror(stdevp(filter($H$2:$H2250,$B$2:$B2250=$B1197,$O$2:$O2250&lt;=$O1197,$O$2:$O2250&gt;$O1197-7)),0)"),1.12485826771597)</f>
        <v>1.12485826771597</v>
      </c>
      <c r="AJ1197" s="77">
        <f t="shared" ca="1" si="10"/>
        <v>-1.5460885026110187</v>
      </c>
      <c r="AK1197" s="77">
        <f t="shared" ca="1" si="11"/>
        <v>1</v>
      </c>
      <c r="AL1197" s="76">
        <f t="array" ref="AL1197">AVERAGEIFS($J$2:$J2248,$B$2:$B2248,$B1197,$P$2:$P2248,"&lt;="&amp;$P1197,$P$2:$P2248,"&gt;"&amp;$P1197-7)</f>
        <v>6.5434782608695654</v>
      </c>
      <c r="AM1197" s="76">
        <f ca="1">IFERROR(__xludf.DUMMYFUNCTION("iferror(stdevp(filter($I$2:$I2250,$B$2:$B2250=$B1197,$O$2:$O2250&lt;=$O1197,$O$2:$O2250&gt;$O1197-7)),0)"),0.534522483824848)</f>
        <v>0.53452248382484802</v>
      </c>
      <c r="AN1197" s="77">
        <f t="shared" ca="1" si="13"/>
        <v>-1.0167547246668336</v>
      </c>
      <c r="AO1197" s="77">
        <f t="shared" ca="1" si="14"/>
        <v>1</v>
      </c>
      <c r="AP1197" s="76">
        <f t="array" ref="AP1197">AVERAGEIFS($K$2:$K2248,$B$2:$B2248,$B1197,$P$2:$P2248,"&lt;="&amp;$P1197,$P$2:$P2248,"&gt;"&amp;$P1197-7)</f>
        <v>6.6086956521739131</v>
      </c>
      <c r="AQ1197" s="76">
        <f ca="1">IFERROR(__xludf.DUMMYFUNCTION("iferror(stdevp(filter($J$2:$J2250,$B$2:$B2250=$B1197,$O$2:$O2250&lt;=$O1197,$O$2:$O2250&gt;$O1197-7)),0)"),0.534522483824848)</f>
        <v>0.53452248382484802</v>
      </c>
      <c r="AR1197" s="77">
        <f t="shared" ca="1" si="15"/>
        <v>-1.1387652916268534</v>
      </c>
      <c r="AS1197" s="77">
        <f t="shared" ca="1" si="16"/>
        <v>1</v>
      </c>
      <c r="AT1197" s="78">
        <f t="shared" ca="1" si="12"/>
        <v>0.41666666666666669</v>
      </c>
    </row>
    <row r="1198" spans="1:46" ht="12.5" x14ac:dyDescent="0.25">
      <c r="A1198" s="75">
        <v>44972.371937245371</v>
      </c>
      <c r="B1198" s="1" t="s">
        <v>13</v>
      </c>
      <c r="C1198" s="1" t="str">
        <f>INDEX(TBL_Name,MATCH(Table2[[#This Row],[Athlete Name]],listNames,0),2)</f>
        <v>Athlete 7</v>
      </c>
      <c r="D1198" s="1" t="s">
        <v>130</v>
      </c>
      <c r="E1198" s="1">
        <v>9</v>
      </c>
      <c r="F1198" s="1">
        <v>9</v>
      </c>
      <c r="G1198" s="1">
        <v>8</v>
      </c>
      <c r="H1198" s="1" t="s">
        <v>69</v>
      </c>
      <c r="I1198" s="1">
        <v>8</v>
      </c>
      <c r="J1198" s="1">
        <v>10</v>
      </c>
      <c r="K1198" s="1">
        <v>10</v>
      </c>
      <c r="L1198" s="1">
        <v>80</v>
      </c>
      <c r="M1198" s="1" t="e">
        <f t="shared" ca="1" si="0"/>
        <v>#NAME?</v>
      </c>
      <c r="N1198" s="1" t="e">
        <f t="shared" si="1"/>
        <v>#VALUE!</v>
      </c>
      <c r="O1198" s="1" t="e">
        <f ca="1">IF($N1198=_xludf.MINIFS($N$2:$N2384,$R$2:$R2384,$R1198),1,
($N1198-_xludf.MINIFS($N$2:$N2384,$R$2:$R2384,$R1198))+1)</f>
        <v>#VALUE!</v>
      </c>
      <c r="P1198" s="13" t="e">
        <f t="shared" si="2"/>
        <v>#VALUE!</v>
      </c>
      <c r="Q1198" s="1" t="e">
        <f>RIGHT(YEAR($A1198),2)-(MONTH($A1198)&lt;=#REF!)
 &amp;"-"&amp;
 RIGHT(YEAR($A1198),2)+(MONTH($A1198)&gt;=#REF!)</f>
        <v>#REF!</v>
      </c>
      <c r="R1198" s="1" t="e">
        <f>CHOOSE(MONTH($P1198),#REF!,#REF!,#REF!,#REF!,#REF!,#REF!,#REF!,#REF!,#REF!,#REF!,#REF!,#REF!)&amp;" "&amp;$Q1198</f>
        <v>#VALUE!</v>
      </c>
      <c r="S1198" s="1">
        <f t="shared" si="3"/>
        <v>1</v>
      </c>
      <c r="T1198" s="1" t="str">
        <f t="array" ref="T1198">IFERROR(INDEX(#REF!,MATCH($B1198,#REF!,0)),"")</f>
        <v/>
      </c>
      <c r="U1198" s="1" t="str">
        <f t="array" ref="U1198">IFERROR(INDEX(#REF!,MATCH($B1198,#REF!,0)),"")</f>
        <v/>
      </c>
      <c r="V1198" s="76">
        <f t="array" ref="V1198">AVERAGEIFS($E$2:$E2248,$B$2:$B2248,$B1198,$P$2:$P2248,"&lt;="&amp;$P1198,$P$2:$P2248,"&gt;"&amp;$P1198-7)</f>
        <v>7.6857142857142859</v>
      </c>
      <c r="W1198" s="76">
        <f ca="1">IFERROR(__xludf.DUMMYFUNCTION("iferror(stdevp(filter($D$2:$D2250,$B$2:$B2250=$B1198,$O$2:$O2250&lt;=$O1198,$O$2:$O2250&gt;$O1198-7)),0)"),0.489897948556635)</f>
        <v>0.48989794855663499</v>
      </c>
      <c r="X1198" s="77">
        <f t="shared" ca="1" si="4"/>
        <v>2.6827744801911027</v>
      </c>
      <c r="Y1198" s="77">
        <f t="shared" ca="1" si="5"/>
        <v>4</v>
      </c>
      <c r="Z1198" s="76">
        <f t="array" ref="Z1198">AVERAGEIFS($F$2:$F2248,$B$2:$B2248,$B1198,$P$2:$P2248,"&lt;="&amp;$P1198,$P$2:$P2248,"&gt;"&amp;$P1198-7)</f>
        <v>7.0857142857142854</v>
      </c>
      <c r="AA1198" s="76">
        <f ca="1">IFERROR(__xludf.DUMMYFUNCTION("iferror(stdevp(filter($E$2:$E2250,$B$2:$B2250=$B1198,$O$2:$O2250&lt;=$O1198,$O$2:$O2250&gt;$O1198-7)),0)"),1.01980390271855)</f>
        <v>1.0198039027185499</v>
      </c>
      <c r="AB1198" s="77">
        <f t="shared" ca="1" si="6"/>
        <v>1.8771115791797748</v>
      </c>
      <c r="AC1198" s="77">
        <f t="shared" ca="1" si="7"/>
        <v>4</v>
      </c>
      <c r="AD1198" s="76">
        <f t="array" ref="AD1198">AVERAGEIFS($G$2:$G2248,$B$2:$B2248,$B1198,$P$2:$P2248,"&lt;="&amp;$P1198,$P$2:$P2248,"&gt;"&amp;$P1198-7)</f>
        <v>7.1428571428571432</v>
      </c>
      <c r="AE1198" s="76">
        <f ca="1">IFERROR(__xludf.DUMMYFUNCTION("iferror(stdevp(filter($F$2:$F2250,$B$2:$B2250=$B1198,$O$2:$O2250&lt;=$O1198,$O$2:$O2250&gt;$O1198-7)),0)"),0.748331477354788)</f>
        <v>0.748331477354788</v>
      </c>
      <c r="AF1198" s="77">
        <f t="shared" ca="1" si="8"/>
        <v>1.1454053224818188</v>
      </c>
      <c r="AG1198" s="77">
        <f t="shared" ca="1" si="9"/>
        <v>4</v>
      </c>
      <c r="AH1198" s="76">
        <f t="array" ref="AH1198">AVERAGEIFS($I$2:$I2248,$B$2:$B2248,$B1198,$P$2:$P2248,"&lt;="&amp;$P1198,$P$2:$P2248,"&gt;"&amp;$P1198-7)</f>
        <v>7.0285714285714285</v>
      </c>
      <c r="AI1198" s="76">
        <f ca="1">IFERROR(__xludf.DUMMYFUNCTION("iferror(stdevp(filter($H$2:$H2250,$B$2:$B2250=$B1198,$O$2:$O2250&lt;=$O1198,$O$2:$O2250&gt;$O1198-7)),0)"),0.748331477354788)</f>
        <v>0.748331477354788</v>
      </c>
      <c r="AJ1198" s="77">
        <f t="shared" ca="1" si="10"/>
        <v>1.2981260321460619</v>
      </c>
      <c r="AK1198" s="77">
        <f t="shared" ca="1" si="11"/>
        <v>4</v>
      </c>
      <c r="AL1198" s="76">
        <f t="array" ref="AL1198">AVERAGEIFS($J$2:$J2248,$B$2:$B2248,$B1198,$P$2:$P2248,"&lt;="&amp;$P1198,$P$2:$P2248,"&gt;"&amp;$P1198-7)</f>
        <v>9.742857142857142</v>
      </c>
      <c r="AM1198" s="76">
        <f ca="1">IFERROR(__xludf.DUMMYFUNCTION("iferror(stdevp(filter($I$2:$I2250,$B$2:$B2250=$B1198,$O$2:$O2250&lt;=$O1198,$O$2:$O2250&gt;$O1198-7)),0)"),0)</f>
        <v>0</v>
      </c>
      <c r="AN1198" s="77">
        <f t="shared" ca="1" si="13"/>
        <v>0</v>
      </c>
      <c r="AO1198" s="77">
        <f t="shared" ca="1" si="14"/>
        <v>3</v>
      </c>
      <c r="AP1198" s="76">
        <f t="array" ref="AP1198">AVERAGEIFS($K$2:$K2248,$B$2:$B2248,$B1198,$P$2:$P2248,"&lt;="&amp;$P1198,$P$2:$P2248,"&gt;"&amp;$P1198-7)</f>
        <v>9.4285714285714288</v>
      </c>
      <c r="AQ1198" s="76">
        <f ca="1">IFERROR(__xludf.DUMMYFUNCTION("iferror(stdevp(filter($J$2:$J2250,$B$2:$B2250=$B1198,$O$2:$O2250&lt;=$O1198,$O$2:$O2250&gt;$O1198-7)),0)"),1.2)</f>
        <v>1.2</v>
      </c>
      <c r="AR1198" s="77">
        <f t="shared" ca="1" si="15"/>
        <v>0.476190476190476</v>
      </c>
      <c r="AS1198" s="77">
        <f t="shared" ca="1" si="16"/>
        <v>3</v>
      </c>
      <c r="AT1198" s="78">
        <f t="shared" ca="1" si="12"/>
        <v>0.91666666666666663</v>
      </c>
    </row>
    <row r="1199" spans="1:46" ht="12.5" x14ac:dyDescent="0.25">
      <c r="A1199" s="75">
        <v>44972.379173159723</v>
      </c>
      <c r="B1199" s="1" t="s">
        <v>24</v>
      </c>
      <c r="C1199" s="1" t="str">
        <f>INDEX(TBL_Name,MATCH(Table2[[#This Row],[Athlete Name]],listNames,0),2)</f>
        <v>Athlete 16</v>
      </c>
      <c r="D1199" s="1" t="s">
        <v>130</v>
      </c>
      <c r="E1199" s="1">
        <v>3</v>
      </c>
      <c r="F1199" s="1">
        <v>6</v>
      </c>
      <c r="G1199" s="1">
        <v>4</v>
      </c>
      <c r="H1199" s="1" t="s">
        <v>1544</v>
      </c>
      <c r="I1199" s="1">
        <v>6</v>
      </c>
      <c r="J1199" s="1">
        <v>7</v>
      </c>
      <c r="K1199" s="1">
        <v>7</v>
      </c>
      <c r="L1199" s="1">
        <v>90</v>
      </c>
      <c r="M1199" s="1" t="e">
        <f t="shared" ca="1" si="0"/>
        <v>#NAME?</v>
      </c>
      <c r="N1199" s="1" t="e">
        <f t="shared" si="1"/>
        <v>#VALUE!</v>
      </c>
      <c r="O1199" s="1" t="e">
        <f ca="1">IF($N1199=_xludf.MINIFS($N$2:$N2385,$R$2:$R2385,$R1199),1,
($N1199-_xludf.MINIFS($N$2:$N2385,$R$2:$R2385,$R1199))+1)</f>
        <v>#VALUE!</v>
      </c>
      <c r="P1199" s="13" t="e">
        <f t="shared" si="2"/>
        <v>#VALUE!</v>
      </c>
      <c r="Q1199" s="1" t="e">
        <f>RIGHT(YEAR($A1199),2)-(MONTH($A1199)&lt;=#REF!)
 &amp;"-"&amp;
 RIGHT(YEAR($A1199),2)+(MONTH($A1199)&gt;=#REF!)</f>
        <v>#REF!</v>
      </c>
      <c r="R1199" s="1" t="e">
        <f>CHOOSE(MONTH($P1199),#REF!,#REF!,#REF!,#REF!,#REF!,#REF!,#REF!,#REF!,#REF!,#REF!,#REF!,#REF!)&amp;" "&amp;$Q1199</f>
        <v>#VALUE!</v>
      </c>
      <c r="S1199" s="1">
        <f t="shared" si="3"/>
        <v>1</v>
      </c>
      <c r="T1199" s="1" t="str">
        <f t="array" ref="T1199">IFERROR(INDEX(#REF!,MATCH($B1199,#REF!,0)),"")</f>
        <v/>
      </c>
      <c r="U1199" s="1" t="str">
        <f t="array" ref="U1199">IFERROR(INDEX(#REF!,MATCH($B1199,#REF!,0)),"")</f>
        <v/>
      </c>
      <c r="V1199" s="76">
        <f t="array" ref="V1199">AVERAGEIFS($E$2:$E2248,$B$2:$B2248,$B1199,$P$2:$P2248,"&lt;="&amp;$P1199,$P$2:$P2248,"&gt;"&amp;$P1199-7)</f>
        <v>4.1818181818181817</v>
      </c>
      <c r="W1199" s="76">
        <f ca="1">IFERROR(__xludf.DUMMYFUNCTION("iferror(stdevp(filter($D$2:$D2250,$B$2:$B2250=$B1199,$O$2:$O2250&lt;=$O1199,$O$2:$O2250&gt;$O1199-7)),0)"),0.748331477354788)</f>
        <v>0.748331477354788</v>
      </c>
      <c r="X1199" s="77">
        <f t="shared" ca="1" si="4"/>
        <v>-1.5792709749370535</v>
      </c>
      <c r="Y1199" s="77">
        <f t="shared" ca="1" si="5"/>
        <v>1</v>
      </c>
      <c r="Z1199" s="76">
        <f t="array" ref="Z1199">AVERAGEIFS($F$2:$F2248,$B$2:$B2248,$B1199,$P$2:$P2248,"&lt;="&amp;$P1199,$P$2:$P2248,"&gt;"&amp;$P1199-7)</f>
        <v>6</v>
      </c>
      <c r="AA1199" s="76">
        <f ca="1">IFERROR(__xludf.DUMMYFUNCTION("iferror(stdevp(filter($E$2:$E2250,$B$2:$B2250=$B1199,$O$2:$O2250&lt;=$O1199,$O$2:$O2250&gt;$O1199-7)),0)"),1.35646599662505)</f>
        <v>1.3564659966250501</v>
      </c>
      <c r="AB1199" s="77">
        <f t="shared" ca="1" si="6"/>
        <v>0</v>
      </c>
      <c r="AC1199" s="77">
        <f t="shared" ca="1" si="7"/>
        <v>3</v>
      </c>
      <c r="AD1199" s="76">
        <f t="array" ref="AD1199">AVERAGEIFS($G$2:$G2248,$B$2:$B2248,$B1199,$P$2:$P2248,"&lt;="&amp;$P1199,$P$2:$P2248,"&gt;"&amp;$P1199-7)</f>
        <v>5.9090909090909092</v>
      </c>
      <c r="AE1199" s="76">
        <f ca="1">IFERROR(__xludf.DUMMYFUNCTION("iferror(stdevp(filter($F$2:$F2250,$B$2:$B2250=$B1199,$O$2:$O2250&lt;=$O1199,$O$2:$O2250&gt;$O1199-7)),0)"),0.799999999999999)</f>
        <v>0.79999999999999905</v>
      </c>
      <c r="AF1199" s="77">
        <f t="shared" ca="1" si="8"/>
        <v>-2.3863636363636394</v>
      </c>
      <c r="AG1199" s="77">
        <f t="shared" ca="1" si="9"/>
        <v>1</v>
      </c>
      <c r="AH1199" s="76">
        <f t="array" ref="AH1199">AVERAGEIFS($I$2:$I2248,$B$2:$B2248,$B1199,$P$2:$P2248,"&lt;="&amp;$P1199,$P$2:$P2248,"&gt;"&amp;$P1199-7)</f>
        <v>4.9545454545454541</v>
      </c>
      <c r="AI1199" s="76">
        <f ca="1">IFERROR(__xludf.DUMMYFUNCTION("iferror(stdevp(filter($H$2:$H2250,$B$2:$B2250=$B1199,$O$2:$O2250&lt;=$O1199,$O$2:$O2250&gt;$O1199-7)),0)"),1.4696938456699)</f>
        <v>1.4696938456699</v>
      </c>
      <c r="AJ1199" s="77">
        <f t="shared" ca="1" si="10"/>
        <v>0.71134171823249215</v>
      </c>
      <c r="AK1199" s="77">
        <f t="shared" ca="1" si="11"/>
        <v>3</v>
      </c>
      <c r="AL1199" s="76">
        <f t="array" ref="AL1199">AVERAGEIFS($J$2:$J2248,$B$2:$B2248,$B1199,$P$2:$P2248,"&lt;="&amp;$P1199,$P$2:$P2248,"&gt;"&amp;$P1199-7)</f>
        <v>6.9090909090909092</v>
      </c>
      <c r="AM1199" s="76">
        <f ca="1">IFERROR(__xludf.DUMMYFUNCTION("iferror(stdevp(filter($I$2:$I2250,$B$2:$B2250=$B1199,$O$2:$O2250&lt;=$O1199,$O$2:$O2250&gt;$O1199-7)),0)"),1.16619037896906)</f>
        <v>1.16619037896906</v>
      </c>
      <c r="AN1199" s="77">
        <f t="shared" ca="1" si="13"/>
        <v>7.7953902337503961E-2</v>
      </c>
      <c r="AO1199" s="77">
        <f t="shared" ca="1" si="14"/>
        <v>3</v>
      </c>
      <c r="AP1199" s="76">
        <f t="array" ref="AP1199">AVERAGEIFS($K$2:$K2248,$B$2:$B2248,$B1199,$P$2:$P2248,"&lt;="&amp;$P1199,$P$2:$P2248,"&gt;"&amp;$P1199-7)</f>
        <v>6.7272727272727275</v>
      </c>
      <c r="AQ1199" s="76">
        <f ca="1">IFERROR(__xludf.DUMMYFUNCTION("iferror(stdevp(filter($J$2:$J2250,$B$2:$B2250=$B1199,$O$2:$O2250&lt;=$O1199,$O$2:$O2250&gt;$O1199-7)),0)"),1.35646599662505)</f>
        <v>1.3564659966250501</v>
      </c>
      <c r="AR1199" s="77">
        <f t="shared" ca="1" si="15"/>
        <v>0.20105721293849643</v>
      </c>
      <c r="AS1199" s="77">
        <f t="shared" ca="1" si="16"/>
        <v>3</v>
      </c>
      <c r="AT1199" s="78">
        <f t="shared" ca="1" si="12"/>
        <v>0.58333333333333337</v>
      </c>
    </row>
    <row r="1200" spans="1:46" ht="12.5" x14ac:dyDescent="0.25">
      <c r="A1200" s="75">
        <v>44972.463312256943</v>
      </c>
      <c r="B1200" s="1" t="s">
        <v>9</v>
      </c>
      <c r="C1200" s="1" t="str">
        <f>INDEX(TBL_Name,MATCH(Table2[[#This Row],[Athlete Name]],listNames,0),2)</f>
        <v>Athlete 4</v>
      </c>
      <c r="D1200" s="1" t="s">
        <v>130</v>
      </c>
      <c r="E1200" s="1">
        <v>8</v>
      </c>
      <c r="F1200" s="1">
        <v>8</v>
      </c>
      <c r="G1200" s="1">
        <v>8</v>
      </c>
      <c r="H1200" s="1" t="s">
        <v>1542</v>
      </c>
      <c r="I1200" s="1">
        <v>7</v>
      </c>
      <c r="J1200" s="1">
        <v>8</v>
      </c>
      <c r="K1200" s="1">
        <v>9</v>
      </c>
      <c r="L1200" s="1">
        <v>93</v>
      </c>
      <c r="M1200" s="1" t="e">
        <f t="shared" ca="1" si="0"/>
        <v>#NAME?</v>
      </c>
      <c r="N1200" s="1" t="e">
        <f t="shared" si="1"/>
        <v>#VALUE!</v>
      </c>
      <c r="O1200" s="1" t="e">
        <f ca="1">IF($N1200=_xludf.MINIFS($N$2:$N2386,$R$2:$R2386,$R1200),1,
($N1200-_xludf.MINIFS($N$2:$N2386,$R$2:$R2386,$R1200))+1)</f>
        <v>#VALUE!</v>
      </c>
      <c r="P1200" s="13" t="e">
        <f t="shared" si="2"/>
        <v>#VALUE!</v>
      </c>
      <c r="Q1200" s="1" t="e">
        <f>RIGHT(YEAR($A1200),2)-(MONTH($A1200)&lt;=#REF!)
 &amp;"-"&amp;
 RIGHT(YEAR($A1200),2)+(MONTH($A1200)&gt;=#REF!)</f>
        <v>#REF!</v>
      </c>
      <c r="R1200" s="1" t="e">
        <f>CHOOSE(MONTH($P1200),#REF!,#REF!,#REF!,#REF!,#REF!,#REF!,#REF!,#REF!,#REF!,#REF!,#REF!,#REF!)&amp;" "&amp;$Q1200</f>
        <v>#VALUE!</v>
      </c>
      <c r="S1200" s="1">
        <f t="shared" si="3"/>
        <v>1</v>
      </c>
      <c r="T1200" s="1" t="str">
        <f t="array" ref="T1200">IFERROR(INDEX(#REF!,MATCH($B1200,#REF!,0)),"")</f>
        <v/>
      </c>
      <c r="U1200" s="1" t="str">
        <f t="array" ref="U1200">IFERROR(INDEX(#REF!,MATCH($B1200,#REF!,0)),"")</f>
        <v/>
      </c>
      <c r="V1200" s="76">
        <f t="array" ref="V1200">AVERAGEIFS($E$2:$E2248,$B$2:$B2248,$B1200,$P$2:$P2248,"&lt;="&amp;$P1200,$P$2:$P2248,"&gt;"&amp;$P1200-7)</f>
        <v>7.4230769230769234</v>
      </c>
      <c r="W1200" s="76">
        <f ca="1">IFERROR(__xludf.DUMMYFUNCTION("iferror(stdevp(filter($D$2:$D2250,$B$2:$B2250=$B1200,$O$2:$O2250&lt;=$O1200,$O$2:$O2250&gt;$O1200-7)),0)"),0.4)</f>
        <v>0.4</v>
      </c>
      <c r="X1200" s="77">
        <f t="shared" ca="1" si="4"/>
        <v>1.4423076923076916</v>
      </c>
      <c r="Y1200" s="77">
        <f t="shared" ca="1" si="5"/>
        <v>4</v>
      </c>
      <c r="Z1200" s="76">
        <f t="array" ref="Z1200">AVERAGEIFS($F$2:$F2248,$B$2:$B2248,$B1200,$P$2:$P2248,"&lt;="&amp;$P1200,$P$2:$P2248,"&gt;"&amp;$P1200-7)</f>
        <v>7.1538461538461542</v>
      </c>
      <c r="AA1200" s="76">
        <f ca="1">IFERROR(__xludf.DUMMYFUNCTION("iferror(stdevp(filter($E$2:$E2250,$B$2:$B2250=$B1200,$O$2:$O2250&lt;=$O1200,$O$2:$O2250&gt;$O1200-7)),0)"),0.632455532033675)</f>
        <v>0.63245553203367499</v>
      </c>
      <c r="AB1200" s="77">
        <f t="shared" ca="1" si="6"/>
        <v>1.3378867023789309</v>
      </c>
      <c r="AC1200" s="77">
        <f t="shared" ca="1" si="7"/>
        <v>4</v>
      </c>
      <c r="AD1200" s="76">
        <f t="array" ref="AD1200">AVERAGEIFS($G$2:$G2248,$B$2:$B2248,$B1200,$P$2:$P2248,"&lt;="&amp;$P1200,$P$2:$P2248,"&gt;"&amp;$P1200-7)</f>
        <v>7.615384615384615</v>
      </c>
      <c r="AE1200" s="76">
        <f ca="1">IFERROR(__xludf.DUMMYFUNCTION("iferror(stdevp(filter($F$2:$F2250,$B$2:$B2250=$B1200,$O$2:$O2250&lt;=$O1200,$O$2:$O2250&gt;$O1200-7)),0)"),0.489897948556635)</f>
        <v>0.48989794855663499</v>
      </c>
      <c r="AF1200" s="77">
        <f t="shared" ca="1" si="8"/>
        <v>0.78509286627666153</v>
      </c>
      <c r="AG1200" s="77">
        <f t="shared" ca="1" si="9"/>
        <v>3</v>
      </c>
      <c r="AH1200" s="76">
        <f t="array" ref="AH1200">AVERAGEIFS($I$2:$I2248,$B$2:$B2248,$B1200,$P$2:$P2248,"&lt;="&amp;$P1200,$P$2:$P2248,"&gt;"&amp;$P1200-7)</f>
        <v>5.1923076923076925</v>
      </c>
      <c r="AI1200" s="76">
        <f ca="1">IFERROR(__xludf.DUMMYFUNCTION("iferror(stdevp(filter($H$2:$H2250,$B$2:$B2250=$B1200,$O$2:$O2250&lt;=$O1200,$O$2:$O2250&gt;$O1200-7)),0)"),1.16619037896906)</f>
        <v>1.16619037896906</v>
      </c>
      <c r="AJ1200" s="77">
        <f t="shared" ca="1" si="10"/>
        <v>1.5500833657111375</v>
      </c>
      <c r="AK1200" s="77">
        <f t="shared" ca="1" si="11"/>
        <v>4</v>
      </c>
      <c r="AL1200" s="76">
        <f t="array" ref="AL1200">AVERAGEIFS($J$2:$J2248,$B$2:$B2248,$B1200,$P$2:$P2248,"&lt;="&amp;$P1200,$P$2:$P2248,"&gt;"&amp;$P1200-7)</f>
        <v>7.6923076923076925</v>
      </c>
      <c r="AM1200" s="76">
        <f ca="1">IFERROR(__xludf.DUMMYFUNCTION("iferror(stdevp(filter($I$2:$I2250,$B$2:$B2250=$B1200,$O$2:$O2250&lt;=$O1200,$O$2:$O2250&gt;$O1200-7)),0)"),0.489897948556635)</f>
        <v>0.48989794855663499</v>
      </c>
      <c r="AN1200" s="77">
        <f t="shared" ca="1" si="13"/>
        <v>0.62807429302132811</v>
      </c>
      <c r="AO1200" s="77">
        <f t="shared" ca="1" si="14"/>
        <v>3</v>
      </c>
      <c r="AP1200" s="76">
        <f t="array" ref="AP1200">AVERAGEIFS($K$2:$K2248,$B$2:$B2248,$B1200,$P$2:$P2248,"&lt;="&amp;$P1200,$P$2:$P2248,"&gt;"&amp;$P1200-7)</f>
        <v>7.8461538461538458</v>
      </c>
      <c r="AQ1200" s="76">
        <f ca="1">IFERROR(__xludf.DUMMYFUNCTION("iferror(stdevp(filter($J$2:$J2250,$B$2:$B2250=$B1200,$O$2:$O2250&lt;=$O1200,$O$2:$O2250&gt;$O1200-7)),0)"),0.748331477354788)</f>
        <v>0.748331477354788</v>
      </c>
      <c r="AR1200" s="77">
        <f t="shared" ca="1" si="15"/>
        <v>1.5418917802639878</v>
      </c>
      <c r="AS1200" s="77">
        <f t="shared" ca="1" si="16"/>
        <v>4</v>
      </c>
      <c r="AT1200" s="78">
        <f t="shared" ca="1" si="12"/>
        <v>0.91666666666666663</v>
      </c>
    </row>
    <row r="1201" spans="1:46" ht="12.5" x14ac:dyDescent="0.25">
      <c r="A1201" s="75">
        <v>44972.472804293982</v>
      </c>
      <c r="B1201" s="1" t="s">
        <v>10</v>
      </c>
      <c r="C1201" s="1" t="str">
        <f>INDEX(TBL_Name,MATCH(Table2[[#This Row],[Athlete Name]],listNames,0),2)</f>
        <v>Athlete 5</v>
      </c>
      <c r="D1201" s="1" t="s">
        <v>130</v>
      </c>
      <c r="E1201" s="1">
        <v>7</v>
      </c>
      <c r="F1201" s="1">
        <v>8</v>
      </c>
      <c r="G1201" s="1">
        <v>8</v>
      </c>
      <c r="H1201" s="1" t="s">
        <v>1290</v>
      </c>
      <c r="I1201" s="1">
        <v>5</v>
      </c>
      <c r="J1201" s="1">
        <v>8</v>
      </c>
      <c r="K1201" s="1">
        <v>8</v>
      </c>
      <c r="L1201" s="1">
        <v>76</v>
      </c>
      <c r="M1201" s="1" t="e">
        <f t="shared" ca="1" si="0"/>
        <v>#NAME?</v>
      </c>
      <c r="N1201" s="1" t="e">
        <f t="shared" si="1"/>
        <v>#VALUE!</v>
      </c>
      <c r="O1201" s="1" t="e">
        <f ca="1">IF($N1201=_xludf.MINIFS($N$2:$N2387,$R$2:$R2387,$R1201),1,
($N1201-_xludf.MINIFS($N$2:$N2387,$R$2:$R2387,$R1201))+1)</f>
        <v>#VALUE!</v>
      </c>
      <c r="P1201" s="13" t="e">
        <f t="shared" si="2"/>
        <v>#VALUE!</v>
      </c>
      <c r="Q1201" s="1" t="e">
        <f>RIGHT(YEAR($A1201),2)-(MONTH($A1201)&lt;=#REF!)
 &amp;"-"&amp;
 RIGHT(YEAR($A1201),2)+(MONTH($A1201)&gt;=#REF!)</f>
        <v>#REF!</v>
      </c>
      <c r="R1201" s="1" t="e">
        <f>CHOOSE(MONTH($P1201),#REF!,#REF!,#REF!,#REF!,#REF!,#REF!,#REF!,#REF!,#REF!,#REF!,#REF!,#REF!)&amp;" "&amp;$Q1201</f>
        <v>#VALUE!</v>
      </c>
      <c r="S1201" s="1">
        <f t="shared" si="3"/>
        <v>1</v>
      </c>
      <c r="T1201" s="1" t="str">
        <f t="array" ref="T1201">IFERROR(INDEX(#REF!,MATCH($B1201,#REF!,0)),"")</f>
        <v/>
      </c>
      <c r="U1201" s="1" t="str">
        <f t="array" ref="U1201">IFERROR(INDEX(#REF!,MATCH($B1201,#REF!,0)),"")</f>
        <v/>
      </c>
      <c r="V1201" s="76">
        <f t="array" ref="V1201">AVERAGEIFS($E$2:$E2248,$B$2:$B2248,$B1201,$P$2:$P2248,"&lt;="&amp;$P1201,$P$2:$P2248,"&gt;"&amp;$P1201-7)</f>
        <v>8.4042553191489358</v>
      </c>
      <c r="W1201" s="76">
        <f ca="1">IFERROR(__xludf.DUMMYFUNCTION("iferror(stdevp(filter($D$2:$D2250,$B$2:$B2250=$B1201,$O$2:$O2250&lt;=$O1201,$O$2:$O2250&gt;$O1201-7)),0)"),1.30930734141595)</f>
        <v>1.30930734141595</v>
      </c>
      <c r="X1201" s="77">
        <f t="shared" ca="1" si="4"/>
        <v>-1.0725177158407317</v>
      </c>
      <c r="Y1201" s="77">
        <f t="shared" ca="1" si="5"/>
        <v>1</v>
      </c>
      <c r="Z1201" s="76">
        <f t="array" ref="Z1201">AVERAGEIFS($F$2:$F2248,$B$2:$B2248,$B1201,$P$2:$P2248,"&lt;="&amp;$P1201,$P$2:$P2248,"&gt;"&amp;$P1201-7)</f>
        <v>8.085106382978724</v>
      </c>
      <c r="AA1201" s="76">
        <f ca="1">IFERROR(__xludf.DUMMYFUNCTION("iferror(stdevp(filter($E$2:$E2250,$B$2:$B2250=$B1201,$O$2:$O2250&lt;=$O1201,$O$2:$O2250&gt;$O1201-7)),0)"),0.989743318610787)</f>
        <v>0.98974331861078702</v>
      </c>
      <c r="AB1201" s="77">
        <f t="shared" ca="1" si="6"/>
        <v>-8.5988337964412923E-2</v>
      </c>
      <c r="AC1201" s="77">
        <f t="shared" ca="1" si="7"/>
        <v>2</v>
      </c>
      <c r="AD1201" s="76">
        <f t="array" ref="AD1201">AVERAGEIFS($G$2:$G2248,$B$2:$B2248,$B1201,$P$2:$P2248,"&lt;="&amp;$P1201,$P$2:$P2248,"&gt;"&amp;$P1201-7)</f>
        <v>8.0638297872340434</v>
      </c>
      <c r="AE1201" s="76">
        <f ca="1">IFERROR(__xludf.DUMMYFUNCTION("iferror(stdevp(filter($F$2:$F2250,$B$2:$B2250=$B1201,$O$2:$O2250&lt;=$O1201,$O$2:$O2250&gt;$O1201-7)),0)"),0.989743318610787)</f>
        <v>0.98974331861078702</v>
      </c>
      <c r="AF1201" s="77">
        <f t="shared" ca="1" si="8"/>
        <v>-6.4491253473310139E-2</v>
      </c>
      <c r="AG1201" s="77">
        <f t="shared" ca="1" si="9"/>
        <v>2</v>
      </c>
      <c r="AH1201" s="76">
        <f t="array" ref="AH1201">AVERAGEIFS($I$2:$I2248,$B$2:$B2248,$B1201,$P$2:$P2248,"&lt;="&amp;$P1201,$P$2:$P2248,"&gt;"&amp;$P1201-7)</f>
        <v>6.7446808510638299</v>
      </c>
      <c r="AI1201" s="76">
        <f ca="1">IFERROR(__xludf.DUMMYFUNCTION("iferror(stdevp(filter($H$2:$H2250,$B$2:$B2250=$B1201,$O$2:$O2250&lt;=$O1201,$O$2:$O2250&gt;$O1201-7)),0)"),2.44114392723358)</f>
        <v>2.44114392723358</v>
      </c>
      <c r="AJ1201" s="77">
        <f t="shared" ca="1" si="10"/>
        <v>-0.71469806904871225</v>
      </c>
      <c r="AK1201" s="77">
        <f t="shared" ca="1" si="11"/>
        <v>2</v>
      </c>
      <c r="AL1201" s="76">
        <f t="array" ref="AL1201">AVERAGEIFS($J$2:$J2248,$B$2:$B2248,$B1201,$P$2:$P2248,"&lt;="&amp;$P1201,$P$2:$P2248,"&gt;"&amp;$P1201-7)</f>
        <v>8.1063829787234045</v>
      </c>
      <c r="AM1201" s="76">
        <f ca="1">IFERROR(__xludf.DUMMYFUNCTION("iferror(stdevp(filter($I$2:$I2250,$B$2:$B2250=$B1201,$O$2:$O2250&lt;=$O1201,$O$2:$O2250&gt;$O1201-7)),0)"),0.832993127835043)</f>
        <v>0.83299312783504298</v>
      </c>
      <c r="AN1201" s="77">
        <f t="shared" ca="1" si="13"/>
        <v>-0.12771171234016646</v>
      </c>
      <c r="AO1201" s="77">
        <f t="shared" ca="1" si="14"/>
        <v>2</v>
      </c>
      <c r="AP1201" s="76">
        <f t="array" ref="AP1201">AVERAGEIFS($K$2:$K2248,$B$2:$B2248,$B1201,$P$2:$P2248,"&lt;="&amp;$P1201,$P$2:$P2248,"&gt;"&amp;$P1201-7)</f>
        <v>8.2978723404255312</v>
      </c>
      <c r="AQ1201" s="76">
        <f ca="1">IFERROR(__xludf.DUMMYFUNCTION("iferror(stdevp(filter($J$2:$J2250,$B$2:$B2250=$B1201,$O$2:$O2250&lt;=$O1201,$O$2:$O2250&gt;$O1201-7)),0)"),0.638876564999939)</f>
        <v>0.63887656499993895</v>
      </c>
      <c r="AR1201" s="77">
        <f t="shared" ca="1" si="15"/>
        <v>-0.46624396126591322</v>
      </c>
      <c r="AS1201" s="77">
        <f t="shared" ca="1" si="16"/>
        <v>2</v>
      </c>
      <c r="AT1201" s="78">
        <f t="shared" ca="1" si="12"/>
        <v>0.45833333333333331</v>
      </c>
    </row>
    <row r="1202" spans="1:46" ht="12.5" x14ac:dyDescent="0.25">
      <c r="A1202" s="75">
        <v>44972.492716712964</v>
      </c>
      <c r="B1202" s="1" t="s">
        <v>6</v>
      </c>
      <c r="C1202" s="1" t="str">
        <f>INDEX(TBL_Name,MATCH(Table2[[#This Row],[Athlete Name]],listNames,0),2)</f>
        <v>Athlete 2</v>
      </c>
      <c r="D1202" s="1" t="s">
        <v>130</v>
      </c>
      <c r="E1202" s="1">
        <v>10</v>
      </c>
      <c r="F1202" s="1">
        <v>10</v>
      </c>
      <c r="G1202" s="1">
        <v>9</v>
      </c>
      <c r="H1202" s="1" t="s">
        <v>181</v>
      </c>
      <c r="I1202" s="1">
        <v>7</v>
      </c>
      <c r="J1202" s="1">
        <v>8</v>
      </c>
      <c r="K1202" s="1">
        <v>9</v>
      </c>
      <c r="L1202" s="1">
        <v>99</v>
      </c>
      <c r="M1202" s="1" t="e">
        <f t="shared" ca="1" si="0"/>
        <v>#NAME?</v>
      </c>
      <c r="N1202" s="1" t="e">
        <f t="shared" si="1"/>
        <v>#VALUE!</v>
      </c>
      <c r="O1202" s="1" t="e">
        <f ca="1">IF($N1202=_xludf.MINIFS($N$2:$N2388,$R$2:$R2388,$R1202),1,
($N1202-_xludf.MINIFS($N$2:$N2388,$R$2:$R2388,$R1202))+1)</f>
        <v>#VALUE!</v>
      </c>
      <c r="P1202" s="13" t="e">
        <f t="shared" si="2"/>
        <v>#VALUE!</v>
      </c>
      <c r="Q1202" s="1" t="e">
        <f>RIGHT(YEAR($A1202),2)-(MONTH($A1202)&lt;=#REF!)
 &amp;"-"&amp;
 RIGHT(YEAR($A1202),2)+(MONTH($A1202)&gt;=#REF!)</f>
        <v>#REF!</v>
      </c>
      <c r="R1202" s="1" t="e">
        <f>CHOOSE(MONTH($P1202),#REF!,#REF!,#REF!,#REF!,#REF!,#REF!,#REF!,#REF!,#REF!,#REF!,#REF!,#REF!)&amp;" "&amp;$Q1202</f>
        <v>#VALUE!</v>
      </c>
      <c r="S1202" s="1">
        <f t="shared" si="3"/>
        <v>1</v>
      </c>
      <c r="T1202" s="1" t="str">
        <f t="array" ref="T1202">IFERROR(INDEX(#REF!,MATCH($B1202,#REF!,0)),"")</f>
        <v/>
      </c>
      <c r="U1202" s="1" t="str">
        <f t="array" ref="U1202">IFERROR(INDEX(#REF!,MATCH($B1202,#REF!,0)),"")</f>
        <v/>
      </c>
      <c r="V1202" s="76">
        <f t="array" ref="V1202">AVERAGEIFS($E$2:$E2248,$B$2:$B2248,$B1202,$P$2:$P2248,"&lt;="&amp;$P1202,$P$2:$P2248,"&gt;"&amp;$P1202-7)</f>
        <v>9.7441860465116275</v>
      </c>
      <c r="W1202" s="76">
        <f ca="1">IFERROR(__xludf.DUMMYFUNCTION("iferror(stdevp(filter($D$2:$D2250,$B$2:$B2250=$B1202,$O$2:$O2250&lt;=$O1202,$O$2:$O2250&gt;$O1202-7)),0)"),0)</f>
        <v>0</v>
      </c>
      <c r="X1202" s="77">
        <f t="shared" ca="1" si="4"/>
        <v>0</v>
      </c>
      <c r="Y1202" s="77">
        <f t="shared" ca="1" si="5"/>
        <v>3</v>
      </c>
      <c r="Z1202" s="76">
        <f t="array" ref="Z1202">AVERAGEIFS($F$2:$F2248,$B$2:$B2248,$B1202,$P$2:$P2248,"&lt;="&amp;$P1202,$P$2:$P2248,"&gt;"&amp;$P1202-7)</f>
        <v>8.279069767441861</v>
      </c>
      <c r="AA1202" s="76">
        <f ca="1">IFERROR(__xludf.DUMMYFUNCTION("iferror(stdevp(filter($E$2:$E2250,$B$2:$B2250=$B1202,$O$2:$O2250&lt;=$O1202,$O$2:$O2250&gt;$O1202-7)),0)"),0.399999999999999)</f>
        <v>0.39999999999999902</v>
      </c>
      <c r="AB1202" s="77">
        <f t="shared" ca="1" si="6"/>
        <v>4.3023255813953583</v>
      </c>
      <c r="AC1202" s="77">
        <f t="shared" ca="1" si="7"/>
        <v>4</v>
      </c>
      <c r="AD1202" s="76">
        <f t="array" ref="AD1202">AVERAGEIFS($G$2:$G2248,$B$2:$B2248,$B1202,$P$2:$P2248,"&lt;="&amp;$P1202,$P$2:$P2248,"&gt;"&amp;$P1202-7)</f>
        <v>8.604651162790697</v>
      </c>
      <c r="AE1202" s="76">
        <f ca="1">IFERROR(__xludf.DUMMYFUNCTION("iferror(stdevp(filter($F$2:$F2250,$B$2:$B2250=$B1202,$O$2:$O2250&lt;=$O1202,$O$2:$O2250&gt;$O1202-7)),0)"),0.489897948556635)</f>
        <v>0.48989794855663499</v>
      </c>
      <c r="AF1202" s="77">
        <f t="shared" ca="1" si="8"/>
        <v>0.80700243463787125</v>
      </c>
      <c r="AG1202" s="77">
        <f t="shared" ca="1" si="9"/>
        <v>3</v>
      </c>
      <c r="AH1202" s="76">
        <f t="array" ref="AH1202">AVERAGEIFS($I$2:$I2248,$B$2:$B2248,$B1202,$P$2:$P2248,"&lt;="&amp;$P1202,$P$2:$P2248,"&gt;"&amp;$P1202-7)</f>
        <v>8.3488372093023262</v>
      </c>
      <c r="AI1202" s="76">
        <f ca="1">IFERROR(__xludf.DUMMYFUNCTION("iferror(stdevp(filter($H$2:$H2250,$B$2:$B2250=$B1202,$O$2:$O2250&lt;=$O1202,$O$2:$O2250&gt;$O1202-7)),0)"),0.8)</f>
        <v>0.8</v>
      </c>
      <c r="AJ1202" s="77">
        <f t="shared" ca="1" si="10"/>
        <v>-1.6860465116279078</v>
      </c>
      <c r="AK1202" s="77">
        <f t="shared" ca="1" si="11"/>
        <v>1</v>
      </c>
      <c r="AL1202" s="76">
        <f t="array" ref="AL1202">AVERAGEIFS($J$2:$J2248,$B$2:$B2248,$B1202,$P$2:$P2248,"&lt;="&amp;$P1202,$P$2:$P2248,"&gt;"&amp;$P1202-7)</f>
        <v>8.3023255813953494</v>
      </c>
      <c r="AM1202" s="76">
        <f ca="1">IFERROR(__xludf.DUMMYFUNCTION("iferror(stdevp(filter($I$2:$I2250,$B$2:$B2250=$B1202,$O$2:$O2250&lt;=$O1202,$O$2:$O2250&gt;$O1202-7)),0)"),0.8)</f>
        <v>0.8</v>
      </c>
      <c r="AN1202" s="77">
        <f t="shared" ca="1" si="13"/>
        <v>-0.37790697674418672</v>
      </c>
      <c r="AO1202" s="77">
        <f t="shared" ca="1" si="14"/>
        <v>2</v>
      </c>
      <c r="AP1202" s="76">
        <f t="array" ref="AP1202">AVERAGEIFS($K$2:$K2248,$B$2:$B2248,$B1202,$P$2:$P2248,"&lt;="&amp;$P1202,$P$2:$P2248,"&gt;"&amp;$P1202-7)</f>
        <v>8.9069767441860463</v>
      </c>
      <c r="AQ1202" s="76">
        <f ca="1">IFERROR(__xludf.DUMMYFUNCTION("iferror(stdevp(filter($J$2:$J2250,$B$2:$B2250=$B1202,$O$2:$O2250&lt;=$O1202,$O$2:$O2250&gt;$O1202-7)),0)"),0.489897948556635)</f>
        <v>0.48989794855663499</v>
      </c>
      <c r="AR1202" s="77">
        <f t="shared" ca="1" si="15"/>
        <v>0.18988292579714616</v>
      </c>
      <c r="AS1202" s="77">
        <f t="shared" ca="1" si="16"/>
        <v>3</v>
      </c>
      <c r="AT1202" s="78">
        <f t="shared" ca="1" si="12"/>
        <v>0.66666666666666663</v>
      </c>
    </row>
    <row r="1203" spans="1:46" ht="12.5" x14ac:dyDescent="0.25">
      <c r="A1203" s="75">
        <v>44972.502296307866</v>
      </c>
      <c r="B1203" s="1" t="s">
        <v>22</v>
      </c>
      <c r="C1203" s="1" t="str">
        <f>INDEX(TBL_Name,MATCH(Table2[[#This Row],[Athlete Name]],listNames,0),2)</f>
        <v>Athlete 14</v>
      </c>
      <c r="D1203" s="1" t="s">
        <v>130</v>
      </c>
      <c r="E1203" s="1">
        <v>6</v>
      </c>
      <c r="F1203" s="1">
        <v>5</v>
      </c>
      <c r="G1203" s="1">
        <v>6</v>
      </c>
      <c r="H1203" s="1" t="s">
        <v>314</v>
      </c>
      <c r="I1203" s="1">
        <v>3</v>
      </c>
      <c r="J1203" s="1">
        <v>6</v>
      </c>
      <c r="K1203" s="1">
        <v>6</v>
      </c>
      <c r="L1203" s="1">
        <v>70</v>
      </c>
      <c r="M1203" s="1" t="e">
        <f t="shared" ca="1" si="0"/>
        <v>#NAME?</v>
      </c>
      <c r="N1203" s="1" t="e">
        <f t="shared" si="1"/>
        <v>#VALUE!</v>
      </c>
      <c r="O1203" s="1" t="e">
        <f ca="1">IF($N1203=_xludf.MINIFS($N$2:$N2389,$R$2:$R2389,$R1203),1,
($N1203-_xludf.MINIFS($N$2:$N2389,$R$2:$R2389,$R1203))+1)</f>
        <v>#VALUE!</v>
      </c>
      <c r="P1203" s="13" t="e">
        <f t="shared" si="2"/>
        <v>#VALUE!</v>
      </c>
      <c r="Q1203" s="1" t="e">
        <f>RIGHT(YEAR($A1203),2)-(MONTH($A1203)&lt;=#REF!)
 &amp;"-"&amp;
 RIGHT(YEAR($A1203),2)+(MONTH($A1203)&gt;=#REF!)</f>
        <v>#REF!</v>
      </c>
      <c r="R1203" s="1" t="e">
        <f>CHOOSE(MONTH($P1203),#REF!,#REF!,#REF!,#REF!,#REF!,#REF!,#REF!,#REF!,#REF!,#REF!,#REF!,#REF!)&amp;" "&amp;$Q1203</f>
        <v>#VALUE!</v>
      </c>
      <c r="S1203" s="1">
        <f t="shared" si="3"/>
        <v>1</v>
      </c>
      <c r="T1203" s="1" t="str">
        <f t="array" ref="T1203">IFERROR(INDEX(#REF!,MATCH($B1203,#REF!,0)),"")</f>
        <v/>
      </c>
      <c r="U1203" s="1" t="str">
        <f t="array" ref="U1203">IFERROR(INDEX(#REF!,MATCH($B1203,#REF!,0)),"")</f>
        <v/>
      </c>
      <c r="V1203" s="76">
        <f t="array" ref="V1203">AVERAGEIFS($E$2:$E2248,$B$2:$B2248,$B1203,$P$2:$P2248,"&lt;="&amp;$P1203,$P$2:$P2248,"&gt;"&amp;$P1203-7)</f>
        <v>5.791666666666667</v>
      </c>
      <c r="W1203" s="76">
        <f ca="1">IFERROR(__xludf.DUMMYFUNCTION("iferror(stdevp(filter($D$2:$D2250,$B$2:$B2250=$B1203,$O$2:$O2250&lt;=$O1203,$O$2:$O2250&gt;$O1203-7)),0)"),2.49443825784929)</f>
        <v>2.4944382578492901</v>
      </c>
      <c r="X1203" s="77">
        <f t="shared" ca="1" si="4"/>
        <v>8.3519138097632645E-2</v>
      </c>
      <c r="Y1203" s="77">
        <f t="shared" ca="1" si="5"/>
        <v>3</v>
      </c>
      <c r="Z1203" s="76">
        <f t="array" ref="Z1203">AVERAGEIFS($F$2:$F2248,$B$2:$B2248,$B1203,$P$2:$P2248,"&lt;="&amp;$P1203,$P$2:$P2248,"&gt;"&amp;$P1203-7)</f>
        <v>5.458333333333333</v>
      </c>
      <c r="AA1203" s="76">
        <f ca="1">IFERROR(__xludf.DUMMYFUNCTION("iferror(stdevp(filter($E$2:$E2250,$B$2:$B2250=$B1203,$O$2:$O2250&lt;=$O1203,$O$2:$O2250&gt;$O1203-7)),0)"),1.63299316185545)</f>
        <v>1.6329931618554501</v>
      </c>
      <c r="AB1203" s="77">
        <f t="shared" ca="1" si="6"/>
        <v>-0.28067069969390601</v>
      </c>
      <c r="AC1203" s="77">
        <f t="shared" ca="1" si="7"/>
        <v>2</v>
      </c>
      <c r="AD1203" s="76">
        <f t="array" ref="AD1203">AVERAGEIFS($G$2:$G2248,$B$2:$B2248,$B1203,$P$2:$P2248,"&lt;="&amp;$P1203,$P$2:$P2248,"&gt;"&amp;$P1203-7)</f>
        <v>6.833333333333333</v>
      </c>
      <c r="AE1203" s="76">
        <f ca="1">IFERROR(__xludf.DUMMYFUNCTION("iferror(stdevp(filter($F$2:$F2250,$B$2:$B2250=$B1203,$O$2:$O2250&lt;=$O1203,$O$2:$O2250&gt;$O1203-7)),0)"),1.24721912892464)</f>
        <v>1.2472191289246399</v>
      </c>
      <c r="AF1203" s="77">
        <f t="shared" ca="1" si="8"/>
        <v>-0.6681531047810646</v>
      </c>
      <c r="AG1203" s="77">
        <f t="shared" ca="1" si="9"/>
        <v>2</v>
      </c>
      <c r="AH1203" s="76">
        <f t="array" ref="AH1203">AVERAGEIFS($I$2:$I2248,$B$2:$B2248,$B1203,$P$2:$P2248,"&lt;="&amp;$P1203,$P$2:$P2248,"&gt;"&amp;$P1203-7)</f>
        <v>5.125</v>
      </c>
      <c r="AI1203" s="76">
        <f ca="1">IFERROR(__xludf.DUMMYFUNCTION("iferror(stdevp(filter($H$2:$H2250,$B$2:$B2250=$B1203,$O$2:$O2250&lt;=$O1203,$O$2:$O2250&gt;$O1203-7)),0)"),0)</f>
        <v>0</v>
      </c>
      <c r="AJ1203" s="77">
        <f t="shared" ca="1" si="10"/>
        <v>0</v>
      </c>
      <c r="AK1203" s="77">
        <f t="shared" ca="1" si="11"/>
        <v>3</v>
      </c>
      <c r="AL1203" s="76">
        <f t="array" ref="AL1203">AVERAGEIFS($J$2:$J2248,$B$2:$B2248,$B1203,$P$2:$P2248,"&lt;="&amp;$P1203,$P$2:$P2248,"&gt;"&amp;$P1203-7)</f>
        <v>7.125</v>
      </c>
      <c r="AM1203" s="76">
        <f ca="1">IFERROR(__xludf.DUMMYFUNCTION("iferror(stdevp(filter($I$2:$I2250,$B$2:$B2250=$B1203,$O$2:$O2250&lt;=$O1203,$O$2:$O2250&gt;$O1203-7)),0)"),0.816496580927726)</f>
        <v>0.81649658092772603</v>
      </c>
      <c r="AN1203" s="77">
        <f t="shared" ca="1" si="13"/>
        <v>-1.3778379803155376</v>
      </c>
      <c r="AO1203" s="77">
        <f t="shared" ca="1" si="14"/>
        <v>1</v>
      </c>
      <c r="AP1203" s="76">
        <f t="array" ref="AP1203">AVERAGEIFS($K$2:$K2248,$B$2:$B2248,$B1203,$P$2:$P2248,"&lt;="&amp;$P1203,$P$2:$P2248,"&gt;"&amp;$P1203-7)</f>
        <v>7.083333333333333</v>
      </c>
      <c r="AQ1203" s="76">
        <f ca="1">IFERROR(__xludf.DUMMYFUNCTION("iferror(stdevp(filter($J$2:$J2250,$B$2:$B2250=$B1203,$O$2:$O2250&lt;=$O1203,$O$2:$O2250&gt;$O1203-7)),0)"),0.471404520791031)</f>
        <v>0.47140452079103101</v>
      </c>
      <c r="AR1203" s="77">
        <f t="shared" ca="1" si="15"/>
        <v>-2.298097038856282</v>
      </c>
      <c r="AS1203" s="77">
        <f t="shared" ca="1" si="16"/>
        <v>1</v>
      </c>
      <c r="AT1203" s="78">
        <f t="shared" ca="1" si="12"/>
        <v>0.5</v>
      </c>
    </row>
    <row r="1204" spans="1:46" ht="12.5" x14ac:dyDescent="0.25">
      <c r="A1204" s="75">
        <v>44972.502872581019</v>
      </c>
      <c r="B1204" s="1" t="s">
        <v>19</v>
      </c>
      <c r="C1204" s="1" t="str">
        <f>INDEX(TBL_Name,MATCH(Table2[[#This Row],[Athlete Name]],listNames,0),2)</f>
        <v>Athlete 11</v>
      </c>
      <c r="D1204" s="1" t="s">
        <v>130</v>
      </c>
      <c r="E1204" s="1">
        <v>4</v>
      </c>
      <c r="F1204" s="1">
        <v>8</v>
      </c>
      <c r="G1204" s="1">
        <v>8</v>
      </c>
      <c r="H1204" s="1" t="s">
        <v>1310</v>
      </c>
      <c r="I1204" s="1">
        <v>4</v>
      </c>
      <c r="J1204" s="1">
        <v>8</v>
      </c>
      <c r="K1204" s="1">
        <v>7</v>
      </c>
      <c r="L1204" s="1">
        <v>55</v>
      </c>
      <c r="M1204" s="1" t="e">
        <f t="shared" ca="1" si="0"/>
        <v>#NAME?</v>
      </c>
      <c r="N1204" s="1" t="e">
        <f t="shared" si="1"/>
        <v>#VALUE!</v>
      </c>
      <c r="O1204" s="1" t="e">
        <f ca="1">IF($N1204=_xludf.MINIFS($N$2:$N2390,$R$2:$R2390,$R1204),1,
($N1204-_xludf.MINIFS($N$2:$N2390,$R$2:$R2390,$R1204))+1)</f>
        <v>#VALUE!</v>
      </c>
      <c r="P1204" s="13" t="e">
        <f t="shared" si="2"/>
        <v>#VALUE!</v>
      </c>
      <c r="Q1204" s="1" t="e">
        <f>RIGHT(YEAR($A1204),2)-(MONTH($A1204)&lt;=#REF!)
 &amp;"-"&amp;
 RIGHT(YEAR($A1204),2)+(MONTH($A1204)&gt;=#REF!)</f>
        <v>#REF!</v>
      </c>
      <c r="R1204" s="1" t="e">
        <f>CHOOSE(MONTH($P1204),#REF!,#REF!,#REF!,#REF!,#REF!,#REF!,#REF!,#REF!,#REF!,#REF!,#REF!,#REF!)&amp;" "&amp;$Q1204</f>
        <v>#VALUE!</v>
      </c>
      <c r="S1204" s="1">
        <f t="shared" si="3"/>
        <v>1</v>
      </c>
      <c r="T1204" s="1" t="str">
        <f t="array" ref="T1204">IFERROR(INDEX(#REF!,MATCH($B1204,#REF!,0)),"")</f>
        <v/>
      </c>
      <c r="U1204" s="1" t="str">
        <f t="array" ref="U1204">IFERROR(INDEX(#REF!,MATCH($B1204,#REF!,0)),"")</f>
        <v/>
      </c>
      <c r="V1204" s="76">
        <f t="array" ref="V1204">AVERAGEIFS($E$2:$E2248,$B$2:$B2248,$B1204,$P$2:$P2248,"&lt;="&amp;$P1204,$P$2:$P2248,"&gt;"&amp;$P1204-7)</f>
        <v>4.6538461538461542</v>
      </c>
      <c r="W1204" s="76">
        <f ca="1">IFERROR(__xludf.DUMMYFUNCTION("iferror(stdevp(filter($D$2:$D2250,$B$2:$B2250=$B1204,$O$2:$O2250&lt;=$O1204,$O$2:$O2250&gt;$O1204-7)),0)"),0.979795897113271)</f>
        <v>0.97979589711327097</v>
      </c>
      <c r="X1204" s="77">
        <f t="shared" ca="1" si="4"/>
        <v>-0.66732893633516122</v>
      </c>
      <c r="Y1204" s="77">
        <f t="shared" ca="1" si="5"/>
        <v>2</v>
      </c>
      <c r="Z1204" s="76">
        <f t="array" ref="Z1204">AVERAGEIFS($F$2:$F2248,$B$2:$B2248,$B1204,$P$2:$P2248,"&lt;="&amp;$P1204,$P$2:$P2248,"&gt;"&amp;$P1204-7)</f>
        <v>6.8461538461538458</v>
      </c>
      <c r="AA1204" s="76">
        <f ca="1">IFERROR(__xludf.DUMMYFUNCTION("iferror(stdevp(filter($E$2:$E2250,$B$2:$B2250=$B1204,$O$2:$O2250&lt;=$O1204,$O$2:$O2250&gt;$O1204-7)),0)"),1.54919333848296)</f>
        <v>1.5491933384829599</v>
      </c>
      <c r="AB1204" s="77">
        <f t="shared" ca="1" si="6"/>
        <v>0.74480448965527601</v>
      </c>
      <c r="AC1204" s="77">
        <f t="shared" ca="1" si="7"/>
        <v>3</v>
      </c>
      <c r="AD1204" s="76">
        <f t="array" ref="AD1204">AVERAGEIFS($G$2:$G2248,$B$2:$B2248,$B1204,$P$2:$P2248,"&lt;="&amp;$P1204,$P$2:$P2248,"&gt;"&amp;$P1204-7)</f>
        <v>7.2692307692307692</v>
      </c>
      <c r="AE1204" s="76">
        <f ca="1">IFERROR(__xludf.DUMMYFUNCTION("iferror(stdevp(filter($F$2:$F2250,$B$2:$B2250=$B1204,$O$2:$O2250&lt;=$O1204,$O$2:$O2250&gt;$O1204-7)),0)"),0.489897948556635)</f>
        <v>0.48989794855663499</v>
      </c>
      <c r="AF1204" s="77">
        <f t="shared" ca="1" si="8"/>
        <v>1.4916764459256553</v>
      </c>
      <c r="AG1204" s="77">
        <f t="shared" ca="1" si="9"/>
        <v>4</v>
      </c>
      <c r="AH1204" s="76">
        <f t="array" ref="AH1204">AVERAGEIFS($I$2:$I2248,$B$2:$B2248,$B1204,$P$2:$P2248,"&lt;="&amp;$P1204,$P$2:$P2248,"&gt;"&amp;$P1204-7)</f>
        <v>4.9230769230769234</v>
      </c>
      <c r="AI1204" s="76">
        <f ca="1">IFERROR(__xludf.DUMMYFUNCTION("iferror(stdevp(filter($H$2:$H2250,$B$2:$B2250=$B1204,$O$2:$O2250&lt;=$O1204,$O$2:$O2250&gt;$O1204-7)),0)"),1.35646599662505)</f>
        <v>1.3564659966250501</v>
      </c>
      <c r="AJ1204" s="77">
        <f t="shared" ca="1" si="10"/>
        <v>-0.68050133609952723</v>
      </c>
      <c r="AK1204" s="77">
        <f t="shared" ca="1" si="11"/>
        <v>2</v>
      </c>
      <c r="AL1204" s="76">
        <f t="array" ref="AL1204">AVERAGEIFS($J$2:$J2248,$B$2:$B2248,$B1204,$P$2:$P2248,"&lt;="&amp;$P1204,$P$2:$P2248,"&gt;"&amp;$P1204-7)</f>
        <v>7.5769230769230766</v>
      </c>
      <c r="AM1204" s="76">
        <f ca="1">IFERROR(__xludf.DUMMYFUNCTION("iferror(stdevp(filter($I$2:$I2250,$B$2:$B2250=$B1204,$O$2:$O2250&lt;=$O1204,$O$2:$O2250&gt;$O1204-7)),0)"),1.01980390271855)</f>
        <v>1.0198039027185499</v>
      </c>
      <c r="AN1204" s="77">
        <f t="shared" ca="1" si="13"/>
        <v>0.41486105510000781</v>
      </c>
      <c r="AO1204" s="77">
        <f t="shared" ca="1" si="14"/>
        <v>3</v>
      </c>
      <c r="AP1204" s="76">
        <f t="array" ref="AP1204">AVERAGEIFS($K$2:$K2248,$B$2:$B2248,$B1204,$P$2:$P2248,"&lt;="&amp;$P1204,$P$2:$P2248,"&gt;"&amp;$P1204-7)</f>
        <v>8</v>
      </c>
      <c r="AQ1204" s="76">
        <f ca="1">IFERROR(__xludf.DUMMYFUNCTION("iferror(stdevp(filter($J$2:$J2250,$B$2:$B2250=$B1204,$O$2:$O2250&lt;=$O1204,$O$2:$O2250&gt;$O1204-7)),0)"),1.6)</f>
        <v>1.6</v>
      </c>
      <c r="AR1204" s="77">
        <f t="shared" ca="1" si="15"/>
        <v>-0.625</v>
      </c>
      <c r="AS1204" s="77">
        <f t="shared" ca="1" si="16"/>
        <v>2</v>
      </c>
      <c r="AT1204" s="78">
        <f t="shared" ca="1" si="12"/>
        <v>0.66666666666666663</v>
      </c>
    </row>
    <row r="1205" spans="1:46" ht="12.5" x14ac:dyDescent="0.25">
      <c r="A1205" s="75">
        <v>44972.593040949076</v>
      </c>
      <c r="B1205" s="1" t="s">
        <v>20</v>
      </c>
      <c r="C1205" s="1" t="str">
        <f>INDEX(TBL_Name,MATCH(Table2[[#This Row],[Athlete Name]],listNames,0),2)</f>
        <v>Athlete 12</v>
      </c>
      <c r="D1205" s="1" t="s">
        <v>143</v>
      </c>
      <c r="E1205" s="1">
        <v>6</v>
      </c>
      <c r="F1205" s="1">
        <v>9</v>
      </c>
      <c r="G1205" s="1">
        <v>8</v>
      </c>
      <c r="H1205" s="1" t="s">
        <v>188</v>
      </c>
      <c r="I1205" s="1">
        <v>3</v>
      </c>
      <c r="J1205" s="1">
        <v>6</v>
      </c>
      <c r="K1205" s="1">
        <v>6</v>
      </c>
      <c r="L1205" s="1">
        <v>65</v>
      </c>
      <c r="M1205" s="1" t="e">
        <f t="shared" ca="1" si="0"/>
        <v>#NAME?</v>
      </c>
      <c r="N1205" s="1" t="e">
        <f t="shared" si="1"/>
        <v>#VALUE!</v>
      </c>
      <c r="O1205" s="1" t="e">
        <f ca="1">IF($N1205=_xludf.MINIFS($N$2:$N2391,$R$2:$R2391,$R1205),1,
($N1205-_xludf.MINIFS($N$2:$N2391,$R$2:$R2391,$R1205))+1)</f>
        <v>#VALUE!</v>
      </c>
      <c r="P1205" s="13" t="e">
        <f t="shared" si="2"/>
        <v>#VALUE!</v>
      </c>
      <c r="Q1205" s="1" t="e">
        <f>RIGHT(YEAR($A1205),2)-(MONTH($A1205)&lt;=#REF!)
 &amp;"-"&amp;
 RIGHT(YEAR($A1205),2)+(MONTH($A1205)&gt;=#REF!)</f>
        <v>#REF!</v>
      </c>
      <c r="R1205" s="1" t="e">
        <f>CHOOSE(MONTH($P1205),#REF!,#REF!,#REF!,#REF!,#REF!,#REF!,#REF!,#REF!,#REF!,#REF!,#REF!,#REF!)&amp;" "&amp;$Q1205</f>
        <v>#VALUE!</v>
      </c>
      <c r="S1205" s="1">
        <f t="shared" si="3"/>
        <v>2</v>
      </c>
      <c r="T1205" s="1" t="str">
        <f t="array" ref="T1205">IFERROR(INDEX(#REF!,MATCH($B1205,#REF!,0)),"")</f>
        <v/>
      </c>
      <c r="U1205" s="1" t="str">
        <f t="array" ref="U1205">IFERROR(INDEX(#REF!,MATCH($B1205,#REF!,0)),"")</f>
        <v/>
      </c>
      <c r="V1205" s="76">
        <f t="array" ref="V1205">AVERAGEIFS($E$2:$E2248,$B$2:$B2248,$B1205,$P$2:$P2248,"&lt;="&amp;$P1205,$P$2:$P2248,"&gt;"&amp;$P1205-7)</f>
        <v>7.4761904761904763</v>
      </c>
      <c r="W1205" s="76">
        <f ca="1">IFERROR(__xludf.DUMMYFUNCTION("iferror(stdevp(filter($D$2:$D2250,$B$2:$B2250=$B1205,$O$2:$O2250&lt;=$O1205,$O$2:$O2250&gt;$O1205-7)),0)"),1.29903810567665)</f>
        <v>1.29903810567665</v>
      </c>
      <c r="X1205" s="77">
        <f t="shared" ca="1" si="4"/>
        <v>-1.1363719584049847</v>
      </c>
      <c r="Y1205" s="77">
        <f t="shared" ca="1" si="5"/>
        <v>1</v>
      </c>
      <c r="Z1205" s="76">
        <f t="array" ref="Z1205">AVERAGEIFS($F$2:$F2248,$B$2:$B2248,$B1205,$P$2:$P2248,"&lt;="&amp;$P1205,$P$2:$P2248,"&gt;"&amp;$P1205-7)</f>
        <v>8.1904761904761898</v>
      </c>
      <c r="AA1205" s="76">
        <f ca="1">IFERROR(__xludf.DUMMYFUNCTION("iferror(stdevp(filter($E$2:$E2250,$B$2:$B2250=$B1205,$O$2:$O2250&lt;=$O1205,$O$2:$O2250&gt;$O1205-7)),0)"),1.29903810567665)</f>
        <v>1.29903810567665</v>
      </c>
      <c r="AB1205" s="77">
        <f t="shared" ca="1" si="6"/>
        <v>0.62317171912531466</v>
      </c>
      <c r="AC1205" s="77">
        <f t="shared" ca="1" si="7"/>
        <v>3</v>
      </c>
      <c r="AD1205" s="76">
        <f t="array" ref="AD1205">AVERAGEIFS($G$2:$G2248,$B$2:$B2248,$B1205,$P$2:$P2248,"&lt;="&amp;$P1205,$P$2:$P2248,"&gt;"&amp;$P1205-7)</f>
        <v>8.5714285714285712</v>
      </c>
      <c r="AE1205" s="76">
        <f ca="1">IFERROR(__xludf.DUMMYFUNCTION("iferror(stdevp(filter($F$2:$F2250,$B$2:$B2250=$B1205,$O$2:$O2250&lt;=$O1205,$O$2:$O2250&gt;$O1205-7)),0)"),0.82915619758885)</f>
        <v>0.82915619758884995</v>
      </c>
      <c r="AF1205" s="77">
        <f t="shared" ca="1" si="8"/>
        <v>-0.6891687876063165</v>
      </c>
      <c r="AG1205" s="77">
        <f t="shared" ca="1" si="9"/>
        <v>2</v>
      </c>
      <c r="AH1205" s="76">
        <f t="array" ref="AH1205">AVERAGEIFS($I$2:$I2248,$B$2:$B2248,$B1205,$P$2:$P2248,"&lt;="&amp;$P1205,$P$2:$P2248,"&gt;"&amp;$P1205-7)</f>
        <v>5.6190476190476186</v>
      </c>
      <c r="AI1205" s="76">
        <f ca="1">IFERROR(__xludf.DUMMYFUNCTION("iferror(stdevp(filter($H$2:$H2250,$B$2:$B2250=$B1205,$O$2:$O2250&lt;=$O1205,$O$2:$O2250&gt;$O1205-7)),0)"),1.5)</f>
        <v>1.5</v>
      </c>
      <c r="AJ1205" s="77">
        <f t="shared" ca="1" si="10"/>
        <v>-1.7460317460317458</v>
      </c>
      <c r="AK1205" s="77">
        <f t="shared" ca="1" si="11"/>
        <v>1</v>
      </c>
      <c r="AL1205" s="76">
        <f t="array" ref="AL1205">AVERAGEIFS($J$2:$J2248,$B$2:$B2248,$B1205,$P$2:$P2248,"&lt;="&amp;$P1205,$P$2:$P2248,"&gt;"&amp;$P1205-7)</f>
        <v>7</v>
      </c>
      <c r="AM1205" s="76">
        <f ca="1">IFERROR(__xludf.DUMMYFUNCTION("iferror(stdevp(filter($I$2:$I2250,$B$2:$B2250=$B1205,$O$2:$O2250&lt;=$O1205,$O$2:$O2250&gt;$O1205-7)),0)"),0.866025403784438)</f>
        <v>0.86602540378443804</v>
      </c>
      <c r="AN1205" s="77">
        <f t="shared" ca="1" si="13"/>
        <v>-1.1547005383792524</v>
      </c>
      <c r="AO1205" s="77">
        <f t="shared" ca="1" si="14"/>
        <v>1</v>
      </c>
      <c r="AP1205" s="76">
        <f t="array" ref="AP1205">AVERAGEIFS($K$2:$K2248,$B$2:$B2248,$B1205,$P$2:$P2248,"&lt;="&amp;$P1205,$P$2:$P2248,"&gt;"&amp;$P1205-7)</f>
        <v>7.4285714285714288</v>
      </c>
      <c r="AQ1205" s="76">
        <f ca="1">IFERROR(__xludf.DUMMYFUNCTION("iferror(stdevp(filter($J$2:$J2250,$B$2:$B2250=$B1205,$O$2:$O2250&lt;=$O1205,$O$2:$O2250&gt;$O1205-7)),0)"),0.433012701892219)</f>
        <v>0.43301270189221902</v>
      </c>
      <c r="AR1205" s="77">
        <f t="shared" ca="1" si="15"/>
        <v>-3.2991443953692929</v>
      </c>
      <c r="AS1205" s="77">
        <f t="shared" ca="1" si="16"/>
        <v>1</v>
      </c>
      <c r="AT1205" s="78">
        <f t="shared" ca="1" si="12"/>
        <v>0.375</v>
      </c>
    </row>
    <row r="1206" spans="1:46" ht="12.5" x14ac:dyDescent="0.25">
      <c r="A1206" s="75">
        <v>44972.593136192125</v>
      </c>
      <c r="B1206" s="1" t="s">
        <v>7</v>
      </c>
      <c r="C1206" s="1" t="str">
        <f>INDEX(TBL_Name,MATCH(Table2[[#This Row],[Athlete Name]],listNames,0),2)</f>
        <v>Athlete 3</v>
      </c>
      <c r="D1206" s="1" t="s">
        <v>130</v>
      </c>
      <c r="E1206" s="1">
        <v>8</v>
      </c>
      <c r="F1206" s="1">
        <v>8</v>
      </c>
      <c r="G1206" s="1">
        <v>7</v>
      </c>
      <c r="H1206" s="1" t="s">
        <v>70</v>
      </c>
      <c r="I1206" s="1">
        <v>5</v>
      </c>
      <c r="J1206" s="1">
        <v>8</v>
      </c>
      <c r="K1206" s="1">
        <v>8</v>
      </c>
      <c r="L1206" s="1">
        <v>90</v>
      </c>
      <c r="M1206" s="1" t="e">
        <f t="shared" ca="1" si="0"/>
        <v>#NAME?</v>
      </c>
      <c r="N1206" s="1" t="e">
        <f t="shared" si="1"/>
        <v>#VALUE!</v>
      </c>
      <c r="O1206" s="1" t="e">
        <f ca="1">IF($N1206=_xludf.MINIFS($N$2:$N2392,$R$2:$R2392,$R1206),1,
($N1206-_xludf.MINIFS($N$2:$N2392,$R$2:$R2392,$R1206))+1)</f>
        <v>#VALUE!</v>
      </c>
      <c r="P1206" s="13" t="e">
        <f t="shared" si="2"/>
        <v>#VALUE!</v>
      </c>
      <c r="Q1206" s="1" t="e">
        <f>RIGHT(YEAR($A1206),2)-(MONTH($A1206)&lt;=#REF!)
 &amp;"-"&amp;
 RIGHT(YEAR($A1206),2)+(MONTH($A1206)&gt;=#REF!)</f>
        <v>#REF!</v>
      </c>
      <c r="R1206" s="1" t="e">
        <f>CHOOSE(MONTH($P1206),#REF!,#REF!,#REF!,#REF!,#REF!,#REF!,#REF!,#REF!,#REF!,#REF!,#REF!,#REF!)&amp;" "&amp;$Q1206</f>
        <v>#VALUE!</v>
      </c>
      <c r="S1206" s="1">
        <f t="shared" si="3"/>
        <v>1</v>
      </c>
      <c r="T1206" s="1" t="str">
        <f t="array" ref="T1206">IFERROR(INDEX(#REF!,MATCH($B1206,#REF!,0)),"")</f>
        <v/>
      </c>
      <c r="U1206" s="1" t="str">
        <f t="array" ref="U1206">IFERROR(INDEX(#REF!,MATCH($B1206,#REF!,0)),"")</f>
        <v/>
      </c>
      <c r="V1206" s="76">
        <f t="array" ref="V1206">AVERAGEIFS($E$2:$E2248,$B$2:$B2248,$B1206,$P$2:$P2248,"&lt;="&amp;$P1206,$P$2:$P2248,"&gt;"&amp;$P1206-7)</f>
        <v>6</v>
      </c>
      <c r="W1206" s="76">
        <f ca="1">IFERROR(__xludf.DUMMYFUNCTION("iferror(stdevp(filter($D$2:$D2250,$B$2:$B2250=$B1206,$O$2:$O2250&lt;=$O1206,$O$2:$O2250&gt;$O1206-7)),0)"),1.49666295470957)</f>
        <v>1.49666295470957</v>
      </c>
      <c r="X1206" s="77">
        <f t="shared" ca="1" si="4"/>
        <v>1.3363062095621279</v>
      </c>
      <c r="Y1206" s="77">
        <f t="shared" ca="1" si="5"/>
        <v>4</v>
      </c>
      <c r="Z1206" s="76">
        <f t="array" ref="Z1206">AVERAGEIFS($F$2:$F2248,$B$2:$B2248,$B1206,$P$2:$P2248,"&lt;="&amp;$P1206,$P$2:$P2248,"&gt;"&amp;$P1206-7)</f>
        <v>7.3703703703703702</v>
      </c>
      <c r="AA1206" s="76">
        <f ca="1">IFERROR(__xludf.DUMMYFUNCTION("iferror(stdevp(filter($E$2:$E2250,$B$2:$B2250=$B1206,$O$2:$O2250&lt;=$O1206,$O$2:$O2250&gt;$O1206-7)),0)"),0.748331477354788)</f>
        <v>0.748331477354788</v>
      </c>
      <c r="AB1206" s="77">
        <f t="shared" ca="1" si="6"/>
        <v>0.84137798379837359</v>
      </c>
      <c r="AC1206" s="77">
        <f t="shared" ca="1" si="7"/>
        <v>3</v>
      </c>
      <c r="AD1206" s="76">
        <f t="array" ref="AD1206">AVERAGEIFS($G$2:$G2248,$B$2:$B2248,$B1206,$P$2:$P2248,"&lt;="&amp;$P1206,$P$2:$P2248,"&gt;"&amp;$P1206-7)</f>
        <v>7.7777777777777777</v>
      </c>
      <c r="AE1206" s="76">
        <f ca="1">IFERROR(__xludf.DUMMYFUNCTION("iferror(stdevp(filter($F$2:$F2250,$B$2:$B2250=$B1206,$O$2:$O2250&lt;=$O1206,$O$2:$O2250&gt;$O1206-7)),0)"),0.489897948556635)</f>
        <v>0.48989794855663499</v>
      </c>
      <c r="AF1206" s="77">
        <f t="shared" ca="1" si="8"/>
        <v>-1.5876322406928025</v>
      </c>
      <c r="AG1206" s="77">
        <f t="shared" ca="1" si="9"/>
        <v>1</v>
      </c>
      <c r="AH1206" s="76">
        <f t="array" ref="AH1206">AVERAGEIFS($I$2:$I2248,$B$2:$B2248,$B1206,$P$2:$P2248,"&lt;="&amp;$P1206,$P$2:$P2248,"&gt;"&amp;$P1206-7)</f>
        <v>6.333333333333333</v>
      </c>
      <c r="AI1206" s="76">
        <f ca="1">IFERROR(__xludf.DUMMYFUNCTION("iferror(stdevp(filter($H$2:$H2250,$B$2:$B2250=$B1206,$O$2:$O2250&lt;=$O1206,$O$2:$O2250&gt;$O1206-7)),0)"),2.72763633939717)</f>
        <v>2.7276363393971699</v>
      </c>
      <c r="AJ1206" s="77">
        <f t="shared" ca="1" si="10"/>
        <v>-0.48882371673784442</v>
      </c>
      <c r="AK1206" s="77">
        <f t="shared" ca="1" si="11"/>
        <v>2</v>
      </c>
      <c r="AL1206" s="76">
        <f t="array" ref="AL1206">AVERAGEIFS($J$2:$J2248,$B$2:$B2248,$B1206,$P$2:$P2248,"&lt;="&amp;$P1206,$P$2:$P2248,"&gt;"&amp;$P1206-7)</f>
        <v>5.4230769230769234</v>
      </c>
      <c r="AM1206" s="76">
        <f ca="1">IFERROR(__xludf.DUMMYFUNCTION("iferror(stdevp(filter($I$2:$I2250,$B$2:$B2250=$B1206,$O$2:$O2250&lt;=$O1206,$O$2:$O2250&gt;$O1206-7)),0)"),1.4696938456699)</f>
        <v>1.4696938456699</v>
      </c>
      <c r="AN1206" s="77">
        <f t="shared" ca="1" si="13"/>
        <v>1.7533740680178811</v>
      </c>
      <c r="AO1206" s="77">
        <f t="shared" ca="1" si="14"/>
        <v>4</v>
      </c>
      <c r="AP1206" s="76">
        <f t="array" ref="AP1206">AVERAGEIFS($K$2:$K2248,$B$2:$B2248,$B1206,$P$2:$P2248,"&lt;="&amp;$P1206,$P$2:$P2248,"&gt;"&amp;$P1206-7)</f>
        <v>7.5769230769230766</v>
      </c>
      <c r="AQ1206" s="76">
        <f ca="1">IFERROR(__xludf.DUMMYFUNCTION("iferror(stdevp(filter($J$2:$J2250,$B$2:$B2250=$B1206,$O$2:$O2250&lt;=$O1206,$O$2:$O2250&gt;$O1206-7)),0)"),0.399999999999999)</f>
        <v>0.39999999999999902</v>
      </c>
      <c r="AR1206" s="77">
        <f t="shared" ca="1" si="15"/>
        <v>1.057692307692311</v>
      </c>
      <c r="AS1206" s="77">
        <f t="shared" ca="1" si="16"/>
        <v>4</v>
      </c>
      <c r="AT1206" s="78">
        <f t="shared" ca="1" si="12"/>
        <v>0.75</v>
      </c>
    </row>
    <row r="1207" spans="1:46" ht="12.5" x14ac:dyDescent="0.25">
      <c r="A1207" s="75">
        <v>44972.593326122689</v>
      </c>
      <c r="B1207" s="1" t="s">
        <v>17</v>
      </c>
      <c r="C1207" s="1" t="str">
        <f>INDEX(TBL_Name,MATCH(Table2[[#This Row],[Athlete Name]],listNames,0),2)</f>
        <v>Athlete 10</v>
      </c>
      <c r="D1207" s="1" t="s">
        <v>130</v>
      </c>
      <c r="E1207" s="1">
        <v>6</v>
      </c>
      <c r="F1207" s="1">
        <v>8</v>
      </c>
      <c r="G1207" s="1">
        <v>6</v>
      </c>
      <c r="H1207" s="1" t="s">
        <v>561</v>
      </c>
      <c r="I1207" s="1">
        <v>7</v>
      </c>
      <c r="J1207" s="1">
        <v>8</v>
      </c>
      <c r="K1207" s="1">
        <v>6</v>
      </c>
      <c r="L1207" s="1">
        <v>84</v>
      </c>
      <c r="M1207" s="1" t="e">
        <f t="shared" ca="1" si="0"/>
        <v>#NAME?</v>
      </c>
      <c r="N1207" s="1" t="e">
        <f t="shared" si="1"/>
        <v>#VALUE!</v>
      </c>
      <c r="O1207" s="1" t="e">
        <f ca="1">IF($N1207=_xludf.MINIFS($N$2:$N2393,$R$2:$R2393,$R1207),1,
($N1207-_xludf.MINIFS($N$2:$N2393,$R$2:$R2393,$R1207))+1)</f>
        <v>#VALUE!</v>
      </c>
      <c r="P1207" s="13" t="e">
        <f t="shared" si="2"/>
        <v>#VALUE!</v>
      </c>
      <c r="Q1207" s="1" t="e">
        <f>RIGHT(YEAR($A1207),2)-(MONTH($A1207)&lt;=#REF!)
 &amp;"-"&amp;
 RIGHT(YEAR($A1207),2)+(MONTH($A1207)&gt;=#REF!)</f>
        <v>#REF!</v>
      </c>
      <c r="R1207" s="1" t="e">
        <f>CHOOSE(MONTH($P1207),#REF!,#REF!,#REF!,#REF!,#REF!,#REF!,#REF!,#REF!,#REF!,#REF!,#REF!,#REF!)&amp;" "&amp;$Q1207</f>
        <v>#VALUE!</v>
      </c>
      <c r="S1207" s="1">
        <f t="shared" si="3"/>
        <v>1</v>
      </c>
      <c r="T1207" s="1" t="str">
        <f t="array" ref="T1207">IFERROR(INDEX(#REF!,MATCH($B1207,#REF!,0)),"")</f>
        <v/>
      </c>
      <c r="U1207" s="1" t="str">
        <f t="array" ref="U1207">IFERROR(INDEX(#REF!,MATCH($B1207,#REF!,0)),"")</f>
        <v/>
      </c>
      <c r="V1207" s="76">
        <f t="array" ref="V1207">AVERAGEIFS($E$2:$E2248,$B$2:$B2248,$B1207,$P$2:$P2248,"&lt;="&amp;$P1207,$P$2:$P2248,"&gt;"&amp;$P1207-7)</f>
        <v>6.9024390243902438</v>
      </c>
      <c r="W1207" s="76">
        <f ca="1">IFERROR(__xludf.DUMMYFUNCTION("iferror(stdevp(filter($D$2:$D2250,$B$2:$B2250=$B1207,$O$2:$O2250&lt;=$O1207,$O$2:$O2250&gt;$O1207-7)),0)"),0.894427190999915)</f>
        <v>0.89442719099991497</v>
      </c>
      <c r="X1207" s="77">
        <f t="shared" ca="1" si="4"/>
        <v>-1.0089575020425889</v>
      </c>
      <c r="Y1207" s="77">
        <f t="shared" ca="1" si="5"/>
        <v>1</v>
      </c>
      <c r="Z1207" s="76">
        <f t="array" ref="Z1207">AVERAGEIFS($F$2:$F2248,$B$2:$B2248,$B1207,$P$2:$P2248,"&lt;="&amp;$P1207,$P$2:$P2248,"&gt;"&amp;$P1207-7)</f>
        <v>7.2926829268292686</v>
      </c>
      <c r="AA1207" s="76">
        <f ca="1">IFERROR(__xludf.DUMMYFUNCTION("iferror(stdevp(filter($E$2:$E2250,$B$2:$B2250=$B1207,$O$2:$O2250&lt;=$O1207,$O$2:$O2250&gt;$O1207-7)),0)"),1.32664991614216)</f>
        <v>1.3266499161421601</v>
      </c>
      <c r="AB1207" s="77">
        <f t="shared" ca="1" si="6"/>
        <v>0.53316030443628903</v>
      </c>
      <c r="AC1207" s="77">
        <f t="shared" ca="1" si="7"/>
        <v>3</v>
      </c>
      <c r="AD1207" s="76">
        <f t="array" ref="AD1207">AVERAGEIFS($G$2:$G2248,$B$2:$B2248,$B1207,$P$2:$P2248,"&lt;="&amp;$P1207,$P$2:$P2248,"&gt;"&amp;$P1207-7)</f>
        <v>7.8048780487804876</v>
      </c>
      <c r="AE1207" s="76">
        <f ca="1">IFERROR(__xludf.DUMMYFUNCTION("iferror(stdevp(filter($F$2:$F2250,$B$2:$B2250=$B1207,$O$2:$O2250&lt;=$O1207,$O$2:$O2250&gt;$O1207-7)),0)"),1.2)</f>
        <v>1.2</v>
      </c>
      <c r="AF1207" s="77">
        <f t="shared" ca="1" si="8"/>
        <v>-1.5040650406504064</v>
      </c>
      <c r="AG1207" s="77">
        <f t="shared" ca="1" si="9"/>
        <v>1</v>
      </c>
      <c r="AH1207" s="76">
        <f t="array" ref="AH1207">AVERAGEIFS($I$2:$I2248,$B$2:$B2248,$B1207,$P$2:$P2248,"&lt;="&amp;$P1207,$P$2:$P2248,"&gt;"&amp;$P1207-7)</f>
        <v>6.3170731707317076</v>
      </c>
      <c r="AI1207" s="76">
        <f ca="1">IFERROR(__xludf.DUMMYFUNCTION("iferror(stdevp(filter($H$2:$H2250,$B$2:$B2250=$B1207,$O$2:$O2250&lt;=$O1207,$O$2:$O2250&gt;$O1207-7)),0)"),1.72046505340852)</f>
        <v>1.72046505340852</v>
      </c>
      <c r="AJ1207" s="77">
        <f t="shared" ca="1" si="10"/>
        <v>0.39694315668621327</v>
      </c>
      <c r="AK1207" s="77">
        <f t="shared" ca="1" si="11"/>
        <v>3</v>
      </c>
      <c r="AL1207" s="76">
        <f t="array" ref="AL1207">AVERAGEIFS($J$2:$J2248,$B$2:$B2248,$B1207,$P$2:$P2248,"&lt;="&amp;$P1207,$P$2:$P2248,"&gt;"&amp;$P1207-7)</f>
        <v>6.9024390243902438</v>
      </c>
      <c r="AM1207" s="76">
        <f ca="1">IFERROR(__xludf.DUMMYFUNCTION("iferror(stdevp(filter($I$2:$I2250,$B$2:$B2250=$B1207,$O$2:$O2250&lt;=$O1207,$O$2:$O2250&gt;$O1207-7)),0)"),1.35646599662505)</f>
        <v>1.3564659966250501</v>
      </c>
      <c r="AN1207" s="77">
        <f t="shared" ca="1" si="13"/>
        <v>0.80913268621590106</v>
      </c>
      <c r="AO1207" s="77">
        <f t="shared" ca="1" si="14"/>
        <v>3</v>
      </c>
      <c r="AP1207" s="76">
        <f t="array" ref="AP1207">AVERAGEIFS($K$2:$K2248,$B$2:$B2248,$B1207,$P$2:$P2248,"&lt;="&amp;$P1207,$P$2:$P2248,"&gt;"&amp;$P1207-7)</f>
        <v>8</v>
      </c>
      <c r="AQ1207" s="76">
        <f ca="1">IFERROR(__xludf.DUMMYFUNCTION("iferror(stdevp(filter($J$2:$J2250,$B$2:$B2250=$B1207,$O$2:$O2250&lt;=$O1207,$O$2:$O2250&gt;$O1207-7)),0)"),0.748331477354788)</f>
        <v>0.748331477354788</v>
      </c>
      <c r="AR1207" s="77">
        <f t="shared" ca="1" si="15"/>
        <v>-2.6726124191242446</v>
      </c>
      <c r="AS1207" s="77">
        <f t="shared" ca="1" si="16"/>
        <v>1</v>
      </c>
      <c r="AT1207" s="78">
        <f t="shared" ca="1" si="12"/>
        <v>0.5</v>
      </c>
    </row>
    <row r="1208" spans="1:46" ht="12.5" x14ac:dyDescent="0.25">
      <c r="A1208" s="75">
        <v>44972.597241076393</v>
      </c>
      <c r="B1208" s="1" t="s">
        <v>15</v>
      </c>
      <c r="C1208" s="1" t="str">
        <f>INDEX(TBL_Name,MATCH(Table2[[#This Row],[Athlete Name]],listNames,0),2)</f>
        <v>Athlete 8</v>
      </c>
      <c r="D1208" s="1" t="s">
        <v>143</v>
      </c>
      <c r="E1208" s="1">
        <v>7</v>
      </c>
      <c r="F1208" s="1">
        <v>7</v>
      </c>
      <c r="G1208" s="1">
        <v>7</v>
      </c>
      <c r="H1208" s="1" t="s">
        <v>131</v>
      </c>
      <c r="I1208" s="1">
        <v>4</v>
      </c>
      <c r="J1208" s="1">
        <v>10</v>
      </c>
      <c r="K1208" s="1">
        <v>10</v>
      </c>
      <c r="L1208" s="1">
        <v>70</v>
      </c>
      <c r="M1208" s="1" t="e">
        <f t="shared" ca="1" si="0"/>
        <v>#NAME?</v>
      </c>
      <c r="N1208" s="1" t="e">
        <f t="shared" si="1"/>
        <v>#VALUE!</v>
      </c>
      <c r="O1208" s="1" t="e">
        <f ca="1">IF($N1208=_xludf.MINIFS($N$2:$N2394,$R$2:$R2394,$R1208),1,
($N1208-_xludf.MINIFS($N$2:$N2394,$R$2:$R2394,$R1208))+1)</f>
        <v>#VALUE!</v>
      </c>
      <c r="P1208" s="13" t="e">
        <f t="shared" si="2"/>
        <v>#VALUE!</v>
      </c>
      <c r="Q1208" s="1" t="e">
        <f>RIGHT(YEAR($A1208),2)-(MONTH($A1208)&lt;=#REF!)
 &amp;"-"&amp;
 RIGHT(YEAR($A1208),2)+(MONTH($A1208)&gt;=#REF!)</f>
        <v>#REF!</v>
      </c>
      <c r="R1208" s="1" t="e">
        <f>CHOOSE(MONTH($P1208),#REF!,#REF!,#REF!,#REF!,#REF!,#REF!,#REF!,#REF!,#REF!,#REF!,#REF!,#REF!)&amp;" "&amp;$Q1208</f>
        <v>#VALUE!</v>
      </c>
      <c r="S1208" s="1">
        <f t="shared" si="3"/>
        <v>2</v>
      </c>
      <c r="T1208" s="1" t="str">
        <f t="array" ref="T1208">IFERROR(INDEX(#REF!,MATCH($B1208,#REF!,0)),"")</f>
        <v/>
      </c>
      <c r="U1208" s="1" t="str">
        <f t="array" ref="U1208">IFERROR(INDEX(#REF!,MATCH($B1208,#REF!,0)),"")</f>
        <v/>
      </c>
      <c r="V1208" s="76">
        <f t="array" ref="V1208">AVERAGEIFS($E$2:$E2248,$B$2:$B2248,$B1208,$P$2:$P2248,"&lt;="&amp;$P1208,$P$2:$P2248,"&gt;"&amp;$P1208-7)</f>
        <v>8.935483870967742</v>
      </c>
      <c r="W1208" s="76">
        <f ca="1">IFERROR(__xludf.DUMMYFUNCTION("iferror(stdevp(filter($D$2:$D2250,$B$2:$B2250=$B1208,$O$2:$O2250&lt;=$O1208,$O$2:$O2250&gt;$O1208-7)),0)"),1.2)</f>
        <v>1.2</v>
      </c>
      <c r="X1208" s="77">
        <f t="shared" ca="1" si="4"/>
        <v>-1.6129032258064517</v>
      </c>
      <c r="Y1208" s="77">
        <f t="shared" ca="1" si="5"/>
        <v>1</v>
      </c>
      <c r="Z1208" s="76">
        <f t="array" ref="Z1208">AVERAGEIFS($F$2:$F2248,$B$2:$B2248,$B1208,$P$2:$P2248,"&lt;="&amp;$P1208,$P$2:$P2248,"&gt;"&amp;$P1208-7)</f>
        <v>8.741935483870968</v>
      </c>
      <c r="AA1208" s="76">
        <f ca="1">IFERROR(__xludf.DUMMYFUNCTION("iferror(stdevp(filter($E$2:$E2250,$B$2:$B2250=$B1208,$O$2:$O2250&lt;=$O1208,$O$2:$O2250&gt;$O1208-7)),0)"),1.2)</f>
        <v>1.2</v>
      </c>
      <c r="AB1208" s="77">
        <f t="shared" ca="1" si="6"/>
        <v>-1.4516129032258067</v>
      </c>
      <c r="AC1208" s="77">
        <f t="shared" ca="1" si="7"/>
        <v>1</v>
      </c>
      <c r="AD1208" s="76">
        <f t="array" ref="AD1208">AVERAGEIFS($G$2:$G2248,$B$2:$B2248,$B1208,$P$2:$P2248,"&lt;="&amp;$P1208,$P$2:$P2248,"&gt;"&amp;$P1208-7)</f>
        <v>7.32258064516129</v>
      </c>
      <c r="AE1208" s="76">
        <f ca="1">IFERROR(__xludf.DUMMYFUNCTION("iferror(stdevp(filter($F$2:$F2250,$B$2:$B2250=$B1208,$O$2:$O2250&lt;=$O1208,$O$2:$O2250&gt;$O1208-7)),0)"),0.979795897113271)</f>
        <v>0.97979589711327097</v>
      </c>
      <c r="AF1208" s="77">
        <f t="shared" ca="1" si="8"/>
        <v>-0.32923249230956675</v>
      </c>
      <c r="AG1208" s="77">
        <f t="shared" ca="1" si="9"/>
        <v>2</v>
      </c>
      <c r="AH1208" s="76">
        <f t="array" ref="AH1208">AVERAGEIFS($I$2:$I2248,$B$2:$B2248,$B1208,$P$2:$P2248,"&lt;="&amp;$P1208,$P$2:$P2248,"&gt;"&amp;$P1208-7)</f>
        <v>6.419354838709677</v>
      </c>
      <c r="AI1208" s="76">
        <f ca="1">IFERROR(__xludf.DUMMYFUNCTION("iferror(stdevp(filter($H$2:$H2250,$B$2:$B2250=$B1208,$O$2:$O2250&lt;=$O1208,$O$2:$O2250&gt;$O1208-7)),0)"),1.4696938456699)</f>
        <v>1.4696938456699</v>
      </c>
      <c r="AJ1208" s="77">
        <f t="shared" ca="1" si="10"/>
        <v>-1.6461624615478421</v>
      </c>
      <c r="AK1208" s="77">
        <f t="shared" ca="1" si="11"/>
        <v>1</v>
      </c>
      <c r="AL1208" s="76">
        <f t="array" ref="AL1208">AVERAGEIFS($J$2:$J2248,$B$2:$B2248,$B1208,$P$2:$P2248,"&lt;="&amp;$P1208,$P$2:$P2248,"&gt;"&amp;$P1208-7)</f>
        <v>9.612903225806452</v>
      </c>
      <c r="AM1208" s="76">
        <f ca="1">IFERROR(__xludf.DUMMYFUNCTION("iferror(stdevp(filter($I$2:$I2250,$B$2:$B2250=$B1208,$O$2:$O2250&lt;=$O1208,$O$2:$O2250&gt;$O1208-7)),0)"),0)</f>
        <v>0</v>
      </c>
      <c r="AN1208" s="77">
        <f t="shared" ca="1" si="13"/>
        <v>0</v>
      </c>
      <c r="AO1208" s="77">
        <f t="shared" ca="1" si="14"/>
        <v>3</v>
      </c>
      <c r="AP1208" s="76">
        <f t="array" ref="AP1208">AVERAGEIFS($K$2:$K2248,$B$2:$B2248,$B1208,$P$2:$P2248,"&lt;="&amp;$P1208,$P$2:$P2248,"&gt;"&amp;$P1208-7)</f>
        <v>10</v>
      </c>
      <c r="AQ1208" s="76">
        <f ca="1">IFERROR(__xludf.DUMMYFUNCTION("iferror(stdevp(filter($J$2:$J2250,$B$2:$B2250=$B1208,$O$2:$O2250&lt;=$O1208,$O$2:$O2250&gt;$O1208-7)),0)"),0)</f>
        <v>0</v>
      </c>
      <c r="AR1208" s="77">
        <f t="shared" ca="1" si="15"/>
        <v>0</v>
      </c>
      <c r="AS1208" s="77">
        <f t="shared" ca="1" si="16"/>
        <v>3</v>
      </c>
      <c r="AT1208" s="78">
        <f t="shared" ca="1" si="12"/>
        <v>0.45833333333333331</v>
      </c>
    </row>
    <row r="1209" spans="1:46" ht="12.5" x14ac:dyDescent="0.25">
      <c r="A1209" s="75">
        <v>44972.60255899305</v>
      </c>
      <c r="B1209" s="1" t="s">
        <v>12</v>
      </c>
      <c r="C1209" s="1" t="str">
        <f>INDEX(TBL_Name,MATCH(Table2[[#This Row],[Athlete Name]],listNames,0),2)</f>
        <v>Athlete 6</v>
      </c>
      <c r="D1209" s="1" t="s">
        <v>130</v>
      </c>
      <c r="E1209" s="1">
        <v>10</v>
      </c>
      <c r="F1209" s="1">
        <v>10</v>
      </c>
      <c r="G1209" s="1">
        <v>8</v>
      </c>
      <c r="H1209" s="1" t="s">
        <v>178</v>
      </c>
      <c r="I1209" s="1">
        <v>3</v>
      </c>
      <c r="J1209" s="1">
        <v>6</v>
      </c>
      <c r="K1209" s="1">
        <v>10</v>
      </c>
      <c r="L1209" s="1">
        <v>70</v>
      </c>
      <c r="M1209" s="1" t="e">
        <f t="shared" ca="1" si="0"/>
        <v>#NAME?</v>
      </c>
      <c r="N1209" s="1" t="e">
        <f t="shared" si="1"/>
        <v>#VALUE!</v>
      </c>
      <c r="O1209" s="1" t="e">
        <f ca="1">IF($N1209=_xludf.MINIFS($N$2:$N2395,$R$2:$R2395,$R1209),1,
($N1209-_xludf.MINIFS($N$2:$N2395,$R$2:$R2395,$R1209))+1)</f>
        <v>#VALUE!</v>
      </c>
      <c r="P1209" s="13" t="e">
        <f t="shared" si="2"/>
        <v>#VALUE!</v>
      </c>
      <c r="Q1209" s="1" t="e">
        <f>RIGHT(YEAR($A1209),2)-(MONTH($A1209)&lt;=#REF!)
 &amp;"-"&amp;
 RIGHT(YEAR($A1209),2)+(MONTH($A1209)&gt;=#REF!)</f>
        <v>#REF!</v>
      </c>
      <c r="R1209" s="1" t="e">
        <f>CHOOSE(MONTH($P1209),#REF!,#REF!,#REF!,#REF!,#REF!,#REF!,#REF!,#REF!,#REF!,#REF!,#REF!,#REF!)&amp;" "&amp;$Q1209</f>
        <v>#VALUE!</v>
      </c>
      <c r="S1209" s="1">
        <f t="shared" si="3"/>
        <v>1</v>
      </c>
      <c r="T1209" s="1" t="str">
        <f t="array" ref="T1209">IFERROR(INDEX(#REF!,MATCH($B1209,#REF!,0)),"")</f>
        <v/>
      </c>
      <c r="U1209" s="1" t="str">
        <f t="array" ref="U1209">IFERROR(INDEX(#REF!,MATCH($B1209,#REF!,0)),"")</f>
        <v/>
      </c>
      <c r="V1209" s="76">
        <f t="array" ref="V1209">AVERAGEIFS($E$2:$E2248,$B$2:$B2248,$B1209,$P$2:$P2248,"&lt;="&amp;$P1209,$P$2:$P2248,"&gt;"&amp;$P1209-7)</f>
        <v>9.75</v>
      </c>
      <c r="W1209" s="76">
        <f ca="1">IFERROR(__xludf.DUMMYFUNCTION("iferror(stdevp(filter($D$2:$D2250,$B$2:$B2250=$B1209,$O$2:$O2250&lt;=$O1209,$O$2:$O2250&gt;$O1209-7)),0)"),0)</f>
        <v>0</v>
      </c>
      <c r="X1209" s="77">
        <f t="shared" ca="1" si="4"/>
        <v>0</v>
      </c>
      <c r="Y1209" s="77">
        <f t="shared" ca="1" si="5"/>
        <v>3</v>
      </c>
      <c r="Z1209" s="76">
        <f t="array" ref="Z1209">AVERAGEIFS($F$2:$F2248,$B$2:$B2248,$B1209,$P$2:$P2248,"&lt;="&amp;$P1209,$P$2:$P2248,"&gt;"&amp;$P1209-7)</f>
        <v>7.083333333333333</v>
      </c>
      <c r="AA1209" s="76">
        <f ca="1">IFERROR(__xludf.DUMMYFUNCTION("iferror(stdevp(filter($E$2:$E2250,$B$2:$B2250=$B1209,$O$2:$O2250&lt;=$O1209,$O$2:$O2250&gt;$O1209-7)),0)"),0)</f>
        <v>0</v>
      </c>
      <c r="AB1209" s="77">
        <f t="shared" ca="1" si="6"/>
        <v>0</v>
      </c>
      <c r="AC1209" s="77">
        <f t="shared" ca="1" si="7"/>
        <v>3</v>
      </c>
      <c r="AD1209" s="76">
        <f t="array" ref="AD1209">AVERAGEIFS($G$2:$G2248,$B$2:$B2248,$B1209,$P$2:$P2248,"&lt;="&amp;$P1209,$P$2:$P2248,"&gt;"&amp;$P1209-7)</f>
        <v>7.083333333333333</v>
      </c>
      <c r="AE1209" s="76">
        <f ca="1">IFERROR(__xludf.DUMMYFUNCTION("iferror(stdevp(filter($F$2:$F2250,$B$2:$B2250=$B1209,$O$2:$O2250&lt;=$O1209,$O$2:$O2250&gt;$O1209-7)),0)"),0)</f>
        <v>0</v>
      </c>
      <c r="AF1209" s="77">
        <f t="shared" ca="1" si="8"/>
        <v>0</v>
      </c>
      <c r="AG1209" s="77">
        <f t="shared" ca="1" si="9"/>
        <v>3</v>
      </c>
      <c r="AH1209" s="76">
        <f t="array" ref="AH1209">AVERAGEIFS($I$2:$I2248,$B$2:$B2248,$B1209,$P$2:$P2248,"&lt;="&amp;$P1209,$P$2:$P2248,"&gt;"&amp;$P1209-7)</f>
        <v>6.583333333333333</v>
      </c>
      <c r="AI1209" s="76">
        <f ca="1">IFERROR(__xludf.DUMMYFUNCTION("iferror(stdevp(filter($H$2:$H2250,$B$2:$B2250=$B1209,$O$2:$O2250&lt;=$O1209,$O$2:$O2250&gt;$O1209-7)),0)"),0)</f>
        <v>0</v>
      </c>
      <c r="AJ1209" s="77">
        <f t="shared" ca="1" si="10"/>
        <v>0</v>
      </c>
      <c r="AK1209" s="77">
        <f t="shared" ca="1" si="11"/>
        <v>3</v>
      </c>
      <c r="AL1209" s="76">
        <f t="array" ref="AL1209">AVERAGEIFS($J$2:$J2248,$B$2:$B2248,$B1209,$P$2:$P2248,"&lt;="&amp;$P1209,$P$2:$P2248,"&gt;"&amp;$P1209-7)</f>
        <v>6.666666666666667</v>
      </c>
      <c r="AM1209" s="76">
        <f ca="1">IFERROR(__xludf.DUMMYFUNCTION("iferror(stdevp(filter($I$2:$I2250,$B$2:$B2250=$B1209,$O$2:$O2250&lt;=$O1209,$O$2:$O2250&gt;$O1209-7)),0)"),0)</f>
        <v>0</v>
      </c>
      <c r="AN1209" s="77">
        <f t="shared" ca="1" si="13"/>
        <v>0</v>
      </c>
      <c r="AO1209" s="77">
        <f t="shared" ca="1" si="14"/>
        <v>3</v>
      </c>
      <c r="AP1209" s="76">
        <f t="array" ref="AP1209">AVERAGEIFS($K$2:$K2248,$B$2:$B2248,$B1209,$P$2:$P2248,"&lt;="&amp;$P1209,$P$2:$P2248,"&gt;"&amp;$P1209-7)</f>
        <v>8.25</v>
      </c>
      <c r="AQ1209" s="76">
        <f ca="1">IFERROR(__xludf.DUMMYFUNCTION("iferror(stdevp(filter($J$2:$J2250,$B$2:$B2250=$B1209,$O$2:$O2250&lt;=$O1209,$O$2:$O2250&gt;$O1209-7)),0)"),0)</f>
        <v>0</v>
      </c>
      <c r="AR1209" s="77">
        <f t="shared" ca="1" si="15"/>
        <v>0</v>
      </c>
      <c r="AS1209" s="77">
        <f t="shared" ca="1" si="16"/>
        <v>3</v>
      </c>
      <c r="AT1209" s="78">
        <f t="shared" ca="1" si="12"/>
        <v>0.75</v>
      </c>
    </row>
    <row r="1210" spans="1:46" ht="12.5" x14ac:dyDescent="0.25">
      <c r="A1210" s="75">
        <v>44972.602761469912</v>
      </c>
      <c r="B1210" s="1" t="s">
        <v>16</v>
      </c>
      <c r="C1210" s="1" t="str">
        <f>INDEX(TBL_Name,MATCH(Table2[[#This Row],[Athlete Name]],listNames,0),2)</f>
        <v>Athlete 9</v>
      </c>
      <c r="D1210" s="1" t="s">
        <v>130</v>
      </c>
      <c r="E1210" s="1">
        <v>9</v>
      </c>
      <c r="F1210" s="1">
        <v>7</v>
      </c>
      <c r="G1210" s="1">
        <v>7</v>
      </c>
      <c r="H1210" s="1" t="s">
        <v>1498</v>
      </c>
      <c r="I1210" s="1">
        <v>5</v>
      </c>
      <c r="J1210" s="1">
        <v>7</v>
      </c>
      <c r="K1210" s="1">
        <v>8</v>
      </c>
      <c r="L1210" s="1">
        <v>85</v>
      </c>
      <c r="M1210" s="1" t="e">
        <f t="shared" ca="1" si="0"/>
        <v>#NAME?</v>
      </c>
      <c r="N1210" s="1" t="e">
        <f t="shared" si="1"/>
        <v>#VALUE!</v>
      </c>
      <c r="O1210" s="1" t="e">
        <f ca="1">IF($N1210=_xludf.MINIFS($N$2:$N2396,$R$2:$R2396,$R1210),1,
($N1210-_xludf.MINIFS($N$2:$N2396,$R$2:$R2396,$R1210))+1)</f>
        <v>#VALUE!</v>
      </c>
      <c r="P1210" s="13" t="e">
        <f t="shared" si="2"/>
        <v>#VALUE!</v>
      </c>
      <c r="Q1210" s="1" t="e">
        <f>RIGHT(YEAR($A1210),2)-(MONTH($A1210)&lt;=#REF!)
 &amp;"-"&amp;
 RIGHT(YEAR($A1210),2)+(MONTH($A1210)&gt;=#REF!)</f>
        <v>#REF!</v>
      </c>
      <c r="R1210" s="1" t="e">
        <f>CHOOSE(MONTH($P1210),#REF!,#REF!,#REF!,#REF!,#REF!,#REF!,#REF!,#REF!,#REF!,#REF!,#REF!,#REF!)&amp;" "&amp;$Q1210</f>
        <v>#VALUE!</v>
      </c>
      <c r="S1210" s="1">
        <f t="shared" si="3"/>
        <v>1</v>
      </c>
      <c r="T1210" s="1" t="str">
        <f t="array" ref="T1210">IFERROR(INDEX(#REF!,MATCH($B1210,#REF!,0)),"")</f>
        <v/>
      </c>
      <c r="U1210" s="1" t="str">
        <f t="array" ref="U1210">IFERROR(INDEX(#REF!,MATCH($B1210,#REF!,0)),"")</f>
        <v/>
      </c>
      <c r="V1210" s="76">
        <f t="array" ref="V1210">AVERAGEIFS($E$2:$E2248,$B$2:$B2248,$B1210,$P$2:$P2248,"&lt;="&amp;$P1210,$P$2:$P2248,"&gt;"&amp;$P1210-7)</f>
        <v>8.9600000000000009</v>
      </c>
      <c r="W1210" s="76">
        <f ca="1">IFERROR(__xludf.DUMMYFUNCTION("iferror(stdevp(filter($D$2:$D2250,$B$2:$B2250=$B1210,$O$2:$O2250&lt;=$O1210,$O$2:$O2250&gt;$O1210-7)),0)"),0)</f>
        <v>0</v>
      </c>
      <c r="X1210" s="77">
        <f t="shared" ca="1" si="4"/>
        <v>0</v>
      </c>
      <c r="Y1210" s="77">
        <f t="shared" ca="1" si="5"/>
        <v>3</v>
      </c>
      <c r="Z1210" s="76">
        <f t="array" ref="Z1210">AVERAGEIFS($F$2:$F2248,$B$2:$B2248,$B1210,$P$2:$P2248,"&lt;="&amp;$P1210,$P$2:$P2248,"&gt;"&amp;$P1210-7)</f>
        <v>7.48</v>
      </c>
      <c r="AA1210" s="76">
        <f ca="1">IFERROR(__xludf.DUMMYFUNCTION("iferror(stdevp(filter($E$2:$E2250,$B$2:$B2250=$B1210,$O$2:$O2250&lt;=$O1210,$O$2:$O2250&gt;$O1210-7)),0)"),0)</f>
        <v>0</v>
      </c>
      <c r="AB1210" s="77">
        <f t="shared" ca="1" si="6"/>
        <v>0</v>
      </c>
      <c r="AC1210" s="77">
        <f t="shared" ca="1" si="7"/>
        <v>3</v>
      </c>
      <c r="AD1210" s="76">
        <f t="array" ref="AD1210">AVERAGEIFS($G$2:$G2248,$B$2:$B2248,$B1210,$P$2:$P2248,"&lt;="&amp;$P1210,$P$2:$P2248,"&gt;"&amp;$P1210-7)</f>
        <v>7.56</v>
      </c>
      <c r="AE1210" s="76">
        <f ca="1">IFERROR(__xludf.DUMMYFUNCTION("iferror(stdevp(filter($F$2:$F2250,$B$2:$B2250=$B1210,$O$2:$O2250&lt;=$O1210,$O$2:$O2250&gt;$O1210-7)),0)"),0.471404520791031)</f>
        <v>0.47140452079103101</v>
      </c>
      <c r="AF1210" s="77">
        <f t="shared" ca="1" si="8"/>
        <v>-1.1879393923934007</v>
      </c>
      <c r="AG1210" s="77">
        <f t="shared" ca="1" si="9"/>
        <v>1</v>
      </c>
      <c r="AH1210" s="76">
        <f t="array" ref="AH1210">AVERAGEIFS($I$2:$I2248,$B$2:$B2248,$B1210,$P$2:$P2248,"&lt;="&amp;$P1210,$P$2:$P2248,"&gt;"&amp;$P1210-7)</f>
        <v>5.8</v>
      </c>
      <c r="AI1210" s="76">
        <f ca="1">IFERROR(__xludf.DUMMYFUNCTION("iferror(stdevp(filter($H$2:$H2250,$B$2:$B2250=$B1210,$O$2:$O2250&lt;=$O1210,$O$2:$O2250&gt;$O1210-7)),0)"),0.471404520791031)</f>
        <v>0.47140452079103101</v>
      </c>
      <c r="AJ1210" s="77">
        <f t="shared" ca="1" si="10"/>
        <v>-1.697056274847716</v>
      </c>
      <c r="AK1210" s="77">
        <f t="shared" ca="1" si="11"/>
        <v>1</v>
      </c>
      <c r="AL1210" s="76">
        <f t="array" ref="AL1210">AVERAGEIFS($J$2:$J2248,$B$2:$B2248,$B1210,$P$2:$P2248,"&lt;="&amp;$P1210,$P$2:$P2248,"&gt;"&amp;$P1210-7)</f>
        <v>7.8</v>
      </c>
      <c r="AM1210" s="76">
        <f ca="1">IFERROR(__xludf.DUMMYFUNCTION("iferror(stdevp(filter($I$2:$I2250,$B$2:$B2250=$B1210,$O$2:$O2250&lt;=$O1210,$O$2:$O2250&gt;$O1210-7)),0)"),0.471404520791031)</f>
        <v>0.47140452079103101</v>
      </c>
      <c r="AN1210" s="77">
        <f t="shared" ca="1" si="13"/>
        <v>-1.697056274847716</v>
      </c>
      <c r="AO1210" s="77">
        <f t="shared" ca="1" si="14"/>
        <v>1</v>
      </c>
      <c r="AP1210" s="76">
        <f t="array" ref="AP1210">AVERAGEIFS($K$2:$K2248,$B$2:$B2248,$B1210,$P$2:$P2248,"&lt;="&amp;$P1210,$P$2:$P2248,"&gt;"&amp;$P1210-7)</f>
        <v>8.6</v>
      </c>
      <c r="AQ1210" s="76">
        <f ca="1">IFERROR(__xludf.DUMMYFUNCTION("iferror(stdevp(filter($J$2:$J2250,$B$2:$B2250=$B1210,$O$2:$O2250&lt;=$O1210,$O$2:$O2250&gt;$O1210-7)),0)"),0.942809041582063)</f>
        <v>0.94280904158206302</v>
      </c>
      <c r="AR1210" s="77">
        <f t="shared" ca="1" si="15"/>
        <v>-0.63639610306789263</v>
      </c>
      <c r="AS1210" s="77">
        <f t="shared" ca="1" si="16"/>
        <v>2</v>
      </c>
      <c r="AT1210" s="78">
        <f t="shared" ca="1" si="12"/>
        <v>0.45833333333333331</v>
      </c>
    </row>
    <row r="1211" spans="1:46" ht="12.5" x14ac:dyDescent="0.25">
      <c r="A1211" s="75">
        <v>44972.603687905095</v>
      </c>
      <c r="B1211" s="1" t="s">
        <v>23</v>
      </c>
      <c r="C1211" s="1" t="str">
        <f>INDEX(TBL_Name,MATCH(Table2[[#This Row],[Athlete Name]],listNames,0),2)</f>
        <v>Athlete 15</v>
      </c>
      <c r="D1211" s="1" t="s">
        <v>150</v>
      </c>
      <c r="E1211" s="1">
        <v>7</v>
      </c>
      <c r="F1211" s="1">
        <v>4</v>
      </c>
      <c r="G1211" s="1">
        <v>6</v>
      </c>
      <c r="H1211" s="1" t="s">
        <v>432</v>
      </c>
      <c r="I1211" s="1">
        <v>3</v>
      </c>
      <c r="J1211" s="1">
        <v>6</v>
      </c>
      <c r="K1211" s="1">
        <v>8</v>
      </c>
      <c r="L1211" s="1">
        <v>60</v>
      </c>
      <c r="M1211" s="1" t="e">
        <f t="shared" ca="1" si="0"/>
        <v>#NAME?</v>
      </c>
      <c r="N1211" s="1" t="e">
        <f t="shared" si="1"/>
        <v>#VALUE!</v>
      </c>
      <c r="O1211" s="1" t="e">
        <f ca="1">IF($N1211=_xludf.MINIFS($N$2:$N2397,$R$2:$R2397,$R1211),1,
($N1211-_xludf.MINIFS($N$2:$N2397,$R$2:$R2397,$R1211))+1)</f>
        <v>#VALUE!</v>
      </c>
      <c r="P1211" s="13" t="e">
        <f t="shared" si="2"/>
        <v>#VALUE!</v>
      </c>
      <c r="Q1211" s="1" t="e">
        <f>RIGHT(YEAR($A1211),2)-(MONTH($A1211)&lt;=#REF!)
 &amp;"-"&amp;
 RIGHT(YEAR($A1211),2)+(MONTH($A1211)&gt;=#REF!)</f>
        <v>#REF!</v>
      </c>
      <c r="R1211" s="1" t="e">
        <f>CHOOSE(MONTH($P1211),#REF!,#REF!,#REF!,#REF!,#REF!,#REF!,#REF!,#REF!,#REF!,#REF!,#REF!,#REF!)&amp;" "&amp;$Q1211</f>
        <v>#VALUE!</v>
      </c>
      <c r="S1211" s="1">
        <f t="shared" si="3"/>
        <v>3</v>
      </c>
      <c r="T1211" s="1" t="str">
        <f t="array" ref="T1211">IFERROR(INDEX(#REF!,MATCH($B1211,#REF!,0)),"")</f>
        <v/>
      </c>
      <c r="U1211" s="1" t="str">
        <f t="array" ref="U1211">IFERROR(INDEX(#REF!,MATCH($B1211,#REF!,0)),"")</f>
        <v/>
      </c>
      <c r="V1211" s="76">
        <f t="array" ref="V1211">AVERAGEIFS($E$2:$E2248,$B$2:$B2248,$B1211,$P$2:$P2248,"&lt;="&amp;$P1211,$P$2:$P2248,"&gt;"&amp;$P1211-7)</f>
        <v>4.7777777777777777</v>
      </c>
      <c r="W1211" s="76">
        <f ca="1">IFERROR(__xludf.DUMMYFUNCTION("iferror(stdevp(filter($D$2:$D2250,$B$2:$B2250=$B1211,$O$2:$O2250&lt;=$O1211,$O$2:$O2250&gt;$O1211-7)),0)"),0)</f>
        <v>0</v>
      </c>
      <c r="X1211" s="77">
        <f t="shared" ca="1" si="4"/>
        <v>0</v>
      </c>
      <c r="Y1211" s="77">
        <f t="shared" ca="1" si="5"/>
        <v>3</v>
      </c>
      <c r="Z1211" s="76">
        <f t="array" ref="Z1211">AVERAGEIFS($F$2:$F2248,$B$2:$B2248,$B1211,$P$2:$P2248,"&lt;="&amp;$P1211,$P$2:$P2248,"&gt;"&amp;$P1211-7)</f>
        <v>6.4444444444444446</v>
      </c>
      <c r="AA1211" s="76">
        <f ca="1">IFERROR(__xludf.DUMMYFUNCTION("iferror(stdevp(filter($E$2:$E2250,$B$2:$B2250=$B1211,$O$2:$O2250&lt;=$O1211,$O$2:$O2250&gt;$O1211-7)),0)"),0)</f>
        <v>0</v>
      </c>
      <c r="AB1211" s="77">
        <f t="shared" ca="1" si="6"/>
        <v>0</v>
      </c>
      <c r="AC1211" s="77">
        <f t="shared" ca="1" si="7"/>
        <v>3</v>
      </c>
      <c r="AD1211" s="76">
        <f t="array" ref="AD1211">AVERAGEIFS($G$2:$G2248,$B$2:$B2248,$B1211,$P$2:$P2248,"&lt;="&amp;$P1211,$P$2:$P2248,"&gt;"&amp;$P1211-7)</f>
        <v>7.4444444444444446</v>
      </c>
      <c r="AE1211" s="76">
        <f ca="1">IFERROR(__xludf.DUMMYFUNCTION("iferror(stdevp(filter($F$2:$F2250,$B$2:$B2250=$B1211,$O$2:$O2250&lt;=$O1211,$O$2:$O2250&gt;$O1211-7)),0)"),0)</f>
        <v>0</v>
      </c>
      <c r="AF1211" s="77">
        <f t="shared" ca="1" si="8"/>
        <v>0</v>
      </c>
      <c r="AG1211" s="77">
        <f t="shared" ca="1" si="9"/>
        <v>3</v>
      </c>
      <c r="AH1211" s="76">
        <f t="array" ref="AH1211">AVERAGEIFS($I$2:$I2248,$B$2:$B2248,$B1211,$P$2:$P2248,"&lt;="&amp;$P1211,$P$2:$P2248,"&gt;"&amp;$P1211-7)</f>
        <v>6.7777777777777777</v>
      </c>
      <c r="AI1211" s="76">
        <f ca="1">IFERROR(__xludf.DUMMYFUNCTION("iferror(stdevp(filter($H$2:$H2250,$B$2:$B2250=$B1211,$O$2:$O2250&lt;=$O1211,$O$2:$O2250&gt;$O1211-7)),0)"),0)</f>
        <v>0</v>
      </c>
      <c r="AJ1211" s="77">
        <f t="shared" ca="1" si="10"/>
        <v>0</v>
      </c>
      <c r="AK1211" s="77">
        <f t="shared" ca="1" si="11"/>
        <v>3</v>
      </c>
      <c r="AL1211" s="76">
        <f t="array" ref="AL1211">AVERAGEIFS($J$2:$J2248,$B$2:$B2248,$B1211,$P$2:$P2248,"&lt;="&amp;$P1211,$P$2:$P2248,"&gt;"&amp;$P1211-7)</f>
        <v>8.2222222222222214</v>
      </c>
      <c r="AM1211" s="76">
        <f ca="1">IFERROR(__xludf.DUMMYFUNCTION("iferror(stdevp(filter($I$2:$I2250,$B$2:$B2250=$B1211,$O$2:$O2250&lt;=$O1211,$O$2:$O2250&gt;$O1211-7)),0)"),0)</f>
        <v>0</v>
      </c>
      <c r="AN1211" s="77">
        <f t="shared" ca="1" si="13"/>
        <v>0</v>
      </c>
      <c r="AO1211" s="77">
        <f t="shared" ca="1" si="14"/>
        <v>3</v>
      </c>
      <c r="AP1211" s="76">
        <f t="array" ref="AP1211">AVERAGEIFS($K$2:$K2248,$B$2:$B2248,$B1211,$P$2:$P2248,"&lt;="&amp;$P1211,$P$2:$P2248,"&gt;"&amp;$P1211-7)</f>
        <v>8.1111111111111107</v>
      </c>
      <c r="AQ1211" s="76">
        <f ca="1">IFERROR(__xludf.DUMMYFUNCTION("iferror(stdevp(filter($J$2:$J2250,$B$2:$B2250=$B1211,$O$2:$O2250&lt;=$O1211,$O$2:$O2250&gt;$O1211-7)),0)"),0)</f>
        <v>0</v>
      </c>
      <c r="AR1211" s="77">
        <f t="shared" ca="1" si="15"/>
        <v>0</v>
      </c>
      <c r="AS1211" s="77">
        <f t="shared" ca="1" si="16"/>
        <v>3</v>
      </c>
      <c r="AT1211" s="78">
        <f t="shared" ca="1" si="12"/>
        <v>0.75</v>
      </c>
    </row>
    <row r="1212" spans="1:46" ht="12.5" x14ac:dyDescent="0.25">
      <c r="A1212" s="75">
        <v>44973.298554884255</v>
      </c>
      <c r="B1212" s="1" t="s">
        <v>29</v>
      </c>
      <c r="C1212" s="1" t="str">
        <f>INDEX(TBL_Name,MATCH(Table2[[#This Row],[Athlete Name]],listNames,0),2)</f>
        <v>Athlete 18</v>
      </c>
      <c r="D1212" s="1" t="s">
        <v>130</v>
      </c>
      <c r="E1212" s="1">
        <v>8</v>
      </c>
      <c r="F1212" s="1">
        <v>8</v>
      </c>
      <c r="G1212" s="1">
        <v>8</v>
      </c>
      <c r="H1212" s="1" t="s">
        <v>1545</v>
      </c>
      <c r="I1212" s="1">
        <v>6</v>
      </c>
      <c r="J1212" s="1">
        <v>8</v>
      </c>
      <c r="K1212" s="1">
        <v>9</v>
      </c>
      <c r="L1212" s="1">
        <v>88</v>
      </c>
      <c r="M1212" s="1" t="e">
        <f t="shared" ca="1" si="0"/>
        <v>#NAME?</v>
      </c>
      <c r="N1212" s="1" t="e">
        <f t="shared" si="1"/>
        <v>#VALUE!</v>
      </c>
      <c r="O1212" s="1" t="e">
        <f ca="1">IF($N1212=_xludf.MINIFS($N$2:$N2398,$R$2:$R2398,$R1212),1,
($N1212-_xludf.MINIFS($N$2:$N2398,$R$2:$R2398,$R1212))+1)</f>
        <v>#VALUE!</v>
      </c>
      <c r="P1212" s="13" t="e">
        <f t="shared" si="2"/>
        <v>#VALUE!</v>
      </c>
      <c r="Q1212" s="1" t="e">
        <f>RIGHT(YEAR($A1212),2)-(MONTH($A1212)&lt;=#REF!)
 &amp;"-"&amp;
 RIGHT(YEAR($A1212),2)+(MONTH($A1212)&gt;=#REF!)</f>
        <v>#REF!</v>
      </c>
      <c r="R1212" s="1" t="e">
        <f>CHOOSE(MONTH($P1212),#REF!,#REF!,#REF!,#REF!,#REF!,#REF!,#REF!,#REF!,#REF!,#REF!,#REF!,#REF!)&amp;" "&amp;$Q1212</f>
        <v>#VALUE!</v>
      </c>
      <c r="S1212" s="1">
        <f t="shared" si="3"/>
        <v>1</v>
      </c>
      <c r="T1212" s="1" t="str">
        <f t="array" ref="T1212">IFERROR(INDEX(#REF!,MATCH($B1212,#REF!,0)),"")</f>
        <v/>
      </c>
      <c r="U1212" s="1" t="str">
        <f t="array" ref="U1212">IFERROR(INDEX(#REF!,MATCH($B1212,#REF!,0)),"")</f>
        <v/>
      </c>
      <c r="V1212" s="76">
        <f t="array" ref="V1212">AVERAGEIFS($E$2:$E2248,$B$2:$B2248,$B1212,$P$2:$P2248,"&lt;="&amp;$P1212,$P$2:$P2248,"&gt;"&amp;$P1212-7)</f>
        <v>8.53125</v>
      </c>
      <c r="W1212" s="76">
        <f ca="1">IFERROR(__xludf.DUMMYFUNCTION("iferror(stdevp(filter($D$2:$D2250,$B$2:$B2250=$B1212,$O$2:$O2250&lt;=$O1212,$O$2:$O2250&gt;$O1212-7)),0)"),0.577350269189625)</f>
        <v>0.57735026918962495</v>
      </c>
      <c r="X1212" s="77">
        <f t="shared" ca="1" si="4"/>
        <v>-0.92015199152096738</v>
      </c>
      <c r="Y1212" s="77">
        <f t="shared" ca="1" si="5"/>
        <v>2</v>
      </c>
      <c r="Z1212" s="76">
        <f t="array" ref="Z1212">AVERAGEIFS($F$2:$F2248,$B$2:$B2248,$B1212,$P$2:$P2248,"&lt;="&amp;$P1212,$P$2:$P2248,"&gt;"&amp;$P1212-7)</f>
        <v>8.125</v>
      </c>
      <c r="AA1212" s="76">
        <f ca="1">IFERROR(__xludf.DUMMYFUNCTION("iferror(stdevp(filter($E$2:$E2250,$B$2:$B2250=$B1212,$O$2:$O2250&lt;=$O1212,$O$2:$O2250&gt;$O1212-7)),0)"),0.74535599249993)</f>
        <v>0.74535599249993001</v>
      </c>
      <c r="AB1212" s="77">
        <f t="shared" ca="1" si="6"/>
        <v>-0.1677050983124842</v>
      </c>
      <c r="AC1212" s="77">
        <f t="shared" ca="1" si="7"/>
        <v>2</v>
      </c>
      <c r="AD1212" s="76">
        <f t="array" ref="AD1212">AVERAGEIFS($G$2:$G2248,$B$2:$B2248,$B1212,$P$2:$P2248,"&lt;="&amp;$P1212,$P$2:$P2248,"&gt;"&amp;$P1212-7)</f>
        <v>8.09375</v>
      </c>
      <c r="AE1212" s="76">
        <f ca="1">IFERROR(__xludf.DUMMYFUNCTION("iferror(stdevp(filter($F$2:$F2250,$B$2:$B2250=$B1212,$O$2:$O2250&lt;=$O1212,$O$2:$O2250&gt;$O1212-7)),0)"),0)</f>
        <v>0</v>
      </c>
      <c r="AF1212" s="77">
        <f t="shared" ca="1" si="8"/>
        <v>0</v>
      </c>
      <c r="AG1212" s="77">
        <f t="shared" ca="1" si="9"/>
        <v>3</v>
      </c>
      <c r="AH1212" s="76">
        <f t="array" ref="AH1212">AVERAGEIFS($I$2:$I2248,$B$2:$B2248,$B1212,$P$2:$P2248,"&lt;="&amp;$P1212,$P$2:$P2248,"&gt;"&amp;$P1212-7)</f>
        <v>7.875</v>
      </c>
      <c r="AI1212" s="76">
        <f ca="1">IFERROR(__xludf.DUMMYFUNCTION("iferror(stdevp(filter($H$2:$H2250,$B$2:$B2250=$B1212,$O$2:$O2250&lt;=$O1212,$O$2:$O2250&gt;$O1212-7)),0)"),1.24721912892464)</f>
        <v>1.2472191289246399</v>
      </c>
      <c r="AJ1212" s="77">
        <f t="shared" ca="1" si="10"/>
        <v>-1.5033444857573959</v>
      </c>
      <c r="AK1212" s="77">
        <f t="shared" ca="1" si="11"/>
        <v>1</v>
      </c>
      <c r="AL1212" s="76">
        <f t="array" ref="AL1212">AVERAGEIFS($J$2:$J2248,$B$2:$B2248,$B1212,$P$2:$P2248,"&lt;="&amp;$P1212,$P$2:$P2248,"&gt;"&amp;$P1212-7)</f>
        <v>8.34375</v>
      </c>
      <c r="AM1212" s="76">
        <f ca="1">IFERROR(__xludf.DUMMYFUNCTION("iferror(stdevp(filter($I$2:$I2250,$B$2:$B2250=$B1212,$O$2:$O2250&lt;=$O1212,$O$2:$O2250&gt;$O1212-7)),0)"),0.577350269189625)</f>
        <v>0.57735026918962495</v>
      </c>
      <c r="AN1212" s="77">
        <f t="shared" ca="1" si="13"/>
        <v>-0.59539246510180244</v>
      </c>
      <c r="AO1212" s="77">
        <f t="shared" ca="1" si="14"/>
        <v>2</v>
      </c>
      <c r="AP1212" s="76">
        <f t="array" ref="AP1212">AVERAGEIFS($K$2:$K2248,$B$2:$B2248,$B1212,$P$2:$P2248,"&lt;="&amp;$P1212,$P$2:$P2248,"&gt;"&amp;$P1212-7)</f>
        <v>8.46875</v>
      </c>
      <c r="AQ1212" s="76">
        <f ca="1">IFERROR(__xludf.DUMMYFUNCTION("iferror(stdevp(filter($J$2:$J2250,$B$2:$B2250=$B1212,$O$2:$O2250&lt;=$O1212,$O$2:$O2250&gt;$O1212-7)),0)"),0.687184270936276)</f>
        <v>0.68718427093627599</v>
      </c>
      <c r="AR1212" s="77">
        <f t="shared" ca="1" si="15"/>
        <v>0.77308230480331219</v>
      </c>
      <c r="AS1212" s="77">
        <f t="shared" ca="1" si="16"/>
        <v>3</v>
      </c>
      <c r="AT1212" s="78">
        <f t="shared" ca="1" si="12"/>
        <v>0.54166666666666663</v>
      </c>
    </row>
    <row r="1213" spans="1:46" ht="12.5" x14ac:dyDescent="0.25">
      <c r="A1213" s="75">
        <v>44973.372698321764</v>
      </c>
      <c r="B1213" s="1" t="s">
        <v>16</v>
      </c>
      <c r="C1213" s="1" t="str">
        <f>INDEX(TBL_Name,MATCH(Table2[[#This Row],[Athlete Name]],listNames,0),2)</f>
        <v>Athlete 9</v>
      </c>
      <c r="D1213" s="1" t="s">
        <v>130</v>
      </c>
      <c r="E1213" s="1">
        <v>9</v>
      </c>
      <c r="F1213" s="1">
        <v>7</v>
      </c>
      <c r="G1213" s="1">
        <v>7</v>
      </c>
      <c r="H1213" s="1" t="s">
        <v>1506</v>
      </c>
      <c r="I1213" s="1">
        <v>5</v>
      </c>
      <c r="J1213" s="1">
        <v>7</v>
      </c>
      <c r="K1213" s="1">
        <v>8</v>
      </c>
      <c r="L1213" s="1">
        <v>84</v>
      </c>
      <c r="M1213" s="1" t="e">
        <f t="shared" ca="1" si="0"/>
        <v>#NAME?</v>
      </c>
      <c r="N1213" s="1" t="e">
        <f t="shared" si="1"/>
        <v>#VALUE!</v>
      </c>
      <c r="O1213" s="1" t="e">
        <f ca="1">IF($N1213=_xludf.MINIFS($N$2:$N2399,$R$2:$R2399,$R1213),1,
($N1213-_xludf.MINIFS($N$2:$N2399,$R$2:$R2399,$R1213))+1)</f>
        <v>#VALUE!</v>
      </c>
      <c r="P1213" s="13" t="e">
        <f t="shared" si="2"/>
        <v>#VALUE!</v>
      </c>
      <c r="Q1213" s="1" t="e">
        <f>RIGHT(YEAR($A1213),2)-(MONTH($A1213)&lt;=#REF!)
 &amp;"-"&amp;
 RIGHT(YEAR($A1213),2)+(MONTH($A1213)&gt;=#REF!)</f>
        <v>#REF!</v>
      </c>
      <c r="R1213" s="1" t="e">
        <f>CHOOSE(MONTH($P1213),#REF!,#REF!,#REF!,#REF!,#REF!,#REF!,#REF!,#REF!,#REF!,#REF!,#REF!,#REF!)&amp;" "&amp;$Q1213</f>
        <v>#VALUE!</v>
      </c>
      <c r="S1213" s="1">
        <f t="shared" si="3"/>
        <v>1</v>
      </c>
      <c r="T1213" s="1" t="str">
        <f t="array" ref="T1213">IFERROR(INDEX(#REF!,MATCH($B1213,#REF!,0)),"")</f>
        <v/>
      </c>
      <c r="U1213" s="1" t="str">
        <f t="array" ref="U1213">IFERROR(INDEX(#REF!,MATCH($B1213,#REF!,0)),"")</f>
        <v/>
      </c>
      <c r="V1213" s="76">
        <f t="array" ref="V1213">AVERAGEIFS($E$2:$E2248,$B$2:$B2248,$B1213,$P$2:$P2248,"&lt;="&amp;$P1213,$P$2:$P2248,"&gt;"&amp;$P1213-7)</f>
        <v>8.9600000000000009</v>
      </c>
      <c r="W1213" s="76">
        <f ca="1">IFERROR(__xludf.DUMMYFUNCTION("iferror(stdevp(filter($D$2:$D2250,$B$2:$B2250=$B1213,$O$2:$O2250&lt;=$O1213,$O$2:$O2250&gt;$O1213-7)),0)"),0)</f>
        <v>0</v>
      </c>
      <c r="X1213" s="77">
        <f t="shared" ca="1" si="4"/>
        <v>0</v>
      </c>
      <c r="Y1213" s="77">
        <f t="shared" ca="1" si="5"/>
        <v>3</v>
      </c>
      <c r="Z1213" s="76">
        <f t="array" ref="Z1213">AVERAGEIFS($F$2:$F2248,$B$2:$B2248,$B1213,$P$2:$P2248,"&lt;="&amp;$P1213,$P$2:$P2248,"&gt;"&amp;$P1213-7)</f>
        <v>7.48</v>
      </c>
      <c r="AA1213" s="76">
        <f ca="1">IFERROR(__xludf.DUMMYFUNCTION("iferror(stdevp(filter($E$2:$E2250,$B$2:$B2250=$B1213,$O$2:$O2250&lt;=$O1213,$O$2:$O2250&gt;$O1213-7)),0)"),0)</f>
        <v>0</v>
      </c>
      <c r="AB1213" s="77">
        <f t="shared" ca="1" si="6"/>
        <v>0</v>
      </c>
      <c r="AC1213" s="77">
        <f t="shared" ca="1" si="7"/>
        <v>3</v>
      </c>
      <c r="AD1213" s="76">
        <f t="array" ref="AD1213">AVERAGEIFS($G$2:$G2248,$B$2:$B2248,$B1213,$P$2:$P2248,"&lt;="&amp;$P1213,$P$2:$P2248,"&gt;"&amp;$P1213-7)</f>
        <v>7.56</v>
      </c>
      <c r="AE1213" s="76">
        <f ca="1">IFERROR(__xludf.DUMMYFUNCTION("iferror(stdevp(filter($F$2:$F2250,$B$2:$B2250=$B1213,$O$2:$O2250&lt;=$O1213,$O$2:$O2250&gt;$O1213-7)),0)"),0.433012701892219)</f>
        <v>0.43301270189221902</v>
      </c>
      <c r="AF1213" s="77">
        <f t="shared" ca="1" si="8"/>
        <v>-1.2932646029847616</v>
      </c>
      <c r="AG1213" s="77">
        <f t="shared" ca="1" si="9"/>
        <v>1</v>
      </c>
      <c r="AH1213" s="76">
        <f t="array" ref="AH1213">AVERAGEIFS($I$2:$I2248,$B$2:$B2248,$B1213,$P$2:$P2248,"&lt;="&amp;$P1213,$P$2:$P2248,"&gt;"&amp;$P1213-7)</f>
        <v>5.8</v>
      </c>
      <c r="AI1213" s="76">
        <f ca="1">IFERROR(__xludf.DUMMYFUNCTION("iferror(stdevp(filter($H$2:$H2250,$B$2:$B2250=$B1213,$O$2:$O2250&lt;=$O1213,$O$2:$O2250&gt;$O1213-7)),0)"),0.433012701892219)</f>
        <v>0.43301270189221902</v>
      </c>
      <c r="AJ1213" s="77">
        <f t="shared" ca="1" si="10"/>
        <v>-1.8475208614068033</v>
      </c>
      <c r="AK1213" s="77">
        <f t="shared" ca="1" si="11"/>
        <v>1</v>
      </c>
      <c r="AL1213" s="76">
        <f t="array" ref="AL1213">AVERAGEIFS($J$2:$J2248,$B$2:$B2248,$B1213,$P$2:$P2248,"&lt;="&amp;$P1213,$P$2:$P2248,"&gt;"&amp;$P1213-7)</f>
        <v>7.8</v>
      </c>
      <c r="AM1213" s="76">
        <f ca="1">IFERROR(__xludf.DUMMYFUNCTION("iferror(stdevp(filter($I$2:$I2250,$B$2:$B2250=$B1213,$O$2:$O2250&lt;=$O1213,$O$2:$O2250&gt;$O1213-7)),0)"),0.433012701892219)</f>
        <v>0.43301270189221902</v>
      </c>
      <c r="AN1213" s="77">
        <f t="shared" ca="1" si="13"/>
        <v>-1.8475208614068033</v>
      </c>
      <c r="AO1213" s="77">
        <f t="shared" ca="1" si="14"/>
        <v>1</v>
      </c>
      <c r="AP1213" s="76">
        <f t="array" ref="AP1213">AVERAGEIFS($K$2:$K2248,$B$2:$B2248,$B1213,$P$2:$P2248,"&lt;="&amp;$P1213,$P$2:$P2248,"&gt;"&amp;$P1213-7)</f>
        <v>8.6</v>
      </c>
      <c r="AQ1213" s="76">
        <f ca="1">IFERROR(__xludf.DUMMYFUNCTION("iferror(stdevp(filter($J$2:$J2250,$B$2:$B2250=$B1213,$O$2:$O2250&lt;=$O1213,$O$2:$O2250&gt;$O1213-7)),0)"),0.866025403784438)</f>
        <v>0.86602540378443804</v>
      </c>
      <c r="AR1213" s="77">
        <f t="shared" ca="1" si="15"/>
        <v>-0.69282032302755103</v>
      </c>
      <c r="AS1213" s="77">
        <f t="shared" ca="1" si="16"/>
        <v>2</v>
      </c>
      <c r="AT1213" s="78">
        <f t="shared" ca="1" si="12"/>
        <v>0.45833333333333331</v>
      </c>
    </row>
    <row r="1214" spans="1:46" ht="12.5" x14ac:dyDescent="0.25">
      <c r="A1214" s="75">
        <v>44973.409874224541</v>
      </c>
      <c r="B1214" s="1" t="s">
        <v>17</v>
      </c>
      <c r="C1214" s="1" t="str">
        <f>INDEX(TBL_Name,MATCH(Table2[[#This Row],[Athlete Name]],listNames,0),2)</f>
        <v>Athlete 10</v>
      </c>
      <c r="D1214" s="1" t="s">
        <v>130</v>
      </c>
      <c r="E1214" s="1">
        <v>3</v>
      </c>
      <c r="F1214" s="1">
        <v>10</v>
      </c>
      <c r="G1214" s="1">
        <v>10</v>
      </c>
      <c r="H1214" s="1" t="s">
        <v>1546</v>
      </c>
      <c r="I1214" s="1">
        <v>4</v>
      </c>
      <c r="J1214" s="1">
        <v>7</v>
      </c>
      <c r="K1214" s="1">
        <v>7</v>
      </c>
      <c r="L1214" s="1">
        <v>64</v>
      </c>
      <c r="M1214" s="1" t="e">
        <f t="shared" ca="1" si="0"/>
        <v>#NAME?</v>
      </c>
      <c r="N1214" s="1" t="e">
        <f t="shared" si="1"/>
        <v>#VALUE!</v>
      </c>
      <c r="O1214" s="1" t="e">
        <f ca="1">IF($N1214=_xludf.MINIFS($N$2:$N2400,$R$2:$R2400,$R1214),1,
($N1214-_xludf.MINIFS($N$2:$N2400,$R$2:$R2400,$R1214))+1)</f>
        <v>#VALUE!</v>
      </c>
      <c r="P1214" s="13" t="e">
        <f t="shared" si="2"/>
        <v>#VALUE!</v>
      </c>
      <c r="Q1214" s="1" t="e">
        <f>RIGHT(YEAR($A1214),2)-(MONTH($A1214)&lt;=#REF!)
 &amp;"-"&amp;
 RIGHT(YEAR($A1214),2)+(MONTH($A1214)&gt;=#REF!)</f>
        <v>#REF!</v>
      </c>
      <c r="R1214" s="1" t="e">
        <f>CHOOSE(MONTH($P1214),#REF!,#REF!,#REF!,#REF!,#REF!,#REF!,#REF!,#REF!,#REF!,#REF!,#REF!,#REF!)&amp;" "&amp;$Q1214</f>
        <v>#VALUE!</v>
      </c>
      <c r="S1214" s="1">
        <f t="shared" si="3"/>
        <v>1</v>
      </c>
      <c r="T1214" s="1" t="str">
        <f t="array" ref="T1214">IFERROR(INDEX(#REF!,MATCH($B1214,#REF!,0)),"")</f>
        <v/>
      </c>
      <c r="U1214" s="1" t="str">
        <f t="array" ref="U1214">IFERROR(INDEX(#REF!,MATCH($B1214,#REF!,0)),"")</f>
        <v/>
      </c>
      <c r="V1214" s="76">
        <f t="array" ref="V1214">AVERAGEIFS($E$2:$E2248,$B$2:$B2248,$B1214,$P$2:$P2248,"&lt;="&amp;$P1214,$P$2:$P2248,"&gt;"&amp;$P1214-7)</f>
        <v>6.9024390243902438</v>
      </c>
      <c r="W1214" s="76">
        <f ca="1">IFERROR(__xludf.DUMMYFUNCTION("iferror(stdevp(filter($D$2:$D2250,$B$2:$B2250=$B1214,$O$2:$O2250&lt;=$O1214,$O$2:$O2250&gt;$O1214-7)),0)"),1.83303027798233)</f>
        <v>1.83303027798233</v>
      </c>
      <c r="X1214" s="77">
        <f t="shared" ca="1" si="4"/>
        <v>-2.1289550266926156</v>
      </c>
      <c r="Y1214" s="77">
        <f t="shared" ca="1" si="5"/>
        <v>1</v>
      </c>
      <c r="Z1214" s="76">
        <f t="array" ref="Z1214">AVERAGEIFS($F$2:$F2248,$B$2:$B2248,$B1214,$P$2:$P2248,"&lt;="&amp;$P1214,$P$2:$P2248,"&gt;"&amp;$P1214-7)</f>
        <v>7.2926829268292686</v>
      </c>
      <c r="AA1214" s="76">
        <f ca="1">IFERROR(__xludf.DUMMYFUNCTION("iferror(stdevp(filter($E$2:$E2250,$B$2:$B2250=$B1214,$O$2:$O2250&lt;=$O1214,$O$2:$O2250&gt;$O1214-7)),0)"),1.72046505340852)</f>
        <v>1.72046505340852</v>
      </c>
      <c r="AB1214" s="77">
        <f t="shared" ca="1" si="6"/>
        <v>1.5735960854346316</v>
      </c>
      <c r="AC1214" s="77">
        <f t="shared" ca="1" si="7"/>
        <v>4</v>
      </c>
      <c r="AD1214" s="76">
        <f t="array" ref="AD1214">AVERAGEIFS($G$2:$G2248,$B$2:$B2248,$B1214,$P$2:$P2248,"&lt;="&amp;$P1214,$P$2:$P2248,"&gt;"&amp;$P1214-7)</f>
        <v>7.8048780487804876</v>
      </c>
      <c r="AE1214" s="76">
        <f ca="1">IFERROR(__xludf.DUMMYFUNCTION("iferror(stdevp(filter($F$2:$F2250,$B$2:$B2250=$B1214,$O$2:$O2250&lt;=$O1214,$O$2:$O2250&gt;$O1214-7)),0)"),1.6)</f>
        <v>1.6</v>
      </c>
      <c r="AF1214" s="77">
        <f t="shared" ca="1" si="8"/>
        <v>1.3719512195121952</v>
      </c>
      <c r="AG1214" s="77">
        <f t="shared" ca="1" si="9"/>
        <v>4</v>
      </c>
      <c r="AH1214" s="76">
        <f t="array" ref="AH1214">AVERAGEIFS($I$2:$I2248,$B$2:$B2248,$B1214,$P$2:$P2248,"&lt;="&amp;$P1214,$P$2:$P2248,"&gt;"&amp;$P1214-7)</f>
        <v>6.3170731707317076</v>
      </c>
      <c r="AI1214" s="76">
        <f ca="1">IFERROR(__xludf.DUMMYFUNCTION("iferror(stdevp(filter($H$2:$H2250,$B$2:$B2250=$B1214,$O$2:$O2250&lt;=$O1214,$O$2:$O2250&gt;$O1214-7)),0)"),1.41421356237309)</f>
        <v>1.41421356237309</v>
      </c>
      <c r="AJ1214" s="77">
        <f t="shared" ca="1" si="10"/>
        <v>-1.6384181515298113</v>
      </c>
      <c r="AK1214" s="77">
        <f t="shared" ca="1" si="11"/>
        <v>1</v>
      </c>
      <c r="AL1214" s="76">
        <f t="array" ref="AL1214">AVERAGEIFS($J$2:$J2248,$B$2:$B2248,$B1214,$P$2:$P2248,"&lt;="&amp;$P1214,$P$2:$P2248,"&gt;"&amp;$P1214-7)</f>
        <v>6.9024390243902438</v>
      </c>
      <c r="AM1214" s="76">
        <f ca="1">IFERROR(__xludf.DUMMYFUNCTION("iferror(stdevp(filter($I$2:$I2250,$B$2:$B2250=$B1214,$O$2:$O2250&lt;=$O1214,$O$2:$O2250&gt;$O1214-7)),0)"),1.16619037896906)</f>
        <v>1.16619037896906</v>
      </c>
      <c r="AN1214" s="77">
        <f t="shared" ca="1" si="13"/>
        <v>8.3657846410980008E-2</v>
      </c>
      <c r="AO1214" s="77">
        <f t="shared" ca="1" si="14"/>
        <v>3</v>
      </c>
      <c r="AP1214" s="76">
        <f t="array" ref="AP1214">AVERAGEIFS($K$2:$K2248,$B$2:$B2248,$B1214,$P$2:$P2248,"&lt;="&amp;$P1214,$P$2:$P2248,"&gt;"&amp;$P1214-7)</f>
        <v>8</v>
      </c>
      <c r="AQ1214" s="76">
        <f ca="1">IFERROR(__xludf.DUMMYFUNCTION("iferror(stdevp(filter($J$2:$J2250,$B$2:$B2250=$B1214,$O$2:$O2250&lt;=$O1214,$O$2:$O2250&gt;$O1214-7)),0)"),0.748331477354788)</f>
        <v>0.748331477354788</v>
      </c>
      <c r="AR1214" s="77">
        <f t="shared" ca="1" si="15"/>
        <v>-1.3363062095621223</v>
      </c>
      <c r="AS1214" s="77">
        <f t="shared" ca="1" si="16"/>
        <v>1</v>
      </c>
      <c r="AT1214" s="78">
        <f t="shared" ca="1" si="12"/>
        <v>0.58333333333333337</v>
      </c>
    </row>
    <row r="1215" spans="1:46" ht="12.5" x14ac:dyDescent="0.25">
      <c r="A1215" s="75">
        <v>44973.411820266207</v>
      </c>
      <c r="B1215" s="1" t="s">
        <v>13</v>
      </c>
      <c r="C1215" s="1" t="str">
        <f>INDEX(TBL_Name,MATCH(Table2[[#This Row],[Athlete Name]],listNames,0),2)</f>
        <v>Athlete 7</v>
      </c>
      <c r="D1215" s="1" t="s">
        <v>130</v>
      </c>
      <c r="E1215" s="1">
        <v>5</v>
      </c>
      <c r="F1215" s="1">
        <v>7</v>
      </c>
      <c r="G1215" s="1">
        <v>7</v>
      </c>
      <c r="H1215" s="1" t="s">
        <v>415</v>
      </c>
      <c r="I1215" s="1">
        <v>5</v>
      </c>
      <c r="J1215" s="1">
        <v>10</v>
      </c>
      <c r="K1215" s="1">
        <v>10</v>
      </c>
      <c r="L1215" s="1">
        <v>70</v>
      </c>
      <c r="M1215" s="1" t="e">
        <f t="shared" ca="1" si="0"/>
        <v>#NAME?</v>
      </c>
      <c r="N1215" s="1" t="e">
        <f t="shared" si="1"/>
        <v>#VALUE!</v>
      </c>
      <c r="O1215" s="1" t="e">
        <f ca="1">IF($N1215=_xludf.MINIFS($N$2:$N2401,$R$2:$R2401,$R1215),1,
($N1215-_xludf.MINIFS($N$2:$N2401,$R$2:$R2401,$R1215))+1)</f>
        <v>#VALUE!</v>
      </c>
      <c r="P1215" s="13" t="e">
        <f t="shared" si="2"/>
        <v>#VALUE!</v>
      </c>
      <c r="Q1215" s="1" t="e">
        <f>RIGHT(YEAR($A1215),2)-(MONTH($A1215)&lt;=#REF!)
 &amp;"-"&amp;
 RIGHT(YEAR($A1215),2)+(MONTH($A1215)&gt;=#REF!)</f>
        <v>#REF!</v>
      </c>
      <c r="R1215" s="1" t="e">
        <f>CHOOSE(MONTH($P1215),#REF!,#REF!,#REF!,#REF!,#REF!,#REF!,#REF!,#REF!,#REF!,#REF!,#REF!,#REF!)&amp;" "&amp;$Q1215</f>
        <v>#VALUE!</v>
      </c>
      <c r="S1215" s="1">
        <f t="shared" si="3"/>
        <v>1</v>
      </c>
      <c r="T1215" s="1" t="str">
        <f t="array" ref="T1215">IFERROR(INDEX(#REF!,MATCH($B1215,#REF!,0)),"")</f>
        <v/>
      </c>
      <c r="U1215" s="1" t="str">
        <f t="array" ref="U1215">IFERROR(INDEX(#REF!,MATCH($B1215,#REF!,0)),"")</f>
        <v/>
      </c>
      <c r="V1215" s="76">
        <f t="array" ref="V1215">AVERAGEIFS($E$2:$E2248,$B$2:$B2248,$B1215,$P$2:$P2248,"&lt;="&amp;$P1215,$P$2:$P2248,"&gt;"&amp;$P1215-7)</f>
        <v>7.6857142857142859</v>
      </c>
      <c r="W1215" s="76">
        <f ca="1">IFERROR(__xludf.DUMMYFUNCTION("iferror(stdevp(filter($D$2:$D2250,$B$2:$B2250=$B1215,$O$2:$O2250&lt;=$O1215,$O$2:$O2250&gt;$O1215-7)),0)"),1.85472369909914)</f>
        <v>1.85472369909914</v>
      </c>
      <c r="X1215" s="77">
        <f t="shared" ca="1" si="4"/>
        <v>-1.4480400973033165</v>
      </c>
      <c r="Y1215" s="77">
        <f t="shared" ca="1" si="5"/>
        <v>1</v>
      </c>
      <c r="Z1215" s="76">
        <f t="array" ref="Z1215">AVERAGEIFS($F$2:$F2248,$B$2:$B2248,$B1215,$P$2:$P2248,"&lt;="&amp;$P1215,$P$2:$P2248,"&gt;"&amp;$P1215-7)</f>
        <v>7.0857142857142854</v>
      </c>
      <c r="AA1215" s="76">
        <f ca="1">IFERROR(__xludf.DUMMYFUNCTION("iferror(stdevp(filter($E$2:$E2250,$B$2:$B2250=$B1215,$O$2:$O2250&lt;=$O1215,$O$2:$O2250&gt;$O1215-7)),0)"),1.01980390271855)</f>
        <v>1.0198039027185499</v>
      </c>
      <c r="AB1215" s="77">
        <f t="shared" ca="1" si="6"/>
        <v>-8.4049772202079154E-2</v>
      </c>
      <c r="AC1215" s="77">
        <f t="shared" ca="1" si="7"/>
        <v>2</v>
      </c>
      <c r="AD1215" s="76">
        <f t="array" ref="AD1215">AVERAGEIFS($G$2:$G2248,$B$2:$B2248,$B1215,$P$2:$P2248,"&lt;="&amp;$P1215,$P$2:$P2248,"&gt;"&amp;$P1215-7)</f>
        <v>7.1428571428571432</v>
      </c>
      <c r="AE1215" s="76">
        <f ca="1">IFERROR(__xludf.DUMMYFUNCTION("iferror(stdevp(filter($F$2:$F2250,$B$2:$B2250=$B1215,$O$2:$O2250&lt;=$O1215,$O$2:$O2250&gt;$O1215-7)),0)"),0.632455532033675)</f>
        <v>0.63245553203367499</v>
      </c>
      <c r="AF1215" s="77">
        <f t="shared" ca="1" si="8"/>
        <v>-0.22587697572631371</v>
      </c>
      <c r="AG1215" s="77">
        <f t="shared" ca="1" si="9"/>
        <v>2</v>
      </c>
      <c r="AH1215" s="76">
        <f t="array" ref="AH1215">AVERAGEIFS($I$2:$I2248,$B$2:$B2248,$B1215,$P$2:$P2248,"&lt;="&amp;$P1215,$P$2:$P2248,"&gt;"&amp;$P1215-7)</f>
        <v>7.0285714285714285</v>
      </c>
      <c r="AI1215" s="76">
        <f ca="1">IFERROR(__xludf.DUMMYFUNCTION("iferror(stdevp(filter($H$2:$H2250,$B$2:$B2250=$B1215,$O$2:$O2250&lt;=$O1215,$O$2:$O2250&gt;$O1215-7)),0)"),1.4696938456699)</f>
        <v>1.4696938456699</v>
      </c>
      <c r="AJ1215" s="77">
        <f t="shared" ca="1" si="10"/>
        <v>-1.3802680296635432</v>
      </c>
      <c r="AK1215" s="77">
        <f t="shared" ca="1" si="11"/>
        <v>1</v>
      </c>
      <c r="AL1215" s="76">
        <f t="array" ref="AL1215">AVERAGEIFS($J$2:$J2248,$B$2:$B2248,$B1215,$P$2:$P2248,"&lt;="&amp;$P1215,$P$2:$P2248,"&gt;"&amp;$P1215-7)</f>
        <v>9.742857142857142</v>
      </c>
      <c r="AM1215" s="76">
        <f ca="1">IFERROR(__xludf.DUMMYFUNCTION("iferror(stdevp(filter($I$2:$I2250,$B$2:$B2250=$B1215,$O$2:$O2250&lt;=$O1215,$O$2:$O2250&gt;$O1215-7)),0)"),0)</f>
        <v>0</v>
      </c>
      <c r="AN1215" s="77">
        <f t="shared" ca="1" si="13"/>
        <v>0</v>
      </c>
      <c r="AO1215" s="77">
        <f t="shared" ca="1" si="14"/>
        <v>3</v>
      </c>
      <c r="AP1215" s="76">
        <f t="array" ref="AP1215">AVERAGEIFS($K$2:$K2248,$B$2:$B2248,$B1215,$P$2:$P2248,"&lt;="&amp;$P1215,$P$2:$P2248,"&gt;"&amp;$P1215-7)</f>
        <v>9.4285714285714288</v>
      </c>
      <c r="AQ1215" s="76">
        <f ca="1">IFERROR(__xludf.DUMMYFUNCTION("iferror(stdevp(filter($J$2:$J2250,$B$2:$B2250=$B1215,$O$2:$O2250&lt;=$O1215,$O$2:$O2250&gt;$O1215-7)),0)"),1.2)</f>
        <v>1.2</v>
      </c>
      <c r="AR1215" s="77">
        <f t="shared" ca="1" si="15"/>
        <v>0.476190476190476</v>
      </c>
      <c r="AS1215" s="77">
        <f t="shared" ca="1" si="16"/>
        <v>3</v>
      </c>
      <c r="AT1215" s="78">
        <f t="shared" ca="1" si="12"/>
        <v>0.5</v>
      </c>
    </row>
    <row r="1216" spans="1:46" ht="12.5" x14ac:dyDescent="0.25">
      <c r="A1216" s="75">
        <v>44973.435523391207</v>
      </c>
      <c r="B1216" s="1" t="s">
        <v>15</v>
      </c>
      <c r="C1216" s="1" t="str">
        <f>INDEX(TBL_Name,MATCH(Table2[[#This Row],[Athlete Name]],listNames,0),2)</f>
        <v>Athlete 8</v>
      </c>
      <c r="D1216" s="1" t="s">
        <v>143</v>
      </c>
      <c r="E1216" s="1">
        <v>10</v>
      </c>
      <c r="F1216" s="1">
        <v>10</v>
      </c>
      <c r="G1216" s="1">
        <v>8</v>
      </c>
      <c r="H1216" s="1" t="s">
        <v>1547</v>
      </c>
      <c r="I1216" s="1">
        <v>5</v>
      </c>
      <c r="J1216" s="1">
        <v>10</v>
      </c>
      <c r="K1216" s="1">
        <v>10</v>
      </c>
      <c r="L1216" s="1">
        <v>83</v>
      </c>
      <c r="M1216" s="1" t="e">
        <f t="shared" ca="1" si="0"/>
        <v>#NAME?</v>
      </c>
      <c r="N1216" s="1" t="e">
        <f t="shared" si="1"/>
        <v>#VALUE!</v>
      </c>
      <c r="O1216" s="1" t="e">
        <f ca="1">IF($N1216=_xludf.MINIFS($N$2:$N2402,$R$2:$R2402,$R1216),1,
($N1216-_xludf.MINIFS($N$2:$N2402,$R$2:$R2402,$R1216))+1)</f>
        <v>#VALUE!</v>
      </c>
      <c r="P1216" s="13" t="e">
        <f t="shared" si="2"/>
        <v>#VALUE!</v>
      </c>
      <c r="Q1216" s="1" t="e">
        <f>RIGHT(YEAR($A1216),2)-(MONTH($A1216)&lt;=#REF!)
 &amp;"-"&amp;
 RIGHT(YEAR($A1216),2)+(MONTH($A1216)&gt;=#REF!)</f>
        <v>#REF!</v>
      </c>
      <c r="R1216" s="1" t="e">
        <f>CHOOSE(MONTH($P1216),#REF!,#REF!,#REF!,#REF!,#REF!,#REF!,#REF!,#REF!,#REF!,#REF!,#REF!,#REF!)&amp;" "&amp;$Q1216</f>
        <v>#VALUE!</v>
      </c>
      <c r="S1216" s="1">
        <f t="shared" si="3"/>
        <v>2</v>
      </c>
      <c r="T1216" s="1" t="str">
        <f t="array" ref="T1216">IFERROR(INDEX(#REF!,MATCH($B1216,#REF!,0)),"")</f>
        <v/>
      </c>
      <c r="U1216" s="1" t="str">
        <f t="array" ref="U1216">IFERROR(INDEX(#REF!,MATCH($B1216,#REF!,0)),"")</f>
        <v/>
      </c>
      <c r="V1216" s="76">
        <f t="array" ref="V1216">AVERAGEIFS($E$2:$E2248,$B$2:$B2248,$B1216,$P$2:$P2248,"&lt;="&amp;$P1216,$P$2:$P2248,"&gt;"&amp;$P1216-7)</f>
        <v>8.935483870967742</v>
      </c>
      <c r="W1216" s="76">
        <f ca="1">IFERROR(__xludf.DUMMYFUNCTION("iferror(stdevp(filter($D$2:$D2250,$B$2:$B2250=$B1216,$O$2:$O2250&lt;=$O1216,$O$2:$O2250&gt;$O1216-7)),0)"),1.2)</f>
        <v>1.2</v>
      </c>
      <c r="X1216" s="77">
        <f t="shared" ca="1" si="4"/>
        <v>0.88709677419354838</v>
      </c>
      <c r="Y1216" s="77">
        <f t="shared" ca="1" si="5"/>
        <v>3</v>
      </c>
      <c r="Z1216" s="76">
        <f t="array" ref="Z1216">AVERAGEIFS($F$2:$F2248,$B$2:$B2248,$B1216,$P$2:$P2248,"&lt;="&amp;$P1216,$P$2:$P2248,"&gt;"&amp;$P1216-7)</f>
        <v>8.741935483870968</v>
      </c>
      <c r="AA1216" s="76">
        <f ca="1">IFERROR(__xludf.DUMMYFUNCTION("iferror(stdevp(filter($E$2:$E2250,$B$2:$B2250=$B1216,$O$2:$O2250&lt;=$O1216,$O$2:$O2250&gt;$O1216-7)),0)"),1.2)</f>
        <v>1.2</v>
      </c>
      <c r="AB1216" s="77">
        <f t="shared" ca="1" si="6"/>
        <v>1.0483870967741935</v>
      </c>
      <c r="AC1216" s="77">
        <f t="shared" ca="1" si="7"/>
        <v>4</v>
      </c>
      <c r="AD1216" s="76">
        <f t="array" ref="AD1216">AVERAGEIFS($G$2:$G2248,$B$2:$B2248,$B1216,$P$2:$P2248,"&lt;="&amp;$P1216,$P$2:$P2248,"&gt;"&amp;$P1216-7)</f>
        <v>7.32258064516129</v>
      </c>
      <c r="AE1216" s="76">
        <f ca="1">IFERROR(__xludf.DUMMYFUNCTION("iferror(stdevp(filter($F$2:$F2250,$B$2:$B2250=$B1216,$O$2:$O2250&lt;=$O1216,$O$2:$O2250&gt;$O1216-7)),0)"),0.8)</f>
        <v>0.8</v>
      </c>
      <c r="AF1216" s="77">
        <f t="shared" ca="1" si="8"/>
        <v>0.84677419354838745</v>
      </c>
      <c r="AG1216" s="77">
        <f t="shared" ca="1" si="9"/>
        <v>3</v>
      </c>
      <c r="AH1216" s="76">
        <f t="array" ref="AH1216">AVERAGEIFS($I$2:$I2248,$B$2:$B2248,$B1216,$P$2:$P2248,"&lt;="&amp;$P1216,$P$2:$P2248,"&gt;"&amp;$P1216-7)</f>
        <v>6.419354838709677</v>
      </c>
      <c r="AI1216" s="76">
        <f ca="1">IFERROR(__xludf.DUMMYFUNCTION("iferror(stdevp(filter($H$2:$H2250,$B$2:$B2250=$B1216,$O$2:$O2250&lt;=$O1216,$O$2:$O2250&gt;$O1216-7)),0)"),1.4696938456699)</f>
        <v>1.4696938456699</v>
      </c>
      <c r="AJ1216" s="77">
        <f t="shared" ca="1" si="10"/>
        <v>-0.96574864410806727</v>
      </c>
      <c r="AK1216" s="77">
        <f t="shared" ca="1" si="11"/>
        <v>2</v>
      </c>
      <c r="AL1216" s="76">
        <f t="array" ref="AL1216">AVERAGEIFS($J$2:$J2248,$B$2:$B2248,$B1216,$P$2:$P2248,"&lt;="&amp;$P1216,$P$2:$P2248,"&gt;"&amp;$P1216-7)</f>
        <v>9.612903225806452</v>
      </c>
      <c r="AM1216" s="76">
        <f ca="1">IFERROR(__xludf.DUMMYFUNCTION("iferror(stdevp(filter($I$2:$I2250,$B$2:$B2250=$B1216,$O$2:$O2250&lt;=$O1216,$O$2:$O2250&gt;$O1216-7)),0)"),0)</f>
        <v>0</v>
      </c>
      <c r="AN1216" s="77">
        <f t="shared" ca="1" si="13"/>
        <v>0</v>
      </c>
      <c r="AO1216" s="77">
        <f t="shared" ca="1" si="14"/>
        <v>3</v>
      </c>
      <c r="AP1216" s="76">
        <f t="array" ref="AP1216">AVERAGEIFS($K$2:$K2248,$B$2:$B2248,$B1216,$P$2:$P2248,"&lt;="&amp;$P1216,$P$2:$P2248,"&gt;"&amp;$P1216-7)</f>
        <v>10</v>
      </c>
      <c r="AQ1216" s="76">
        <f ca="1">IFERROR(__xludf.DUMMYFUNCTION("iferror(stdevp(filter($J$2:$J2250,$B$2:$B2250=$B1216,$O$2:$O2250&lt;=$O1216,$O$2:$O2250&gt;$O1216-7)),0)"),0)</f>
        <v>0</v>
      </c>
      <c r="AR1216" s="77">
        <f t="shared" ca="1" si="15"/>
        <v>0</v>
      </c>
      <c r="AS1216" s="77">
        <f t="shared" ca="1" si="16"/>
        <v>3</v>
      </c>
      <c r="AT1216" s="78">
        <f t="shared" ca="1" si="12"/>
        <v>0.75</v>
      </c>
    </row>
    <row r="1217" spans="1:46" ht="12.5" x14ac:dyDescent="0.25">
      <c r="A1217" s="75">
        <v>44973.436639548614</v>
      </c>
      <c r="B1217" s="1" t="s">
        <v>19</v>
      </c>
      <c r="C1217" s="1" t="str">
        <f>INDEX(TBL_Name,MATCH(Table2[[#This Row],[Athlete Name]],listNames,0),2)</f>
        <v>Athlete 11</v>
      </c>
      <c r="D1217" s="1" t="s">
        <v>130</v>
      </c>
      <c r="E1217" s="1">
        <v>2</v>
      </c>
      <c r="F1217" s="1">
        <v>8</v>
      </c>
      <c r="G1217" s="1">
        <v>8</v>
      </c>
      <c r="H1217" s="1" t="s">
        <v>1548</v>
      </c>
      <c r="I1217" s="1">
        <v>3</v>
      </c>
      <c r="J1217" s="1">
        <v>8</v>
      </c>
      <c r="K1217" s="1">
        <v>8</v>
      </c>
      <c r="L1217" s="1">
        <v>62</v>
      </c>
      <c r="M1217" s="1" t="e">
        <f t="shared" ca="1" si="0"/>
        <v>#NAME?</v>
      </c>
      <c r="N1217" s="1" t="e">
        <f t="shared" si="1"/>
        <v>#VALUE!</v>
      </c>
      <c r="O1217" s="1" t="e">
        <f ca="1">IF($N1217=_xludf.MINIFS($N$2:$N2403,$R$2:$R2403,$R1217),1,
($N1217-_xludf.MINIFS($N$2:$N2403,$R$2:$R2403,$R1217))+1)</f>
        <v>#VALUE!</v>
      </c>
      <c r="P1217" s="13" t="e">
        <f t="shared" si="2"/>
        <v>#VALUE!</v>
      </c>
      <c r="Q1217" s="1" t="e">
        <f>RIGHT(YEAR($A1217),2)-(MONTH($A1217)&lt;=#REF!)
 &amp;"-"&amp;
 RIGHT(YEAR($A1217),2)+(MONTH($A1217)&gt;=#REF!)</f>
        <v>#REF!</v>
      </c>
      <c r="R1217" s="1" t="e">
        <f>CHOOSE(MONTH($P1217),#REF!,#REF!,#REF!,#REF!,#REF!,#REF!,#REF!,#REF!,#REF!,#REF!,#REF!,#REF!)&amp;" "&amp;$Q1217</f>
        <v>#VALUE!</v>
      </c>
      <c r="S1217" s="1">
        <f t="shared" si="3"/>
        <v>1</v>
      </c>
      <c r="T1217" s="1" t="str">
        <f t="array" ref="T1217">IFERROR(INDEX(#REF!,MATCH($B1217,#REF!,0)),"")</f>
        <v/>
      </c>
      <c r="U1217" s="1" t="str">
        <f t="array" ref="U1217">IFERROR(INDEX(#REF!,MATCH($B1217,#REF!,0)),"")</f>
        <v/>
      </c>
      <c r="V1217" s="76">
        <f t="array" ref="V1217">AVERAGEIFS($E$2:$E2248,$B$2:$B2248,$B1217,$P$2:$P2248,"&lt;="&amp;$P1217,$P$2:$P2248,"&gt;"&amp;$P1217-7)</f>
        <v>4.6538461538461542</v>
      </c>
      <c r="W1217" s="76">
        <f ca="1">IFERROR(__xludf.DUMMYFUNCTION("iferror(stdevp(filter($D$2:$D2250,$B$2:$B2250=$B1217,$O$2:$O2250&lt;=$O1217,$O$2:$O2250&gt;$O1217-7)),0)"),0.799999999999999)</f>
        <v>0.79999999999999905</v>
      </c>
      <c r="X1217" s="77">
        <f t="shared" ca="1" si="4"/>
        <v>-3.3173076923076965</v>
      </c>
      <c r="Y1217" s="77">
        <f t="shared" ca="1" si="5"/>
        <v>1</v>
      </c>
      <c r="Z1217" s="76">
        <f t="array" ref="Z1217">AVERAGEIFS($F$2:$F2248,$B$2:$B2248,$B1217,$P$2:$P2248,"&lt;="&amp;$P1217,$P$2:$P2248,"&gt;"&amp;$P1217-7)</f>
        <v>6.8461538461538458</v>
      </c>
      <c r="AA1217" s="76">
        <f ca="1">IFERROR(__xludf.DUMMYFUNCTION("iferror(stdevp(filter($E$2:$E2250,$B$2:$B2250=$B1217,$O$2:$O2250&lt;=$O1217,$O$2:$O2250&gt;$O1217-7)),0)"),1.54919333848296)</f>
        <v>1.5491933384829599</v>
      </c>
      <c r="AB1217" s="77">
        <f t="shared" ca="1" si="6"/>
        <v>0.74480448965527601</v>
      </c>
      <c r="AC1217" s="77">
        <f t="shared" ca="1" si="7"/>
        <v>3</v>
      </c>
      <c r="AD1217" s="76">
        <f t="array" ref="AD1217">AVERAGEIFS($G$2:$G2248,$B$2:$B2248,$B1217,$P$2:$P2248,"&lt;="&amp;$P1217,$P$2:$P2248,"&gt;"&amp;$P1217-7)</f>
        <v>7.2692307692307692</v>
      </c>
      <c r="AE1217" s="76">
        <f ca="1">IFERROR(__xludf.DUMMYFUNCTION("iferror(stdevp(filter($F$2:$F2250,$B$2:$B2250=$B1217,$O$2:$O2250&lt;=$O1217,$O$2:$O2250&gt;$O1217-7)),0)"),0.489897948556635)</f>
        <v>0.48989794855663499</v>
      </c>
      <c r="AF1217" s="77">
        <f t="shared" ca="1" si="8"/>
        <v>1.4916764459256553</v>
      </c>
      <c r="AG1217" s="77">
        <f t="shared" ca="1" si="9"/>
        <v>4</v>
      </c>
      <c r="AH1217" s="76">
        <f t="array" ref="AH1217">AVERAGEIFS($I$2:$I2248,$B$2:$B2248,$B1217,$P$2:$P2248,"&lt;="&amp;$P1217,$P$2:$P2248,"&gt;"&amp;$P1217-7)</f>
        <v>4.9230769230769234</v>
      </c>
      <c r="AI1217" s="76">
        <f ca="1">IFERROR(__xludf.DUMMYFUNCTION("iferror(stdevp(filter($H$2:$H2250,$B$2:$B2250=$B1217,$O$2:$O2250&lt;=$O1217,$O$2:$O2250&gt;$O1217-7)),0)"),1.35646599662505)</f>
        <v>1.3564659966250501</v>
      </c>
      <c r="AJ1217" s="77">
        <f t="shared" ca="1" si="10"/>
        <v>-1.4177111168740149</v>
      </c>
      <c r="AK1217" s="77">
        <f t="shared" ca="1" si="11"/>
        <v>1</v>
      </c>
      <c r="AL1217" s="76">
        <f t="array" ref="AL1217">AVERAGEIFS($J$2:$J2248,$B$2:$B2248,$B1217,$P$2:$P2248,"&lt;="&amp;$P1217,$P$2:$P2248,"&gt;"&amp;$P1217-7)</f>
        <v>7.5769230769230766</v>
      </c>
      <c r="AM1217" s="76">
        <f ca="1">IFERROR(__xludf.DUMMYFUNCTION("iferror(stdevp(filter($I$2:$I2250,$B$2:$B2250=$B1217,$O$2:$O2250&lt;=$O1217,$O$2:$O2250&gt;$O1217-7)),0)"),1.16619037896906)</f>
        <v>1.16619037896906</v>
      </c>
      <c r="AN1217" s="77">
        <f t="shared" ca="1" si="13"/>
        <v>0.36278546857069205</v>
      </c>
      <c r="AO1217" s="77">
        <f t="shared" ca="1" si="14"/>
        <v>3</v>
      </c>
      <c r="AP1217" s="76">
        <f t="array" ref="AP1217">AVERAGEIFS($K$2:$K2248,$B$2:$B2248,$B1217,$P$2:$P2248,"&lt;="&amp;$P1217,$P$2:$P2248,"&gt;"&amp;$P1217-7)</f>
        <v>8</v>
      </c>
      <c r="AQ1217" s="76">
        <f ca="1">IFERROR(__xludf.DUMMYFUNCTION("iferror(stdevp(filter($J$2:$J2250,$B$2:$B2250=$B1217,$O$2:$O2250&lt;=$O1217,$O$2:$O2250&gt;$O1217-7)),0)"),1.6)</f>
        <v>1.6</v>
      </c>
      <c r="AR1217" s="77">
        <f t="shared" ca="1" si="15"/>
        <v>0</v>
      </c>
      <c r="AS1217" s="77">
        <f t="shared" ca="1" si="16"/>
        <v>3</v>
      </c>
      <c r="AT1217" s="78">
        <f t="shared" ca="1" si="12"/>
        <v>0.625</v>
      </c>
    </row>
    <row r="1218" spans="1:46" ht="12.5" x14ac:dyDescent="0.25">
      <c r="A1218" s="75">
        <v>44973.441221527777</v>
      </c>
      <c r="B1218" s="1" t="s">
        <v>24</v>
      </c>
      <c r="C1218" s="1" t="str">
        <f>INDEX(TBL_Name,MATCH(Table2[[#This Row],[Athlete Name]],listNames,0),2)</f>
        <v>Athlete 16</v>
      </c>
      <c r="D1218" s="1" t="s">
        <v>130</v>
      </c>
      <c r="E1218" s="1">
        <v>5</v>
      </c>
      <c r="F1218" s="1">
        <v>8</v>
      </c>
      <c r="G1218" s="1">
        <v>6</v>
      </c>
      <c r="H1218" s="1" t="s">
        <v>1520</v>
      </c>
      <c r="I1218" s="1">
        <v>5</v>
      </c>
      <c r="J1218" s="1">
        <v>5</v>
      </c>
      <c r="K1218" s="1">
        <v>8</v>
      </c>
      <c r="L1218" s="1">
        <v>92</v>
      </c>
      <c r="M1218" s="1" t="e">
        <f t="shared" ca="1" si="0"/>
        <v>#NAME?</v>
      </c>
      <c r="N1218" s="1" t="e">
        <f t="shared" si="1"/>
        <v>#VALUE!</v>
      </c>
      <c r="O1218" s="1" t="e">
        <f ca="1">IF($N1218=_xludf.MINIFS($N$2:$N2404,$R$2:$R2404,$R1218),1,
($N1218-_xludf.MINIFS($N$2:$N2404,$R$2:$R2404,$R1218))+1)</f>
        <v>#VALUE!</v>
      </c>
      <c r="P1218" s="13" t="e">
        <f t="shared" si="2"/>
        <v>#VALUE!</v>
      </c>
      <c r="Q1218" s="1" t="e">
        <f>RIGHT(YEAR($A1218),2)-(MONTH($A1218)&lt;=#REF!)
 &amp;"-"&amp;
 RIGHT(YEAR($A1218),2)+(MONTH($A1218)&gt;=#REF!)</f>
        <v>#REF!</v>
      </c>
      <c r="R1218" s="1" t="e">
        <f>CHOOSE(MONTH($P1218),#REF!,#REF!,#REF!,#REF!,#REF!,#REF!,#REF!,#REF!,#REF!,#REF!,#REF!,#REF!)&amp;" "&amp;$Q1218</f>
        <v>#VALUE!</v>
      </c>
      <c r="S1218" s="1">
        <f t="shared" si="3"/>
        <v>1</v>
      </c>
      <c r="T1218" s="1" t="str">
        <f t="array" ref="T1218">IFERROR(INDEX(#REF!,MATCH($B1218,#REF!,0)),"")</f>
        <v/>
      </c>
      <c r="U1218" s="1" t="str">
        <f t="array" ref="U1218">IFERROR(INDEX(#REF!,MATCH($B1218,#REF!,0)),"")</f>
        <v/>
      </c>
      <c r="V1218" s="76">
        <f t="array" ref="V1218">AVERAGEIFS($E$2:$E2248,$B$2:$B2248,$B1218,$P$2:$P2248,"&lt;="&amp;$P1218,$P$2:$P2248,"&gt;"&amp;$P1218-7)</f>
        <v>4.1818181818181817</v>
      </c>
      <c r="W1218" s="76">
        <f ca="1">IFERROR(__xludf.DUMMYFUNCTION("iferror(stdevp(filter($D$2:$D2250,$B$2:$B2250=$B1218,$O$2:$O2250&lt;=$O1218,$O$2:$O2250&gt;$O1218-7)),0)"),0.8)</f>
        <v>0.8</v>
      </c>
      <c r="X1218" s="77">
        <f t="shared" ca="1" si="4"/>
        <v>1.0227272727272729</v>
      </c>
      <c r="Y1218" s="77">
        <f t="shared" ca="1" si="5"/>
        <v>4</v>
      </c>
      <c r="Z1218" s="76">
        <f t="array" ref="Z1218">AVERAGEIFS($F$2:$F2248,$B$2:$B2248,$B1218,$P$2:$P2248,"&lt;="&amp;$P1218,$P$2:$P2248,"&gt;"&amp;$P1218-7)</f>
        <v>6</v>
      </c>
      <c r="AA1218" s="76">
        <f ca="1">IFERROR(__xludf.DUMMYFUNCTION("iferror(stdevp(filter($E$2:$E2250,$B$2:$B2250=$B1218,$O$2:$O2250&lt;=$O1218,$O$2:$O2250&gt;$O1218-7)),0)"),1.4696938456699)</f>
        <v>1.4696938456699</v>
      </c>
      <c r="AB1218" s="77">
        <f t="shared" ca="1" si="6"/>
        <v>1.3608276348795496</v>
      </c>
      <c r="AC1218" s="77">
        <f t="shared" ca="1" si="7"/>
        <v>4</v>
      </c>
      <c r="AD1218" s="76">
        <f t="array" ref="AD1218">AVERAGEIFS($G$2:$G2248,$B$2:$B2248,$B1218,$P$2:$P2248,"&lt;="&amp;$P1218,$P$2:$P2248,"&gt;"&amp;$P1218-7)</f>
        <v>5.9090909090909092</v>
      </c>
      <c r="AE1218" s="76">
        <f ca="1">IFERROR(__xludf.DUMMYFUNCTION("iferror(stdevp(filter($F$2:$F2250,$B$2:$B2250=$B1218,$O$2:$O2250&lt;=$O1218,$O$2:$O2250&gt;$O1218-7)),0)"),0.8)</f>
        <v>0.8</v>
      </c>
      <c r="AF1218" s="77">
        <f t="shared" ca="1" si="8"/>
        <v>0.11363636363636354</v>
      </c>
      <c r="AG1218" s="77">
        <f t="shared" ca="1" si="9"/>
        <v>3</v>
      </c>
      <c r="AH1218" s="76">
        <f t="array" ref="AH1218">AVERAGEIFS($I$2:$I2248,$B$2:$B2248,$B1218,$P$2:$P2248,"&lt;="&amp;$P1218,$P$2:$P2248,"&gt;"&amp;$P1218-7)</f>
        <v>4.9545454545454541</v>
      </c>
      <c r="AI1218" s="76">
        <f ca="1">IFERROR(__xludf.DUMMYFUNCTION("iferror(stdevp(filter($H$2:$H2250,$B$2:$B2250=$B1218,$O$2:$O2250&lt;=$O1218,$O$2:$O2250&gt;$O1218-7)),0)"),1.35646599662505)</f>
        <v>1.3564659966250501</v>
      </c>
      <c r="AJ1218" s="77">
        <f t="shared" ca="1" si="10"/>
        <v>3.3509535489749734E-2</v>
      </c>
      <c r="AK1218" s="77">
        <f t="shared" ca="1" si="11"/>
        <v>3</v>
      </c>
      <c r="AL1218" s="76">
        <f t="array" ref="AL1218">AVERAGEIFS($J$2:$J2248,$B$2:$B2248,$B1218,$P$2:$P2248,"&lt;="&amp;$P1218,$P$2:$P2248,"&gt;"&amp;$P1218-7)</f>
        <v>6.9090909090909092</v>
      </c>
      <c r="AM1218" s="76">
        <f ca="1">IFERROR(__xludf.DUMMYFUNCTION("iferror(stdevp(filter($I$2:$I2250,$B$2:$B2250=$B1218,$O$2:$O2250&lt;=$O1218,$O$2:$O2250&gt;$O1218-7)),0)"),0.8)</f>
        <v>0.8</v>
      </c>
      <c r="AN1218" s="77">
        <f t="shared" ca="1" si="13"/>
        <v>-2.3863636363636362</v>
      </c>
      <c r="AO1218" s="77">
        <f t="shared" ca="1" si="14"/>
        <v>1</v>
      </c>
      <c r="AP1218" s="76">
        <f t="array" ref="AP1218">AVERAGEIFS($K$2:$K2248,$B$2:$B2248,$B1218,$P$2:$P2248,"&lt;="&amp;$P1218,$P$2:$P2248,"&gt;"&amp;$P1218-7)</f>
        <v>6.7272727272727275</v>
      </c>
      <c r="AQ1218" s="76">
        <f ca="1">IFERROR(__xludf.DUMMYFUNCTION("iferror(stdevp(filter($J$2:$J2250,$B$2:$B2250=$B1218,$O$2:$O2250&lt;=$O1218,$O$2:$O2250&gt;$O1218-7)),0)"),1.67332005306815)</f>
        <v>1.67332005306815</v>
      </c>
      <c r="AR1218" s="77">
        <f t="shared" ca="1" si="15"/>
        <v>0.76060002412188721</v>
      </c>
      <c r="AS1218" s="77">
        <f t="shared" ca="1" si="16"/>
        <v>3</v>
      </c>
      <c r="AT1218" s="78">
        <f t="shared" ca="1" si="12"/>
        <v>0.75</v>
      </c>
    </row>
    <row r="1219" spans="1:46" ht="12.5" x14ac:dyDescent="0.25">
      <c r="A1219" s="75">
        <v>44973.443845821763</v>
      </c>
      <c r="B1219" s="1" t="s">
        <v>6</v>
      </c>
      <c r="C1219" s="1" t="str">
        <f>INDEX(TBL_Name,MATCH(Table2[[#This Row],[Athlete Name]],listNames,0),2)</f>
        <v>Athlete 2</v>
      </c>
      <c r="D1219" s="1" t="s">
        <v>130</v>
      </c>
      <c r="E1219" s="1">
        <v>10</v>
      </c>
      <c r="F1219" s="1">
        <v>10</v>
      </c>
      <c r="G1219" s="1">
        <v>9</v>
      </c>
      <c r="H1219" s="1" t="s">
        <v>1549</v>
      </c>
      <c r="I1219" s="1">
        <v>5</v>
      </c>
      <c r="J1219" s="1">
        <v>8</v>
      </c>
      <c r="K1219" s="1">
        <v>9</v>
      </c>
      <c r="L1219" s="1">
        <v>95</v>
      </c>
      <c r="M1219" s="1" t="e">
        <f t="shared" ca="1" si="0"/>
        <v>#NAME?</v>
      </c>
      <c r="N1219" s="1" t="e">
        <f t="shared" si="1"/>
        <v>#VALUE!</v>
      </c>
      <c r="O1219" s="1" t="e">
        <f ca="1">IF($N1219=_xludf.MINIFS($N$2:$N2405,$R$2:$R2405,$R1219),1,
($N1219-_xludf.MINIFS($N$2:$N2405,$R$2:$R2405,$R1219))+1)</f>
        <v>#VALUE!</v>
      </c>
      <c r="P1219" s="13" t="e">
        <f t="shared" si="2"/>
        <v>#VALUE!</v>
      </c>
      <c r="Q1219" s="1" t="e">
        <f>RIGHT(YEAR($A1219),2)-(MONTH($A1219)&lt;=#REF!)
 &amp;"-"&amp;
 RIGHT(YEAR($A1219),2)+(MONTH($A1219)&gt;=#REF!)</f>
        <v>#REF!</v>
      </c>
      <c r="R1219" s="1" t="e">
        <f>CHOOSE(MONTH($P1219),#REF!,#REF!,#REF!,#REF!,#REF!,#REF!,#REF!,#REF!,#REF!,#REF!,#REF!,#REF!)&amp;" "&amp;$Q1219</f>
        <v>#VALUE!</v>
      </c>
      <c r="S1219" s="1">
        <f t="shared" si="3"/>
        <v>1</v>
      </c>
      <c r="T1219" s="1" t="str">
        <f t="array" ref="T1219">IFERROR(INDEX(#REF!,MATCH($B1219,#REF!,0)),"")</f>
        <v/>
      </c>
      <c r="U1219" s="1" t="str">
        <f t="array" ref="U1219">IFERROR(INDEX(#REF!,MATCH($B1219,#REF!,0)),"")</f>
        <v/>
      </c>
      <c r="V1219" s="76">
        <f t="array" ref="V1219">AVERAGEIFS($E$2:$E2248,$B$2:$B2248,$B1219,$P$2:$P2248,"&lt;="&amp;$P1219,$P$2:$P2248,"&gt;"&amp;$P1219-7)</f>
        <v>9.7441860465116275</v>
      </c>
      <c r="W1219" s="76">
        <f ca="1">IFERROR(__xludf.DUMMYFUNCTION("iferror(stdevp(filter($D$2:$D2250,$B$2:$B2250=$B1219,$O$2:$O2250&lt;=$O1219,$O$2:$O2250&gt;$O1219-7)),0)"),0)</f>
        <v>0</v>
      </c>
      <c r="X1219" s="77">
        <f t="shared" ca="1" si="4"/>
        <v>0</v>
      </c>
      <c r="Y1219" s="77">
        <f t="shared" ca="1" si="5"/>
        <v>3</v>
      </c>
      <c r="Z1219" s="76">
        <f t="array" ref="Z1219">AVERAGEIFS($F$2:$F2248,$B$2:$B2248,$B1219,$P$2:$P2248,"&lt;="&amp;$P1219,$P$2:$P2248,"&gt;"&amp;$P1219-7)</f>
        <v>8.279069767441861</v>
      </c>
      <c r="AA1219" s="76">
        <f ca="1">IFERROR(__xludf.DUMMYFUNCTION("iferror(stdevp(filter($E$2:$E2250,$B$2:$B2250=$B1219,$O$2:$O2250&lt;=$O1219,$O$2:$O2250&gt;$O1219-7)),0)"),0.4)</f>
        <v>0.4</v>
      </c>
      <c r="AB1219" s="77">
        <f t="shared" ca="1" si="6"/>
        <v>4.3023255813953476</v>
      </c>
      <c r="AC1219" s="77">
        <f t="shared" ca="1" si="7"/>
        <v>4</v>
      </c>
      <c r="AD1219" s="76">
        <f t="array" ref="AD1219">AVERAGEIFS($G$2:$G2248,$B$2:$B2248,$B1219,$P$2:$P2248,"&lt;="&amp;$P1219,$P$2:$P2248,"&gt;"&amp;$P1219-7)</f>
        <v>8.604651162790697</v>
      </c>
      <c r="AE1219" s="76">
        <f ca="1">IFERROR(__xludf.DUMMYFUNCTION("iferror(stdevp(filter($F$2:$F2250,$B$2:$B2250=$B1219,$O$2:$O2250&lt;=$O1219,$O$2:$O2250&gt;$O1219-7)),0)"),0.489897948556635)</f>
        <v>0.48989794855663499</v>
      </c>
      <c r="AF1219" s="77">
        <f t="shared" ca="1" si="8"/>
        <v>0.80700243463787125</v>
      </c>
      <c r="AG1219" s="77">
        <f t="shared" ca="1" si="9"/>
        <v>3</v>
      </c>
      <c r="AH1219" s="76">
        <f t="array" ref="AH1219">AVERAGEIFS($I$2:$I2248,$B$2:$B2248,$B1219,$P$2:$P2248,"&lt;="&amp;$P1219,$P$2:$P2248,"&gt;"&amp;$P1219-7)</f>
        <v>8.3488372093023262</v>
      </c>
      <c r="AI1219" s="76">
        <f ca="1">IFERROR(__xludf.DUMMYFUNCTION("iferror(stdevp(filter($H$2:$H2250,$B$2:$B2250=$B1219,$O$2:$O2250&lt;=$O1219,$O$2:$O2250&gt;$O1219-7)),0)"),1.59999999999999)</f>
        <v>1.5999999999999901</v>
      </c>
      <c r="AJ1219" s="77">
        <f t="shared" ca="1" si="10"/>
        <v>-2.093023255813967</v>
      </c>
      <c r="AK1219" s="77">
        <f t="shared" ca="1" si="11"/>
        <v>1</v>
      </c>
      <c r="AL1219" s="76">
        <f t="array" ref="AL1219">AVERAGEIFS($J$2:$J2248,$B$2:$B2248,$B1219,$P$2:$P2248,"&lt;="&amp;$P1219,$P$2:$P2248,"&gt;"&amp;$P1219-7)</f>
        <v>8.3023255813953494</v>
      </c>
      <c r="AM1219" s="76">
        <f ca="1">IFERROR(__xludf.DUMMYFUNCTION("iferror(stdevp(filter($I$2:$I2250,$B$2:$B2250=$B1219,$O$2:$O2250&lt;=$O1219,$O$2:$O2250&gt;$O1219-7)),0)"),0.748331477354788)</f>
        <v>0.748331477354788</v>
      </c>
      <c r="AN1219" s="77">
        <f t="shared" ca="1" si="13"/>
        <v>-0.40399955172808422</v>
      </c>
      <c r="AO1219" s="77">
        <f t="shared" ca="1" si="14"/>
        <v>2</v>
      </c>
      <c r="AP1219" s="76">
        <f t="array" ref="AP1219">AVERAGEIFS($K$2:$K2248,$B$2:$B2248,$B1219,$P$2:$P2248,"&lt;="&amp;$P1219,$P$2:$P2248,"&gt;"&amp;$P1219-7)</f>
        <v>8.9069767441860463</v>
      </c>
      <c r="AQ1219" s="76">
        <f ca="1">IFERROR(__xludf.DUMMYFUNCTION("iferror(stdevp(filter($J$2:$J2250,$B$2:$B2250=$B1219,$O$2:$O2250&lt;=$O1219,$O$2:$O2250&gt;$O1219-7)),0)"),0.489897948556635)</f>
        <v>0.48989794855663499</v>
      </c>
      <c r="AR1219" s="77">
        <f t="shared" ca="1" si="15"/>
        <v>0.18988292579714616</v>
      </c>
      <c r="AS1219" s="77">
        <f t="shared" ca="1" si="16"/>
        <v>3</v>
      </c>
      <c r="AT1219" s="78">
        <f t="shared" ca="1" si="12"/>
        <v>0.66666666666666663</v>
      </c>
    </row>
    <row r="1220" spans="1:46" ht="12.5" x14ac:dyDescent="0.25">
      <c r="A1220" s="75">
        <v>44973.454451111116</v>
      </c>
      <c r="B1220" s="1" t="s">
        <v>10</v>
      </c>
      <c r="C1220" s="1" t="str">
        <f>INDEX(TBL_Name,MATCH(Table2[[#This Row],[Athlete Name]],listNames,0),2)</f>
        <v>Athlete 5</v>
      </c>
      <c r="D1220" s="1" t="s">
        <v>130</v>
      </c>
      <c r="E1220" s="1">
        <v>9</v>
      </c>
      <c r="F1220" s="1">
        <v>8</v>
      </c>
      <c r="G1220" s="1">
        <v>8</v>
      </c>
      <c r="H1220" s="1" t="s">
        <v>342</v>
      </c>
      <c r="I1220" s="1">
        <v>7</v>
      </c>
      <c r="J1220" s="1">
        <v>8</v>
      </c>
      <c r="K1220" s="1">
        <v>8</v>
      </c>
      <c r="L1220" s="1">
        <v>77</v>
      </c>
      <c r="M1220" s="1" t="e">
        <f t="shared" ca="1" si="0"/>
        <v>#NAME?</v>
      </c>
      <c r="N1220" s="1" t="e">
        <f t="shared" si="1"/>
        <v>#VALUE!</v>
      </c>
      <c r="O1220" s="1" t="e">
        <f ca="1">IF($N1220=_xludf.MINIFS($N$2:$N2406,$R$2:$R2406,$R1220),1,
($N1220-_xludf.MINIFS($N$2:$N2406,$R$2:$R2406,$R1220))+1)</f>
        <v>#VALUE!</v>
      </c>
      <c r="P1220" s="13" t="e">
        <f t="shared" si="2"/>
        <v>#VALUE!</v>
      </c>
      <c r="Q1220" s="1" t="e">
        <f>RIGHT(YEAR($A1220),2)-(MONTH($A1220)&lt;=#REF!)
 &amp;"-"&amp;
 RIGHT(YEAR($A1220),2)+(MONTH($A1220)&gt;=#REF!)</f>
        <v>#REF!</v>
      </c>
      <c r="R1220" s="1" t="e">
        <f>CHOOSE(MONTH($P1220),#REF!,#REF!,#REF!,#REF!,#REF!,#REF!,#REF!,#REF!,#REF!,#REF!,#REF!,#REF!)&amp;" "&amp;$Q1220</f>
        <v>#VALUE!</v>
      </c>
      <c r="S1220" s="1">
        <f t="shared" si="3"/>
        <v>1</v>
      </c>
      <c r="T1220" s="1" t="str">
        <f t="array" ref="T1220">IFERROR(INDEX(#REF!,MATCH($B1220,#REF!,0)),"")</f>
        <v/>
      </c>
      <c r="U1220" s="1" t="str">
        <f t="array" ref="U1220">IFERROR(INDEX(#REF!,MATCH($B1220,#REF!,0)),"")</f>
        <v/>
      </c>
      <c r="V1220" s="76">
        <f t="array" ref="V1220">AVERAGEIFS($E$2:$E2248,$B$2:$B2248,$B1220,$P$2:$P2248,"&lt;="&amp;$P1220,$P$2:$P2248,"&gt;"&amp;$P1220-7)</f>
        <v>8.4042553191489358</v>
      </c>
      <c r="W1220" s="76">
        <f ca="1">IFERROR(__xludf.DUMMYFUNCTION("iferror(stdevp(filter($D$2:$D2250,$B$2:$B2250=$B1220,$O$2:$O2250&lt;=$O1220,$O$2:$O2250&gt;$O1220-7)),0)"),1.45686271816936)</f>
        <v>1.4568627181693601</v>
      </c>
      <c r="X1220" s="77">
        <f t="shared" ca="1" si="4"/>
        <v>0.40892300518174768</v>
      </c>
      <c r="Y1220" s="77">
        <f t="shared" ca="1" si="5"/>
        <v>3</v>
      </c>
      <c r="Z1220" s="76">
        <f t="array" ref="Z1220">AVERAGEIFS($F$2:$F2248,$B$2:$B2248,$B1220,$P$2:$P2248,"&lt;="&amp;$P1220,$P$2:$P2248,"&gt;"&amp;$P1220-7)</f>
        <v>8.085106382978724</v>
      </c>
      <c r="AA1220" s="76">
        <f ca="1">IFERROR(__xludf.DUMMYFUNCTION("iferror(stdevp(filter($E$2:$E2250,$B$2:$B2250=$B1220,$O$2:$O2250&lt;=$O1220,$O$2:$O2250&gt;$O1220-7)),0)"),0.989743318610786)</f>
        <v>0.98974331861078602</v>
      </c>
      <c r="AB1220" s="77">
        <f t="shared" ca="1" si="6"/>
        <v>-8.5988337964413006E-2</v>
      </c>
      <c r="AC1220" s="77">
        <f t="shared" ca="1" si="7"/>
        <v>2</v>
      </c>
      <c r="AD1220" s="76">
        <f t="array" ref="AD1220">AVERAGEIFS($G$2:$G2248,$B$2:$B2248,$B1220,$P$2:$P2248,"&lt;="&amp;$P1220,$P$2:$P2248,"&gt;"&amp;$P1220-7)</f>
        <v>8.0638297872340434</v>
      </c>
      <c r="AE1220" s="76">
        <f ca="1">IFERROR(__xludf.DUMMYFUNCTION("iferror(stdevp(filter($F$2:$F2250,$B$2:$B2250=$B1220,$O$2:$O2250&lt;=$O1220,$O$2:$O2250&gt;$O1220-7)),0)"),0.989743318610786)</f>
        <v>0.98974331861078602</v>
      </c>
      <c r="AF1220" s="77">
        <f t="shared" ca="1" si="8"/>
        <v>-6.4491253473310209E-2</v>
      </c>
      <c r="AG1220" s="77">
        <f t="shared" ca="1" si="9"/>
        <v>2</v>
      </c>
      <c r="AH1220" s="76">
        <f t="array" ref="AH1220">AVERAGEIFS($I$2:$I2248,$B$2:$B2248,$B1220,$P$2:$P2248,"&lt;="&amp;$P1220,$P$2:$P2248,"&gt;"&amp;$P1220-7)</f>
        <v>6.7446808510638299</v>
      </c>
      <c r="AI1220" s="76">
        <f ca="1">IFERROR(__xludf.DUMMYFUNCTION("iferror(stdevp(filter($H$2:$H2250,$B$2:$B2250=$B1220,$O$2:$O2250&lt;=$O1220,$O$2:$O2250&gt;$O1220-7)),0)"),2.44114392723358)</f>
        <v>2.44114392723358</v>
      </c>
      <c r="AJ1220" s="77">
        <f t="shared" ca="1" si="10"/>
        <v>0.10458996132420176</v>
      </c>
      <c r="AK1220" s="77">
        <f t="shared" ca="1" si="11"/>
        <v>3</v>
      </c>
      <c r="AL1220" s="76">
        <f t="array" ref="AL1220">AVERAGEIFS($J$2:$J2248,$B$2:$B2248,$B1220,$P$2:$P2248,"&lt;="&amp;$P1220,$P$2:$P2248,"&gt;"&amp;$P1220-7)</f>
        <v>8.1063829787234045</v>
      </c>
      <c r="AM1220" s="76">
        <f ca="1">IFERROR(__xludf.DUMMYFUNCTION("iferror(stdevp(filter($I$2:$I2250,$B$2:$B2250=$B1220,$O$2:$O2250&lt;=$O1220,$O$2:$O2250&gt;$O1220-7)),0)"),0.755928946018454)</f>
        <v>0.75592894601845395</v>
      </c>
      <c r="AN1220" s="77">
        <f t="shared" ca="1" si="13"/>
        <v>-0.14073145271620208</v>
      </c>
      <c r="AO1220" s="77">
        <f t="shared" ca="1" si="14"/>
        <v>2</v>
      </c>
      <c r="AP1220" s="76">
        <f t="array" ref="AP1220">AVERAGEIFS($K$2:$K2248,$B$2:$B2248,$B1220,$P$2:$P2248,"&lt;="&amp;$P1220,$P$2:$P2248,"&gt;"&amp;$P1220-7)</f>
        <v>8.2978723404255312</v>
      </c>
      <c r="AQ1220" s="76">
        <f ca="1">IFERROR(__xludf.DUMMYFUNCTION("iferror(stdevp(filter($J$2:$J2250,$B$2:$B2250=$B1220,$O$2:$O2250&lt;=$O1220,$O$2:$O2250&gt;$O1220-7)),0)"),0.63887656499994)</f>
        <v>0.63887656499994006</v>
      </c>
      <c r="AR1220" s="77">
        <f t="shared" ca="1" si="15"/>
        <v>-0.46624396126591244</v>
      </c>
      <c r="AS1220" s="77">
        <f t="shared" ca="1" si="16"/>
        <v>2</v>
      </c>
      <c r="AT1220" s="78">
        <f t="shared" ca="1" si="12"/>
        <v>0.58333333333333337</v>
      </c>
    </row>
    <row r="1221" spans="1:46" ht="12.5" x14ac:dyDescent="0.25">
      <c r="A1221" s="75">
        <v>44973.465713391204</v>
      </c>
      <c r="B1221" s="1" t="s">
        <v>9</v>
      </c>
      <c r="C1221" s="1" t="str">
        <f>INDEX(TBL_Name,MATCH(Table2[[#This Row],[Athlete Name]],listNames,0),2)</f>
        <v>Athlete 4</v>
      </c>
      <c r="D1221" s="1" t="s">
        <v>130</v>
      </c>
      <c r="E1221" s="1">
        <v>8</v>
      </c>
      <c r="F1221" s="1">
        <v>7</v>
      </c>
      <c r="G1221" s="1">
        <v>8</v>
      </c>
      <c r="H1221" s="1" t="s">
        <v>1550</v>
      </c>
      <c r="I1221" s="1">
        <v>5</v>
      </c>
      <c r="J1221" s="1">
        <v>7</v>
      </c>
      <c r="K1221" s="1">
        <v>8</v>
      </c>
      <c r="L1221" s="1">
        <v>90</v>
      </c>
      <c r="M1221" s="1" t="e">
        <f t="shared" ca="1" si="0"/>
        <v>#NAME?</v>
      </c>
      <c r="N1221" s="1" t="e">
        <f t="shared" si="1"/>
        <v>#VALUE!</v>
      </c>
      <c r="O1221" s="1" t="e">
        <f ca="1">IF($N1221=_xludf.MINIFS($N$2:$N2407,$R$2:$R2407,$R1221),1,
($N1221-_xludf.MINIFS($N$2:$N2407,$R$2:$R2407,$R1221))+1)</f>
        <v>#VALUE!</v>
      </c>
      <c r="P1221" s="13" t="e">
        <f t="shared" si="2"/>
        <v>#VALUE!</v>
      </c>
      <c r="Q1221" s="1" t="e">
        <f>RIGHT(YEAR($A1221),2)-(MONTH($A1221)&lt;=#REF!)
 &amp;"-"&amp;
 RIGHT(YEAR($A1221),2)+(MONTH($A1221)&gt;=#REF!)</f>
        <v>#REF!</v>
      </c>
      <c r="R1221" s="1" t="e">
        <f>CHOOSE(MONTH($P1221),#REF!,#REF!,#REF!,#REF!,#REF!,#REF!,#REF!,#REF!,#REF!,#REF!,#REF!,#REF!)&amp;" "&amp;$Q1221</f>
        <v>#VALUE!</v>
      </c>
      <c r="S1221" s="1">
        <f t="shared" si="3"/>
        <v>1</v>
      </c>
      <c r="T1221" s="1" t="str">
        <f t="array" ref="T1221">IFERROR(INDEX(#REF!,MATCH($B1221,#REF!,0)),"")</f>
        <v/>
      </c>
      <c r="U1221" s="1" t="str">
        <f t="array" ref="U1221">IFERROR(INDEX(#REF!,MATCH($B1221,#REF!,0)),"")</f>
        <v/>
      </c>
      <c r="V1221" s="76">
        <f t="array" ref="V1221">AVERAGEIFS($E$2:$E2248,$B$2:$B2248,$B1221,$P$2:$P2248,"&lt;="&amp;$P1221,$P$2:$P2248,"&gt;"&amp;$P1221-7)</f>
        <v>7.4230769230769234</v>
      </c>
      <c r="W1221" s="76">
        <f ca="1">IFERROR(__xludf.DUMMYFUNCTION("iferror(stdevp(filter($D$2:$D2250,$B$2:$B2250=$B1221,$O$2:$O2250&lt;=$O1221,$O$2:$O2250&gt;$O1221-7)),0)"),0.399999999999999)</f>
        <v>0.39999999999999902</v>
      </c>
      <c r="X1221" s="77">
        <f t="shared" ca="1" si="4"/>
        <v>1.4423076923076952</v>
      </c>
      <c r="Y1221" s="77">
        <f t="shared" ca="1" si="5"/>
        <v>4</v>
      </c>
      <c r="Z1221" s="76">
        <f t="array" ref="Z1221">AVERAGEIFS($F$2:$F2248,$B$2:$B2248,$B1221,$P$2:$P2248,"&lt;="&amp;$P1221,$P$2:$P2248,"&gt;"&amp;$P1221-7)</f>
        <v>7.1538461538461542</v>
      </c>
      <c r="AA1221" s="76">
        <f ca="1">IFERROR(__xludf.DUMMYFUNCTION("iferror(stdevp(filter($E$2:$E2250,$B$2:$B2250=$B1221,$O$2:$O2250&lt;=$O1221,$O$2:$O2250&gt;$O1221-7)),0)"),0.4)</f>
        <v>0.4</v>
      </c>
      <c r="AB1221" s="77">
        <f t="shared" ca="1" si="6"/>
        <v>-0.38461538461538547</v>
      </c>
      <c r="AC1221" s="77">
        <f t="shared" ca="1" si="7"/>
        <v>2</v>
      </c>
      <c r="AD1221" s="76">
        <f t="array" ref="AD1221">AVERAGEIFS($G$2:$G2248,$B$2:$B2248,$B1221,$P$2:$P2248,"&lt;="&amp;$P1221,$P$2:$P2248,"&gt;"&amp;$P1221-7)</f>
        <v>7.615384615384615</v>
      </c>
      <c r="AE1221" s="76">
        <f ca="1">IFERROR(__xludf.DUMMYFUNCTION("iferror(stdevp(filter($F$2:$F2250,$B$2:$B2250=$B1221,$O$2:$O2250&lt;=$O1221,$O$2:$O2250&gt;$O1221-7)),0)"),0.489897948556635)</f>
        <v>0.48989794855663499</v>
      </c>
      <c r="AF1221" s="77">
        <f t="shared" ca="1" si="8"/>
        <v>0.78509286627666153</v>
      </c>
      <c r="AG1221" s="77">
        <f t="shared" ca="1" si="9"/>
        <v>3</v>
      </c>
      <c r="AH1221" s="76">
        <f t="array" ref="AH1221">AVERAGEIFS($I$2:$I2248,$B$2:$B2248,$B1221,$P$2:$P2248,"&lt;="&amp;$P1221,$P$2:$P2248,"&gt;"&amp;$P1221-7)</f>
        <v>5.1923076923076925</v>
      </c>
      <c r="AI1221" s="76">
        <f ca="1">IFERROR(__xludf.DUMMYFUNCTION("iferror(stdevp(filter($H$2:$H2250,$B$2:$B2250=$B1221,$O$2:$O2250&lt;=$O1221,$O$2:$O2250&gt;$O1221-7)),0)"),0.894427190999915)</f>
        <v>0.89442719099991497</v>
      </c>
      <c r="AJ1221" s="77">
        <f t="shared" ca="1" si="10"/>
        <v>-0.21500653629805716</v>
      </c>
      <c r="AK1221" s="77">
        <f t="shared" ca="1" si="11"/>
        <v>2</v>
      </c>
      <c r="AL1221" s="76">
        <f t="array" ref="AL1221">AVERAGEIFS($J$2:$J2248,$B$2:$B2248,$B1221,$P$2:$P2248,"&lt;="&amp;$P1221,$P$2:$P2248,"&gt;"&amp;$P1221-7)</f>
        <v>7.6923076923076925</v>
      </c>
      <c r="AM1221" s="76">
        <f ca="1">IFERROR(__xludf.DUMMYFUNCTION("iferror(stdevp(filter($I$2:$I2250,$B$2:$B2250=$B1221,$O$2:$O2250&lt;=$O1221,$O$2:$O2250&gt;$O1221-7)),0)"),0.632455532033675)</f>
        <v>0.63245553203367499</v>
      </c>
      <c r="AN1221" s="77">
        <f t="shared" ca="1" si="13"/>
        <v>-1.0946345746736716</v>
      </c>
      <c r="AO1221" s="77">
        <f t="shared" ca="1" si="14"/>
        <v>1</v>
      </c>
      <c r="AP1221" s="76">
        <f t="array" ref="AP1221">AVERAGEIFS($K$2:$K2248,$B$2:$B2248,$B1221,$P$2:$P2248,"&lt;="&amp;$P1221,$P$2:$P2248,"&gt;"&amp;$P1221-7)</f>
        <v>7.8461538461538458</v>
      </c>
      <c r="AQ1221" s="76">
        <f ca="1">IFERROR(__xludf.DUMMYFUNCTION("iferror(stdevp(filter($J$2:$J2250,$B$2:$B2250=$B1221,$O$2:$O2250&lt;=$O1221,$O$2:$O2250&gt;$O1221-7)),0)"),0.489897948556635)</f>
        <v>0.48989794855663499</v>
      </c>
      <c r="AR1221" s="77">
        <f t="shared" ca="1" si="15"/>
        <v>0.31403714651066494</v>
      </c>
      <c r="AS1221" s="77">
        <f t="shared" ca="1" si="16"/>
        <v>3</v>
      </c>
      <c r="AT1221" s="78">
        <f t="shared" ca="1" si="12"/>
        <v>0.625</v>
      </c>
    </row>
    <row r="1222" spans="1:46" ht="12.5" x14ac:dyDescent="0.25">
      <c r="A1222" s="75">
        <v>44974.353112673612</v>
      </c>
      <c r="B1222" s="1" t="s">
        <v>21</v>
      </c>
      <c r="C1222" s="1" t="str">
        <f>INDEX(TBL_Name,MATCH(Table2[[#This Row],[Athlete Name]],listNames,0),2)</f>
        <v>Athlete 13</v>
      </c>
      <c r="D1222" s="1" t="s">
        <v>143</v>
      </c>
      <c r="E1222" s="1">
        <v>6</v>
      </c>
      <c r="F1222" s="1">
        <v>7</v>
      </c>
      <c r="G1222" s="1">
        <v>8</v>
      </c>
      <c r="H1222" s="1" t="s">
        <v>1551</v>
      </c>
      <c r="I1222" s="1">
        <v>4</v>
      </c>
      <c r="J1222" s="1">
        <v>6</v>
      </c>
      <c r="K1222" s="1">
        <v>6</v>
      </c>
      <c r="L1222" s="1">
        <v>70</v>
      </c>
      <c r="M1222" s="1" t="e">
        <f t="shared" ca="1" si="0"/>
        <v>#NAME?</v>
      </c>
      <c r="N1222" s="1" t="e">
        <f t="shared" si="1"/>
        <v>#VALUE!</v>
      </c>
      <c r="O1222" s="1" t="e">
        <f ca="1">IF($N1222=_xludf.MINIFS($N$2:$N2408,$R$2:$R2408,$R1222),1,
($N1222-_xludf.MINIFS($N$2:$N2408,$R$2:$R2408,$R1222))+1)</f>
        <v>#VALUE!</v>
      </c>
      <c r="P1222" s="13" t="e">
        <f t="shared" si="2"/>
        <v>#VALUE!</v>
      </c>
      <c r="Q1222" s="1" t="e">
        <f>RIGHT(YEAR($A1222),2)-(MONTH($A1222)&lt;=#REF!)
 &amp;"-"&amp;
 RIGHT(YEAR($A1222),2)+(MONTH($A1222)&gt;=#REF!)</f>
        <v>#REF!</v>
      </c>
      <c r="R1222" s="1" t="e">
        <f>CHOOSE(MONTH($P1222),#REF!,#REF!,#REF!,#REF!,#REF!,#REF!,#REF!,#REF!,#REF!,#REF!,#REF!,#REF!)&amp;" "&amp;$Q1222</f>
        <v>#VALUE!</v>
      </c>
      <c r="S1222" s="1">
        <f t="shared" si="3"/>
        <v>2</v>
      </c>
      <c r="T1222" s="1" t="str">
        <f t="array" ref="T1222">IFERROR(INDEX(#REF!,MATCH($B1222,#REF!,0)),"")</f>
        <v/>
      </c>
      <c r="U1222" s="1" t="str">
        <f t="array" ref="U1222">IFERROR(INDEX(#REF!,MATCH($B1222,#REF!,0)),"")</f>
        <v/>
      </c>
      <c r="V1222" s="76">
        <f t="array" ref="V1222">AVERAGEIFS($E$2:$E2248,$B$2:$B2248,$B1222,$P$2:$P2248,"&lt;="&amp;$P1222,$P$2:$P2248,"&gt;"&amp;$P1222-7)</f>
        <v>6.6304347826086953</v>
      </c>
      <c r="W1222" s="76">
        <f ca="1">IFERROR(__xludf.DUMMYFUNCTION("iferror(stdevp(filter($D$2:$D2250,$B$2:$B2250=$B1222,$O$2:$O2250&lt;=$O1222,$O$2:$O2250&gt;$O1222-7)),0)"),0.471404520791031)</f>
        <v>0.47140452079103101</v>
      </c>
      <c r="X1222" s="77">
        <f t="shared" ca="1" si="4"/>
        <v>-1.3373541296354281</v>
      </c>
      <c r="Y1222" s="77">
        <f t="shared" ca="1" si="5"/>
        <v>1</v>
      </c>
      <c r="Z1222" s="76">
        <f t="array" ref="Z1222">AVERAGEIFS($F$2:$F2248,$B$2:$B2248,$B1222,$P$2:$P2248,"&lt;="&amp;$P1222,$P$2:$P2248,"&gt;"&amp;$P1222-7)</f>
        <v>7.6956521739130439</v>
      </c>
      <c r="AA1222" s="76">
        <f ca="1">IFERROR(__xludf.DUMMYFUNCTION("iferror(stdevp(filter($E$2:$E2250,$B$2:$B2250=$B1222,$O$2:$O2250&lt;=$O1222,$O$2:$O2250&gt;$O1222-7)),0)"),0.471404520791031)</f>
        <v>0.47140452079103101</v>
      </c>
      <c r="AB1222" s="77">
        <f t="shared" ca="1" si="6"/>
        <v>-1.4757011085632326</v>
      </c>
      <c r="AC1222" s="77">
        <f t="shared" ca="1" si="7"/>
        <v>1</v>
      </c>
      <c r="AD1222" s="76">
        <f t="array" ref="AD1222">AVERAGEIFS($G$2:$G2248,$B$2:$B2248,$B1222,$P$2:$P2248,"&lt;="&amp;$P1222,$P$2:$P2248,"&gt;"&amp;$P1222-7)</f>
        <v>8.2608695652173907</v>
      </c>
      <c r="AE1222" s="76">
        <f ca="1">IFERROR(__xludf.DUMMYFUNCTION("iferror(stdevp(filter($F$2:$F2250,$B$2:$B2250=$B1222,$O$2:$O2250&lt;=$O1222,$O$2:$O2250&gt;$O1222-7)),0)"),0)</f>
        <v>0</v>
      </c>
      <c r="AF1222" s="77">
        <f t="shared" ca="1" si="8"/>
        <v>0</v>
      </c>
      <c r="AG1222" s="77">
        <f t="shared" ca="1" si="9"/>
        <v>3</v>
      </c>
      <c r="AH1222" s="76">
        <f t="array" ref="AH1222">AVERAGEIFS($I$2:$I2248,$B$2:$B2248,$B1222,$P$2:$P2248,"&lt;="&amp;$P1222,$P$2:$P2248,"&gt;"&amp;$P1222-7)</f>
        <v>5.7391304347826084</v>
      </c>
      <c r="AI1222" s="76">
        <f ca="1">IFERROR(__xludf.DUMMYFUNCTION("iferror(stdevp(filter($H$2:$H2250,$B$2:$B2250=$B1222,$O$2:$O2250&lt;=$O1222,$O$2:$O2250&gt;$O1222-7)),0)"),1.10554159678513)</f>
        <v>1.1055415967851301</v>
      </c>
      <c r="AJ1222" s="77">
        <f t="shared" ca="1" si="10"/>
        <v>-1.5731026673622492</v>
      </c>
      <c r="AK1222" s="77">
        <f t="shared" ca="1" si="11"/>
        <v>1</v>
      </c>
      <c r="AL1222" s="76">
        <f t="array" ref="AL1222">AVERAGEIFS($J$2:$J2248,$B$2:$B2248,$B1222,$P$2:$P2248,"&lt;="&amp;$P1222,$P$2:$P2248,"&gt;"&amp;$P1222-7)</f>
        <v>6.5434782608695654</v>
      </c>
      <c r="AM1222" s="76">
        <f ca="1">IFERROR(__xludf.DUMMYFUNCTION("iferror(stdevp(filter($I$2:$I2250,$B$2:$B2250=$B1222,$O$2:$O2250&lt;=$O1222,$O$2:$O2250&gt;$O1222-7)),0)"),0.577350269189625)</f>
        <v>0.57735026918962495</v>
      </c>
      <c r="AN1222" s="77">
        <f t="shared" ca="1" si="13"/>
        <v>-0.94133196063526103</v>
      </c>
      <c r="AO1222" s="77">
        <f t="shared" ca="1" si="14"/>
        <v>2</v>
      </c>
      <c r="AP1222" s="76">
        <f t="array" ref="AP1222">AVERAGEIFS($K$2:$K2248,$B$2:$B2248,$B1222,$P$2:$P2248,"&lt;="&amp;$P1222,$P$2:$P2248,"&gt;"&amp;$P1222-7)</f>
        <v>6.6086956521739131</v>
      </c>
      <c r="AQ1222" s="76">
        <f ca="1">IFERROR(__xludf.DUMMYFUNCTION("iferror(stdevp(filter($J$2:$J2250,$B$2:$B2250=$B1222,$O$2:$O2250&lt;=$O1222,$O$2:$O2250&gt;$O1222-7)),0)"),0.577350269189625)</f>
        <v>0.57735026918962495</v>
      </c>
      <c r="AR1222" s="77">
        <f t="shared" ca="1" si="15"/>
        <v>-1.0542917959114921</v>
      </c>
      <c r="AS1222" s="77">
        <f t="shared" ca="1" si="16"/>
        <v>1</v>
      </c>
      <c r="AT1222" s="78">
        <f t="shared" ca="1" si="12"/>
        <v>0.375</v>
      </c>
    </row>
    <row r="1223" spans="1:46" ht="12.5" x14ac:dyDescent="0.25">
      <c r="A1223" s="75">
        <v>44974.431189571755</v>
      </c>
      <c r="B1223" s="1" t="s">
        <v>4</v>
      </c>
      <c r="C1223" s="1" t="str">
        <f>INDEX(TBL_Name,MATCH(Table2[[#This Row],[Athlete Name]],listNames,0),2)</f>
        <v>Athlete 1</v>
      </c>
      <c r="D1223" s="1" t="s">
        <v>130</v>
      </c>
      <c r="E1223" s="1">
        <v>7</v>
      </c>
      <c r="F1223" s="1">
        <v>8</v>
      </c>
      <c r="G1223" s="1">
        <v>6</v>
      </c>
      <c r="H1223" s="1" t="s">
        <v>66</v>
      </c>
      <c r="I1223" s="1">
        <v>5</v>
      </c>
      <c r="J1223" s="1">
        <v>5</v>
      </c>
      <c r="K1223" s="1">
        <v>5</v>
      </c>
      <c r="L1223" s="1">
        <v>80</v>
      </c>
      <c r="M1223" s="1" t="e">
        <f t="shared" ca="1" si="0"/>
        <v>#NAME?</v>
      </c>
      <c r="N1223" s="1" t="e">
        <f t="shared" si="1"/>
        <v>#VALUE!</v>
      </c>
      <c r="O1223" s="1" t="e">
        <f ca="1">IF($N1223=_xludf.MINIFS($N$2:$N2409,$R$2:$R2409,$R1223),1,
($N1223-_xludf.MINIFS($N$2:$N2409,$R$2:$R2409,$R1223))+1)</f>
        <v>#VALUE!</v>
      </c>
      <c r="P1223" s="13" t="e">
        <f t="shared" si="2"/>
        <v>#VALUE!</v>
      </c>
      <c r="Q1223" s="1" t="e">
        <f>RIGHT(YEAR($A1223),2)-(MONTH($A1223)&lt;=#REF!)
 &amp;"-"&amp;
 RIGHT(YEAR($A1223),2)+(MONTH($A1223)&gt;=#REF!)</f>
        <v>#REF!</v>
      </c>
      <c r="R1223" s="1" t="e">
        <f>CHOOSE(MONTH($P1223),#REF!,#REF!,#REF!,#REF!,#REF!,#REF!,#REF!,#REF!,#REF!,#REF!,#REF!,#REF!)&amp;" "&amp;$Q1223</f>
        <v>#VALUE!</v>
      </c>
      <c r="S1223" s="1">
        <f t="shared" si="3"/>
        <v>1</v>
      </c>
      <c r="T1223" s="1" t="str">
        <f t="array" ref="T1223">IFERROR(INDEX(#REF!,MATCH($B1223,#REF!,0)),"")</f>
        <v/>
      </c>
      <c r="U1223" s="1" t="str">
        <f t="array" ref="U1223">IFERROR(INDEX(#REF!,MATCH($B1223,#REF!,0)),"")</f>
        <v/>
      </c>
      <c r="V1223" s="76">
        <f t="array" ref="V1223">AVERAGEIFS($E$2:$E2248,$B$2:$B2248,$B1223,$P$2:$P2248,"&lt;="&amp;$P1223,$P$2:$P2248,"&gt;"&amp;$P1223-7)</f>
        <v>8.3809523809523814</v>
      </c>
      <c r="W1223" s="76">
        <f ca="1">IFERROR(__xludf.DUMMYFUNCTION("iferror(stdevp(filter($D$2:$D2250,$B$2:$B2250=$B1223,$O$2:$O2250&lt;=$O1223,$O$2:$O2250&gt;$O1223-7)),0)"),0.471404520791031)</f>
        <v>0.47140452079103101</v>
      </c>
      <c r="X1223" s="77">
        <f t="shared" ca="1" si="4"/>
        <v>-2.9294423792014164</v>
      </c>
      <c r="Y1223" s="77">
        <f t="shared" ca="1" si="5"/>
        <v>1</v>
      </c>
      <c r="Z1223" s="76">
        <f t="array" ref="Z1223">AVERAGEIFS($F$2:$F2248,$B$2:$B2248,$B1223,$P$2:$P2248,"&lt;="&amp;$P1223,$P$2:$P2248,"&gt;"&amp;$P1223-7)</f>
        <v>6.8571428571428568</v>
      </c>
      <c r="AA1223" s="76">
        <f ca="1">IFERROR(__xludf.DUMMYFUNCTION("iferror(stdevp(filter($E$2:$E2250,$B$2:$B2250=$B1223,$O$2:$O2250&lt;=$O1223,$O$2:$O2250&gt;$O1223-7)),0)"),0.471404520791031)</f>
        <v>0.47140452079103101</v>
      </c>
      <c r="AB1223" s="77">
        <f t="shared" ca="1" si="6"/>
        <v>2.42436610692531</v>
      </c>
      <c r="AC1223" s="77">
        <f t="shared" ca="1" si="7"/>
        <v>4</v>
      </c>
      <c r="AD1223" s="76">
        <f t="array" ref="AD1223">AVERAGEIFS($G$2:$G2248,$B$2:$B2248,$B1223,$P$2:$P2248,"&lt;="&amp;$P1223,$P$2:$P2248,"&gt;"&amp;$P1223-7)</f>
        <v>5.7619047619047619</v>
      </c>
      <c r="AE1223" s="76">
        <f ca="1">IFERROR(__xludf.DUMMYFUNCTION("iferror(stdevp(filter($F$2:$F2250,$B$2:$B2250=$B1223,$O$2:$O2250&lt;=$O1223,$O$2:$O2250&gt;$O1223-7)),0)"),0.471404520791031)</f>
        <v>0.47140452079103101</v>
      </c>
      <c r="AF1223" s="77">
        <f t="shared" ca="1" si="8"/>
        <v>0.50507627227610619</v>
      </c>
      <c r="AG1223" s="77">
        <f t="shared" ca="1" si="9"/>
        <v>3</v>
      </c>
      <c r="AH1223" s="76">
        <f t="array" ref="AH1223">AVERAGEIFS($I$2:$I2248,$B$2:$B2248,$B1223,$P$2:$P2248,"&lt;="&amp;$P1223,$P$2:$P2248,"&gt;"&amp;$P1223-7)</f>
        <v>6.8571428571428568</v>
      </c>
      <c r="AI1223" s="76">
        <f ca="1">IFERROR(__xludf.DUMMYFUNCTION("iferror(stdevp(filter($H$2:$H2250,$B$2:$B2250=$B1223,$O$2:$O2250&lt;=$O1223,$O$2:$O2250&gt;$O1223-7)),0)"),1.69967317119759)</f>
        <v>1.6996731711975901</v>
      </c>
      <c r="AJ1223" s="77">
        <f t="shared" ca="1" si="10"/>
        <v>-1.0926470386270282</v>
      </c>
      <c r="AK1223" s="77">
        <f t="shared" ca="1" si="11"/>
        <v>1</v>
      </c>
      <c r="AL1223" s="76">
        <f t="array" ref="AL1223">AVERAGEIFS($J$2:$J2248,$B$2:$B2248,$B1223,$P$2:$P2248,"&lt;="&amp;$P1223,$P$2:$P2248,"&gt;"&amp;$P1223-7)</f>
        <v>5.0952380952380949</v>
      </c>
      <c r="AM1223" s="76">
        <f ca="1">IFERROR(__xludf.DUMMYFUNCTION("iferror(stdevp(filter($I$2:$I2250,$B$2:$B2250=$B1223,$O$2:$O2250&lt;=$O1223,$O$2:$O2250&gt;$O1223-7)),0)"),0.816496580927726)</f>
        <v>0.81649658092772603</v>
      </c>
      <c r="AN1223" s="77">
        <f t="shared" ca="1" si="13"/>
        <v>-0.11664236870396044</v>
      </c>
      <c r="AO1223" s="77">
        <f t="shared" ca="1" si="14"/>
        <v>2</v>
      </c>
      <c r="AP1223" s="76">
        <f t="array" ref="AP1223">AVERAGEIFS($K$2:$K2248,$B$2:$B2248,$B1223,$P$2:$P2248,"&lt;="&amp;$P1223,$P$2:$P2248,"&gt;"&amp;$P1223-7)</f>
        <v>5.3809523809523814</v>
      </c>
      <c r="AQ1223" s="76">
        <f ca="1">IFERROR(__xludf.DUMMYFUNCTION("iferror(stdevp(filter($J$2:$J2250,$B$2:$B2250=$B1223,$O$2:$O2250&lt;=$O1223,$O$2:$O2250&gt;$O1223-7)),0)"),0.942809041582063)</f>
        <v>0.94280904158206302</v>
      </c>
      <c r="AR1223" s="77">
        <f t="shared" ca="1" si="15"/>
        <v>-0.40406101782088488</v>
      </c>
      <c r="AS1223" s="77">
        <f t="shared" ca="1" si="16"/>
        <v>2</v>
      </c>
      <c r="AT1223" s="78">
        <f t="shared" ca="1" si="12"/>
        <v>0.54166666666666663</v>
      </c>
    </row>
    <row r="1224" spans="1:46" ht="12.5" x14ac:dyDescent="0.25">
      <c r="A1224" s="75">
        <v>44974.431242499995</v>
      </c>
      <c r="B1224" s="1" t="s">
        <v>10</v>
      </c>
      <c r="C1224" s="1" t="str">
        <f>INDEX(TBL_Name,MATCH(Table2[[#This Row],[Athlete Name]],listNames,0),2)</f>
        <v>Athlete 5</v>
      </c>
      <c r="D1224" s="1" t="s">
        <v>130</v>
      </c>
      <c r="E1224" s="1">
        <v>9</v>
      </c>
      <c r="F1224" s="1">
        <v>8</v>
      </c>
      <c r="G1224" s="1">
        <v>8</v>
      </c>
      <c r="H1224" s="1" t="s">
        <v>342</v>
      </c>
      <c r="I1224" s="1">
        <v>3</v>
      </c>
      <c r="J1224" s="1">
        <v>8</v>
      </c>
      <c r="K1224" s="1">
        <v>9</v>
      </c>
      <c r="L1224" s="1">
        <v>80</v>
      </c>
      <c r="M1224" s="1" t="e">
        <f t="shared" ca="1" si="0"/>
        <v>#NAME?</v>
      </c>
      <c r="N1224" s="1" t="e">
        <f t="shared" si="1"/>
        <v>#VALUE!</v>
      </c>
      <c r="O1224" s="1" t="e">
        <f ca="1">IF($N1224=_xludf.MINIFS($N$2:$N2410,$R$2:$R2410,$R1224),1,
($N1224-_xludf.MINIFS($N$2:$N2410,$R$2:$R2410,$R1224))+1)</f>
        <v>#VALUE!</v>
      </c>
      <c r="P1224" s="13" t="e">
        <f t="shared" si="2"/>
        <v>#VALUE!</v>
      </c>
      <c r="Q1224" s="1" t="e">
        <f>RIGHT(YEAR($A1224),2)-(MONTH($A1224)&lt;=#REF!)
 &amp;"-"&amp;
 RIGHT(YEAR($A1224),2)+(MONTH($A1224)&gt;=#REF!)</f>
        <v>#REF!</v>
      </c>
      <c r="R1224" s="1" t="e">
        <f>CHOOSE(MONTH($P1224),#REF!,#REF!,#REF!,#REF!,#REF!,#REF!,#REF!,#REF!,#REF!,#REF!,#REF!,#REF!)&amp;" "&amp;$Q1224</f>
        <v>#VALUE!</v>
      </c>
      <c r="S1224" s="1">
        <f t="shared" si="3"/>
        <v>1</v>
      </c>
      <c r="T1224" s="1" t="str">
        <f t="array" ref="T1224">IFERROR(INDEX(#REF!,MATCH($B1224,#REF!,0)),"")</f>
        <v/>
      </c>
      <c r="U1224" s="1" t="str">
        <f t="array" ref="U1224">IFERROR(INDEX(#REF!,MATCH($B1224,#REF!,0)),"")</f>
        <v/>
      </c>
      <c r="V1224" s="76">
        <f t="array" ref="V1224">AVERAGEIFS($E$2:$E2248,$B$2:$B2248,$B1224,$P$2:$P2248,"&lt;="&amp;$P1224,$P$2:$P2248,"&gt;"&amp;$P1224-7)</f>
        <v>8.4042553191489358</v>
      </c>
      <c r="W1224" s="76">
        <f ca="1">IFERROR(__xludf.DUMMYFUNCTION("iferror(stdevp(filter($D$2:$D2250,$B$2:$B2250=$B1224,$O$2:$O2250&lt;=$O1224,$O$2:$O2250&gt;$O1224-7)),0)"),1.45686271816936)</f>
        <v>1.4568627181693601</v>
      </c>
      <c r="X1224" s="77">
        <f t="shared" ca="1" si="4"/>
        <v>0.40892300518174768</v>
      </c>
      <c r="Y1224" s="77">
        <f t="shared" ca="1" si="5"/>
        <v>3</v>
      </c>
      <c r="Z1224" s="76">
        <f t="array" ref="Z1224">AVERAGEIFS($F$2:$F2248,$B$2:$B2248,$B1224,$P$2:$P2248,"&lt;="&amp;$P1224,$P$2:$P2248,"&gt;"&amp;$P1224-7)</f>
        <v>8.085106382978724</v>
      </c>
      <c r="AA1224" s="76">
        <f ca="1">IFERROR(__xludf.DUMMYFUNCTION("iferror(stdevp(filter($E$2:$E2250,$B$2:$B2250=$B1224,$O$2:$O2250&lt;=$O1224,$O$2:$O2250&gt;$O1224-7)),0)"),0.880630571852711)</f>
        <v>0.88063057185271099</v>
      </c>
      <c r="AB1224" s="77">
        <f t="shared" ca="1" si="6"/>
        <v>-9.6642548758752791E-2</v>
      </c>
      <c r="AC1224" s="77">
        <f t="shared" ca="1" si="7"/>
        <v>2</v>
      </c>
      <c r="AD1224" s="76">
        <f t="array" ref="AD1224">AVERAGEIFS($G$2:$G2248,$B$2:$B2248,$B1224,$P$2:$P2248,"&lt;="&amp;$P1224,$P$2:$P2248,"&gt;"&amp;$P1224-7)</f>
        <v>8.0638297872340434</v>
      </c>
      <c r="AE1224" s="76">
        <f ca="1">IFERROR(__xludf.DUMMYFUNCTION("iferror(stdevp(filter($F$2:$F2250,$B$2:$B2250=$B1224,$O$2:$O2250&lt;=$O1224,$O$2:$O2250&gt;$O1224-7)),0)"),0.880630571852711)</f>
        <v>0.88063057185271099</v>
      </c>
      <c r="AF1224" s="77">
        <f t="shared" ca="1" si="8"/>
        <v>-7.2481911569065097E-2</v>
      </c>
      <c r="AG1224" s="77">
        <f t="shared" ca="1" si="9"/>
        <v>2</v>
      </c>
      <c r="AH1224" s="76">
        <f t="array" ref="AH1224">AVERAGEIFS($I$2:$I2248,$B$2:$B2248,$B1224,$P$2:$P2248,"&lt;="&amp;$P1224,$P$2:$P2248,"&gt;"&amp;$P1224-7)</f>
        <v>6.7446808510638299</v>
      </c>
      <c r="AI1224" s="76">
        <f ca="1">IFERROR(__xludf.DUMMYFUNCTION("iferror(stdevp(filter($H$2:$H2250,$B$2:$B2250=$B1224,$O$2:$O2250&lt;=$O1224,$O$2:$O2250&gt;$O1224-7)),0)"),2.44114392723358)</f>
        <v>2.44114392723358</v>
      </c>
      <c r="AJ1224" s="77">
        <f t="shared" ca="1" si="10"/>
        <v>-1.5339860994216263</v>
      </c>
      <c r="AK1224" s="77">
        <f t="shared" ca="1" si="11"/>
        <v>1</v>
      </c>
      <c r="AL1224" s="76">
        <f t="array" ref="AL1224">AVERAGEIFS($J$2:$J2248,$B$2:$B2248,$B1224,$P$2:$P2248,"&lt;="&amp;$P1224,$P$2:$P2248,"&gt;"&amp;$P1224-7)</f>
        <v>8.1063829787234045</v>
      </c>
      <c r="AM1224" s="76">
        <f ca="1">IFERROR(__xludf.DUMMYFUNCTION("iferror(stdevp(filter($I$2:$I2250,$B$2:$B2250=$B1224,$O$2:$O2250&lt;=$O1224,$O$2:$O2250&gt;$O1224-7)),0)"),0.638876564999939)</f>
        <v>0.63887656499993895</v>
      </c>
      <c r="AN1224" s="77">
        <f t="shared" ca="1" si="13"/>
        <v>-0.16651570045211267</v>
      </c>
      <c r="AO1224" s="77">
        <f t="shared" ca="1" si="14"/>
        <v>2</v>
      </c>
      <c r="AP1224" s="76">
        <f t="array" ref="AP1224">AVERAGEIFS($K$2:$K2248,$B$2:$B2248,$B1224,$P$2:$P2248,"&lt;="&amp;$P1224,$P$2:$P2248,"&gt;"&amp;$P1224-7)</f>
        <v>8.2978723404255312</v>
      </c>
      <c r="AQ1224" s="76">
        <f ca="1">IFERROR(__xludf.DUMMYFUNCTION("iferror(stdevp(filter($J$2:$J2250,$B$2:$B2250=$B1224,$O$2:$O2250&lt;=$O1224,$O$2:$O2250&gt;$O1224-7)),0)"),0.638876564999939)</f>
        <v>0.63887656499993895</v>
      </c>
      <c r="AR1224" s="77">
        <f t="shared" ca="1" si="15"/>
        <v>1.0990036229839419</v>
      </c>
      <c r="AS1224" s="77">
        <f t="shared" ca="1" si="16"/>
        <v>4</v>
      </c>
      <c r="AT1224" s="78">
        <f t="shared" ca="1" si="12"/>
        <v>0.58333333333333337</v>
      </c>
    </row>
    <row r="1225" spans="1:46" ht="12.5" x14ac:dyDescent="0.25">
      <c r="A1225" s="75">
        <v>44974.431373067127</v>
      </c>
      <c r="B1225" s="1" t="s">
        <v>22</v>
      </c>
      <c r="C1225" s="1" t="str">
        <f>INDEX(TBL_Name,MATCH(Table2[[#This Row],[Athlete Name]],listNames,0),2)</f>
        <v>Athlete 14</v>
      </c>
      <c r="D1225" s="1" t="s">
        <v>130</v>
      </c>
      <c r="E1225" s="1">
        <v>6</v>
      </c>
      <c r="F1225" s="1">
        <v>7</v>
      </c>
      <c r="G1225" s="1">
        <v>9</v>
      </c>
      <c r="H1225" s="1" t="s">
        <v>205</v>
      </c>
      <c r="I1225" s="1">
        <v>2</v>
      </c>
      <c r="J1225" s="1">
        <v>6</v>
      </c>
      <c r="K1225" s="1">
        <v>7</v>
      </c>
      <c r="L1225" s="1">
        <v>50</v>
      </c>
      <c r="M1225" s="1" t="e">
        <f t="shared" ca="1" si="0"/>
        <v>#NAME?</v>
      </c>
      <c r="N1225" s="1" t="e">
        <f t="shared" si="1"/>
        <v>#VALUE!</v>
      </c>
      <c r="O1225" s="1" t="e">
        <f ca="1">IF($N1225=_xludf.MINIFS($N$2:$N2411,$R$2:$R2411,$R1225),1,
($N1225-_xludf.MINIFS($N$2:$N2411,$R$2:$R2411,$R1225))+1)</f>
        <v>#VALUE!</v>
      </c>
      <c r="P1225" s="13" t="e">
        <f t="shared" si="2"/>
        <v>#VALUE!</v>
      </c>
      <c r="Q1225" s="1" t="e">
        <f>RIGHT(YEAR($A1225),2)-(MONTH($A1225)&lt;=#REF!)
 &amp;"-"&amp;
 RIGHT(YEAR($A1225),2)+(MONTH($A1225)&gt;=#REF!)</f>
        <v>#REF!</v>
      </c>
      <c r="R1225" s="1" t="e">
        <f>CHOOSE(MONTH($P1225),#REF!,#REF!,#REF!,#REF!,#REF!,#REF!,#REF!,#REF!,#REF!,#REF!,#REF!,#REF!)&amp;" "&amp;$Q1225</f>
        <v>#VALUE!</v>
      </c>
      <c r="S1225" s="1">
        <f t="shared" si="3"/>
        <v>1</v>
      </c>
      <c r="T1225" s="1" t="str">
        <f t="array" ref="T1225">IFERROR(INDEX(#REF!,MATCH($B1225,#REF!,0)),"")</f>
        <v/>
      </c>
      <c r="U1225" s="1" t="str">
        <f t="array" ref="U1225">IFERROR(INDEX(#REF!,MATCH($B1225,#REF!,0)),"")</f>
        <v/>
      </c>
      <c r="V1225" s="76">
        <f t="array" ref="V1225">AVERAGEIFS($E$2:$E2248,$B$2:$B2248,$B1225,$P$2:$P2248,"&lt;="&amp;$P1225,$P$2:$P2248,"&gt;"&amp;$P1225-7)</f>
        <v>5.791666666666667</v>
      </c>
      <c r="W1225" s="76">
        <f ca="1">IFERROR(__xludf.DUMMYFUNCTION("iferror(stdevp(filter($D$2:$D2250,$B$2:$B2250=$B1225,$O$2:$O2250&lt;=$O1225,$O$2:$O2250&gt;$O1225-7)),0)"),0)</f>
        <v>0</v>
      </c>
      <c r="X1225" s="77">
        <f t="shared" ca="1" si="4"/>
        <v>0</v>
      </c>
      <c r="Y1225" s="77">
        <f t="shared" ca="1" si="5"/>
        <v>3</v>
      </c>
      <c r="Z1225" s="76">
        <f t="array" ref="Z1225">AVERAGEIFS($F$2:$F2248,$B$2:$B2248,$B1225,$P$2:$P2248,"&lt;="&amp;$P1225,$P$2:$P2248,"&gt;"&amp;$P1225-7)</f>
        <v>5.458333333333333</v>
      </c>
      <c r="AA1225" s="76">
        <f ca="1">IFERROR(__xludf.DUMMYFUNCTION("iferror(stdevp(filter($E$2:$E2250,$B$2:$B2250=$B1225,$O$2:$O2250&lt;=$O1225,$O$2:$O2250&gt;$O1225-7)),0)"),1)</f>
        <v>1</v>
      </c>
      <c r="AB1225" s="77">
        <f t="shared" ca="1" si="6"/>
        <v>1.541666666666667</v>
      </c>
      <c r="AC1225" s="77">
        <f t="shared" ca="1" si="7"/>
        <v>4</v>
      </c>
      <c r="AD1225" s="76">
        <f t="array" ref="AD1225">AVERAGEIFS($G$2:$G2248,$B$2:$B2248,$B1225,$P$2:$P2248,"&lt;="&amp;$P1225,$P$2:$P2248,"&gt;"&amp;$P1225-7)</f>
        <v>6.833333333333333</v>
      </c>
      <c r="AE1225" s="76">
        <f ca="1">IFERROR(__xludf.DUMMYFUNCTION("iferror(stdevp(filter($F$2:$F2250,$B$2:$B2250=$B1225,$O$2:$O2250&lt;=$O1225,$O$2:$O2250&gt;$O1225-7)),0)"),1.5)</f>
        <v>1.5</v>
      </c>
      <c r="AF1225" s="77">
        <f t="shared" ca="1" si="8"/>
        <v>1.4444444444444446</v>
      </c>
      <c r="AG1225" s="77">
        <f t="shared" ca="1" si="9"/>
        <v>4</v>
      </c>
      <c r="AH1225" s="76">
        <f t="array" ref="AH1225">AVERAGEIFS($I$2:$I2248,$B$2:$B2248,$B1225,$P$2:$P2248,"&lt;="&amp;$P1225,$P$2:$P2248,"&gt;"&amp;$P1225-7)</f>
        <v>5.125</v>
      </c>
      <c r="AI1225" s="76">
        <f ca="1">IFERROR(__xludf.DUMMYFUNCTION("iferror(stdevp(filter($H$2:$H2250,$B$2:$B2250=$B1225,$O$2:$O2250&lt;=$O1225,$O$2:$O2250&gt;$O1225-7)),0)"),0.5)</f>
        <v>0.5</v>
      </c>
      <c r="AJ1225" s="77">
        <f t="shared" ca="1" si="10"/>
        <v>-6.25</v>
      </c>
      <c r="AK1225" s="77">
        <f t="shared" ca="1" si="11"/>
        <v>1</v>
      </c>
      <c r="AL1225" s="76">
        <f t="array" ref="AL1225">AVERAGEIFS($J$2:$J2248,$B$2:$B2248,$B1225,$P$2:$P2248,"&lt;="&amp;$P1225,$P$2:$P2248,"&gt;"&amp;$P1225-7)</f>
        <v>7.125</v>
      </c>
      <c r="AM1225" s="76">
        <f ca="1">IFERROR(__xludf.DUMMYFUNCTION("iferror(stdevp(filter($I$2:$I2250,$B$2:$B2250=$B1225,$O$2:$O2250&lt;=$O1225,$O$2:$O2250&gt;$O1225-7)),0)"),0)</f>
        <v>0</v>
      </c>
      <c r="AN1225" s="77">
        <f t="shared" ca="1" si="13"/>
        <v>0</v>
      </c>
      <c r="AO1225" s="77">
        <f t="shared" ca="1" si="14"/>
        <v>3</v>
      </c>
      <c r="AP1225" s="76">
        <f t="array" ref="AP1225">AVERAGEIFS($K$2:$K2248,$B$2:$B2248,$B1225,$P$2:$P2248,"&lt;="&amp;$P1225,$P$2:$P2248,"&gt;"&amp;$P1225-7)</f>
        <v>7.083333333333333</v>
      </c>
      <c r="AQ1225" s="76">
        <f ca="1">IFERROR(__xludf.DUMMYFUNCTION("iferror(stdevp(filter($J$2:$J2250,$B$2:$B2250=$B1225,$O$2:$O2250&lt;=$O1225,$O$2:$O2250&gt;$O1225-7)),0)"),0.5)</f>
        <v>0.5</v>
      </c>
      <c r="AR1225" s="77">
        <f t="shared" ca="1" si="15"/>
        <v>-0.16666666666666607</v>
      </c>
      <c r="AS1225" s="77">
        <f t="shared" ca="1" si="16"/>
        <v>2</v>
      </c>
      <c r="AT1225" s="78">
        <f t="shared" ca="1" si="12"/>
        <v>0.70833333333333337</v>
      </c>
    </row>
    <row r="1226" spans="1:46" ht="12.5" x14ac:dyDescent="0.25">
      <c r="A1226" s="75">
        <v>44974.43144325231</v>
      </c>
      <c r="B1226" s="1" t="s">
        <v>20</v>
      </c>
      <c r="C1226" s="1" t="str">
        <f>INDEX(TBL_Name,MATCH(Table2[[#This Row],[Athlete Name]],listNames,0),2)</f>
        <v>Athlete 12</v>
      </c>
      <c r="D1226" s="1" t="s">
        <v>143</v>
      </c>
      <c r="E1226" s="1">
        <v>6</v>
      </c>
      <c r="F1226" s="1">
        <v>6</v>
      </c>
      <c r="G1226" s="1">
        <v>9</v>
      </c>
      <c r="H1226" s="1" t="s">
        <v>236</v>
      </c>
      <c r="I1226" s="1">
        <v>4</v>
      </c>
      <c r="J1226" s="1">
        <v>7</v>
      </c>
      <c r="K1226" s="1">
        <v>7</v>
      </c>
      <c r="L1226" s="1">
        <v>70</v>
      </c>
      <c r="M1226" s="1" t="e">
        <f t="shared" ca="1" si="0"/>
        <v>#NAME?</v>
      </c>
      <c r="N1226" s="1" t="e">
        <f t="shared" si="1"/>
        <v>#VALUE!</v>
      </c>
      <c r="O1226" s="1" t="e">
        <f ca="1">IF($N1226=_xludf.MINIFS($N$2:$N2412,$R$2:$R2412,$R1226),1,
($N1226-_xludf.MINIFS($N$2:$N2412,$R$2:$R2412,$R1226))+1)</f>
        <v>#VALUE!</v>
      </c>
      <c r="P1226" s="13" t="e">
        <f t="shared" si="2"/>
        <v>#VALUE!</v>
      </c>
      <c r="Q1226" s="1" t="e">
        <f>RIGHT(YEAR($A1226),2)-(MONTH($A1226)&lt;=#REF!)
 &amp;"-"&amp;
 RIGHT(YEAR($A1226),2)+(MONTH($A1226)&gt;=#REF!)</f>
        <v>#REF!</v>
      </c>
      <c r="R1226" s="1" t="e">
        <f>CHOOSE(MONTH($P1226),#REF!,#REF!,#REF!,#REF!,#REF!,#REF!,#REF!,#REF!,#REF!,#REF!,#REF!,#REF!)&amp;" "&amp;$Q1226</f>
        <v>#VALUE!</v>
      </c>
      <c r="S1226" s="1">
        <f t="shared" si="3"/>
        <v>2</v>
      </c>
      <c r="T1226" s="1" t="str">
        <f t="array" ref="T1226">IFERROR(INDEX(#REF!,MATCH($B1226,#REF!,0)),"")</f>
        <v/>
      </c>
      <c r="U1226" s="1" t="str">
        <f t="array" ref="U1226">IFERROR(INDEX(#REF!,MATCH($B1226,#REF!,0)),"")</f>
        <v/>
      </c>
      <c r="V1226" s="76">
        <f t="array" ref="V1226">AVERAGEIFS($E$2:$E2248,$B$2:$B2248,$B1226,$P$2:$P2248,"&lt;="&amp;$P1226,$P$2:$P2248,"&gt;"&amp;$P1226-7)</f>
        <v>7.4761904761904763</v>
      </c>
      <c r="W1226" s="76">
        <f ca="1">IFERROR(__xludf.DUMMYFUNCTION("iferror(stdevp(filter($D$2:$D2250,$B$2:$B2250=$B1226,$O$2:$O2250&lt;=$O1226,$O$2:$O2250&gt;$O1226-7)),0)"),1.22474487139158)</f>
        <v>1.2247448713915801</v>
      </c>
      <c r="X1226" s="77">
        <f t="shared" ca="1" si="4"/>
        <v>-1.2053044766076044</v>
      </c>
      <c r="Y1226" s="77">
        <f t="shared" ca="1" si="5"/>
        <v>1</v>
      </c>
      <c r="Z1226" s="76">
        <f t="array" ref="Z1226">AVERAGEIFS($F$2:$F2248,$B$2:$B2248,$B1226,$P$2:$P2248,"&lt;="&amp;$P1226,$P$2:$P2248,"&gt;"&amp;$P1226-7)</f>
        <v>8.1904761904761898</v>
      </c>
      <c r="AA1226" s="76">
        <f ca="1">IFERROR(__xludf.DUMMYFUNCTION("iferror(stdevp(filter($E$2:$E2250,$B$2:$B2250=$B1226,$O$2:$O2250&lt;=$O1226,$O$2:$O2250&gt;$O1226-7)),0)"),1.58113883008418)</f>
        <v>1.58113883008418</v>
      </c>
      <c r="AB1226" s="77">
        <f t="shared" ca="1" si="6"/>
        <v>-1.3853787844547265</v>
      </c>
      <c r="AC1226" s="77">
        <f t="shared" ca="1" si="7"/>
        <v>1</v>
      </c>
      <c r="AD1226" s="76">
        <f t="array" ref="AD1226">AVERAGEIFS($G$2:$G2248,$B$2:$B2248,$B1226,$P$2:$P2248,"&lt;="&amp;$P1226,$P$2:$P2248,"&gt;"&amp;$P1226-7)</f>
        <v>8.5714285714285712</v>
      </c>
      <c r="AE1226" s="76">
        <f ca="1">IFERROR(__xludf.DUMMYFUNCTION("iferror(stdevp(filter($F$2:$F2250,$B$2:$B2250=$B1226,$O$2:$O2250&lt;=$O1226,$O$2:$O2250&gt;$O1226-7)),0)"),0.829156197588849)</f>
        <v>0.82915619758884895</v>
      </c>
      <c r="AF1226" s="77">
        <f t="shared" ca="1" si="8"/>
        <v>0.51687659070473857</v>
      </c>
      <c r="AG1226" s="77">
        <f t="shared" ca="1" si="9"/>
        <v>3</v>
      </c>
      <c r="AH1226" s="76">
        <f t="array" ref="AH1226">AVERAGEIFS($I$2:$I2248,$B$2:$B2248,$B1226,$P$2:$P2248,"&lt;="&amp;$P1226,$P$2:$P2248,"&gt;"&amp;$P1226-7)</f>
        <v>5.6190476190476186</v>
      </c>
      <c r="AI1226" s="76">
        <f ca="1">IFERROR(__xludf.DUMMYFUNCTION("iferror(stdevp(filter($H$2:$H2250,$B$2:$B2250=$B1226,$O$2:$O2250&lt;=$O1226,$O$2:$O2250&gt;$O1226-7)),0)"),1.5)</f>
        <v>1.5</v>
      </c>
      <c r="AJ1226" s="77">
        <f t="shared" ca="1" si="10"/>
        <v>-1.0793650793650791</v>
      </c>
      <c r="AK1226" s="77">
        <f t="shared" ca="1" si="11"/>
        <v>1</v>
      </c>
      <c r="AL1226" s="76">
        <f t="array" ref="AL1226">AVERAGEIFS($J$2:$J2248,$B$2:$B2248,$B1226,$P$2:$P2248,"&lt;="&amp;$P1226,$P$2:$P2248,"&gt;"&amp;$P1226-7)</f>
        <v>7</v>
      </c>
      <c r="AM1226" s="76">
        <f ca="1">IFERROR(__xludf.DUMMYFUNCTION("iferror(stdevp(filter($I$2:$I2250,$B$2:$B2250=$B1226,$O$2:$O2250&lt;=$O1226,$O$2:$O2250&gt;$O1226-7)),0)"),1.08972473588516)</f>
        <v>1.0897247358851601</v>
      </c>
      <c r="AN1226" s="77">
        <f t="shared" ca="1" si="13"/>
        <v>0</v>
      </c>
      <c r="AO1226" s="77">
        <f t="shared" ca="1" si="14"/>
        <v>3</v>
      </c>
      <c r="AP1226" s="76">
        <f t="array" ref="AP1226">AVERAGEIFS($K$2:$K2248,$B$2:$B2248,$B1226,$P$2:$P2248,"&lt;="&amp;$P1226,$P$2:$P2248,"&gt;"&amp;$P1226-7)</f>
        <v>7.4285714285714288</v>
      </c>
      <c r="AQ1226" s="76">
        <f ca="1">IFERROR(__xludf.DUMMYFUNCTION("iferror(stdevp(filter($J$2:$J2250,$B$2:$B2250=$B1226,$O$2:$O2250&lt;=$O1226,$O$2:$O2250&gt;$O1226-7)),0)"),0.5)</f>
        <v>0.5</v>
      </c>
      <c r="AR1226" s="77">
        <f t="shared" ca="1" si="15"/>
        <v>-0.85714285714285765</v>
      </c>
      <c r="AS1226" s="77">
        <f t="shared" ca="1" si="16"/>
        <v>2</v>
      </c>
      <c r="AT1226" s="78">
        <f t="shared" ca="1" si="12"/>
        <v>0.45833333333333331</v>
      </c>
    </row>
    <row r="1227" spans="1:46" ht="12.5" x14ac:dyDescent="0.25">
      <c r="A1227" s="75">
        <v>44974.431891481479</v>
      </c>
      <c r="B1227" s="1" t="s">
        <v>7</v>
      </c>
      <c r="C1227" s="1" t="str">
        <f>INDEX(TBL_Name,MATCH(Table2[[#This Row],[Athlete Name]],listNames,0),2)</f>
        <v>Athlete 3</v>
      </c>
      <c r="D1227" s="1" t="s">
        <v>130</v>
      </c>
      <c r="E1227" s="1">
        <v>6</v>
      </c>
      <c r="F1227" s="1">
        <v>6</v>
      </c>
      <c r="G1227" s="1">
        <v>8</v>
      </c>
      <c r="H1227" s="1" t="s">
        <v>1505</v>
      </c>
      <c r="I1227" s="1">
        <v>4</v>
      </c>
      <c r="J1227" s="1">
        <v>5</v>
      </c>
      <c r="K1227" s="1">
        <v>6</v>
      </c>
      <c r="L1227" s="1">
        <v>80</v>
      </c>
      <c r="M1227" s="1" t="e">
        <f t="shared" ca="1" si="0"/>
        <v>#NAME?</v>
      </c>
      <c r="N1227" s="1" t="e">
        <f t="shared" si="1"/>
        <v>#VALUE!</v>
      </c>
      <c r="O1227" s="1" t="e">
        <f ca="1">IF($N1227=_xludf.MINIFS($N$2:$N2413,$R$2:$R2413,$R1227),1,
($N1227-_xludf.MINIFS($N$2:$N2413,$R$2:$R2413,$R1227))+1)</f>
        <v>#VALUE!</v>
      </c>
      <c r="P1227" s="13" t="e">
        <f t="shared" si="2"/>
        <v>#VALUE!</v>
      </c>
      <c r="Q1227" s="1" t="e">
        <f>RIGHT(YEAR($A1227),2)-(MONTH($A1227)&lt;=#REF!)
 &amp;"-"&amp;
 RIGHT(YEAR($A1227),2)+(MONTH($A1227)&gt;=#REF!)</f>
        <v>#REF!</v>
      </c>
      <c r="R1227" s="1" t="e">
        <f>CHOOSE(MONTH($P1227),#REF!,#REF!,#REF!,#REF!,#REF!,#REF!,#REF!,#REF!,#REF!,#REF!,#REF!,#REF!)&amp;" "&amp;$Q1227</f>
        <v>#VALUE!</v>
      </c>
      <c r="S1227" s="1">
        <f t="shared" si="3"/>
        <v>1</v>
      </c>
      <c r="T1227" s="1" t="str">
        <f t="array" ref="T1227">IFERROR(INDEX(#REF!,MATCH($B1227,#REF!,0)),"")</f>
        <v/>
      </c>
      <c r="U1227" s="1" t="str">
        <f t="array" ref="U1227">IFERROR(INDEX(#REF!,MATCH($B1227,#REF!,0)),"")</f>
        <v/>
      </c>
      <c r="V1227" s="76">
        <f t="array" ref="V1227">AVERAGEIFS($E$2:$E2248,$B$2:$B2248,$B1227,$P$2:$P2248,"&lt;="&amp;$P1227,$P$2:$P2248,"&gt;"&amp;$P1227-7)</f>
        <v>6</v>
      </c>
      <c r="W1227" s="76">
        <f ca="1">IFERROR(__xludf.DUMMYFUNCTION("iferror(stdevp(filter($D$2:$D2250,$B$2:$B2250=$B1227,$O$2:$O2250&lt;=$O1227,$O$2:$O2250&gt;$O1227-7)),0)"),1.6583123951777)</f>
        <v>1.6583123951776999</v>
      </c>
      <c r="X1227" s="77">
        <f t="shared" ca="1" si="4"/>
        <v>0</v>
      </c>
      <c r="Y1227" s="77">
        <f t="shared" ca="1" si="5"/>
        <v>3</v>
      </c>
      <c r="Z1227" s="76">
        <f t="array" ref="Z1227">AVERAGEIFS($F$2:$F2248,$B$2:$B2248,$B1227,$P$2:$P2248,"&lt;="&amp;$P1227,$P$2:$P2248,"&gt;"&amp;$P1227-7)</f>
        <v>7.3703703703703702</v>
      </c>
      <c r="AA1227" s="76">
        <f ca="1">IFERROR(__xludf.DUMMYFUNCTION("iferror(stdevp(filter($E$2:$E2250,$B$2:$B2250=$B1227,$O$2:$O2250&lt;=$O1227,$O$2:$O2250&gt;$O1227-7)),0)"),1)</f>
        <v>1</v>
      </c>
      <c r="AB1227" s="77">
        <f t="shared" ca="1" si="6"/>
        <v>-1.3703703703703702</v>
      </c>
      <c r="AC1227" s="77">
        <f t="shared" ca="1" si="7"/>
        <v>1</v>
      </c>
      <c r="AD1227" s="76">
        <f t="array" ref="AD1227">AVERAGEIFS($G$2:$G2248,$B$2:$B2248,$B1227,$P$2:$P2248,"&lt;="&amp;$P1227,$P$2:$P2248,"&gt;"&amp;$P1227-7)</f>
        <v>7.7777777777777777</v>
      </c>
      <c r="AE1227" s="76">
        <f ca="1">IFERROR(__xludf.DUMMYFUNCTION("iferror(stdevp(filter($F$2:$F2250,$B$2:$B2250=$B1227,$O$2:$O2250&lt;=$O1227,$O$2:$O2250&gt;$O1227-7)),0)"),0.433012701892219)</f>
        <v>0.43301270189221902</v>
      </c>
      <c r="AF1227" s="77">
        <f t="shared" ca="1" si="8"/>
        <v>0.51320023927966796</v>
      </c>
      <c r="AG1227" s="77">
        <f t="shared" ca="1" si="9"/>
        <v>3</v>
      </c>
      <c r="AH1227" s="76">
        <f t="array" ref="AH1227">AVERAGEIFS($I$2:$I2248,$B$2:$B2248,$B1227,$P$2:$P2248,"&lt;="&amp;$P1227,$P$2:$P2248,"&gt;"&amp;$P1227-7)</f>
        <v>6.333333333333333</v>
      </c>
      <c r="AI1227" s="76">
        <f ca="1">IFERROR(__xludf.DUMMYFUNCTION("iferror(stdevp(filter($H$2:$H2250,$B$2:$B2250=$B1227,$O$2:$O2250&lt;=$O1227,$O$2:$O2250&gt;$O1227-7)),0)"),2.06155281280883)</f>
        <v>2.0615528128088298</v>
      </c>
      <c r="AJ1227" s="77">
        <f t="shared" ca="1" si="10"/>
        <v>-1.1318329168362207</v>
      </c>
      <c r="AK1227" s="77">
        <f t="shared" ca="1" si="11"/>
        <v>1</v>
      </c>
      <c r="AL1227" s="76">
        <f t="array" ref="AL1227">AVERAGEIFS($J$2:$J2248,$B$2:$B2248,$B1227,$P$2:$P2248,"&lt;="&amp;$P1227,$P$2:$P2248,"&gt;"&amp;$P1227-7)</f>
        <v>5.4230769230769234</v>
      </c>
      <c r="AM1227" s="76">
        <f ca="1">IFERROR(__xludf.DUMMYFUNCTION("iferror(stdevp(filter($I$2:$I2250,$B$2:$B2250=$B1227,$O$2:$O2250&lt;=$O1227,$O$2:$O2250&gt;$O1227-7)),0)"),1.08972473588516)</f>
        <v>1.0897247358851601</v>
      </c>
      <c r="AN1227" s="77">
        <f t="shared" ca="1" si="13"/>
        <v>-0.38824201116556928</v>
      </c>
      <c r="AO1227" s="77">
        <f t="shared" ca="1" si="14"/>
        <v>2</v>
      </c>
      <c r="AP1227" s="76">
        <f t="array" ref="AP1227">AVERAGEIFS($K$2:$K2248,$B$2:$B2248,$B1227,$P$2:$P2248,"&lt;="&amp;$P1227,$P$2:$P2248,"&gt;"&amp;$P1227-7)</f>
        <v>7.5769230769230766</v>
      </c>
      <c r="AQ1227" s="76">
        <f ca="1">IFERROR(__xludf.DUMMYFUNCTION("iferror(stdevp(filter($J$2:$J2250,$B$2:$B2250=$B1227,$O$2:$O2250&lt;=$O1227,$O$2:$O2250&gt;$O1227-7)),0)"),0.866025403784438)</f>
        <v>0.86602540378443804</v>
      </c>
      <c r="AR1227" s="77">
        <f t="shared" ca="1" si="15"/>
        <v>-1.8208739259057438</v>
      </c>
      <c r="AS1227" s="77">
        <f t="shared" ca="1" si="16"/>
        <v>1</v>
      </c>
      <c r="AT1227" s="78">
        <f t="shared" ca="1" si="12"/>
        <v>0.45833333333333331</v>
      </c>
    </row>
    <row r="1228" spans="1:46" ht="12.5" x14ac:dyDescent="0.25">
      <c r="A1228" s="75">
        <v>44974.432356863428</v>
      </c>
      <c r="B1228" s="1" t="s">
        <v>17</v>
      </c>
      <c r="C1228" s="1" t="str">
        <f>INDEX(TBL_Name,MATCH(Table2[[#This Row],[Athlete Name]],listNames,0),2)</f>
        <v>Athlete 10</v>
      </c>
      <c r="D1228" s="1" t="s">
        <v>130</v>
      </c>
      <c r="E1228" s="1">
        <v>8</v>
      </c>
      <c r="F1228" s="1">
        <v>7</v>
      </c>
      <c r="G1228" s="1">
        <v>6</v>
      </c>
      <c r="H1228" s="1" t="s">
        <v>73</v>
      </c>
      <c r="I1228" s="1">
        <v>6</v>
      </c>
      <c r="J1228" s="1">
        <v>9</v>
      </c>
      <c r="K1228" s="1">
        <v>7</v>
      </c>
      <c r="L1228" s="1">
        <v>86</v>
      </c>
      <c r="M1228" s="1" t="e">
        <f t="shared" ca="1" si="0"/>
        <v>#NAME?</v>
      </c>
      <c r="N1228" s="1" t="e">
        <f t="shared" si="1"/>
        <v>#VALUE!</v>
      </c>
      <c r="O1228" s="1" t="e">
        <f ca="1">IF($N1228=_xludf.MINIFS($N$2:$N2414,$R$2:$R2414,$R1228),1,
($N1228-_xludf.MINIFS($N$2:$N2414,$R$2:$R2414,$R1228))+1)</f>
        <v>#VALUE!</v>
      </c>
      <c r="P1228" s="13" t="e">
        <f t="shared" si="2"/>
        <v>#VALUE!</v>
      </c>
      <c r="Q1228" s="1" t="e">
        <f>RIGHT(YEAR($A1228),2)-(MONTH($A1228)&lt;=#REF!)
 &amp;"-"&amp;
 RIGHT(YEAR($A1228),2)+(MONTH($A1228)&gt;=#REF!)</f>
        <v>#REF!</v>
      </c>
      <c r="R1228" s="1" t="e">
        <f>CHOOSE(MONTH($P1228),#REF!,#REF!,#REF!,#REF!,#REF!,#REF!,#REF!,#REF!,#REF!,#REF!,#REF!,#REF!)&amp;" "&amp;$Q1228</f>
        <v>#VALUE!</v>
      </c>
      <c r="S1228" s="1">
        <f t="shared" si="3"/>
        <v>1</v>
      </c>
      <c r="T1228" s="1" t="str">
        <f t="array" ref="T1228">IFERROR(INDEX(#REF!,MATCH($B1228,#REF!,0)),"")</f>
        <v/>
      </c>
      <c r="U1228" s="1" t="str">
        <f t="array" ref="U1228">IFERROR(INDEX(#REF!,MATCH($B1228,#REF!,0)),"")</f>
        <v/>
      </c>
      <c r="V1228" s="76">
        <f t="array" ref="V1228">AVERAGEIFS($E$2:$E2248,$B$2:$B2248,$B1228,$P$2:$P2248,"&lt;="&amp;$P1228,$P$2:$P2248,"&gt;"&amp;$P1228-7)</f>
        <v>6.9024390243902438</v>
      </c>
      <c r="W1228" s="76">
        <f ca="1">IFERROR(__xludf.DUMMYFUNCTION("iferror(stdevp(filter($D$2:$D2250,$B$2:$B2250=$B1228,$O$2:$O2250&lt;=$O1228,$O$2:$O2250&gt;$O1228-7)),0)"),1.83303027798233)</f>
        <v>1.83303027798233</v>
      </c>
      <c r="X1228" s="77">
        <f t="shared" ca="1" si="4"/>
        <v>0.59876860125729814</v>
      </c>
      <c r="Y1228" s="77">
        <f t="shared" ca="1" si="5"/>
        <v>3</v>
      </c>
      <c r="Z1228" s="76">
        <f t="array" ref="Z1228">AVERAGEIFS($F$2:$F2248,$B$2:$B2248,$B1228,$P$2:$P2248,"&lt;="&amp;$P1228,$P$2:$P2248,"&gt;"&amp;$P1228-7)</f>
        <v>7.2926829268292686</v>
      </c>
      <c r="AA1228" s="76">
        <f ca="1">IFERROR(__xludf.DUMMYFUNCTION("iferror(stdevp(filter($E$2:$E2250,$B$2:$B2250=$B1228,$O$2:$O2250&lt;=$O1228,$O$2:$O2250&gt;$O1228-7)),0)"),1.72046505340852)</f>
        <v>1.72046505340852</v>
      </c>
      <c r="AB1228" s="77">
        <f t="shared" ca="1" si="6"/>
        <v>-0.17011849572266305</v>
      </c>
      <c r="AC1228" s="77">
        <f t="shared" ca="1" si="7"/>
        <v>2</v>
      </c>
      <c r="AD1228" s="76">
        <f t="array" ref="AD1228">AVERAGEIFS($G$2:$G2248,$B$2:$B2248,$B1228,$P$2:$P2248,"&lt;="&amp;$P1228,$P$2:$P2248,"&gt;"&amp;$P1228-7)</f>
        <v>7.8048780487804876</v>
      </c>
      <c r="AE1228" s="76">
        <f ca="1">IFERROR(__xludf.DUMMYFUNCTION("iferror(stdevp(filter($F$2:$F2250,$B$2:$B2250=$B1228,$O$2:$O2250&lt;=$O1228,$O$2:$O2250&gt;$O1228-7)),0)"),1.74355957741626)</f>
        <v>1.74355957741626</v>
      </c>
      <c r="AF1228" s="77">
        <f t="shared" ca="1" si="8"/>
        <v>-1.0351685552696135</v>
      </c>
      <c r="AG1228" s="77">
        <f t="shared" ca="1" si="9"/>
        <v>1</v>
      </c>
      <c r="AH1228" s="76">
        <f t="array" ref="AH1228">AVERAGEIFS($I$2:$I2248,$B$2:$B2248,$B1228,$P$2:$P2248,"&lt;="&amp;$P1228,$P$2:$P2248,"&gt;"&amp;$P1228-7)</f>
        <v>6.3170731707317076</v>
      </c>
      <c r="AI1228" s="76">
        <f ca="1">IFERROR(__xludf.DUMMYFUNCTION("iferror(stdevp(filter($H$2:$H2250,$B$2:$B2250=$B1228,$O$2:$O2250&lt;=$O1228,$O$2:$O2250&gt;$O1228-7)),0)"),1.32664991614216)</f>
        <v>1.3266499161421601</v>
      </c>
      <c r="AJ1228" s="77">
        <f t="shared" ca="1" si="10"/>
        <v>-0.23900289509212988</v>
      </c>
      <c r="AK1228" s="77">
        <f t="shared" ca="1" si="11"/>
        <v>2</v>
      </c>
      <c r="AL1228" s="76">
        <f t="array" ref="AL1228">AVERAGEIFS($J$2:$J2248,$B$2:$B2248,$B1228,$P$2:$P2248,"&lt;="&amp;$P1228,$P$2:$P2248,"&gt;"&amp;$P1228-7)</f>
        <v>6.9024390243902438</v>
      </c>
      <c r="AM1228" s="76">
        <f ca="1">IFERROR(__xludf.DUMMYFUNCTION("iferror(stdevp(filter($I$2:$I2250,$B$2:$B2250=$B1228,$O$2:$O2250&lt;=$O1228,$O$2:$O2250&gt;$O1228-7)),0)"),1.41421356237309)</f>
        <v>1.41421356237309</v>
      </c>
      <c r="AN1228" s="77">
        <f t="shared" ca="1" si="13"/>
        <v>1.4831995898059342</v>
      </c>
      <c r="AO1228" s="77">
        <f t="shared" ca="1" si="14"/>
        <v>4</v>
      </c>
      <c r="AP1228" s="76">
        <f t="array" ref="AP1228">AVERAGEIFS($K$2:$K2248,$B$2:$B2248,$B1228,$P$2:$P2248,"&lt;="&amp;$P1228,$P$2:$P2248,"&gt;"&amp;$P1228-7)</f>
        <v>8</v>
      </c>
      <c r="AQ1228" s="76">
        <f ca="1">IFERROR(__xludf.DUMMYFUNCTION("iferror(stdevp(filter($J$2:$J2250,$B$2:$B2250=$B1228,$O$2:$O2250&lt;=$O1228,$O$2:$O2250&gt;$O1228-7)),0)"),0.632455532033675)</f>
        <v>0.63245553203367499</v>
      </c>
      <c r="AR1228" s="77">
        <f t="shared" ca="1" si="15"/>
        <v>-1.5811388300841918</v>
      </c>
      <c r="AS1228" s="77">
        <f t="shared" ca="1" si="16"/>
        <v>1</v>
      </c>
      <c r="AT1228" s="78">
        <f t="shared" ca="1" si="12"/>
        <v>0.54166666666666663</v>
      </c>
    </row>
    <row r="1229" spans="1:46" ht="12.5" x14ac:dyDescent="0.25">
      <c r="A1229" s="75">
        <v>44974.43303724537</v>
      </c>
      <c r="B1229" s="1" t="s">
        <v>16</v>
      </c>
      <c r="C1229" s="1" t="str">
        <f>INDEX(TBL_Name,MATCH(Table2[[#This Row],[Athlete Name]],listNames,0),2)</f>
        <v>Athlete 9</v>
      </c>
      <c r="D1229" s="1" t="s">
        <v>130</v>
      </c>
      <c r="E1229" s="1">
        <v>9</v>
      </c>
      <c r="F1229" s="1">
        <v>7</v>
      </c>
      <c r="G1229" s="1">
        <v>6</v>
      </c>
      <c r="H1229" s="1" t="s">
        <v>1506</v>
      </c>
      <c r="I1229" s="1">
        <v>4</v>
      </c>
      <c r="J1229" s="1">
        <v>8</v>
      </c>
      <c r="K1229" s="1">
        <v>7</v>
      </c>
      <c r="L1229" s="1">
        <v>83</v>
      </c>
      <c r="M1229" s="1" t="e">
        <f t="shared" ca="1" si="0"/>
        <v>#NAME?</v>
      </c>
      <c r="N1229" s="1" t="e">
        <f t="shared" si="1"/>
        <v>#VALUE!</v>
      </c>
      <c r="O1229" s="1" t="e">
        <f ca="1">IF($N1229=_xludf.MINIFS($N$2:$N2415,$R$2:$R2415,$R1229),1,
($N1229-_xludf.MINIFS($N$2:$N2415,$R$2:$R2415,$R1229))+1)</f>
        <v>#VALUE!</v>
      </c>
      <c r="P1229" s="13" t="e">
        <f t="shared" si="2"/>
        <v>#VALUE!</v>
      </c>
      <c r="Q1229" s="1" t="e">
        <f>RIGHT(YEAR($A1229),2)-(MONTH($A1229)&lt;=#REF!)
 &amp;"-"&amp;
 RIGHT(YEAR($A1229),2)+(MONTH($A1229)&gt;=#REF!)</f>
        <v>#REF!</v>
      </c>
      <c r="R1229" s="1" t="e">
        <f>CHOOSE(MONTH($P1229),#REF!,#REF!,#REF!,#REF!,#REF!,#REF!,#REF!,#REF!,#REF!,#REF!,#REF!,#REF!)&amp;" "&amp;$Q1229</f>
        <v>#VALUE!</v>
      </c>
      <c r="S1229" s="1">
        <f t="shared" si="3"/>
        <v>1</v>
      </c>
      <c r="T1229" s="1" t="str">
        <f t="array" ref="T1229">IFERROR(INDEX(#REF!,MATCH($B1229,#REF!,0)),"")</f>
        <v/>
      </c>
      <c r="U1229" s="1" t="str">
        <f t="array" ref="U1229">IFERROR(INDEX(#REF!,MATCH($B1229,#REF!,0)),"")</f>
        <v/>
      </c>
      <c r="V1229" s="76">
        <f t="array" ref="V1229">AVERAGEIFS($E$2:$E2248,$B$2:$B2248,$B1229,$P$2:$P2248,"&lt;="&amp;$P1229,$P$2:$P2248,"&gt;"&amp;$P1229-7)</f>
        <v>8.9600000000000009</v>
      </c>
      <c r="W1229" s="76">
        <f ca="1">IFERROR(__xludf.DUMMYFUNCTION("iferror(stdevp(filter($D$2:$D2250,$B$2:$B2250=$B1229,$O$2:$O2250&lt;=$O1229,$O$2:$O2250&gt;$O1229-7)),0)"),0)</f>
        <v>0</v>
      </c>
      <c r="X1229" s="77">
        <f t="shared" ca="1" si="4"/>
        <v>0</v>
      </c>
      <c r="Y1229" s="77">
        <f t="shared" ca="1" si="5"/>
        <v>3</v>
      </c>
      <c r="Z1229" s="76">
        <f t="array" ref="Z1229">AVERAGEIFS($F$2:$F2248,$B$2:$B2248,$B1229,$P$2:$P2248,"&lt;="&amp;$P1229,$P$2:$P2248,"&gt;"&amp;$P1229-7)</f>
        <v>7.48</v>
      </c>
      <c r="AA1229" s="76">
        <f ca="1">IFERROR(__xludf.DUMMYFUNCTION("iferror(stdevp(filter($E$2:$E2250,$B$2:$B2250=$B1229,$O$2:$O2250&lt;=$O1229,$O$2:$O2250&gt;$O1229-7)),0)"),0)</f>
        <v>0</v>
      </c>
      <c r="AB1229" s="77">
        <f t="shared" ca="1" si="6"/>
        <v>0</v>
      </c>
      <c r="AC1229" s="77">
        <f t="shared" ca="1" si="7"/>
        <v>3</v>
      </c>
      <c r="AD1229" s="76">
        <f t="array" ref="AD1229">AVERAGEIFS($G$2:$G2248,$B$2:$B2248,$B1229,$P$2:$P2248,"&lt;="&amp;$P1229,$P$2:$P2248,"&gt;"&amp;$P1229-7)</f>
        <v>7.56</v>
      </c>
      <c r="AE1229" s="76">
        <f ca="1">IFERROR(__xludf.DUMMYFUNCTION("iferror(stdevp(filter($F$2:$F2250,$B$2:$B2250=$B1229,$O$2:$O2250&lt;=$O1229,$O$2:$O2250&gt;$O1229-7)),0)"),0.632455532033675)</f>
        <v>0.63245553203367499</v>
      </c>
      <c r="AF1229" s="77">
        <f t="shared" ca="1" si="8"/>
        <v>-2.4665765749313389</v>
      </c>
      <c r="AG1229" s="77">
        <f t="shared" ca="1" si="9"/>
        <v>1</v>
      </c>
      <c r="AH1229" s="76">
        <f t="array" ref="AH1229">AVERAGEIFS($I$2:$I2248,$B$2:$B2248,$B1229,$P$2:$P2248,"&lt;="&amp;$P1229,$P$2:$P2248,"&gt;"&amp;$P1229-7)</f>
        <v>5.8</v>
      </c>
      <c r="AI1229" s="76">
        <f ca="1">IFERROR(__xludf.DUMMYFUNCTION("iferror(stdevp(filter($H$2:$H2250,$B$2:$B2250=$B1229,$O$2:$O2250&lt;=$O1229,$O$2:$O2250&gt;$O1229-7)),0)"),0.632455532033675)</f>
        <v>0.63245553203367499</v>
      </c>
      <c r="AJ1229" s="77">
        <f t="shared" ca="1" si="10"/>
        <v>-2.8460498941515451</v>
      </c>
      <c r="AK1229" s="77">
        <f t="shared" ca="1" si="11"/>
        <v>1</v>
      </c>
      <c r="AL1229" s="76">
        <f t="array" ref="AL1229">AVERAGEIFS($J$2:$J2248,$B$2:$B2248,$B1229,$P$2:$P2248,"&lt;="&amp;$P1229,$P$2:$P2248,"&gt;"&amp;$P1229-7)</f>
        <v>7.8</v>
      </c>
      <c r="AM1229" s="76">
        <f ca="1">IFERROR(__xludf.DUMMYFUNCTION("iferror(stdevp(filter($I$2:$I2250,$B$2:$B2250=$B1229,$O$2:$O2250&lt;=$O1229,$O$2:$O2250&gt;$O1229-7)),0)"),0.489897948556635)</f>
        <v>0.48989794855663499</v>
      </c>
      <c r="AN1229" s="77">
        <f t="shared" ca="1" si="13"/>
        <v>0.40824829046386391</v>
      </c>
      <c r="AO1229" s="77">
        <f t="shared" ca="1" si="14"/>
        <v>3</v>
      </c>
      <c r="AP1229" s="76">
        <f t="array" ref="AP1229">AVERAGEIFS($K$2:$K2248,$B$2:$B2248,$B1229,$P$2:$P2248,"&lt;="&amp;$P1229,$P$2:$P2248,"&gt;"&amp;$P1229-7)</f>
        <v>8.6</v>
      </c>
      <c r="AQ1229" s="76">
        <f ca="1">IFERROR(__xludf.DUMMYFUNCTION("iferror(stdevp(filter($J$2:$J2250,$B$2:$B2250=$B1229,$O$2:$O2250&lt;=$O1229,$O$2:$O2250&gt;$O1229-7)),0)"),0.979795897113271)</f>
        <v>0.97979589711327097</v>
      </c>
      <c r="AR1229" s="77">
        <f t="shared" ca="1" si="15"/>
        <v>-1.6329931618554521</v>
      </c>
      <c r="AS1229" s="77">
        <f t="shared" ca="1" si="16"/>
        <v>1</v>
      </c>
      <c r="AT1229" s="78">
        <f t="shared" ca="1" si="12"/>
        <v>0.5</v>
      </c>
    </row>
    <row r="1230" spans="1:46" ht="12.5" x14ac:dyDescent="0.25">
      <c r="A1230" s="75">
        <v>44974.433629664352</v>
      </c>
      <c r="B1230" s="1" t="s">
        <v>6</v>
      </c>
      <c r="C1230" s="1" t="str">
        <f>INDEX(TBL_Name,MATCH(Table2[[#This Row],[Athlete Name]],listNames,0),2)</f>
        <v>Athlete 2</v>
      </c>
      <c r="D1230" s="1" t="s">
        <v>130</v>
      </c>
      <c r="E1230" s="1">
        <v>10</v>
      </c>
      <c r="F1230" s="1">
        <v>10</v>
      </c>
      <c r="G1230" s="1">
        <v>9</v>
      </c>
      <c r="H1230" s="1" t="s">
        <v>342</v>
      </c>
      <c r="I1230" s="1">
        <v>7</v>
      </c>
      <c r="J1230" s="1">
        <v>8</v>
      </c>
      <c r="K1230" s="1">
        <v>9</v>
      </c>
      <c r="L1230" s="1">
        <v>99</v>
      </c>
      <c r="M1230" s="1" t="e">
        <f t="shared" ca="1" si="0"/>
        <v>#NAME?</v>
      </c>
      <c r="N1230" s="1" t="e">
        <f t="shared" si="1"/>
        <v>#VALUE!</v>
      </c>
      <c r="O1230" s="1" t="e">
        <f ca="1">IF($N1230=_xludf.MINIFS($N$2:$N2416,$R$2:$R2416,$R1230),1,
($N1230-_xludf.MINIFS($N$2:$N2416,$R$2:$R2416,$R1230))+1)</f>
        <v>#VALUE!</v>
      </c>
      <c r="P1230" s="13" t="e">
        <f t="shared" si="2"/>
        <v>#VALUE!</v>
      </c>
      <c r="Q1230" s="1" t="e">
        <f>RIGHT(YEAR($A1230),2)-(MONTH($A1230)&lt;=#REF!)
 &amp;"-"&amp;
 RIGHT(YEAR($A1230),2)+(MONTH($A1230)&gt;=#REF!)</f>
        <v>#REF!</v>
      </c>
      <c r="R1230" s="1" t="e">
        <f>CHOOSE(MONTH($P1230),#REF!,#REF!,#REF!,#REF!,#REF!,#REF!,#REF!,#REF!,#REF!,#REF!,#REF!,#REF!)&amp;" "&amp;$Q1230</f>
        <v>#VALUE!</v>
      </c>
      <c r="S1230" s="1">
        <f t="shared" si="3"/>
        <v>1</v>
      </c>
      <c r="T1230" s="1" t="str">
        <f t="array" ref="T1230">IFERROR(INDEX(#REF!,MATCH($B1230,#REF!,0)),"")</f>
        <v/>
      </c>
      <c r="U1230" s="1" t="str">
        <f t="array" ref="U1230">IFERROR(INDEX(#REF!,MATCH($B1230,#REF!,0)),"")</f>
        <v/>
      </c>
      <c r="V1230" s="76">
        <f t="array" ref="V1230">AVERAGEIFS($E$2:$E2248,$B$2:$B2248,$B1230,$P$2:$P2248,"&lt;="&amp;$P1230,$P$2:$P2248,"&gt;"&amp;$P1230-7)</f>
        <v>9.7441860465116275</v>
      </c>
      <c r="W1230" s="76">
        <f ca="1">IFERROR(__xludf.DUMMYFUNCTION("iferror(stdevp(filter($D$2:$D2250,$B$2:$B2250=$B1230,$O$2:$O2250&lt;=$O1230,$O$2:$O2250&gt;$O1230-7)),0)"),0)</f>
        <v>0</v>
      </c>
      <c r="X1230" s="77">
        <f t="shared" ca="1" si="4"/>
        <v>0</v>
      </c>
      <c r="Y1230" s="77">
        <f t="shared" ca="1" si="5"/>
        <v>3</v>
      </c>
      <c r="Z1230" s="76">
        <f t="array" ref="Z1230">AVERAGEIFS($F$2:$F2248,$B$2:$B2248,$B1230,$P$2:$P2248,"&lt;="&amp;$P1230,$P$2:$P2248,"&gt;"&amp;$P1230-7)</f>
        <v>8.279069767441861</v>
      </c>
      <c r="AA1230" s="76">
        <f ca="1">IFERROR(__xludf.DUMMYFUNCTION("iferror(stdevp(filter($E$2:$E2250,$B$2:$B2250=$B1230,$O$2:$O2250&lt;=$O1230,$O$2:$O2250&gt;$O1230-7)),0)"),0.372677996249964)</f>
        <v>0.37267799624996401</v>
      </c>
      <c r="AB1230" s="77">
        <f t="shared" ca="1" si="6"/>
        <v>4.6177403814414362</v>
      </c>
      <c r="AC1230" s="77">
        <f t="shared" ca="1" si="7"/>
        <v>4</v>
      </c>
      <c r="AD1230" s="76">
        <f t="array" ref="AD1230">AVERAGEIFS($G$2:$G2248,$B$2:$B2248,$B1230,$P$2:$P2248,"&lt;="&amp;$P1230,$P$2:$P2248,"&gt;"&amp;$P1230-7)</f>
        <v>8.604651162790697</v>
      </c>
      <c r="AE1230" s="76">
        <f ca="1">IFERROR(__xludf.DUMMYFUNCTION("iferror(stdevp(filter($F$2:$F2250,$B$2:$B2250=$B1230,$O$2:$O2250&lt;=$O1230,$O$2:$O2250&gt;$O1230-7)),0)"),0.471404520791031)</f>
        <v>0.47140452079103101</v>
      </c>
      <c r="AF1230" s="77">
        <f t="shared" ca="1" si="8"/>
        <v>0.83866153117474507</v>
      </c>
      <c r="AG1230" s="77">
        <f t="shared" ca="1" si="9"/>
        <v>3</v>
      </c>
      <c r="AH1230" s="76">
        <f t="array" ref="AH1230">AVERAGEIFS($I$2:$I2248,$B$2:$B2248,$B1230,$P$2:$P2248,"&lt;="&amp;$P1230,$P$2:$P2248,"&gt;"&amp;$P1230-7)</f>
        <v>8.3488372093023262</v>
      </c>
      <c r="AI1230" s="76">
        <f ca="1">IFERROR(__xludf.DUMMYFUNCTION("iferror(stdevp(filter($H$2:$H2250,$B$2:$B2250=$B1230,$O$2:$O2250&lt;=$O1230,$O$2:$O2250&gt;$O1230-7)),0)"),1.49071198499985)</f>
        <v>1.49071198499985</v>
      </c>
      <c r="AJ1230" s="77">
        <f t="shared" ca="1" si="10"/>
        <v>-0.90482750717433991</v>
      </c>
      <c r="AK1230" s="77">
        <f t="shared" ca="1" si="11"/>
        <v>2</v>
      </c>
      <c r="AL1230" s="76">
        <f t="array" ref="AL1230">AVERAGEIFS($J$2:$J2248,$B$2:$B2248,$B1230,$P$2:$P2248,"&lt;="&amp;$P1230,$P$2:$P2248,"&gt;"&amp;$P1230-7)</f>
        <v>8.3023255813953494</v>
      </c>
      <c r="AM1230" s="76">
        <f ca="1">IFERROR(__xludf.DUMMYFUNCTION("iferror(stdevp(filter($I$2:$I2250,$B$2:$B2250=$B1230,$O$2:$O2250&lt;=$O1230,$O$2:$O2250&gt;$O1230-7)),0)"),0.687184270936276)</f>
        <v>0.68718427093627599</v>
      </c>
      <c r="AN1230" s="77">
        <f t="shared" ca="1" si="13"/>
        <v>-0.43994834308916342</v>
      </c>
      <c r="AO1230" s="77">
        <f t="shared" ca="1" si="14"/>
        <v>2</v>
      </c>
      <c r="AP1230" s="76">
        <f t="array" ref="AP1230">AVERAGEIFS($K$2:$K2248,$B$2:$B2248,$B1230,$P$2:$P2248,"&lt;="&amp;$P1230,$P$2:$P2248,"&gt;"&amp;$P1230-7)</f>
        <v>8.9069767441860463</v>
      </c>
      <c r="AQ1230" s="76">
        <f ca="1">IFERROR(__xludf.DUMMYFUNCTION("iferror(stdevp(filter($J$2:$J2250,$B$2:$B2250=$B1230,$O$2:$O2250&lt;=$O1230,$O$2:$O2250&gt;$O1230-7)),0)"),0.471404520791031)</f>
        <v>0.47140452079103101</v>
      </c>
      <c r="AR1230" s="77">
        <f t="shared" ca="1" si="15"/>
        <v>0.19733212498229297</v>
      </c>
      <c r="AS1230" s="77">
        <f t="shared" ca="1" si="16"/>
        <v>3</v>
      </c>
      <c r="AT1230" s="78">
        <f t="shared" ca="1" si="12"/>
        <v>0.70833333333333337</v>
      </c>
    </row>
    <row r="1231" spans="1:46" ht="12.5" x14ac:dyDescent="0.25">
      <c r="A1231" s="75">
        <v>44974.440912233797</v>
      </c>
      <c r="B1231" s="1" t="s">
        <v>15</v>
      </c>
      <c r="C1231" s="1" t="str">
        <f>INDEX(TBL_Name,MATCH(Table2[[#This Row],[Athlete Name]],listNames,0),2)</f>
        <v>Athlete 8</v>
      </c>
      <c r="D1231" s="1" t="s">
        <v>143</v>
      </c>
      <c r="E1231" s="1">
        <v>10</v>
      </c>
      <c r="F1231" s="1">
        <v>10</v>
      </c>
      <c r="G1231" s="1">
        <v>9</v>
      </c>
      <c r="H1231" s="1" t="s">
        <v>258</v>
      </c>
      <c r="I1231" s="1">
        <v>5</v>
      </c>
      <c r="J1231" s="1">
        <v>10</v>
      </c>
      <c r="K1231" s="1">
        <v>10</v>
      </c>
      <c r="L1231" s="1">
        <v>85</v>
      </c>
      <c r="M1231" s="1" t="e">
        <f t="shared" ca="1" si="0"/>
        <v>#NAME?</v>
      </c>
      <c r="N1231" s="1" t="e">
        <f t="shared" si="1"/>
        <v>#VALUE!</v>
      </c>
      <c r="O1231" s="1" t="e">
        <f ca="1">IF($N1231=_xludf.MINIFS($N$2:$N2417,$R$2:$R2417,$R1231),1,
($N1231-_xludf.MINIFS($N$2:$N2417,$R$2:$R2417,$R1231))+1)</f>
        <v>#VALUE!</v>
      </c>
      <c r="P1231" s="13" t="e">
        <f t="shared" si="2"/>
        <v>#VALUE!</v>
      </c>
      <c r="Q1231" s="1" t="e">
        <f>RIGHT(YEAR($A1231),2)-(MONTH($A1231)&lt;=#REF!)
 &amp;"-"&amp;
 RIGHT(YEAR($A1231),2)+(MONTH($A1231)&gt;=#REF!)</f>
        <v>#REF!</v>
      </c>
      <c r="R1231" s="1" t="e">
        <f>CHOOSE(MONTH($P1231),#REF!,#REF!,#REF!,#REF!,#REF!,#REF!,#REF!,#REF!,#REF!,#REF!,#REF!,#REF!)&amp;" "&amp;$Q1231</f>
        <v>#VALUE!</v>
      </c>
      <c r="S1231" s="1">
        <f t="shared" si="3"/>
        <v>2</v>
      </c>
      <c r="T1231" s="1" t="str">
        <f t="array" ref="T1231">IFERROR(INDEX(#REF!,MATCH($B1231,#REF!,0)),"")</f>
        <v/>
      </c>
      <c r="U1231" s="1" t="str">
        <f t="array" ref="U1231">IFERROR(INDEX(#REF!,MATCH($B1231,#REF!,0)),"")</f>
        <v/>
      </c>
      <c r="V1231" s="76">
        <f t="array" ref="V1231">AVERAGEIFS($E$2:$E2248,$B$2:$B2248,$B1231,$P$2:$P2248,"&lt;="&amp;$P1231,$P$2:$P2248,"&gt;"&amp;$P1231-7)</f>
        <v>8.935483870967742</v>
      </c>
      <c r="W1231" s="76">
        <f ca="1">IFERROR(__xludf.DUMMYFUNCTION("iferror(stdevp(filter($D$2:$D2250,$B$2:$B2250=$B1231,$O$2:$O2250&lt;=$O1231,$O$2:$O2250&gt;$O1231-7)),0)"),1.2)</f>
        <v>1.2</v>
      </c>
      <c r="X1231" s="77">
        <f t="shared" ca="1" si="4"/>
        <v>0.88709677419354838</v>
      </c>
      <c r="Y1231" s="77">
        <f t="shared" ca="1" si="5"/>
        <v>3</v>
      </c>
      <c r="Z1231" s="76">
        <f t="array" ref="Z1231">AVERAGEIFS($F$2:$F2248,$B$2:$B2248,$B1231,$P$2:$P2248,"&lt;="&amp;$P1231,$P$2:$P2248,"&gt;"&amp;$P1231-7)</f>
        <v>8.741935483870968</v>
      </c>
      <c r="AA1231" s="76">
        <f ca="1">IFERROR(__xludf.DUMMYFUNCTION("iferror(stdevp(filter($E$2:$E2250,$B$2:$B2250=$B1231,$O$2:$O2250&lt;=$O1231,$O$2:$O2250&gt;$O1231-7)),0)"),1.2)</f>
        <v>1.2</v>
      </c>
      <c r="AB1231" s="77">
        <f t="shared" ca="1" si="6"/>
        <v>1.0483870967741935</v>
      </c>
      <c r="AC1231" s="77">
        <f t="shared" ca="1" si="7"/>
        <v>4</v>
      </c>
      <c r="AD1231" s="76">
        <f t="array" ref="AD1231">AVERAGEIFS($G$2:$G2248,$B$2:$B2248,$B1231,$P$2:$P2248,"&lt;="&amp;$P1231,$P$2:$P2248,"&gt;"&amp;$P1231-7)</f>
        <v>7.32258064516129</v>
      </c>
      <c r="AE1231" s="76">
        <f ca="1">IFERROR(__xludf.DUMMYFUNCTION("iferror(stdevp(filter($F$2:$F2250,$B$2:$B2250=$B1231,$O$2:$O2250&lt;=$O1231,$O$2:$O2250&gt;$O1231-7)),0)"),0.8)</f>
        <v>0.8</v>
      </c>
      <c r="AF1231" s="77">
        <f t="shared" ca="1" si="8"/>
        <v>2.0967741935483875</v>
      </c>
      <c r="AG1231" s="77">
        <f t="shared" ca="1" si="9"/>
        <v>4</v>
      </c>
      <c r="AH1231" s="76">
        <f t="array" ref="AH1231">AVERAGEIFS($I$2:$I2248,$B$2:$B2248,$B1231,$P$2:$P2248,"&lt;="&amp;$P1231,$P$2:$P2248,"&gt;"&amp;$P1231-7)</f>
        <v>6.419354838709677</v>
      </c>
      <c r="AI1231" s="76">
        <f ca="1">IFERROR(__xludf.DUMMYFUNCTION("iferror(stdevp(filter($H$2:$H2250,$B$2:$B2250=$B1231,$O$2:$O2250&lt;=$O1231,$O$2:$O2250&gt;$O1231-7)),0)"),1.4696938456699)</f>
        <v>1.4696938456699</v>
      </c>
      <c r="AJ1231" s="77">
        <f t="shared" ca="1" si="10"/>
        <v>-0.96574864410806727</v>
      </c>
      <c r="AK1231" s="77">
        <f t="shared" ca="1" si="11"/>
        <v>2</v>
      </c>
      <c r="AL1231" s="76">
        <f t="array" ref="AL1231">AVERAGEIFS($J$2:$J2248,$B$2:$B2248,$B1231,$P$2:$P2248,"&lt;="&amp;$P1231,$P$2:$P2248,"&gt;"&amp;$P1231-7)</f>
        <v>9.612903225806452</v>
      </c>
      <c r="AM1231" s="76">
        <f ca="1">IFERROR(__xludf.DUMMYFUNCTION("iferror(stdevp(filter($I$2:$I2250,$B$2:$B2250=$B1231,$O$2:$O2250&lt;=$O1231,$O$2:$O2250&gt;$O1231-7)),0)"),0)</f>
        <v>0</v>
      </c>
      <c r="AN1231" s="77">
        <f t="shared" ca="1" si="13"/>
        <v>0</v>
      </c>
      <c r="AO1231" s="77">
        <f t="shared" ca="1" si="14"/>
        <v>3</v>
      </c>
      <c r="AP1231" s="76">
        <f t="array" ref="AP1231">AVERAGEIFS($K$2:$K2248,$B$2:$B2248,$B1231,$P$2:$P2248,"&lt;="&amp;$P1231,$P$2:$P2248,"&gt;"&amp;$P1231-7)</f>
        <v>10</v>
      </c>
      <c r="AQ1231" s="76">
        <f ca="1">IFERROR(__xludf.DUMMYFUNCTION("iferror(stdevp(filter($J$2:$J2250,$B$2:$B2250=$B1231,$O$2:$O2250&lt;=$O1231,$O$2:$O2250&gt;$O1231-7)),0)"),0)</f>
        <v>0</v>
      </c>
      <c r="AR1231" s="77">
        <f t="shared" ca="1" si="15"/>
        <v>0</v>
      </c>
      <c r="AS1231" s="77">
        <f t="shared" ca="1" si="16"/>
        <v>3</v>
      </c>
      <c r="AT1231" s="78">
        <f t="shared" ca="1" si="12"/>
        <v>0.79166666666666663</v>
      </c>
    </row>
    <row r="1232" spans="1:46" ht="12.5" x14ac:dyDescent="0.25">
      <c r="A1232" s="75">
        <v>44974.444422500004</v>
      </c>
      <c r="B1232" s="1" t="s">
        <v>29</v>
      </c>
      <c r="C1232" s="1" t="str">
        <f>INDEX(TBL_Name,MATCH(Table2[[#This Row],[Athlete Name]],listNames,0),2)</f>
        <v>Athlete 18</v>
      </c>
      <c r="D1232" s="1" t="s">
        <v>130</v>
      </c>
      <c r="E1232" s="1">
        <v>8</v>
      </c>
      <c r="F1232" s="1">
        <v>8</v>
      </c>
      <c r="G1232" s="1">
        <v>8</v>
      </c>
      <c r="H1232" s="1" t="s">
        <v>1286</v>
      </c>
      <c r="I1232" s="1">
        <v>9</v>
      </c>
      <c r="J1232" s="1">
        <v>9</v>
      </c>
      <c r="K1232" s="1">
        <v>10</v>
      </c>
      <c r="L1232" s="1">
        <v>92</v>
      </c>
      <c r="M1232" s="1" t="e">
        <f t="shared" ca="1" si="0"/>
        <v>#NAME?</v>
      </c>
      <c r="N1232" s="1" t="e">
        <f t="shared" si="1"/>
        <v>#VALUE!</v>
      </c>
      <c r="O1232" s="1" t="e">
        <f ca="1">IF($N1232=_xludf.MINIFS($N$2:$N2418,$R$2:$R2418,$R1232),1,
($N1232-_xludf.MINIFS($N$2:$N2418,$R$2:$R2418,$R1232))+1)</f>
        <v>#VALUE!</v>
      </c>
      <c r="P1232" s="13" t="e">
        <f t="shared" si="2"/>
        <v>#VALUE!</v>
      </c>
      <c r="Q1232" s="1" t="e">
        <f>RIGHT(YEAR($A1232),2)-(MONTH($A1232)&lt;=#REF!)
 &amp;"-"&amp;
 RIGHT(YEAR($A1232),2)+(MONTH($A1232)&gt;=#REF!)</f>
        <v>#REF!</v>
      </c>
      <c r="R1232" s="1" t="e">
        <f>CHOOSE(MONTH($P1232),#REF!,#REF!,#REF!,#REF!,#REF!,#REF!,#REF!,#REF!,#REF!,#REF!,#REF!,#REF!)&amp;" "&amp;$Q1232</f>
        <v>#VALUE!</v>
      </c>
      <c r="S1232" s="1">
        <f t="shared" si="3"/>
        <v>1</v>
      </c>
      <c r="T1232" s="1" t="str">
        <f t="array" ref="T1232">IFERROR(INDEX(#REF!,MATCH($B1232,#REF!,0)),"")</f>
        <v/>
      </c>
      <c r="U1232" s="1" t="str">
        <f t="array" ref="U1232">IFERROR(INDEX(#REF!,MATCH($B1232,#REF!,0)),"")</f>
        <v/>
      </c>
      <c r="V1232" s="76">
        <f t="array" ref="V1232">AVERAGEIFS($E$2:$E2248,$B$2:$B2248,$B1232,$P$2:$P2248,"&lt;="&amp;$P1232,$P$2:$P2248,"&gt;"&amp;$P1232-7)</f>
        <v>8.53125</v>
      </c>
      <c r="W1232" s="76">
        <f ca="1">IFERROR(__xludf.DUMMYFUNCTION("iferror(stdevp(filter($D$2:$D2250,$B$2:$B2250=$B1232,$O$2:$O2250&lt;=$O1232,$O$2:$O2250&gt;$O1232-7)),0)"),0.687184270936276)</f>
        <v>0.68718427093627599</v>
      </c>
      <c r="X1232" s="77">
        <f t="shared" ca="1" si="4"/>
        <v>-0.77308230480331219</v>
      </c>
      <c r="Y1232" s="77">
        <f t="shared" ca="1" si="5"/>
        <v>2</v>
      </c>
      <c r="Z1232" s="76">
        <f t="array" ref="Z1232">AVERAGEIFS($F$2:$F2248,$B$2:$B2248,$B1232,$P$2:$P2248,"&lt;="&amp;$P1232,$P$2:$P2248,"&gt;"&amp;$P1232-7)</f>
        <v>8.125</v>
      </c>
      <c r="AA1232" s="76">
        <f ca="1">IFERROR(__xludf.DUMMYFUNCTION("iferror(stdevp(filter($E$2:$E2250,$B$2:$B2250=$B1232,$O$2:$O2250&lt;=$O1232,$O$2:$O2250&gt;$O1232-7)),0)"),0.763762615825973)</f>
        <v>0.76376261582597305</v>
      </c>
      <c r="AB1232" s="77">
        <f t="shared" ca="1" si="6"/>
        <v>-0.16366341767699435</v>
      </c>
      <c r="AC1232" s="77">
        <f t="shared" ca="1" si="7"/>
        <v>2</v>
      </c>
      <c r="AD1232" s="76">
        <f t="array" ref="AD1232">AVERAGEIFS($G$2:$G2248,$B$2:$B2248,$B1232,$P$2:$P2248,"&lt;="&amp;$P1232,$P$2:$P2248,"&gt;"&amp;$P1232-7)</f>
        <v>8.09375</v>
      </c>
      <c r="AE1232" s="76">
        <f ca="1">IFERROR(__xludf.DUMMYFUNCTION("iferror(stdevp(filter($F$2:$F2250,$B$2:$B2250=$B1232,$O$2:$O2250&lt;=$O1232,$O$2:$O2250&gt;$O1232-7)),0)"),0)</f>
        <v>0</v>
      </c>
      <c r="AF1232" s="77">
        <f t="shared" ca="1" si="8"/>
        <v>0</v>
      </c>
      <c r="AG1232" s="77">
        <f t="shared" ca="1" si="9"/>
        <v>3</v>
      </c>
      <c r="AH1232" s="76">
        <f t="array" ref="AH1232">AVERAGEIFS($I$2:$I2248,$B$2:$B2248,$B1232,$P$2:$P2248,"&lt;="&amp;$P1232,$P$2:$P2248,"&gt;"&amp;$P1232-7)</f>
        <v>7.875</v>
      </c>
      <c r="AI1232" s="76">
        <f ca="1">IFERROR(__xludf.DUMMYFUNCTION("iferror(stdevp(filter($H$2:$H2250,$B$2:$B2250=$B1232,$O$2:$O2250&lt;=$O1232,$O$2:$O2250&gt;$O1232-7)),0)"),1.21335164821341)</f>
        <v>1.2133516482134099</v>
      </c>
      <c r="AJ1232" s="77">
        <f t="shared" ca="1" si="10"/>
        <v>0.9271838066536584</v>
      </c>
      <c r="AK1232" s="77">
        <f t="shared" ca="1" si="11"/>
        <v>3</v>
      </c>
      <c r="AL1232" s="76">
        <f t="array" ref="AL1232">AVERAGEIFS($J$2:$J2248,$B$2:$B2248,$B1232,$P$2:$P2248,"&lt;="&amp;$P1232,$P$2:$P2248,"&gt;"&amp;$P1232-7)</f>
        <v>8.34375</v>
      </c>
      <c r="AM1232" s="76">
        <f ca="1">IFERROR(__xludf.DUMMYFUNCTION("iferror(stdevp(filter($I$2:$I2250,$B$2:$B2250=$B1232,$O$2:$O2250&lt;=$O1232,$O$2:$O2250&gt;$O1232-7)),0)"),0.577350269189625)</f>
        <v>0.57735026918962495</v>
      </c>
      <c r="AN1232" s="77">
        <f t="shared" ca="1" si="13"/>
        <v>1.1366583424670773</v>
      </c>
      <c r="AO1232" s="77">
        <f t="shared" ca="1" si="14"/>
        <v>4</v>
      </c>
      <c r="AP1232" s="76">
        <f t="array" ref="AP1232">AVERAGEIFS($K$2:$K2248,$B$2:$B2248,$B1232,$P$2:$P2248,"&lt;="&amp;$P1232,$P$2:$P2248,"&gt;"&amp;$P1232-7)</f>
        <v>8.46875</v>
      </c>
      <c r="AQ1232" s="76">
        <f ca="1">IFERROR(__xludf.DUMMYFUNCTION("iferror(stdevp(filter($J$2:$J2250,$B$2:$B2250=$B1232,$O$2:$O2250&lt;=$O1232,$O$2:$O2250&gt;$O1232-7)),0)"),0.745355992499929)</f>
        <v>0.74535599249992901</v>
      </c>
      <c r="AR1232" s="77">
        <f t="shared" ca="1" si="15"/>
        <v>2.0543874543279341</v>
      </c>
      <c r="AS1232" s="77">
        <f t="shared" ca="1" si="16"/>
        <v>4</v>
      </c>
      <c r="AT1232" s="78">
        <f t="shared" ca="1" si="12"/>
        <v>0.75</v>
      </c>
    </row>
    <row r="1233" spans="1:46" ht="12.5" x14ac:dyDescent="0.25">
      <c r="A1233" s="75">
        <v>44974.461636504631</v>
      </c>
      <c r="B1233" s="1" t="s">
        <v>23</v>
      </c>
      <c r="C1233" s="1" t="str">
        <f>INDEX(TBL_Name,MATCH(Table2[[#This Row],[Athlete Name]],listNames,0),2)</f>
        <v>Athlete 15</v>
      </c>
      <c r="D1233" s="1" t="s">
        <v>150</v>
      </c>
      <c r="E1233" s="1">
        <v>5</v>
      </c>
      <c r="F1233" s="1">
        <v>8</v>
      </c>
      <c r="G1233" s="1">
        <v>10</v>
      </c>
      <c r="H1233" s="1" t="s">
        <v>1552</v>
      </c>
      <c r="I1233" s="1">
        <v>8</v>
      </c>
      <c r="J1233" s="1">
        <v>8</v>
      </c>
      <c r="K1233" s="1">
        <v>7</v>
      </c>
      <c r="L1233" s="1">
        <v>70</v>
      </c>
      <c r="M1233" s="1" t="e">
        <f t="shared" ca="1" si="0"/>
        <v>#NAME?</v>
      </c>
      <c r="N1233" s="1" t="e">
        <f t="shared" si="1"/>
        <v>#VALUE!</v>
      </c>
      <c r="O1233" s="1" t="e">
        <f ca="1">IF($N1233=_xludf.MINIFS($N$2:$N2419,$R$2:$R2419,$R1233),1,
($N1233-_xludf.MINIFS($N$2:$N2419,$R$2:$R2419,$R1233))+1)</f>
        <v>#VALUE!</v>
      </c>
      <c r="P1233" s="13" t="e">
        <f t="shared" si="2"/>
        <v>#VALUE!</v>
      </c>
      <c r="Q1233" s="1" t="e">
        <f>RIGHT(YEAR($A1233),2)-(MONTH($A1233)&lt;=#REF!)
 &amp;"-"&amp;
 RIGHT(YEAR($A1233),2)+(MONTH($A1233)&gt;=#REF!)</f>
        <v>#REF!</v>
      </c>
      <c r="R1233" s="1" t="e">
        <f>CHOOSE(MONTH($P1233),#REF!,#REF!,#REF!,#REF!,#REF!,#REF!,#REF!,#REF!,#REF!,#REF!,#REF!,#REF!)&amp;" "&amp;$Q1233</f>
        <v>#VALUE!</v>
      </c>
      <c r="S1233" s="1">
        <f t="shared" si="3"/>
        <v>3</v>
      </c>
      <c r="T1233" s="1" t="str">
        <f t="array" ref="T1233">IFERROR(INDEX(#REF!,MATCH($B1233,#REF!,0)),"")</f>
        <v/>
      </c>
      <c r="U1233" s="1" t="str">
        <f t="array" ref="U1233">IFERROR(INDEX(#REF!,MATCH($B1233,#REF!,0)),"")</f>
        <v/>
      </c>
      <c r="V1233" s="76">
        <f t="array" ref="V1233">AVERAGEIFS($E$2:$E2248,$B$2:$B2248,$B1233,$P$2:$P2248,"&lt;="&amp;$P1233,$P$2:$P2248,"&gt;"&amp;$P1233-7)</f>
        <v>4.7777777777777777</v>
      </c>
      <c r="W1233" s="76">
        <f ca="1">IFERROR(__xludf.DUMMYFUNCTION("iferror(stdevp(filter($D$2:$D2250,$B$2:$B2250=$B1233,$O$2:$O2250&lt;=$O1233,$O$2:$O2250&gt;$O1233-7)),0)"),1)</f>
        <v>1</v>
      </c>
      <c r="X1233" s="77">
        <f t="shared" ca="1" si="4"/>
        <v>0.22222222222222232</v>
      </c>
      <c r="Y1233" s="77">
        <f t="shared" ca="1" si="5"/>
        <v>3</v>
      </c>
      <c r="Z1233" s="76">
        <f t="array" ref="Z1233">AVERAGEIFS($F$2:$F2248,$B$2:$B2248,$B1233,$P$2:$P2248,"&lt;="&amp;$P1233,$P$2:$P2248,"&gt;"&amp;$P1233-7)</f>
        <v>6.4444444444444446</v>
      </c>
      <c r="AA1233" s="76">
        <f ca="1">IFERROR(__xludf.DUMMYFUNCTION("iferror(stdevp(filter($E$2:$E2250,$B$2:$B2250=$B1233,$O$2:$O2250&lt;=$O1233,$O$2:$O2250&gt;$O1233-7)),0)"),2)</f>
        <v>2</v>
      </c>
      <c r="AB1233" s="77">
        <f t="shared" ca="1" si="6"/>
        <v>0.77777777777777768</v>
      </c>
      <c r="AC1233" s="77">
        <f t="shared" ca="1" si="7"/>
        <v>3</v>
      </c>
      <c r="AD1233" s="76">
        <f t="array" ref="AD1233">AVERAGEIFS($G$2:$G2248,$B$2:$B2248,$B1233,$P$2:$P2248,"&lt;="&amp;$P1233,$P$2:$P2248,"&gt;"&amp;$P1233-7)</f>
        <v>7.4444444444444446</v>
      </c>
      <c r="AE1233" s="76">
        <f ca="1">IFERROR(__xludf.DUMMYFUNCTION("iferror(stdevp(filter($F$2:$F2250,$B$2:$B2250=$B1233,$O$2:$O2250&lt;=$O1233,$O$2:$O2250&gt;$O1233-7)),0)"),2)</f>
        <v>2</v>
      </c>
      <c r="AF1233" s="77">
        <f t="shared" ca="1" si="8"/>
        <v>1.2777777777777777</v>
      </c>
      <c r="AG1233" s="77">
        <f t="shared" ca="1" si="9"/>
        <v>4</v>
      </c>
      <c r="AH1233" s="76">
        <f t="array" ref="AH1233">AVERAGEIFS($I$2:$I2248,$B$2:$B2248,$B1233,$P$2:$P2248,"&lt;="&amp;$P1233,$P$2:$P2248,"&gt;"&amp;$P1233-7)</f>
        <v>6.7777777777777777</v>
      </c>
      <c r="AI1233" s="76">
        <f ca="1">IFERROR(__xludf.DUMMYFUNCTION("iferror(stdevp(filter($H$2:$H2250,$B$2:$B2250=$B1233,$O$2:$O2250&lt;=$O1233,$O$2:$O2250&gt;$O1233-7)),0)"),2.5)</f>
        <v>2.5</v>
      </c>
      <c r="AJ1233" s="77">
        <f t="shared" ca="1" si="10"/>
        <v>0.48888888888888893</v>
      </c>
      <c r="AK1233" s="77">
        <f t="shared" ca="1" si="11"/>
        <v>3</v>
      </c>
      <c r="AL1233" s="76">
        <f t="array" ref="AL1233">AVERAGEIFS($J$2:$J2248,$B$2:$B2248,$B1233,$P$2:$P2248,"&lt;="&amp;$P1233,$P$2:$P2248,"&gt;"&amp;$P1233-7)</f>
        <v>8.2222222222222214</v>
      </c>
      <c r="AM1233" s="76">
        <f ca="1">IFERROR(__xludf.DUMMYFUNCTION("iferror(stdevp(filter($I$2:$I2250,$B$2:$B2250=$B1233,$O$2:$O2250&lt;=$O1233,$O$2:$O2250&gt;$O1233-7)),0)"),1)</f>
        <v>1</v>
      </c>
      <c r="AN1233" s="77">
        <f t="shared" ca="1" si="13"/>
        <v>-0.22222222222222143</v>
      </c>
      <c r="AO1233" s="77">
        <f t="shared" ca="1" si="14"/>
        <v>2</v>
      </c>
      <c r="AP1233" s="76">
        <f t="array" ref="AP1233">AVERAGEIFS($K$2:$K2248,$B$2:$B2248,$B1233,$P$2:$P2248,"&lt;="&amp;$P1233,$P$2:$P2248,"&gt;"&amp;$P1233-7)</f>
        <v>8.1111111111111107</v>
      </c>
      <c r="AQ1233" s="76">
        <f ca="1">IFERROR(__xludf.DUMMYFUNCTION("iferror(stdevp(filter($J$2:$J2250,$B$2:$B2250=$B1233,$O$2:$O2250&lt;=$O1233,$O$2:$O2250&gt;$O1233-7)),0)"),0.5)</f>
        <v>0.5</v>
      </c>
      <c r="AR1233" s="77">
        <f t="shared" ca="1" si="15"/>
        <v>-2.2222222222222214</v>
      </c>
      <c r="AS1233" s="77">
        <f t="shared" ca="1" si="16"/>
        <v>1</v>
      </c>
      <c r="AT1233" s="78">
        <f t="shared" ca="1" si="12"/>
        <v>0.66666666666666663</v>
      </c>
    </row>
    <row r="1234" spans="1:46" ht="12.5" x14ac:dyDescent="0.25">
      <c r="A1234" s="75">
        <v>44974.46426497685</v>
      </c>
      <c r="B1234" s="1" t="s">
        <v>19</v>
      </c>
      <c r="C1234" s="1" t="str">
        <f>INDEX(TBL_Name,MATCH(Table2[[#This Row],[Athlete Name]],listNames,0),2)</f>
        <v>Athlete 11</v>
      </c>
      <c r="D1234" s="1" t="s">
        <v>130</v>
      </c>
      <c r="E1234" s="1">
        <v>4</v>
      </c>
      <c r="F1234" s="1">
        <v>9</v>
      </c>
      <c r="G1234" s="1">
        <v>9</v>
      </c>
      <c r="H1234" s="1" t="s">
        <v>1553</v>
      </c>
      <c r="I1234" s="1">
        <v>4</v>
      </c>
      <c r="J1234" s="1">
        <v>8</v>
      </c>
      <c r="K1234" s="1">
        <v>8</v>
      </c>
      <c r="L1234" s="1">
        <v>63</v>
      </c>
      <c r="M1234" s="1" t="e">
        <f t="shared" ca="1" si="0"/>
        <v>#NAME?</v>
      </c>
      <c r="N1234" s="1" t="e">
        <f t="shared" si="1"/>
        <v>#VALUE!</v>
      </c>
      <c r="O1234" s="1" t="e">
        <f ca="1">IF($N1234=_xludf.MINIFS($N$2:$N2420,$R$2:$R2420,$R1234),1,
($N1234-_xludf.MINIFS($N$2:$N2420,$R$2:$R2420,$R1234))+1)</f>
        <v>#VALUE!</v>
      </c>
      <c r="P1234" s="13" t="e">
        <f t="shared" si="2"/>
        <v>#VALUE!</v>
      </c>
      <c r="Q1234" s="1" t="e">
        <f>RIGHT(YEAR($A1234),2)-(MONTH($A1234)&lt;=#REF!)
 &amp;"-"&amp;
 RIGHT(YEAR($A1234),2)+(MONTH($A1234)&gt;=#REF!)</f>
        <v>#REF!</v>
      </c>
      <c r="R1234" s="1" t="e">
        <f>CHOOSE(MONTH($P1234),#REF!,#REF!,#REF!,#REF!,#REF!,#REF!,#REF!,#REF!,#REF!,#REF!,#REF!,#REF!)&amp;" "&amp;$Q1234</f>
        <v>#VALUE!</v>
      </c>
      <c r="S1234" s="1">
        <f t="shared" si="3"/>
        <v>1</v>
      </c>
      <c r="T1234" s="1" t="str">
        <f t="array" ref="T1234">IFERROR(INDEX(#REF!,MATCH($B1234,#REF!,0)),"")</f>
        <v/>
      </c>
      <c r="U1234" s="1" t="str">
        <f t="array" ref="U1234">IFERROR(INDEX(#REF!,MATCH($B1234,#REF!,0)),"")</f>
        <v/>
      </c>
      <c r="V1234" s="76">
        <f t="array" ref="V1234">AVERAGEIFS($E$2:$E2248,$B$2:$B2248,$B1234,$P$2:$P2248,"&lt;="&amp;$P1234,$P$2:$P2248,"&gt;"&amp;$P1234-7)</f>
        <v>4.6538461538461542</v>
      </c>
      <c r="W1234" s="76">
        <f ca="1">IFERROR(__xludf.DUMMYFUNCTION("iferror(stdevp(filter($D$2:$D2250,$B$2:$B2250=$B1234,$O$2:$O2250&lt;=$O1234,$O$2:$O2250&gt;$O1234-7)),0)"),0.8)</f>
        <v>0.8</v>
      </c>
      <c r="X1234" s="77">
        <f t="shared" ca="1" si="4"/>
        <v>-0.81730769230769273</v>
      </c>
      <c r="Y1234" s="77">
        <f t="shared" ca="1" si="5"/>
        <v>2</v>
      </c>
      <c r="Z1234" s="76">
        <f t="array" ref="Z1234">AVERAGEIFS($F$2:$F2248,$B$2:$B2248,$B1234,$P$2:$P2248,"&lt;="&amp;$P1234,$P$2:$P2248,"&gt;"&amp;$P1234-7)</f>
        <v>6.8461538461538458</v>
      </c>
      <c r="AA1234" s="76">
        <f ca="1">IFERROR(__xludf.DUMMYFUNCTION("iferror(stdevp(filter($E$2:$E2250,$B$2:$B2250=$B1234,$O$2:$O2250&lt;=$O1234,$O$2:$O2250&gt;$O1234-7)),0)"),1.72046505340852)</f>
        <v>1.72046505340852</v>
      </c>
      <c r="AB1234" s="77">
        <f t="shared" ca="1" si="6"/>
        <v>1.2518976480103656</v>
      </c>
      <c r="AC1234" s="77">
        <f t="shared" ca="1" si="7"/>
        <v>4</v>
      </c>
      <c r="AD1234" s="76">
        <f t="array" ref="AD1234">AVERAGEIFS($G$2:$G2248,$B$2:$B2248,$B1234,$P$2:$P2248,"&lt;="&amp;$P1234,$P$2:$P2248,"&gt;"&amp;$P1234-7)</f>
        <v>7.2692307692307692</v>
      </c>
      <c r="AE1234" s="76">
        <f ca="1">IFERROR(__xludf.DUMMYFUNCTION("iferror(stdevp(filter($F$2:$F2250,$B$2:$B2250=$B1234,$O$2:$O2250&lt;=$O1234,$O$2:$O2250&gt;$O1234-7)),0)"),0.748331477354788)</f>
        <v>0.748331477354788</v>
      </c>
      <c r="AF1234" s="77">
        <f t="shared" ca="1" si="8"/>
        <v>2.312837670395981</v>
      </c>
      <c r="AG1234" s="77">
        <f t="shared" ca="1" si="9"/>
        <v>4</v>
      </c>
      <c r="AH1234" s="76">
        <f t="array" ref="AH1234">AVERAGEIFS($I$2:$I2248,$B$2:$B2248,$B1234,$P$2:$P2248,"&lt;="&amp;$P1234,$P$2:$P2248,"&gt;"&amp;$P1234-7)</f>
        <v>4.9230769230769234</v>
      </c>
      <c r="AI1234" s="76">
        <f ca="1">IFERROR(__xludf.DUMMYFUNCTION("iferror(stdevp(filter($H$2:$H2250,$B$2:$B2250=$B1234,$O$2:$O2250&lt;=$O1234,$O$2:$O2250&gt;$O1234-7)),0)"),1.35646599662505)</f>
        <v>1.3564659966250501</v>
      </c>
      <c r="AJ1234" s="77">
        <f t="shared" ca="1" si="10"/>
        <v>-0.68050133609952723</v>
      </c>
      <c r="AK1234" s="77">
        <f t="shared" ca="1" si="11"/>
        <v>2</v>
      </c>
      <c r="AL1234" s="76">
        <f t="array" ref="AL1234">AVERAGEIFS($J$2:$J2248,$B$2:$B2248,$B1234,$P$2:$P2248,"&lt;="&amp;$P1234,$P$2:$P2248,"&gt;"&amp;$P1234-7)</f>
        <v>7.5769230769230766</v>
      </c>
      <c r="AM1234" s="76">
        <f ca="1">IFERROR(__xludf.DUMMYFUNCTION("iferror(stdevp(filter($I$2:$I2250,$B$2:$B2250=$B1234,$O$2:$O2250&lt;=$O1234,$O$2:$O2250&gt;$O1234-7)),0)"),1.26491106406735)</f>
        <v>1.26491106406735</v>
      </c>
      <c r="AN1234" s="77">
        <f t="shared" ca="1" si="13"/>
        <v>0.33447167559473312</v>
      </c>
      <c r="AO1234" s="77">
        <f t="shared" ca="1" si="14"/>
        <v>3</v>
      </c>
      <c r="AP1234" s="76">
        <f t="array" ref="AP1234">AVERAGEIFS($K$2:$K2248,$B$2:$B2248,$B1234,$P$2:$P2248,"&lt;="&amp;$P1234,$P$2:$P2248,"&gt;"&amp;$P1234-7)</f>
        <v>8</v>
      </c>
      <c r="AQ1234" s="76">
        <f ca="1">IFERROR(__xludf.DUMMYFUNCTION("iferror(stdevp(filter($J$2:$J2250,$B$2:$B2250=$B1234,$O$2:$O2250&lt;=$O1234,$O$2:$O2250&gt;$O1234-7)),0)"),1.35646599662505)</f>
        <v>1.3564659966250501</v>
      </c>
      <c r="AR1234" s="77">
        <f t="shared" ca="1" si="15"/>
        <v>0</v>
      </c>
      <c r="AS1234" s="77">
        <f t="shared" ca="1" si="16"/>
        <v>3</v>
      </c>
      <c r="AT1234" s="78">
        <f t="shared" ca="1" si="12"/>
        <v>0.75</v>
      </c>
    </row>
    <row r="1235" spans="1:46" ht="12.5" x14ac:dyDescent="0.25">
      <c r="A1235" s="75">
        <v>44975.402233113426</v>
      </c>
      <c r="B1235" s="1" t="s">
        <v>10</v>
      </c>
      <c r="C1235" s="1" t="str">
        <f>INDEX(TBL_Name,MATCH(Table2[[#This Row],[Athlete Name]],listNames,0),2)</f>
        <v>Athlete 5</v>
      </c>
      <c r="D1235" s="1" t="s">
        <v>130</v>
      </c>
      <c r="E1235" s="1">
        <v>8</v>
      </c>
      <c r="F1235" s="1">
        <v>8</v>
      </c>
      <c r="G1235" s="1">
        <v>8</v>
      </c>
      <c r="H1235" s="1" t="s">
        <v>415</v>
      </c>
      <c r="I1235" s="1">
        <v>3</v>
      </c>
      <c r="J1235" s="1">
        <v>8</v>
      </c>
      <c r="K1235" s="1">
        <v>6</v>
      </c>
      <c r="L1235" s="1">
        <v>65</v>
      </c>
      <c r="M1235" s="1" t="e">
        <f t="shared" ref="M1235" ca="1" si="17">_xludf.concat($B1235,$P1235)</f>
        <v>#NAME?</v>
      </c>
      <c r="N1235" s="1" t="e">
        <f t="shared" ref="N1235:N1298" si="18">WEEKNUM($P1235)</f>
        <v>#VALUE!</v>
      </c>
      <c r="O1235" s="1" t="e">
        <f ca="1">IF($N1235=_xludf.MINIFS($N$2:$N2485,$R$2:$R2485,$R1235),1,
($N1235-_xludf.MINIFS($N$2:$N2485,$R$2:$R2485,$R1235))+1)</f>
        <v>#VALUE!</v>
      </c>
      <c r="P1235" s="13" t="e">
        <f t="shared" ref="P1235:P1298" si="19">DATEVALUE(A1235)</f>
        <v>#VALUE!</v>
      </c>
      <c r="Q1235" s="1" t="str">
        <f>RIGHT(YEAR($A1235),2)-(MONTH($A1235)&lt;=[1]Roster!$K$25)
 &amp;"-"&amp;
 RIGHT(YEAR($A1235),2)+(MONTH($A1235)&gt;=[1]Roster!$K$26)</f>
        <v>22-23</v>
      </c>
      <c r="R1235" s="1" t="e">
        <f>CHOOSE(MONTH($P1235),[1]Roster!$K$9,[1]Roster!$K$10,[1]Roster!$K$11,[1]Roster!$K$12,[1]Roster!$K$13,[1]Roster!$K$14,[1]Roster!$K$15,[1]Roster!$K$16,[1]Roster!$K$17,[1]Roster!$K$18,[1]Roster!$K$19,[1]Roster!$K$20)&amp;" "&amp;$Q1235</f>
        <v>#VALUE!</v>
      </c>
      <c r="S1235" s="1">
        <f t="shared" ref="S1235:S1298" si="20">IF($D1235="Full = I have no injury",1, IF($D1235="Limited = I need a modification during lift / practice",2,IF($D1235="Out = I have an injury",3,"")))</f>
        <v>1</v>
      </c>
      <c r="T1235" s="1" t="str">
        <f t="array" ref="T1235">IFERROR(INDEX([1]Roster!$D$3:$D$42,MATCH($B1235,[1]Roster!$C$3:$C$42,0)),"")</f>
        <v>MID</v>
      </c>
      <c r="U1235" s="1" t="str">
        <f t="array" ref="U1235">IFERROR(INDEX([1]Roster!$E$3:$E$42,MATCH($B1235,[1]Roster!$C$3:$C$42,0)),"")</f>
        <v>MID</v>
      </c>
      <c r="V1235" s="76">
        <f t="array" ref="V1235">AVERAGEIFS($E$2:$E2309,$B$2:$B2309,$B1235,$P$2:$P2309,"&lt;="&amp;$P1235,$P$2:$P2309,"&gt;"&amp;$P1235-7)</f>
        <v>8.4042553191489358</v>
      </c>
      <c r="W1235" s="76">
        <f ca="1">IFERROR(__xludf.DUMMYFUNCTION("iferror(stdevp(filter($D$2:$D2314,$B$2:$B2314=$B1238,$O$2:$O2314&lt;=$O1238,$O$2:$O2314&gt;$O1238-7)),0)"),1.45686271816936)</f>
        <v>1.4568627181693601</v>
      </c>
      <c r="X1235" s="77">
        <f t="shared" ref="X1235:X1298" ca="1" si="21">IFERROR(STANDARDIZE($E1235,$V1235,$W1235),0)</f>
        <v>-0.27748346780189975</v>
      </c>
      <c r="Y1235" s="77">
        <f t="shared" ref="Y1235:Y1298" ca="1" si="22">IF($X1235&gt;=1,4,IF($X1235&gt;=0,3,IF($X1235&gt;-1,2,IF($X1235&lt;=-1,1))))</f>
        <v>2</v>
      </c>
      <c r="Z1235" s="76">
        <f t="array" ref="Z1235">AVERAGEIFS($F$2:$F2309,$B$2:$B2309,$B1235,$P$2:$P2309,"&lt;="&amp;$P1235,$P$2:$P2309,"&gt;"&amp;$P1235-7)</f>
        <v>8.085106382978724</v>
      </c>
      <c r="AA1235" s="76">
        <f ca="1">IFERROR(__xludf.DUMMYFUNCTION("iferror(stdevp(filter($E$2:$E2314,$B$2:$B2314=$B1238,$O$2:$O2314&lt;=$O1238,$O$2:$O2314&gt;$O1238-7)),0)"),0.728431359084683)</f>
        <v>0.72843135908468304</v>
      </c>
      <c r="AB1235" s="77">
        <f t="shared" ref="AB1235:AB1298" ca="1" si="23">IFERROR(STANDARDIZE($F1235,$Z1235,$AA1235),0)</f>
        <v>-0.11683514433764242</v>
      </c>
      <c r="AC1235" s="77">
        <f t="shared" ref="AC1235:AC1298" ca="1" si="24">IF($AB1235&gt;=1,4,IF($AB1235&gt;=0,3,IF($AB1235&gt;-1,2,IF($AB1235&lt;=-1,1))))</f>
        <v>2</v>
      </c>
      <c r="AD1235" s="76">
        <f t="array" ref="AD1235">AVERAGEIFS($G$2:$G2309,$B$2:$B2309,$B1235,$P$2:$P2309,"&lt;="&amp;$P1235,$P$2:$P2309,"&gt;"&amp;$P1235-7)</f>
        <v>8.0638297872340434</v>
      </c>
      <c r="AE1235" s="76">
        <f ca="1">IFERROR(__xludf.DUMMYFUNCTION("iferror(stdevp(filter($F$2:$F2314,$B$2:$B2314=$B1238,$O$2:$O2314&lt;=$O1238,$O$2:$O2314&gt;$O1238-7)),0)"),0.728431359084683)</f>
        <v>0.72843135908468304</v>
      </c>
      <c r="AF1235" s="77">
        <f t="shared" ref="AF1235:AF1298" ca="1" si="25">IFERROR(STANDARDIZE($G1235,$AD1235,$AE1235),0)</f>
        <v>-8.7626358253232423E-2</v>
      </c>
      <c r="AG1235" s="77">
        <f t="shared" ref="AG1235:AG1298" ca="1" si="26">IF($AF1235&gt;=1,4,IF($AF1235&gt;=0,3,IF($AF1235&gt;-1,2,IF($AF1235&lt;=-1,1))))</f>
        <v>2</v>
      </c>
      <c r="AH1235" s="76">
        <f t="array" ref="AH1235">AVERAGEIFS($I$2:$I2309,$B$2:$B2309,$B1235,$P$2:$P2309,"&lt;="&amp;$P1235,$P$2:$P2309,"&gt;"&amp;$P1235-7)</f>
        <v>6.7446808510638299</v>
      </c>
      <c r="AI1235" s="76">
        <f ca="1">IFERROR(__xludf.DUMMYFUNCTION("iferror(stdevp(filter($H$2:$H2314,$B$2:$B2314=$B1238,$O$2:$O2314&lt;=$O1238,$O$2:$O2314&gt;$O1238-7)),0)"),2.61080955464243)</f>
        <v>2.6108095546424299</v>
      </c>
      <c r="AJ1235" s="77">
        <f t="shared" ref="AJ1235:AJ1298" ca="1" si="27">IFERROR(STANDARDIZE($I1235,$AH1235,$AI1235),0)</f>
        <v>-1.4342987386441874</v>
      </c>
      <c r="AK1235" s="77">
        <f t="shared" ref="AK1235:AK1298" ca="1" si="28">IF($AJ1235&gt;=1,4,IF($AJ1235&gt;=0,3,IF($AJ1235&gt;-1,2,IF($AJ1235&lt;=-1,1))))</f>
        <v>1</v>
      </c>
      <c r="AL1235" s="76">
        <f t="array" ref="AL1235">AVERAGEIFS($J$2:$J2309,$B$2:$B2309,$B1235,$P$2:$P2309,"&lt;="&amp;$P1235,$P$2:$P2309,"&gt;"&amp;$P1235-7)</f>
        <v>8.1063829787234045</v>
      </c>
      <c r="AM1235" s="76">
        <f ca="1">IFERROR(__xludf.DUMMYFUNCTION("iferror(stdevp(filter($I$2:$I2314,$B$2:$B2314=$B1238,$O$2:$O2314&lt;=$O1238,$O$2:$O2314&gt;$O1238-7)),0)"),0.534522483824848)</f>
        <v>0.53452248382484802</v>
      </c>
      <c r="AN1235" s="77">
        <f t="shared" ref="AN1235:AN1298" ca="1" si="29">IFERROR(STANDARDIZE($J1235,$AL1235,$AM1235),0)</f>
        <v>-0.19902432908372106</v>
      </c>
      <c r="AO1235" s="77">
        <f t="shared" ref="AO1235:AO1298" ca="1" si="30">IF($AN1235&gt;=1,4,IF($AN1235&gt;=0,3,IF($AN1235&gt;-1,2,IF($AN1235&lt;=-1,1))))</f>
        <v>2</v>
      </c>
      <c r="AP1235" s="76">
        <f t="array" ref="AP1235">AVERAGEIFS($K$2:$K2309,$B$2:$B2309,$B1235,$P$2:$P2309,"&lt;="&amp;$P1235,$P$2:$P2309,"&gt;"&amp;$P1235-7)</f>
        <v>8.2978723404255312</v>
      </c>
      <c r="AQ1235" s="76">
        <f ca="1">IFERROR(__xludf.DUMMYFUNCTION("iferror(stdevp(filter($J$2:$J2314,$B$2:$B2314=$B1238,$O$2:$O2314&lt;=$O1238,$O$2:$O2314&gt;$O1238-7)),0)"),0.880630571852711)</f>
        <v>0.88063057185271099</v>
      </c>
      <c r="AR1235" s="77">
        <f t="shared" ref="AR1235:AR1298" ca="1" si="31">IFERROR(STANDARDIZE($K1235,$AP1235,$AQ1235),0)</f>
        <v>-2.6093488164863072</v>
      </c>
      <c r="AS1235" s="77">
        <f t="shared" ref="AS1235:AS1298" ca="1" si="32">IF($AR1235&gt;=1,4,IF($AR1235&gt;=0,3,IF($AR1235&gt;-1,2,IF($AR1235&lt;=-1,1))))</f>
        <v>1</v>
      </c>
      <c r="AT1235" s="78">
        <f t="shared" ref="AT1235:AT1298" ca="1" si="33">SUM($AK1235,$AG1235,$AC1235,$Y1235,$AO1235,$AS1235)/24</f>
        <v>0.41666666666666669</v>
      </c>
    </row>
    <row r="1236" spans="1:46" ht="12.5" x14ac:dyDescent="0.25">
      <c r="A1236" s="75">
        <v>44975.402348634263</v>
      </c>
      <c r="B1236" s="1" t="s">
        <v>17</v>
      </c>
      <c r="C1236" s="1" t="str">
        <f>INDEX(TBL_Name,MATCH(Table2[[#This Row],[Athlete Name]],listNames,0),2)</f>
        <v>Athlete 10</v>
      </c>
      <c r="D1236" s="1" t="s">
        <v>130</v>
      </c>
      <c r="E1236" s="1">
        <v>9</v>
      </c>
      <c r="F1236" s="1">
        <v>7</v>
      </c>
      <c r="G1236" s="1">
        <v>8</v>
      </c>
      <c r="H1236" s="1" t="s">
        <v>228</v>
      </c>
      <c r="I1236" s="1">
        <v>4</v>
      </c>
      <c r="J1236" s="1">
        <v>6</v>
      </c>
      <c r="K1236" s="1">
        <v>8</v>
      </c>
      <c r="L1236" s="1">
        <v>66</v>
      </c>
      <c r="M1236" s="1" t="e">
        <f t="shared" ref="M1236" ca="1" si="34">_xludf.concat($B1236,$P1236)</f>
        <v>#NAME?</v>
      </c>
      <c r="N1236" s="1" t="e">
        <f t="shared" si="18"/>
        <v>#VALUE!</v>
      </c>
      <c r="O1236" s="1" t="e">
        <f ca="1">IF($N1236=_xludf.MINIFS($N$2:$N2486,$R$2:$R2486,$R1236),1,
($N1236-_xludf.MINIFS($N$2:$N2486,$R$2:$R2486,$R1236))+1)</f>
        <v>#VALUE!</v>
      </c>
      <c r="P1236" s="13" t="e">
        <f t="shared" si="19"/>
        <v>#VALUE!</v>
      </c>
      <c r="Q1236" s="1" t="str">
        <f>RIGHT(YEAR($A1236),2)-(MONTH($A1236)&lt;=[1]Roster!$K$25)
 &amp;"-"&amp;
 RIGHT(YEAR($A1236),2)+(MONTH($A1236)&gt;=[1]Roster!$K$26)</f>
        <v>22-23</v>
      </c>
      <c r="R1236" s="1" t="e">
        <f>CHOOSE(MONTH($P1236),[1]Roster!$K$9,[1]Roster!$K$10,[1]Roster!$K$11,[1]Roster!$K$12,[1]Roster!$K$13,[1]Roster!$K$14,[1]Roster!$K$15,[1]Roster!$K$16,[1]Roster!$K$17,[1]Roster!$K$18,[1]Roster!$K$19,[1]Roster!$K$20)&amp;" "&amp;$Q1236</f>
        <v>#VALUE!</v>
      </c>
      <c r="S1236" s="1">
        <f t="shared" si="20"/>
        <v>1</v>
      </c>
      <c r="T1236" s="1" t="str">
        <f t="array" ref="T1236">IFERROR(INDEX([1]Roster!$D$3:$D$42,MATCH($B1236,[1]Roster!$C$3:$C$42,0)),"")</f>
        <v>D</v>
      </c>
      <c r="U1236" s="1" t="str">
        <f t="array" ref="U1236">IFERROR(INDEX([1]Roster!$E$3:$E$42,MATCH($B1236,[1]Roster!$C$3:$C$42,0)),"")</f>
        <v>D</v>
      </c>
      <c r="V1236" s="76">
        <f t="array" ref="V1236">AVERAGEIFS($E$2:$E2309,$B$2:$B2309,$B1236,$P$2:$P2309,"&lt;="&amp;$P1236,$P$2:$P2309,"&gt;"&amp;$P1236-7)</f>
        <v>6.9024390243902438</v>
      </c>
      <c r="W1236" s="76">
        <f ca="1">IFERROR(__xludf.DUMMYFUNCTION("iferror(stdevp(filter($D$2:$D2314,$B$2:$B2314=$B1239,$O$2:$O2314&lt;=$O1239,$O$2:$O2314&gt;$O1239-7)),0)"),1.97202659436653)</f>
        <v>1.9720265943665301</v>
      </c>
      <c r="X1236" s="77">
        <f t="shared" ca="1" si="21"/>
        <v>1.0636575498534548</v>
      </c>
      <c r="Y1236" s="77">
        <f t="shared" ca="1" si="22"/>
        <v>4</v>
      </c>
      <c r="Z1236" s="76">
        <f t="array" ref="Z1236">AVERAGEIFS($F$2:$F2309,$B$2:$B2309,$B1236,$P$2:$P2309,"&lt;="&amp;$P1236,$P$2:$P2309,"&gt;"&amp;$P1236-7)</f>
        <v>7.2926829268292686</v>
      </c>
      <c r="AA1236" s="76">
        <f ca="1">IFERROR(__xludf.DUMMYFUNCTION("iferror(stdevp(filter($E$2:$E2314,$B$2:$B2314=$B1239,$O$2:$O2314&lt;=$O1239,$O$2:$O2314&gt;$O1239-7)),0)"),1.5986105077709)</f>
        <v>1.5986105077709001</v>
      </c>
      <c r="AB1236" s="77">
        <f t="shared" ca="1" si="23"/>
        <v>-0.18308582697694459</v>
      </c>
      <c r="AC1236" s="77">
        <f t="shared" ca="1" si="24"/>
        <v>2</v>
      </c>
      <c r="AD1236" s="76">
        <f t="array" ref="AD1236">AVERAGEIFS($G$2:$G2309,$B$2:$B2309,$B1236,$P$2:$P2309,"&lt;="&amp;$P1236,$P$2:$P2309,"&gt;"&amp;$P1236-7)</f>
        <v>7.8048780487804876</v>
      </c>
      <c r="AE1236" s="76">
        <f ca="1">IFERROR(__xludf.DUMMYFUNCTION("iferror(stdevp(filter($F$2:$F2314,$B$2:$B2314=$B1239,$O$2:$O2314&lt;=$O1239,$O$2:$O2314&gt;$O1239-7)),0)"),1.60727512683215)</f>
        <v>1.6072751268321499</v>
      </c>
      <c r="AF1236" s="77">
        <f t="shared" ca="1" si="25"/>
        <v>0.12139922279770914</v>
      </c>
      <c r="AG1236" s="77">
        <f t="shared" ca="1" si="26"/>
        <v>3</v>
      </c>
      <c r="AH1236" s="76">
        <f t="array" ref="AH1236">AVERAGEIFS($I$2:$I2309,$B$2:$B2309,$B1236,$P$2:$P2309,"&lt;="&amp;$P1236,$P$2:$P2309,"&gt;"&amp;$P1236-7)</f>
        <v>6.3170731707317076</v>
      </c>
      <c r="AI1236" s="76">
        <f ca="1">IFERROR(__xludf.DUMMYFUNCTION("iferror(stdevp(filter($H$2:$H2314,$B$2:$B2314=$B1239,$O$2:$O2314&lt;=$O1239,$O$2:$O2314&gt;$O1239-7)),0)"),1.46249406456535)</f>
        <v>1.4624940645653499</v>
      </c>
      <c r="AJ1236" s="77">
        <f t="shared" ca="1" si="27"/>
        <v>-1.5843299654144831</v>
      </c>
      <c r="AK1236" s="77">
        <f t="shared" ca="1" si="28"/>
        <v>1</v>
      </c>
      <c r="AL1236" s="76">
        <f t="array" ref="AL1236">AVERAGEIFS($J$2:$J2309,$B$2:$B2309,$B1236,$P$2:$P2309,"&lt;="&amp;$P1236,$P$2:$P2309,"&gt;"&amp;$P1236-7)</f>
        <v>6.9024390243902438</v>
      </c>
      <c r="AM1236" s="76">
        <f ca="1">IFERROR(__xludf.DUMMYFUNCTION("iferror(stdevp(filter($I$2:$I2314,$B$2:$B2314=$B1239,$O$2:$O2314&lt;=$O1239,$O$2:$O2314&gt;$O1239-7)),0)"),1.34370962471642)</f>
        <v>1.34370962471642</v>
      </c>
      <c r="AN1236" s="77">
        <f t="shared" ca="1" si="29"/>
        <v>-0.67160270923913112</v>
      </c>
      <c r="AO1236" s="77">
        <f t="shared" ca="1" si="30"/>
        <v>2</v>
      </c>
      <c r="AP1236" s="76">
        <f t="array" ref="AP1236">AVERAGEIFS($K$2:$K2309,$B$2:$B2309,$B1236,$P$2:$P2309,"&lt;="&amp;$P1236,$P$2:$P2309,"&gt;"&amp;$P1236-7)</f>
        <v>8</v>
      </c>
      <c r="AQ1236" s="76">
        <f ca="1">IFERROR(__xludf.DUMMYFUNCTION("iferror(stdevp(filter($J$2:$J2314,$B$2:$B2314=$B1239,$O$2:$O2314&lt;=$O1239,$O$2:$O2314&gt;$O1239-7)),0)"),0.687184270936276)</f>
        <v>0.68718427093627599</v>
      </c>
      <c r="AR1236" s="77">
        <f t="shared" ca="1" si="31"/>
        <v>0</v>
      </c>
      <c r="AS1236" s="77">
        <f t="shared" ca="1" si="32"/>
        <v>3</v>
      </c>
      <c r="AT1236" s="78">
        <f t="shared" ca="1" si="33"/>
        <v>0.625</v>
      </c>
    </row>
    <row r="1237" spans="1:46" ht="12.5" x14ac:dyDescent="0.25">
      <c r="A1237" s="75">
        <v>44975.419310416662</v>
      </c>
      <c r="B1237" s="1" t="s">
        <v>9</v>
      </c>
      <c r="C1237" s="1" t="str">
        <f>INDEX(TBL_Name,MATCH(Table2[[#This Row],[Athlete Name]],listNames,0),2)</f>
        <v>Athlete 4</v>
      </c>
      <c r="D1237" s="1" t="s">
        <v>130</v>
      </c>
      <c r="E1237" s="1">
        <v>8</v>
      </c>
      <c r="F1237" s="1">
        <v>8</v>
      </c>
      <c r="G1237" s="1">
        <v>8</v>
      </c>
      <c r="H1237" s="1" t="s">
        <v>1589</v>
      </c>
      <c r="I1237" s="1">
        <v>4</v>
      </c>
      <c r="J1237" s="1">
        <v>8</v>
      </c>
      <c r="K1237" s="1">
        <v>8</v>
      </c>
      <c r="L1237" s="1">
        <v>90</v>
      </c>
      <c r="M1237" s="1" t="e">
        <f t="shared" ref="M1237" ca="1" si="35">_xludf.concat($B1237,$P1237)</f>
        <v>#NAME?</v>
      </c>
      <c r="N1237" s="1" t="e">
        <f t="shared" si="18"/>
        <v>#VALUE!</v>
      </c>
      <c r="O1237" s="1" t="e">
        <f ca="1">IF($N1237=_xludf.MINIFS($N$2:$N2487,$R$2:$R2487,$R1237),1,
($N1237-_xludf.MINIFS($N$2:$N2487,$R$2:$R2487,$R1237))+1)</f>
        <v>#VALUE!</v>
      </c>
      <c r="P1237" s="13" t="e">
        <f t="shared" si="19"/>
        <v>#VALUE!</v>
      </c>
      <c r="Q1237" s="1" t="str">
        <f>RIGHT(YEAR($A1237),2)-(MONTH($A1237)&lt;=[1]Roster!$K$25)
 &amp;"-"&amp;
 RIGHT(YEAR($A1237),2)+(MONTH($A1237)&gt;=[1]Roster!$K$26)</f>
        <v>22-23</v>
      </c>
      <c r="R1237" s="1" t="e">
        <f>CHOOSE(MONTH($P1237),[1]Roster!$K$9,[1]Roster!$K$10,[1]Roster!$K$11,[1]Roster!$K$12,[1]Roster!$K$13,[1]Roster!$K$14,[1]Roster!$K$15,[1]Roster!$K$16,[1]Roster!$K$17,[1]Roster!$K$18,[1]Roster!$K$19,[1]Roster!$K$20)&amp;" "&amp;$Q1237</f>
        <v>#VALUE!</v>
      </c>
      <c r="S1237" s="1">
        <f t="shared" si="20"/>
        <v>1</v>
      </c>
      <c r="T1237" s="1" t="str">
        <f t="array" ref="T1237">IFERROR(INDEX([1]Roster!$D$3:$D$42,MATCH($B1237,[1]Roster!$C$3:$C$42,0)),"")</f>
        <v>F/MID</v>
      </c>
      <c r="U1237" s="1" t="str">
        <f t="array" ref="U1237">IFERROR(INDEX([1]Roster!$E$3:$E$42,MATCH($B1237,[1]Roster!$C$3:$C$42,0)),"")</f>
        <v>F/MID</v>
      </c>
      <c r="V1237" s="76">
        <f t="array" ref="V1237">AVERAGEIFS($E$2:$E2309,$B$2:$B2309,$B1237,$P$2:$P2309,"&lt;="&amp;$P1237,$P$2:$P2309,"&gt;"&amp;$P1237-7)</f>
        <v>7.4230769230769234</v>
      </c>
      <c r="W1237" s="76">
        <f ca="1">IFERROR(__xludf.DUMMYFUNCTION("iferror(stdevp(filter($D$2:$D2314,$B$2:$B2314=$B1240,$O$2:$O2314&lt;=$O1240,$O$2:$O2314&gt;$O1240-7)),0)"),0.349927106111882)</f>
        <v>0.34992710611188199</v>
      </c>
      <c r="X1237" s="77">
        <f t="shared" ca="1" si="21"/>
        <v>1.6486950191809873</v>
      </c>
      <c r="Y1237" s="77">
        <f t="shared" ca="1" si="22"/>
        <v>4</v>
      </c>
      <c r="Z1237" s="76">
        <f t="array" ref="Z1237">AVERAGEIFS($F$2:$F2309,$B$2:$B2309,$B1237,$P$2:$P2309,"&lt;="&amp;$P1237,$P$2:$P2309,"&gt;"&amp;$P1237-7)</f>
        <v>7.1538461538461542</v>
      </c>
      <c r="AA1237" s="76">
        <f ca="1">IFERROR(__xludf.DUMMYFUNCTION("iferror(stdevp(filter($E$2:$E2314,$B$2:$B2314=$B1240,$O$2:$O2314&lt;=$O1240,$O$2:$O2314&gt;$O1240-7)),0)"),0.638876564999939)</f>
        <v>0.63887656499993895</v>
      </c>
      <c r="AB1237" s="77">
        <f t="shared" ca="1" si="23"/>
        <v>1.3244402635960308</v>
      </c>
      <c r="AC1237" s="77">
        <f t="shared" ca="1" si="24"/>
        <v>4</v>
      </c>
      <c r="AD1237" s="76">
        <f t="array" ref="AD1237">AVERAGEIFS($G$2:$G2309,$B$2:$B2309,$B1237,$P$2:$P2309,"&lt;="&amp;$P1237,$P$2:$P2309,"&gt;"&amp;$P1237-7)</f>
        <v>7.615384615384615</v>
      </c>
      <c r="AE1237" s="76">
        <f ca="1">IFERROR(__xludf.DUMMYFUNCTION("iferror(stdevp(filter($F$2:$F2314,$B$2:$B2314=$B1240,$O$2:$O2314&lt;=$O1240,$O$2:$O2314&gt;$O1240-7)),0)"),0.494871659305393)</f>
        <v>0.49487165930539301</v>
      </c>
      <c r="AF1237" s="77">
        <f t="shared" ca="1" si="25"/>
        <v>0.77720228544757475</v>
      </c>
      <c r="AG1237" s="77">
        <f t="shared" ca="1" si="26"/>
        <v>3</v>
      </c>
      <c r="AH1237" s="76">
        <f t="array" ref="AH1237">AVERAGEIFS($I$2:$I2309,$B$2:$B2309,$B1237,$P$2:$P2309,"&lt;="&amp;$P1237,$P$2:$P2309,"&gt;"&amp;$P1237-7)</f>
        <v>5.1923076923076925</v>
      </c>
      <c r="AI1237" s="76">
        <f ca="1">IFERROR(__xludf.DUMMYFUNCTION("iferror(stdevp(filter($H$2:$H2314,$B$2:$B2314=$B1240,$O$2:$O2314&lt;=$O1240,$O$2:$O2314&gt;$O1240-7)),0)"),1.04978131833564)</f>
        <v>1.0497813183356399</v>
      </c>
      <c r="AJ1237" s="77">
        <f t="shared" ca="1" si="27"/>
        <v>-1.135767679880243</v>
      </c>
      <c r="AK1237" s="77">
        <f t="shared" ca="1" si="28"/>
        <v>1</v>
      </c>
      <c r="AL1237" s="76">
        <f t="array" ref="AL1237">AVERAGEIFS($J$2:$J2309,$B$2:$B2309,$B1237,$P$2:$P2309,"&lt;="&amp;$P1237,$P$2:$P2309,"&gt;"&amp;$P1237-7)</f>
        <v>7.6923076923076925</v>
      </c>
      <c r="AM1237" s="76">
        <f ca="1">IFERROR(__xludf.DUMMYFUNCTION("iferror(stdevp(filter($I$2:$I2314,$B$2:$B2314=$B1240,$O$2:$O2314&lt;=$O1240,$O$2:$O2314&gt;$O1240-7)),0)"),0.534522483824848)</f>
        <v>0.53452248382484802</v>
      </c>
      <c r="AN1237" s="77">
        <f t="shared" ca="1" si="29"/>
        <v>0.57563959796522213</v>
      </c>
      <c r="AO1237" s="77">
        <f t="shared" ca="1" si="30"/>
        <v>3</v>
      </c>
      <c r="AP1237" s="76">
        <f t="array" ref="AP1237">AVERAGEIFS($K$2:$K2309,$B$2:$B2309,$B1237,$P$2:$P2309,"&lt;="&amp;$P1237,$P$2:$P2309,"&gt;"&amp;$P1237-7)</f>
        <v>7.8461538461538458</v>
      </c>
      <c r="AQ1237" s="76">
        <f ca="1">IFERROR(__xludf.DUMMYFUNCTION("iferror(stdevp(filter($J$2:$J2314,$B$2:$B2314=$B1240,$O$2:$O2314&lt;=$O1240,$O$2:$O2314&gt;$O1240-7)),0)"),0.451753951452625)</f>
        <v>0.45175395145262498</v>
      </c>
      <c r="AR1237" s="77">
        <f t="shared" ca="1" si="31"/>
        <v>0.34055297878736518</v>
      </c>
      <c r="AS1237" s="77">
        <f t="shared" ca="1" si="32"/>
        <v>3</v>
      </c>
      <c r="AT1237" s="78">
        <f t="shared" ca="1" si="33"/>
        <v>0.75</v>
      </c>
    </row>
    <row r="1238" spans="1:46" ht="12.5" x14ac:dyDescent="0.25">
      <c r="A1238" s="75">
        <v>44975.42207104167</v>
      </c>
      <c r="B1238" s="1" t="s">
        <v>21</v>
      </c>
      <c r="C1238" s="1" t="str">
        <f>INDEX(TBL_Name,MATCH(Table2[[#This Row],[Athlete Name]],listNames,0),2)</f>
        <v>Athlete 13</v>
      </c>
      <c r="D1238" s="1" t="s">
        <v>143</v>
      </c>
      <c r="E1238" s="1">
        <v>5</v>
      </c>
      <c r="F1238" s="1">
        <v>8</v>
      </c>
      <c r="G1238" s="1">
        <v>8</v>
      </c>
      <c r="H1238" s="1" t="s">
        <v>1590</v>
      </c>
      <c r="I1238" s="1">
        <v>5</v>
      </c>
      <c r="J1238" s="1">
        <v>7</v>
      </c>
      <c r="K1238" s="1">
        <v>6</v>
      </c>
      <c r="L1238" s="1">
        <v>75</v>
      </c>
      <c r="M1238" s="1" t="e">
        <f t="shared" ref="M1238" ca="1" si="36">_xludf.concat($B1238,$P1238)</f>
        <v>#NAME?</v>
      </c>
      <c r="N1238" s="1" t="e">
        <f t="shared" si="18"/>
        <v>#VALUE!</v>
      </c>
      <c r="O1238" s="1" t="e">
        <f ca="1">IF($N1238=_xludf.MINIFS($N$2:$N2488,$R$2:$R2488,$R1238),1,
($N1238-_xludf.MINIFS($N$2:$N2488,$R$2:$R2488,$R1238))+1)</f>
        <v>#VALUE!</v>
      </c>
      <c r="P1238" s="13" t="e">
        <f t="shared" si="19"/>
        <v>#VALUE!</v>
      </c>
      <c r="Q1238" s="1" t="str">
        <f>RIGHT(YEAR($A1238),2)-(MONTH($A1238)&lt;=[1]Roster!$K$25)
 &amp;"-"&amp;
 RIGHT(YEAR($A1238),2)+(MONTH($A1238)&gt;=[1]Roster!$K$26)</f>
        <v>22-23</v>
      </c>
      <c r="R1238" s="1" t="e">
        <f>CHOOSE(MONTH($P1238),[1]Roster!$K$9,[1]Roster!$K$10,[1]Roster!$K$11,[1]Roster!$K$12,[1]Roster!$K$13,[1]Roster!$K$14,[1]Roster!$K$15,[1]Roster!$K$16,[1]Roster!$K$17,[1]Roster!$K$18,[1]Roster!$K$19,[1]Roster!$K$20)&amp;" "&amp;$Q1238</f>
        <v>#VALUE!</v>
      </c>
      <c r="S1238" s="1">
        <f t="shared" si="20"/>
        <v>2</v>
      </c>
      <c r="T1238" s="1" t="str">
        <f t="array" ref="T1238">IFERROR(INDEX([1]Roster!$D$3:$D$42,MATCH($B1238,[1]Roster!$C$3:$C$42,0)),"")</f>
        <v>D</v>
      </c>
      <c r="U1238" s="1" t="str">
        <f t="array" ref="U1238">IFERROR(INDEX([1]Roster!$E$3:$E$42,MATCH($B1238,[1]Roster!$C$3:$C$42,0)),"")</f>
        <v>D</v>
      </c>
      <c r="V1238" s="76">
        <f t="array" ref="V1238">AVERAGEIFS($E$2:$E2309,$B$2:$B2309,$B1238,$P$2:$P2309,"&lt;="&amp;$P1238,$P$2:$P2309,"&gt;"&amp;$P1238-7)</f>
        <v>6.6304347826086953</v>
      </c>
      <c r="W1238" s="76">
        <f ca="1">IFERROR(__xludf.DUMMYFUNCTION("iferror(stdevp(filter($D$2:$D2314,$B$2:$B2314=$B1241,$O$2:$O2314&lt;=$O1241,$O$2:$O2314&gt;$O1241-7)),0)"),0.577350269189625)</f>
        <v>0.57735026918962495</v>
      </c>
      <c r="X1238" s="77">
        <f t="shared" ca="1" si="21"/>
        <v>-2.8239958819057818</v>
      </c>
      <c r="Y1238" s="77">
        <f t="shared" ca="1" si="22"/>
        <v>1</v>
      </c>
      <c r="Z1238" s="76">
        <f t="array" ref="Z1238">AVERAGEIFS($F$2:$F2309,$B$2:$B2309,$B1238,$P$2:$P2309,"&lt;="&amp;$P1238,$P$2:$P2309,"&gt;"&amp;$P1238-7)</f>
        <v>7.6956521739130439</v>
      </c>
      <c r="AA1238" s="76">
        <f ca="1">IFERROR(__xludf.DUMMYFUNCTION("iferror(stdevp(filter($E$2:$E2314,$B$2:$B2314=$B1241,$O$2:$O2314&lt;=$O1241,$O$2:$O2314&gt;$O1241-7)),0)"),0.471404520791031)</f>
        <v>0.47140452079103101</v>
      </c>
      <c r="AB1238" s="77">
        <f t="shared" ca="1" si="23"/>
        <v>0.64561923499641294</v>
      </c>
      <c r="AC1238" s="77">
        <f t="shared" ca="1" si="24"/>
        <v>3</v>
      </c>
      <c r="AD1238" s="76">
        <f t="array" ref="AD1238">AVERAGEIFS($G$2:$G2309,$B$2:$B2309,$B1238,$P$2:$P2309,"&lt;="&amp;$P1238,$P$2:$P2309,"&gt;"&amp;$P1238-7)</f>
        <v>8.2608695652173907</v>
      </c>
      <c r="AE1238" s="76">
        <f ca="1">IFERROR(__xludf.DUMMYFUNCTION("iferror(stdevp(filter($F$2:$F2314,$B$2:$B2314=$B1241,$O$2:$O2314&lt;=$O1241,$O$2:$O2314&gt;$O1241-7)),0)"),0)</f>
        <v>0</v>
      </c>
      <c r="AF1238" s="77">
        <f t="shared" ca="1" si="25"/>
        <v>0</v>
      </c>
      <c r="AG1238" s="77">
        <f t="shared" ca="1" si="26"/>
        <v>3</v>
      </c>
      <c r="AH1238" s="76">
        <f t="array" ref="AH1238">AVERAGEIFS($I$2:$I2309,$B$2:$B2309,$B1238,$P$2:$P2309,"&lt;="&amp;$P1238,$P$2:$P2309,"&gt;"&amp;$P1238-7)</f>
        <v>5.7391304347826084</v>
      </c>
      <c r="AI1238" s="76">
        <f ca="1">IFERROR(__xludf.DUMMYFUNCTION("iferror(stdevp(filter($H$2:$H2314,$B$2:$B2314=$B1241,$O$2:$O2314&lt;=$O1241,$O$2:$O2314&gt;$O1241-7)),0)"),1.10554159678513)</f>
        <v>1.1055415967851301</v>
      </c>
      <c r="AJ1238" s="77">
        <f t="shared" ca="1" si="27"/>
        <v>-0.6685686336289558</v>
      </c>
      <c r="AK1238" s="77">
        <f t="shared" ca="1" si="28"/>
        <v>2</v>
      </c>
      <c r="AL1238" s="76">
        <f t="array" ref="AL1238">AVERAGEIFS($J$2:$J2309,$B$2:$B2309,$B1238,$P$2:$P2309,"&lt;="&amp;$P1238,$P$2:$P2309,"&gt;"&amp;$P1238-7)</f>
        <v>6.5434782608695654</v>
      </c>
      <c r="AM1238" s="76">
        <f ca="1">IFERROR(__xludf.DUMMYFUNCTION("iferror(stdevp(filter($I$2:$I2314,$B$2:$B2314=$B1241,$O$2:$O2314&lt;=$O1241,$O$2:$O2314&gt;$O1241-7)),0)"),0.687184270936276)</f>
        <v>0.68718427093627599</v>
      </c>
      <c r="AN1238" s="77">
        <f t="shared" ca="1" si="29"/>
        <v>0.66433671205604294</v>
      </c>
      <c r="AO1238" s="77">
        <f t="shared" ca="1" si="30"/>
        <v>3</v>
      </c>
      <c r="AP1238" s="76">
        <f t="array" ref="AP1238">AVERAGEIFS($K$2:$K2309,$B$2:$B2309,$B1238,$P$2:$P2309,"&lt;="&amp;$P1238,$P$2:$P2309,"&gt;"&amp;$P1238-7)</f>
        <v>6.6086956521739131</v>
      </c>
      <c r="AQ1238" s="76">
        <f ca="1">IFERROR(__xludf.DUMMYFUNCTION("iferror(stdevp(filter($J$2:$J2314,$B$2:$B2314=$B1241,$O$2:$O2314&lt;=$O1241,$O$2:$O2314&gt;$O1241-7)),0)"),0.577350269189625)</f>
        <v>0.57735026918962495</v>
      </c>
      <c r="AR1238" s="77">
        <f t="shared" ca="1" si="31"/>
        <v>-1.0542917959114921</v>
      </c>
      <c r="AS1238" s="77">
        <f t="shared" ca="1" si="32"/>
        <v>1</v>
      </c>
      <c r="AT1238" s="78">
        <f t="shared" ca="1" si="33"/>
        <v>0.54166666666666663</v>
      </c>
    </row>
    <row r="1239" spans="1:46" ht="12.5" x14ac:dyDescent="0.25">
      <c r="A1239" s="75">
        <v>44976.422148842597</v>
      </c>
      <c r="B1239" s="1" t="s">
        <v>21</v>
      </c>
      <c r="C1239" s="1" t="str">
        <f>INDEX(TBL_Name,MATCH(Table2[[#This Row],[Athlete Name]],listNames,0),2)</f>
        <v>Athlete 13</v>
      </c>
      <c r="D1239" s="1" t="s">
        <v>143</v>
      </c>
      <c r="E1239" s="1">
        <v>5</v>
      </c>
      <c r="F1239" s="1">
        <v>6</v>
      </c>
      <c r="G1239" s="1">
        <v>8</v>
      </c>
      <c r="H1239" s="1" t="s">
        <v>1591</v>
      </c>
      <c r="I1239" s="1">
        <v>6</v>
      </c>
      <c r="J1239" s="1">
        <v>6</v>
      </c>
      <c r="K1239" s="1">
        <v>6</v>
      </c>
      <c r="L1239" s="1">
        <v>75</v>
      </c>
      <c r="M1239" s="1" t="e">
        <f t="shared" ref="M1239" ca="1" si="37">_xludf.concat($B1239,$P1239)</f>
        <v>#NAME?</v>
      </c>
      <c r="N1239" s="1" t="e">
        <f t="shared" si="18"/>
        <v>#VALUE!</v>
      </c>
      <c r="O1239" s="1" t="e">
        <f ca="1">IF($N1239=_xludf.MINIFS($N$2:$N2489,$R$2:$R2489,$R1239),1,
($N1239-_xludf.MINIFS($N$2:$N2489,$R$2:$R2489,$R1239))+1)</f>
        <v>#VALUE!</v>
      </c>
      <c r="P1239" s="13" t="e">
        <f t="shared" si="19"/>
        <v>#VALUE!</v>
      </c>
      <c r="Q1239" s="1" t="str">
        <f>RIGHT(YEAR($A1239),2)-(MONTH($A1239)&lt;=[1]Roster!$K$25)
 &amp;"-"&amp;
 RIGHT(YEAR($A1239),2)+(MONTH($A1239)&gt;=[1]Roster!$K$26)</f>
        <v>22-23</v>
      </c>
      <c r="R1239" s="1" t="e">
        <f>CHOOSE(MONTH($P1239),[1]Roster!$K$9,[1]Roster!$K$10,[1]Roster!$K$11,[1]Roster!$K$12,[1]Roster!$K$13,[1]Roster!$K$14,[1]Roster!$K$15,[1]Roster!$K$16,[1]Roster!$K$17,[1]Roster!$K$18,[1]Roster!$K$19,[1]Roster!$K$20)&amp;" "&amp;$Q1239</f>
        <v>#VALUE!</v>
      </c>
      <c r="S1239" s="1">
        <f t="shared" si="20"/>
        <v>2</v>
      </c>
      <c r="T1239" s="1" t="str">
        <f t="array" ref="T1239">IFERROR(INDEX([1]Roster!$D$3:$D$42,MATCH($B1239,[1]Roster!$C$3:$C$42,0)),"")</f>
        <v>D</v>
      </c>
      <c r="U1239" s="1" t="str">
        <f t="array" ref="U1239">IFERROR(INDEX([1]Roster!$E$3:$E$42,MATCH($B1239,[1]Roster!$C$3:$C$42,0)),"")</f>
        <v>D</v>
      </c>
      <c r="V1239" s="76">
        <f t="array" ref="V1239">AVERAGEIFS($E$2:$E2309,$B$2:$B2309,$B1239,$P$2:$P2309,"&lt;="&amp;$P1239,$P$2:$P2309,"&gt;"&amp;$P1239-7)</f>
        <v>6.6304347826086953</v>
      </c>
      <c r="W1239" s="76">
        <f ca="1">IFERROR(__xludf.DUMMYFUNCTION("iferror(stdevp(filter($D$2:$D2314,$B$2:$B2314=$B1242,$O$2:$O2314&lt;=$O1242,$O$2:$O2314&gt;$O1242-7)),0)"),0.687184270936276)</f>
        <v>0.68718427093627599</v>
      </c>
      <c r="X1239" s="77">
        <f t="shared" ca="1" si="21"/>
        <v>-2.3726311144858681</v>
      </c>
      <c r="Y1239" s="77">
        <f t="shared" ca="1" si="22"/>
        <v>1</v>
      </c>
      <c r="Z1239" s="76">
        <f t="array" ref="Z1239">AVERAGEIFS($F$2:$F2309,$B$2:$B2309,$B1239,$P$2:$P2309,"&lt;="&amp;$P1239,$P$2:$P2309,"&gt;"&amp;$P1239-7)</f>
        <v>7.6956521739130439</v>
      </c>
      <c r="AA1239" s="76">
        <f ca="1">IFERROR(__xludf.DUMMYFUNCTION("iferror(stdevp(filter($E$2:$E2314,$B$2:$B2314=$B1242,$O$2:$O2314&lt;=$O1242,$O$2:$O2314&gt;$O1242-7)),0)"),0.745355992499929)</f>
        <v>0.74535599249992901</v>
      </c>
      <c r="AB1239" s="77">
        <f t="shared" ca="1" si="23"/>
        <v>-2.2749561162389198</v>
      </c>
      <c r="AC1239" s="77">
        <f t="shared" ca="1" si="24"/>
        <v>1</v>
      </c>
      <c r="AD1239" s="76">
        <f t="array" ref="AD1239">AVERAGEIFS($G$2:$G2309,$B$2:$B2309,$B1239,$P$2:$P2309,"&lt;="&amp;$P1239,$P$2:$P2309,"&gt;"&amp;$P1239-7)</f>
        <v>8.2608695652173907</v>
      </c>
      <c r="AE1239" s="76">
        <f ca="1">IFERROR(__xludf.DUMMYFUNCTION("iferror(stdevp(filter($F$2:$F2314,$B$2:$B2314=$B1242,$O$2:$O2314&lt;=$O1242,$O$2:$O2314&gt;$O1242-7)),0)"),0)</f>
        <v>0</v>
      </c>
      <c r="AF1239" s="77">
        <f t="shared" ca="1" si="25"/>
        <v>0</v>
      </c>
      <c r="AG1239" s="77">
        <f t="shared" ca="1" si="26"/>
        <v>3</v>
      </c>
      <c r="AH1239" s="76">
        <f t="array" ref="AH1239">AVERAGEIFS($I$2:$I2309,$B$2:$B2309,$B1239,$P$2:$P2309,"&lt;="&amp;$P1239,$P$2:$P2309,"&gt;"&amp;$P1239-7)</f>
        <v>5.7391304347826084</v>
      </c>
      <c r="AI1239" s="76">
        <f ca="1">IFERROR(__xludf.DUMMYFUNCTION("iferror(stdevp(filter($H$2:$H2314,$B$2:$B2314=$B1242,$O$2:$O2314&lt;=$O1242,$O$2:$O2314&gt;$O1242-7)),0)"),1.10554159678513)</f>
        <v>1.1055415967851301</v>
      </c>
      <c r="AJ1239" s="77">
        <f t="shared" ca="1" si="27"/>
        <v>0.23596540010433767</v>
      </c>
      <c r="AK1239" s="77">
        <f t="shared" ca="1" si="28"/>
        <v>3</v>
      </c>
      <c r="AL1239" s="76">
        <f t="array" ref="AL1239">AVERAGEIFS($J$2:$J2309,$B$2:$B2309,$B1239,$P$2:$P2309,"&lt;="&amp;$P1239,$P$2:$P2309,"&gt;"&amp;$P1239-7)</f>
        <v>6.5434782608695654</v>
      </c>
      <c r="AM1239" s="76">
        <f ca="1">IFERROR(__xludf.DUMMYFUNCTION("iferror(stdevp(filter($I$2:$I2314,$B$2:$B2314=$B1242,$O$2:$O2314&lt;=$O1242,$O$2:$O2314&gt;$O1242-7)),0)"),0.687184270936276)</f>
        <v>0.68718427093627599</v>
      </c>
      <c r="AN1239" s="77">
        <f t="shared" ca="1" si="29"/>
        <v>-0.79087703816195654</v>
      </c>
      <c r="AO1239" s="77">
        <f t="shared" ca="1" si="30"/>
        <v>2</v>
      </c>
      <c r="AP1239" s="76">
        <f t="array" ref="AP1239">AVERAGEIFS($K$2:$K2309,$B$2:$B2309,$B1239,$P$2:$P2309,"&lt;="&amp;$P1239,$P$2:$P2309,"&gt;"&amp;$P1239-7)</f>
        <v>6.6086956521739131</v>
      </c>
      <c r="AQ1239" s="76">
        <f ca="1">IFERROR(__xludf.DUMMYFUNCTION("iferror(stdevp(filter($J$2:$J2314,$B$2:$B2314=$B1242,$O$2:$O2314&lt;=$O1242,$O$2:$O2314&gt;$O1242-7)),0)"),0.577350269189625)</f>
        <v>0.57735026918962495</v>
      </c>
      <c r="AR1239" s="77">
        <f t="shared" ca="1" si="31"/>
        <v>-1.0542917959114921</v>
      </c>
      <c r="AS1239" s="77">
        <f t="shared" ca="1" si="32"/>
        <v>1</v>
      </c>
      <c r="AT1239" s="78">
        <f t="shared" ca="1" si="33"/>
        <v>0.45833333333333331</v>
      </c>
    </row>
    <row r="1240" spans="1:46" ht="12.5" x14ac:dyDescent="0.25">
      <c r="A1240" s="75">
        <v>44977.343154004629</v>
      </c>
      <c r="B1240" s="1" t="s">
        <v>17</v>
      </c>
      <c r="C1240" s="1" t="str">
        <f>INDEX(TBL_Name,MATCH(Table2[[#This Row],[Athlete Name]],listNames,0),2)</f>
        <v>Athlete 10</v>
      </c>
      <c r="D1240" s="1" t="s">
        <v>130</v>
      </c>
      <c r="E1240" s="1">
        <v>7</v>
      </c>
      <c r="F1240" s="1">
        <v>8</v>
      </c>
      <c r="G1240" s="1">
        <v>6</v>
      </c>
      <c r="H1240" s="1" t="s">
        <v>228</v>
      </c>
      <c r="I1240" s="1">
        <v>7</v>
      </c>
      <c r="J1240" s="1">
        <v>4</v>
      </c>
      <c r="K1240" s="1">
        <v>6</v>
      </c>
      <c r="L1240" s="1">
        <v>68</v>
      </c>
      <c r="M1240" s="1" t="e">
        <f t="shared" ref="M1240" ca="1" si="38">_xludf.concat($B1240,$P1240)</f>
        <v>#NAME?</v>
      </c>
      <c r="N1240" s="1" t="e">
        <f t="shared" si="18"/>
        <v>#VALUE!</v>
      </c>
      <c r="O1240" s="1" t="e">
        <f ca="1">IF($N1240=_xludf.MINIFS($N$2:$N2490,$R$2:$R2490,$R1240),1,
($N1240-_xludf.MINIFS($N$2:$N2490,$R$2:$R2490,$R1240))+1)</f>
        <v>#VALUE!</v>
      </c>
      <c r="P1240" s="13" t="e">
        <f t="shared" si="19"/>
        <v>#VALUE!</v>
      </c>
      <c r="Q1240" s="1" t="str">
        <f>RIGHT(YEAR($A1240),2)-(MONTH($A1240)&lt;=[1]Roster!$K$25)
 &amp;"-"&amp;
 RIGHT(YEAR($A1240),2)+(MONTH($A1240)&gt;=[1]Roster!$K$26)</f>
        <v>22-23</v>
      </c>
      <c r="R1240" s="1" t="e">
        <f>CHOOSE(MONTH($P1240),[1]Roster!$K$9,[1]Roster!$K$10,[1]Roster!$K$11,[1]Roster!$K$12,[1]Roster!$K$13,[1]Roster!$K$14,[1]Roster!$K$15,[1]Roster!$K$16,[1]Roster!$K$17,[1]Roster!$K$18,[1]Roster!$K$19,[1]Roster!$K$20)&amp;" "&amp;$Q1240</f>
        <v>#VALUE!</v>
      </c>
      <c r="S1240" s="1">
        <f t="shared" si="20"/>
        <v>1</v>
      </c>
      <c r="T1240" s="1" t="str">
        <f t="array" ref="T1240">IFERROR(INDEX([1]Roster!$D$3:$D$42,MATCH($B1240,[1]Roster!$C$3:$C$42,0)),"")</f>
        <v>D</v>
      </c>
      <c r="U1240" s="1" t="str">
        <f t="array" ref="U1240">IFERROR(INDEX([1]Roster!$E$3:$E$42,MATCH($B1240,[1]Roster!$C$3:$C$42,0)),"")</f>
        <v>D</v>
      </c>
      <c r="V1240" s="76">
        <f t="array" ref="V1240">AVERAGEIFS($E$2:$E2309,$B$2:$B2309,$B1240,$P$2:$P2309,"&lt;="&amp;$P1240,$P$2:$P2309,"&gt;"&amp;$P1240-7)</f>
        <v>6.9024390243902438</v>
      </c>
      <c r="W1240" s="76">
        <f ca="1">IFERROR(__xludf.DUMMYFUNCTION("iferror(stdevp(filter($D$2:$D2314,$B$2:$B2314=$B1243,$O$2:$O2314&lt;=$O1243,$O$2:$O2314&gt;$O1243-7)),0)"),1.95078331845327)</f>
        <v>1.9507833184532699</v>
      </c>
      <c r="X1240" s="77">
        <f t="shared" ca="1" si="21"/>
        <v>5.0011179963908026E-2</v>
      </c>
      <c r="Y1240" s="77">
        <f t="shared" ca="1" si="22"/>
        <v>3</v>
      </c>
      <c r="Z1240" s="76">
        <f t="array" ref="Z1240">AVERAGEIFS($F$2:$F2309,$B$2:$B2309,$B1240,$P$2:$P2309,"&lt;="&amp;$P1240,$P$2:$P2309,"&gt;"&amp;$P1240-7)</f>
        <v>7.2926829268292686</v>
      </c>
      <c r="AA1240" s="76">
        <f ca="1">IFERROR(__xludf.DUMMYFUNCTION("iferror(stdevp(filter($E$2:$E2314,$B$2:$B2314=$B1243,$O$2:$O2314&lt;=$O1243,$O$2:$O2314&gt;$O1243-7)),0)"),1.06718737290547)</f>
        <v>1.0671873729054699</v>
      </c>
      <c r="AB1240" s="77">
        <f t="shared" ca="1" si="23"/>
        <v>0.66278620899067242</v>
      </c>
      <c r="AC1240" s="77">
        <f t="shared" ca="1" si="24"/>
        <v>3</v>
      </c>
      <c r="AD1240" s="76">
        <f t="array" ref="AD1240">AVERAGEIFS($G$2:$G2309,$B$2:$B2309,$B1240,$P$2:$P2309,"&lt;="&amp;$P1240,$P$2:$P2309,"&gt;"&amp;$P1240-7)</f>
        <v>7.8048780487804876</v>
      </c>
      <c r="AE1240" s="76">
        <f ca="1">IFERROR(__xludf.DUMMYFUNCTION("iferror(stdevp(filter($F$2:$F2314,$B$2:$B2314=$B1243,$O$2:$O2314&lt;=$O1243,$O$2:$O2314&gt;$O1243-7)),0)"),1.60727512683215)</f>
        <v>1.6072751268321499</v>
      </c>
      <c r="AF1240" s="77">
        <f t="shared" ca="1" si="25"/>
        <v>-1.1229428108788084</v>
      </c>
      <c r="AG1240" s="77">
        <f t="shared" ca="1" si="26"/>
        <v>1</v>
      </c>
      <c r="AH1240" s="76">
        <f t="array" ref="AH1240">AVERAGEIFS($I$2:$I2309,$B$2:$B2309,$B1240,$P$2:$P2309,"&lt;="&amp;$P1240,$P$2:$P2309,"&gt;"&amp;$P1240-7)</f>
        <v>6.3170731707317076</v>
      </c>
      <c r="AI1240" s="76">
        <f ca="1">IFERROR(__xludf.DUMMYFUNCTION("iferror(stdevp(filter($H$2:$H2314,$B$2:$B2314=$B1243,$O$2:$O2314&lt;=$O1243,$O$2:$O2314&gt;$O1243-7)),0)"),1.24721912892464)</f>
        <v>1.2472191289246399</v>
      </c>
      <c r="AJ1240" s="77">
        <f t="shared" ca="1" si="27"/>
        <v>0.54755961757667726</v>
      </c>
      <c r="AK1240" s="77">
        <f t="shared" ca="1" si="28"/>
        <v>3</v>
      </c>
      <c r="AL1240" s="76">
        <f t="array" ref="AL1240">AVERAGEIFS($J$2:$J2309,$B$2:$B2309,$B1240,$P$2:$P2309,"&lt;="&amp;$P1240,$P$2:$P2309,"&gt;"&amp;$P1240-7)</f>
        <v>6.9024390243902438</v>
      </c>
      <c r="AM1240" s="76">
        <f ca="1">IFERROR(__xludf.DUMMYFUNCTION("iferror(stdevp(filter($I$2:$I2314,$B$2:$B2314=$B1243,$O$2:$O2314&lt;=$O1243,$O$2:$O2314&gt;$O1243-7)),0)"),1.5986105077709)</f>
        <v>1.5986105077709001</v>
      </c>
      <c r="AN1240" s="77">
        <f t="shared" ca="1" si="29"/>
        <v>-1.8156011175213655</v>
      </c>
      <c r="AO1240" s="77">
        <f t="shared" ca="1" si="30"/>
        <v>1</v>
      </c>
      <c r="AP1240" s="76">
        <f t="array" ref="AP1240">AVERAGEIFS($K$2:$K2309,$B$2:$B2309,$B1240,$P$2:$P2309,"&lt;="&amp;$P1240,$P$2:$P2309,"&gt;"&amp;$P1240-7)</f>
        <v>8</v>
      </c>
      <c r="AQ1240" s="76">
        <f ca="1">IFERROR(__xludf.DUMMYFUNCTION("iferror(stdevp(filter($J$2:$J2314,$B$2:$B2314=$B1243,$O$2:$O2314&lt;=$O1243,$O$2:$O2314&gt;$O1243-7)),0)"),0.687184270936276)</f>
        <v>0.68718427093627599</v>
      </c>
      <c r="AR1240" s="77">
        <f t="shared" ca="1" si="31"/>
        <v>-2.9104275004359987</v>
      </c>
      <c r="AS1240" s="77">
        <f t="shared" ca="1" si="32"/>
        <v>1</v>
      </c>
      <c r="AT1240" s="78">
        <f t="shared" ca="1" si="33"/>
        <v>0.5</v>
      </c>
    </row>
    <row r="1241" spans="1:46" ht="12.5" x14ac:dyDescent="0.25">
      <c r="A1241" s="75">
        <v>44977.345187430554</v>
      </c>
      <c r="B1241" s="1" t="s">
        <v>29</v>
      </c>
      <c r="C1241" s="1" t="str">
        <f>INDEX(TBL_Name,MATCH(Table2[[#This Row],[Athlete Name]],listNames,0),2)</f>
        <v>Athlete 18</v>
      </c>
      <c r="D1241" s="1" t="s">
        <v>130</v>
      </c>
      <c r="E1241" s="1">
        <v>8</v>
      </c>
      <c r="F1241" s="1">
        <v>10</v>
      </c>
      <c r="G1241" s="1">
        <v>8</v>
      </c>
      <c r="H1241" s="1" t="s">
        <v>1515</v>
      </c>
      <c r="I1241" s="1">
        <v>9</v>
      </c>
      <c r="J1241" s="1">
        <v>9</v>
      </c>
      <c r="K1241" s="1">
        <v>10</v>
      </c>
      <c r="L1241" s="1">
        <v>97</v>
      </c>
      <c r="M1241" s="1" t="e">
        <f t="shared" ref="M1241" ca="1" si="39">_xludf.concat($B1241,$P1241)</f>
        <v>#NAME?</v>
      </c>
      <c r="N1241" s="1" t="e">
        <f t="shared" si="18"/>
        <v>#VALUE!</v>
      </c>
      <c r="O1241" s="1" t="e">
        <f ca="1">IF($N1241=_xludf.MINIFS($N$2:$N2491,$R$2:$R2491,$R1241),1,
($N1241-_xludf.MINIFS($N$2:$N2491,$R$2:$R2491,$R1241))+1)</f>
        <v>#VALUE!</v>
      </c>
      <c r="P1241" s="13" t="e">
        <f t="shared" si="19"/>
        <v>#VALUE!</v>
      </c>
      <c r="Q1241" s="1" t="str">
        <f>RIGHT(YEAR($A1241),2)-(MONTH($A1241)&lt;=[1]Roster!$K$25)
 &amp;"-"&amp;
 RIGHT(YEAR($A1241),2)+(MONTH($A1241)&gt;=[1]Roster!$K$26)</f>
        <v>22-23</v>
      </c>
      <c r="R1241" s="1" t="e">
        <f>CHOOSE(MONTH($P1241),[1]Roster!$K$9,[1]Roster!$K$10,[1]Roster!$K$11,[1]Roster!$K$12,[1]Roster!$K$13,[1]Roster!$K$14,[1]Roster!$K$15,[1]Roster!$K$16,[1]Roster!$K$17,[1]Roster!$K$18,[1]Roster!$K$19,[1]Roster!$K$20)&amp;" "&amp;$Q1241</f>
        <v>#VALUE!</v>
      </c>
      <c r="S1241" s="1">
        <f t="shared" si="20"/>
        <v>1</v>
      </c>
      <c r="T1241" s="1" t="str">
        <f t="array" ref="T1241">IFERROR(INDEX([1]Roster!$D$3:$D$42,MATCH($B1241,[1]Roster!$C$3:$C$42,0)),"")</f>
        <v>GK</v>
      </c>
      <c r="U1241" s="1" t="str">
        <f t="array" ref="U1241">IFERROR(INDEX([1]Roster!$E$3:$E$42,MATCH($B1241,[1]Roster!$C$3:$C$42,0)),"")</f>
        <v>GK</v>
      </c>
      <c r="V1241" s="76">
        <f t="array" ref="V1241">AVERAGEIFS($E$2:$E2309,$B$2:$B2309,$B1241,$P$2:$P2309,"&lt;="&amp;$P1241,$P$2:$P2309,"&gt;"&amp;$P1241-7)</f>
        <v>8.53125</v>
      </c>
      <c r="W1241" s="76">
        <f ca="1">IFERROR(__xludf.DUMMYFUNCTION("iferror(stdevp(filter($D$2:$D2314,$B$2:$B2314=$B1244,$O$2:$O2314&lt;=$O1244,$O$2:$O2314&gt;$O1244-7)),0)"),0.489897948556635)</f>
        <v>0.48989794855663499</v>
      </c>
      <c r="X1241" s="77">
        <f t="shared" ca="1" si="21"/>
        <v>-1.0844095215446374</v>
      </c>
      <c r="Y1241" s="77">
        <f t="shared" ca="1" si="22"/>
        <v>1</v>
      </c>
      <c r="Z1241" s="76">
        <f t="array" ref="Z1241">AVERAGEIFS($F$2:$F2309,$B$2:$B2309,$B1241,$P$2:$P2309,"&lt;="&amp;$P1241,$P$2:$P2309,"&gt;"&amp;$P1241-7)</f>
        <v>8.125</v>
      </c>
      <c r="AA1241" s="76">
        <f ca="1">IFERROR(__xludf.DUMMYFUNCTION("iferror(stdevp(filter($E$2:$E2314,$B$2:$B2314=$B1244,$O$2:$O2314&lt;=$O1244,$O$2:$O2314&gt;$O1244-7)),0)"),0.8)</f>
        <v>0.8</v>
      </c>
      <c r="AB1241" s="77">
        <f t="shared" ca="1" si="23"/>
        <v>2.34375</v>
      </c>
      <c r="AC1241" s="77">
        <f t="shared" ca="1" si="24"/>
        <v>4</v>
      </c>
      <c r="AD1241" s="76">
        <f t="array" ref="AD1241">AVERAGEIFS($G$2:$G2309,$B$2:$B2309,$B1241,$P$2:$P2309,"&lt;="&amp;$P1241,$P$2:$P2309,"&gt;"&amp;$P1241-7)</f>
        <v>8.09375</v>
      </c>
      <c r="AE1241" s="76">
        <f ca="1">IFERROR(__xludf.DUMMYFUNCTION("iferror(stdevp(filter($F$2:$F2314,$B$2:$B2314=$B1244,$O$2:$O2314&lt;=$O1244,$O$2:$O2314&gt;$O1244-7)),0)"),0)</f>
        <v>0</v>
      </c>
      <c r="AF1241" s="77">
        <f t="shared" ca="1" si="25"/>
        <v>0</v>
      </c>
      <c r="AG1241" s="77">
        <f t="shared" ca="1" si="26"/>
        <v>3</v>
      </c>
      <c r="AH1241" s="76">
        <f t="array" ref="AH1241">AVERAGEIFS($I$2:$I2309,$B$2:$B2309,$B1241,$P$2:$P2309,"&lt;="&amp;$P1241,$P$2:$P2309,"&gt;"&amp;$P1241-7)</f>
        <v>7.875</v>
      </c>
      <c r="AI1241" s="76">
        <f ca="1">IFERROR(__xludf.DUMMYFUNCTION("iferror(stdevp(filter($H$2:$H2314,$B$2:$B2314=$B1244,$O$2:$O2314&lt;=$O1244,$O$2:$O2314&gt;$O1244-7)),0)"),1.26491106406735)</f>
        <v>1.26491106406735</v>
      </c>
      <c r="AJ1241" s="77">
        <f t="shared" ca="1" si="27"/>
        <v>0.88939059192235792</v>
      </c>
      <c r="AK1241" s="77">
        <f t="shared" ca="1" si="28"/>
        <v>3</v>
      </c>
      <c r="AL1241" s="76">
        <f t="array" ref="AL1241">AVERAGEIFS($J$2:$J2309,$B$2:$B2309,$B1241,$P$2:$P2309,"&lt;="&amp;$P1241,$P$2:$P2309,"&gt;"&amp;$P1241-7)</f>
        <v>8.34375</v>
      </c>
      <c r="AM1241" s="76">
        <f ca="1">IFERROR(__xludf.DUMMYFUNCTION("iferror(stdevp(filter($I$2:$I2314,$B$2:$B2314=$B1244,$O$2:$O2314&lt;=$O1244,$O$2:$O2314&gt;$O1244-7)),0)"),0.399999999999999)</f>
        <v>0.39999999999999902</v>
      </c>
      <c r="AN1241" s="77">
        <f t="shared" ca="1" si="29"/>
        <v>1.640625000000004</v>
      </c>
      <c r="AO1241" s="77">
        <f t="shared" ca="1" si="30"/>
        <v>4</v>
      </c>
      <c r="AP1241" s="76">
        <f t="array" ref="AP1241">AVERAGEIFS($K$2:$K2309,$B$2:$B2309,$B1241,$P$2:$P2309,"&lt;="&amp;$P1241,$P$2:$P2309,"&gt;"&amp;$P1241-7)</f>
        <v>8.46875</v>
      </c>
      <c r="AQ1241" s="76">
        <f ca="1">IFERROR(__xludf.DUMMYFUNCTION("iferror(stdevp(filter($J$2:$J2314,$B$2:$B2314=$B1244,$O$2:$O2314&lt;=$O1244,$O$2:$O2314&gt;$O1244-7)),0)"),0.748331477354788)</f>
        <v>0.748331477354788</v>
      </c>
      <c r="AR1241" s="77">
        <f t="shared" ca="1" si="31"/>
        <v>2.0462188833920001</v>
      </c>
      <c r="AS1241" s="77">
        <f t="shared" ca="1" si="32"/>
        <v>4</v>
      </c>
      <c r="AT1241" s="78">
        <f t="shared" ca="1" si="33"/>
        <v>0.79166666666666663</v>
      </c>
    </row>
    <row r="1242" spans="1:46" ht="12.5" x14ac:dyDescent="0.25">
      <c r="A1242" s="75">
        <v>44977.345670150462</v>
      </c>
      <c r="B1242" s="1" t="s">
        <v>24</v>
      </c>
      <c r="C1242" s="1" t="str">
        <f>INDEX(TBL_Name,MATCH(Table2[[#This Row],[Athlete Name]],listNames,0),2)</f>
        <v>Athlete 16</v>
      </c>
      <c r="D1242" s="1" t="s">
        <v>130</v>
      </c>
      <c r="E1242" s="1">
        <v>2</v>
      </c>
      <c r="F1242" s="1">
        <v>7</v>
      </c>
      <c r="G1242" s="1">
        <v>7</v>
      </c>
      <c r="H1242" s="1" t="s">
        <v>1592</v>
      </c>
      <c r="I1242" s="1">
        <v>7</v>
      </c>
      <c r="J1242" s="1">
        <v>8</v>
      </c>
      <c r="K1242" s="1">
        <v>8</v>
      </c>
      <c r="L1242" s="1">
        <v>93</v>
      </c>
      <c r="M1242" s="1" t="e">
        <f t="shared" ref="M1242" ca="1" si="40">_xludf.concat($B1242,$P1242)</f>
        <v>#NAME?</v>
      </c>
      <c r="N1242" s="1" t="e">
        <f t="shared" si="18"/>
        <v>#VALUE!</v>
      </c>
      <c r="O1242" s="1" t="e">
        <f ca="1">IF($N1242=_xludf.MINIFS($N$2:$N2492,$R$2:$R2492,$R1242),1,
($N1242-_xludf.MINIFS($N$2:$N2492,$R$2:$R2492,$R1242))+1)</f>
        <v>#VALUE!</v>
      </c>
      <c r="P1242" s="13" t="e">
        <f t="shared" si="19"/>
        <v>#VALUE!</v>
      </c>
      <c r="Q1242" s="1" t="str">
        <f>RIGHT(YEAR($A1242),2)-(MONTH($A1242)&lt;=[1]Roster!$K$25)
 &amp;"-"&amp;
 RIGHT(YEAR($A1242),2)+(MONTH($A1242)&gt;=[1]Roster!$K$26)</f>
        <v>22-23</v>
      </c>
      <c r="R1242" s="1" t="e">
        <f>CHOOSE(MONTH($P1242),[1]Roster!$K$9,[1]Roster!$K$10,[1]Roster!$K$11,[1]Roster!$K$12,[1]Roster!$K$13,[1]Roster!$K$14,[1]Roster!$K$15,[1]Roster!$K$16,[1]Roster!$K$17,[1]Roster!$K$18,[1]Roster!$K$19,[1]Roster!$K$20)&amp;" "&amp;$Q1242</f>
        <v>#VALUE!</v>
      </c>
      <c r="S1242" s="1">
        <f t="shared" si="20"/>
        <v>1</v>
      </c>
      <c r="T1242" s="1" t="str">
        <f t="array" ref="T1242">IFERROR(INDEX([1]Roster!$D$3:$D$42,MATCH($B1242,[1]Roster!$C$3:$C$42,0)),"")</f>
        <v>D</v>
      </c>
      <c r="U1242" s="1" t="str">
        <f t="array" ref="U1242">IFERROR(INDEX([1]Roster!$E$3:$E$42,MATCH($B1242,[1]Roster!$C$3:$C$42,0)),"")</f>
        <v>D</v>
      </c>
      <c r="V1242" s="76">
        <f t="array" ref="V1242">AVERAGEIFS($E$2:$E2309,$B$2:$B2309,$B1242,$P$2:$P2309,"&lt;="&amp;$P1242,$P$2:$P2309,"&gt;"&amp;$P1242-7)</f>
        <v>4.1818181818181817</v>
      </c>
      <c r="W1242" s="76">
        <f ca="1">IFERROR(__xludf.DUMMYFUNCTION("iferror(stdevp(filter($D$2:$D2314,$B$2:$B2314=$B1245,$O$2:$O2314&lt;=$O1245,$O$2:$O2314&gt;$O1245-7)),0)"),1.74355957741626)</f>
        <v>1.74355957741626</v>
      </c>
      <c r="X1242" s="77">
        <f t="shared" ca="1" si="21"/>
        <v>-1.251358548384889</v>
      </c>
      <c r="Y1242" s="77">
        <f t="shared" ca="1" si="22"/>
        <v>1</v>
      </c>
      <c r="Z1242" s="76">
        <f t="array" ref="Z1242">AVERAGEIFS($F$2:$F2309,$B$2:$B2309,$B1242,$P$2:$P2309,"&lt;="&amp;$P1242,$P$2:$P2309,"&gt;"&amp;$P1242-7)</f>
        <v>6</v>
      </c>
      <c r="AA1242" s="76">
        <f ca="1">IFERROR(__xludf.DUMMYFUNCTION("iferror(stdevp(filter($E$2:$E2314,$B$2:$B2314=$B1245,$O$2:$O2314&lt;=$O1245,$O$2:$O2314&gt;$O1245-7)),0)"),1.41421356237309)</f>
        <v>1.41421356237309</v>
      </c>
      <c r="AB1242" s="77">
        <f t="shared" ca="1" si="23"/>
        <v>0.70710678118655002</v>
      </c>
      <c r="AC1242" s="77">
        <f t="shared" ca="1" si="24"/>
        <v>3</v>
      </c>
      <c r="AD1242" s="76">
        <f t="array" ref="AD1242">AVERAGEIFS($G$2:$G2309,$B$2:$B2309,$B1242,$P$2:$P2309,"&lt;="&amp;$P1242,$P$2:$P2309,"&gt;"&amp;$P1242-7)</f>
        <v>5.9090909090909092</v>
      </c>
      <c r="AE1242" s="76">
        <f ca="1">IFERROR(__xludf.DUMMYFUNCTION("iferror(stdevp(filter($F$2:$F2314,$B$2:$B2314=$B1245,$O$2:$O2314&lt;=$O1245,$O$2:$O2314&gt;$O1245-7)),0)"),1.09544511501033)</f>
        <v>1.0954451150103299</v>
      </c>
      <c r="AF1242" s="77">
        <f t="shared" ca="1" si="25"/>
        <v>0.99585919546394042</v>
      </c>
      <c r="AG1242" s="77">
        <f t="shared" ca="1" si="26"/>
        <v>3</v>
      </c>
      <c r="AH1242" s="76">
        <f t="array" ref="AH1242">AVERAGEIFS($I$2:$I2309,$B$2:$B2309,$B1242,$P$2:$P2309,"&lt;="&amp;$P1242,$P$2:$P2309,"&gt;"&amp;$P1242-7)</f>
        <v>4.9545454545454541</v>
      </c>
      <c r="AI1242" s="76">
        <f ca="1">IFERROR(__xludf.DUMMYFUNCTION("iferror(stdevp(filter($H$2:$H2314,$B$2:$B2314=$B1245,$O$2:$O2314&lt;=$O1245,$O$2:$O2314&gt;$O1245-7)),0)"),1.35646599662505)</f>
        <v>1.3564659966250501</v>
      </c>
      <c r="AJ1242" s="77">
        <f t="shared" ca="1" si="27"/>
        <v>1.5079290970387249</v>
      </c>
      <c r="AK1242" s="77">
        <f t="shared" ca="1" si="28"/>
        <v>4</v>
      </c>
      <c r="AL1242" s="76">
        <f t="array" ref="AL1242">AVERAGEIFS($J$2:$J2309,$B$2:$B2309,$B1242,$P$2:$P2309,"&lt;="&amp;$P1242,$P$2:$P2309,"&gt;"&amp;$P1242-7)</f>
        <v>6.9090909090909092</v>
      </c>
      <c r="AM1242" s="76">
        <f ca="1">IFERROR(__xludf.DUMMYFUNCTION("iferror(stdevp(filter($I$2:$I2314,$B$2:$B2314=$B1245,$O$2:$O2314&lt;=$O1245,$O$2:$O2314&gt;$O1245-7)),0)"),1.2)</f>
        <v>1.2</v>
      </c>
      <c r="AN1242" s="77">
        <f t="shared" ca="1" si="29"/>
        <v>0.90909090909090906</v>
      </c>
      <c r="AO1242" s="77">
        <f t="shared" ca="1" si="30"/>
        <v>3</v>
      </c>
      <c r="AP1242" s="76">
        <f t="array" ref="AP1242">AVERAGEIFS($K$2:$K2309,$B$2:$B2309,$B1242,$P$2:$P2309,"&lt;="&amp;$P1242,$P$2:$P2309,"&gt;"&amp;$P1242-7)</f>
        <v>6.7272727272727275</v>
      </c>
      <c r="AQ1242" s="76">
        <f ca="1">IFERROR(__xludf.DUMMYFUNCTION("iferror(stdevp(filter($J$2:$J2314,$B$2:$B2314=$B1245,$O$2:$O2314&lt;=$O1245,$O$2:$O2314&gt;$O1245-7)),0)"),1.16619037896906)</f>
        <v>1.16619037896906</v>
      </c>
      <c r="AR1242" s="77">
        <f t="shared" ca="1" si="31"/>
        <v>1.0913546327250561</v>
      </c>
      <c r="AS1242" s="77">
        <f t="shared" ca="1" si="32"/>
        <v>4</v>
      </c>
      <c r="AT1242" s="78">
        <f t="shared" ca="1" si="33"/>
        <v>0.75</v>
      </c>
    </row>
    <row r="1243" spans="1:46" ht="12.5" x14ac:dyDescent="0.25">
      <c r="A1243" s="75">
        <v>44977.348311932874</v>
      </c>
      <c r="B1243" s="1" t="s">
        <v>10</v>
      </c>
      <c r="C1243" s="1" t="str">
        <f>INDEX(TBL_Name,MATCH(Table2[[#This Row],[Athlete Name]],listNames,0),2)</f>
        <v>Athlete 5</v>
      </c>
      <c r="D1243" s="1" t="s">
        <v>130</v>
      </c>
      <c r="E1243" s="1">
        <v>7</v>
      </c>
      <c r="F1243" s="1">
        <v>7</v>
      </c>
      <c r="G1243" s="1">
        <v>7</v>
      </c>
      <c r="H1243" s="1" t="s">
        <v>151</v>
      </c>
      <c r="I1243" s="1">
        <v>8</v>
      </c>
      <c r="J1243" s="1">
        <v>8</v>
      </c>
      <c r="K1243" s="1">
        <v>8</v>
      </c>
      <c r="L1243" s="1">
        <v>76</v>
      </c>
      <c r="M1243" s="1" t="e">
        <f t="shared" ref="M1243" ca="1" si="41">_xludf.concat($B1243,$P1243)</f>
        <v>#NAME?</v>
      </c>
      <c r="N1243" s="1" t="e">
        <f t="shared" si="18"/>
        <v>#VALUE!</v>
      </c>
      <c r="O1243" s="1" t="e">
        <f ca="1">IF($N1243=_xludf.MINIFS($N$2:$N2493,$R$2:$R2493,$R1243),1,
($N1243-_xludf.MINIFS($N$2:$N2493,$R$2:$R2493,$R1243))+1)</f>
        <v>#VALUE!</v>
      </c>
      <c r="P1243" s="13" t="e">
        <f t="shared" si="19"/>
        <v>#VALUE!</v>
      </c>
      <c r="Q1243" s="1" t="str">
        <f>RIGHT(YEAR($A1243),2)-(MONTH($A1243)&lt;=[1]Roster!$K$25)
 &amp;"-"&amp;
 RIGHT(YEAR($A1243),2)+(MONTH($A1243)&gt;=[1]Roster!$K$26)</f>
        <v>22-23</v>
      </c>
      <c r="R1243" s="1" t="e">
        <f>CHOOSE(MONTH($P1243),[1]Roster!$K$9,[1]Roster!$K$10,[1]Roster!$K$11,[1]Roster!$K$12,[1]Roster!$K$13,[1]Roster!$K$14,[1]Roster!$K$15,[1]Roster!$K$16,[1]Roster!$K$17,[1]Roster!$K$18,[1]Roster!$K$19,[1]Roster!$K$20)&amp;" "&amp;$Q1243</f>
        <v>#VALUE!</v>
      </c>
      <c r="S1243" s="1">
        <f t="shared" si="20"/>
        <v>1</v>
      </c>
      <c r="T1243" s="1" t="str">
        <f t="array" ref="T1243">IFERROR(INDEX([1]Roster!$D$3:$D$42,MATCH($B1243,[1]Roster!$C$3:$C$42,0)),"")</f>
        <v>MID</v>
      </c>
      <c r="U1243" s="1" t="str">
        <f t="array" ref="U1243">IFERROR(INDEX([1]Roster!$E$3:$E$42,MATCH($B1243,[1]Roster!$C$3:$C$42,0)),"")</f>
        <v>MID</v>
      </c>
      <c r="V1243" s="76">
        <f t="array" ref="V1243">AVERAGEIFS($E$2:$E2309,$B$2:$B2309,$B1243,$P$2:$P2309,"&lt;="&amp;$P1243,$P$2:$P2309,"&gt;"&amp;$P1243-7)</f>
        <v>8.4042553191489358</v>
      </c>
      <c r="W1243" s="76">
        <f ca="1">IFERROR(__xludf.DUMMYFUNCTION("iferror(stdevp(filter($D$2:$D2314,$B$2:$B2314=$B1246,$O$2:$O2314&lt;=$O1246,$O$2:$O2314&gt;$O1246-7)),0)"),1.10554159678513)</f>
        <v>1.1055415967851301</v>
      </c>
      <c r="X1243" s="77">
        <f t="shared" ca="1" si="21"/>
        <v>-1.2701967282212203</v>
      </c>
      <c r="Y1243" s="77">
        <f t="shared" ca="1" si="22"/>
        <v>1</v>
      </c>
      <c r="Z1243" s="76">
        <f t="array" ref="Z1243">AVERAGEIFS($F$2:$F2309,$B$2:$B2309,$B1243,$P$2:$P2309,"&lt;="&amp;$P1243,$P$2:$P2309,"&gt;"&amp;$P1243-7)</f>
        <v>8.085106382978724</v>
      </c>
      <c r="AA1243" s="76">
        <f ca="1">IFERROR(__xludf.DUMMYFUNCTION("iferror(stdevp(filter($E$2:$E2314,$B$2:$B2314=$B1246,$O$2:$O2314&lt;=$O1246,$O$2:$O2314&gt;$O1246-7)),0)"),0.471404520791031)</f>
        <v>0.47140452079103101</v>
      </c>
      <c r="AB1243" s="77">
        <f t="shared" ca="1" si="23"/>
        <v>-2.3018582451391909</v>
      </c>
      <c r="AC1243" s="77">
        <f t="shared" ca="1" si="24"/>
        <v>1</v>
      </c>
      <c r="AD1243" s="76">
        <f t="array" ref="AD1243">AVERAGEIFS($G$2:$G2309,$B$2:$B2309,$B1243,$P$2:$P2309,"&lt;="&amp;$P1243,$P$2:$P2309,"&gt;"&amp;$P1243-7)</f>
        <v>8.0638297872340434</v>
      </c>
      <c r="AE1243" s="76">
        <f ca="1">IFERROR(__xludf.DUMMYFUNCTION("iferror(stdevp(filter($F$2:$F2314,$B$2:$B2314=$B1246,$O$2:$O2314&lt;=$O1246,$O$2:$O2314&gt;$O1246-7)),0)"),0.471404520791031)</f>
        <v>0.47140452079103101</v>
      </c>
      <c r="AF1243" s="77">
        <f t="shared" ca="1" si="25"/>
        <v>-2.2567237697443057</v>
      </c>
      <c r="AG1243" s="77">
        <f t="shared" ca="1" si="26"/>
        <v>1</v>
      </c>
      <c r="AH1243" s="76">
        <f t="array" ref="AH1243">AVERAGEIFS($I$2:$I2309,$B$2:$B2309,$B1243,$P$2:$P2309,"&lt;="&amp;$P1243,$P$2:$P2309,"&gt;"&amp;$P1243-7)</f>
        <v>6.7446808510638299</v>
      </c>
      <c r="AI1243" s="76">
        <f ca="1">IFERROR(__xludf.DUMMYFUNCTION("iferror(stdevp(filter($H$2:$H2314,$B$2:$B2314=$B1246,$O$2:$O2314&lt;=$O1246,$O$2:$O2314&gt;$O1246-7)),0)"),2.3392781412697)</f>
        <v>2.3392781412697001</v>
      </c>
      <c r="AJ1243" s="77">
        <f t="shared" ca="1" si="27"/>
        <v>0.53662671693021302</v>
      </c>
      <c r="AK1243" s="77">
        <f t="shared" ca="1" si="28"/>
        <v>3</v>
      </c>
      <c r="AL1243" s="76">
        <f t="array" ref="AL1243">AVERAGEIFS($J$2:$J2309,$B$2:$B2309,$B1243,$P$2:$P2309,"&lt;="&amp;$P1243,$P$2:$P2309,"&gt;"&amp;$P1243-7)</f>
        <v>8.1063829787234045</v>
      </c>
      <c r="AM1243" s="76">
        <f ca="1">IFERROR(__xludf.DUMMYFUNCTION("iferror(stdevp(filter($I$2:$I2314,$B$2:$B2314=$B1246,$O$2:$O2314&lt;=$O1246,$O$2:$O2314&gt;$O1246-7)),0)"),0.372677996249964)</f>
        <v>0.37267799624996401</v>
      </c>
      <c r="AN1243" s="77">
        <f t="shared" ca="1" si="29"/>
        <v>-0.28545548648933627</v>
      </c>
      <c r="AO1243" s="77">
        <f t="shared" ca="1" si="30"/>
        <v>2</v>
      </c>
      <c r="AP1243" s="76">
        <f t="array" ref="AP1243">AVERAGEIFS($K$2:$K2309,$B$2:$B2309,$B1243,$P$2:$P2309,"&lt;="&amp;$P1243,$P$2:$P2309,"&gt;"&amp;$P1243-7)</f>
        <v>8.2978723404255312</v>
      </c>
      <c r="AQ1243" s="76">
        <f ca="1">IFERROR(__xludf.DUMMYFUNCTION("iferror(stdevp(filter($J$2:$J2314,$B$2:$B2314=$B1246,$O$2:$O2314&lt;=$O1246,$O$2:$O2314&gt;$O1246-7)),0)"),0.89752746785575)</f>
        <v>0.89752746785574999</v>
      </c>
      <c r="AR1243" s="77">
        <f t="shared" ca="1" si="31"/>
        <v>-0.33188102993345386</v>
      </c>
      <c r="AS1243" s="77">
        <f t="shared" ca="1" si="32"/>
        <v>2</v>
      </c>
      <c r="AT1243" s="78">
        <f t="shared" ca="1" si="33"/>
        <v>0.41666666666666669</v>
      </c>
    </row>
    <row r="1244" spans="1:46" ht="12.5" x14ac:dyDescent="0.25">
      <c r="A1244" s="75">
        <v>44977.349282372685</v>
      </c>
      <c r="B1244" s="1" t="s">
        <v>22</v>
      </c>
      <c r="C1244" s="1" t="str">
        <f>INDEX(TBL_Name,MATCH(Table2[[#This Row],[Athlete Name]],listNames,0),2)</f>
        <v>Athlete 14</v>
      </c>
      <c r="D1244" s="1" t="s">
        <v>130</v>
      </c>
      <c r="E1244" s="1">
        <v>3</v>
      </c>
      <c r="F1244" s="1">
        <v>3</v>
      </c>
      <c r="G1244" s="1">
        <v>6</v>
      </c>
      <c r="H1244" s="1" t="s">
        <v>236</v>
      </c>
      <c r="I1244" s="1">
        <v>7</v>
      </c>
      <c r="J1244" s="1">
        <v>6</v>
      </c>
      <c r="K1244" s="1">
        <v>5</v>
      </c>
      <c r="L1244" s="1">
        <v>80</v>
      </c>
      <c r="M1244" s="1" t="e">
        <f t="shared" ref="M1244" ca="1" si="42">_xludf.concat($B1244,$P1244)</f>
        <v>#NAME?</v>
      </c>
      <c r="N1244" s="1" t="e">
        <f t="shared" si="18"/>
        <v>#VALUE!</v>
      </c>
      <c r="O1244" s="1" t="e">
        <f ca="1">IF($N1244=_xludf.MINIFS($N$2:$N2494,$R$2:$R2494,$R1244),1,
($N1244-_xludf.MINIFS($N$2:$N2494,$R$2:$R2494,$R1244))+1)</f>
        <v>#VALUE!</v>
      </c>
      <c r="P1244" s="13" t="e">
        <f t="shared" si="19"/>
        <v>#VALUE!</v>
      </c>
      <c r="Q1244" s="1" t="str">
        <f>RIGHT(YEAR($A1244),2)-(MONTH($A1244)&lt;=[1]Roster!$K$25)
 &amp;"-"&amp;
 RIGHT(YEAR($A1244),2)+(MONTH($A1244)&gt;=[1]Roster!$K$26)</f>
        <v>22-23</v>
      </c>
      <c r="R1244" s="1" t="e">
        <f>CHOOSE(MONTH($P1244),[1]Roster!$K$9,[1]Roster!$K$10,[1]Roster!$K$11,[1]Roster!$K$12,[1]Roster!$K$13,[1]Roster!$K$14,[1]Roster!$K$15,[1]Roster!$K$16,[1]Roster!$K$17,[1]Roster!$K$18,[1]Roster!$K$19,[1]Roster!$K$20)&amp;" "&amp;$Q1244</f>
        <v>#VALUE!</v>
      </c>
      <c r="S1244" s="1">
        <f t="shared" si="20"/>
        <v>1</v>
      </c>
      <c r="T1244" s="1" t="str">
        <f t="array" ref="T1244">IFERROR(INDEX([1]Roster!$D$3:$D$42,MATCH($B1244,[1]Roster!$C$3:$C$42,0)),"")</f>
        <v>D</v>
      </c>
      <c r="U1244" s="1" t="str">
        <f t="array" ref="U1244">IFERROR(INDEX([1]Roster!$E$3:$E$42,MATCH($B1244,[1]Roster!$C$3:$C$42,0)),"")</f>
        <v>D</v>
      </c>
      <c r="V1244" s="76">
        <f t="array" ref="V1244">AVERAGEIFS($E$2:$E2309,$B$2:$B2309,$B1244,$P$2:$P2309,"&lt;="&amp;$P1244,$P$2:$P2309,"&gt;"&amp;$P1244-7)</f>
        <v>5.791666666666667</v>
      </c>
      <c r="W1244" s="76">
        <f ca="1">IFERROR(__xludf.DUMMYFUNCTION("iferror(stdevp(filter($D$2:$D2314,$B$2:$B2314=$B1247,$O$2:$O2314&lt;=$O1247,$O$2:$O2314&gt;$O1247-7)),0)"),1.41421356237309)</f>
        <v>1.41421356237309</v>
      </c>
      <c r="X1244" s="77">
        <f t="shared" ca="1" si="21"/>
        <v>-1.9740064308124523</v>
      </c>
      <c r="Y1244" s="77">
        <f t="shared" ca="1" si="22"/>
        <v>1</v>
      </c>
      <c r="Z1244" s="76">
        <f t="array" ref="Z1244">AVERAGEIFS($F$2:$F2309,$B$2:$B2309,$B1244,$P$2:$P2309,"&lt;="&amp;$P1244,$P$2:$P2309,"&gt;"&amp;$P1244-7)</f>
        <v>5.458333333333333</v>
      </c>
      <c r="AA1244" s="76">
        <f ca="1">IFERROR(__xludf.DUMMYFUNCTION("iferror(stdevp(filter($E$2:$E2314,$B$2:$B2314=$B1247,$O$2:$O2314&lt;=$O1247,$O$2:$O2314&gt;$O1247-7)),0)"),1.63299316185545)</f>
        <v>1.6329931618554501</v>
      </c>
      <c r="AB1244" s="77">
        <f t="shared" ca="1" si="23"/>
        <v>-1.5054155710854966</v>
      </c>
      <c r="AC1244" s="77">
        <f t="shared" ca="1" si="24"/>
        <v>1</v>
      </c>
      <c r="AD1244" s="76">
        <f t="array" ref="AD1244">AVERAGEIFS($G$2:$G2309,$B$2:$B2309,$B1244,$P$2:$P2309,"&lt;="&amp;$P1244,$P$2:$P2309,"&gt;"&amp;$P1244-7)</f>
        <v>6.833333333333333</v>
      </c>
      <c r="AE1244" s="76">
        <f ca="1">IFERROR(__xludf.DUMMYFUNCTION("iferror(stdevp(filter($F$2:$F2314,$B$2:$B2314=$B1247,$O$2:$O2314&lt;=$O1247,$O$2:$O2314&gt;$O1247-7)),0)"),1.41421356237309)</f>
        <v>1.41421356237309</v>
      </c>
      <c r="AF1244" s="77">
        <f t="shared" ca="1" si="25"/>
        <v>-0.58925565098879151</v>
      </c>
      <c r="AG1244" s="77">
        <f t="shared" ca="1" si="26"/>
        <v>2</v>
      </c>
      <c r="AH1244" s="76">
        <f t="array" ref="AH1244">AVERAGEIFS($I$2:$I2309,$B$2:$B2309,$B1244,$P$2:$P2309,"&lt;="&amp;$P1244,$P$2:$P2309,"&gt;"&amp;$P1244-7)</f>
        <v>5.125</v>
      </c>
      <c r="AI1244" s="76">
        <f ca="1">IFERROR(__xludf.DUMMYFUNCTION("iferror(stdevp(filter($H$2:$H2314,$B$2:$B2314=$B1247,$O$2:$O2314&lt;=$O1247,$O$2:$O2314&gt;$O1247-7)),0)"),2.16024689946928)</f>
        <v>2.1602468994692798</v>
      </c>
      <c r="AJ1244" s="77">
        <f t="shared" ca="1" si="27"/>
        <v>0.86795634353676976</v>
      </c>
      <c r="AK1244" s="77">
        <f t="shared" ca="1" si="28"/>
        <v>3</v>
      </c>
      <c r="AL1244" s="76">
        <f t="array" ref="AL1244">AVERAGEIFS($J$2:$J2309,$B$2:$B2309,$B1244,$P$2:$P2309,"&lt;="&amp;$P1244,$P$2:$P2309,"&gt;"&amp;$P1244-7)</f>
        <v>7.125</v>
      </c>
      <c r="AM1244" s="76">
        <f ca="1">IFERROR(__xludf.DUMMYFUNCTION("iferror(stdevp(filter($I$2:$I2314,$B$2:$B2314=$B1247,$O$2:$O2314&lt;=$O1247,$O$2:$O2314&gt;$O1247-7)),0)"),0)</f>
        <v>0</v>
      </c>
      <c r="AN1244" s="77">
        <f t="shared" ca="1" si="29"/>
        <v>0</v>
      </c>
      <c r="AO1244" s="77">
        <f t="shared" ca="1" si="30"/>
        <v>3</v>
      </c>
      <c r="AP1244" s="76">
        <f t="array" ref="AP1244">AVERAGEIFS($K$2:$K2309,$B$2:$B2309,$B1244,$P$2:$P2309,"&lt;="&amp;$P1244,$P$2:$P2309,"&gt;"&amp;$P1244-7)</f>
        <v>7.083333333333333</v>
      </c>
      <c r="AQ1244" s="76">
        <f ca="1">IFERROR(__xludf.DUMMYFUNCTION("iferror(stdevp(filter($J$2:$J2314,$B$2:$B2314=$B1247,$O$2:$O2314&lt;=$O1247,$O$2:$O2314&gt;$O1247-7)),0)"),0.816496580927726)</f>
        <v>0.81649658092772603</v>
      </c>
      <c r="AR1244" s="77">
        <f t="shared" ca="1" si="31"/>
        <v>-2.5515518153991437</v>
      </c>
      <c r="AS1244" s="77">
        <f t="shared" ca="1" si="32"/>
        <v>1</v>
      </c>
      <c r="AT1244" s="78">
        <f t="shared" ca="1" si="33"/>
        <v>0.45833333333333331</v>
      </c>
    </row>
    <row r="1245" spans="1:46" ht="12.5" x14ac:dyDescent="0.25">
      <c r="A1245" s="75">
        <v>44977.39706427083</v>
      </c>
      <c r="B1245" s="1" t="s">
        <v>9</v>
      </c>
      <c r="C1245" s="1" t="str">
        <f>INDEX(TBL_Name,MATCH(Table2[[#This Row],[Athlete Name]],listNames,0),2)</f>
        <v>Athlete 4</v>
      </c>
      <c r="D1245" s="1" t="s">
        <v>130</v>
      </c>
      <c r="E1245" s="1">
        <v>7</v>
      </c>
      <c r="F1245" s="1">
        <v>8</v>
      </c>
      <c r="G1245" s="1">
        <v>8</v>
      </c>
      <c r="H1245" s="1" t="s">
        <v>1593</v>
      </c>
      <c r="I1245" s="1">
        <v>6</v>
      </c>
      <c r="J1245" s="1">
        <v>8</v>
      </c>
      <c r="K1245" s="1">
        <v>8</v>
      </c>
      <c r="L1245" s="1">
        <v>93</v>
      </c>
      <c r="M1245" s="1" t="e">
        <f t="shared" ref="M1245" ca="1" si="43">_xludf.concat($B1245,$P1245)</f>
        <v>#NAME?</v>
      </c>
      <c r="N1245" s="1" t="e">
        <f t="shared" si="18"/>
        <v>#VALUE!</v>
      </c>
      <c r="O1245" s="1" t="e">
        <f ca="1">IF($N1245=_xludf.MINIFS($N$2:$N2495,$R$2:$R2495,$R1245),1,
($N1245-_xludf.MINIFS($N$2:$N2495,$R$2:$R2495,$R1245))+1)</f>
        <v>#VALUE!</v>
      </c>
      <c r="P1245" s="13" t="e">
        <f t="shared" si="19"/>
        <v>#VALUE!</v>
      </c>
      <c r="Q1245" s="1" t="str">
        <f>RIGHT(YEAR($A1245),2)-(MONTH($A1245)&lt;=[1]Roster!$K$25)
 &amp;"-"&amp;
 RIGHT(YEAR($A1245),2)+(MONTH($A1245)&gt;=[1]Roster!$K$26)</f>
        <v>22-23</v>
      </c>
      <c r="R1245" s="1" t="e">
        <f>CHOOSE(MONTH($P1245),[1]Roster!$K$9,[1]Roster!$K$10,[1]Roster!$K$11,[1]Roster!$K$12,[1]Roster!$K$13,[1]Roster!$K$14,[1]Roster!$K$15,[1]Roster!$K$16,[1]Roster!$K$17,[1]Roster!$K$18,[1]Roster!$K$19,[1]Roster!$K$20)&amp;" "&amp;$Q1245</f>
        <v>#VALUE!</v>
      </c>
      <c r="S1245" s="1">
        <f t="shared" si="20"/>
        <v>1</v>
      </c>
      <c r="T1245" s="1" t="str">
        <f t="array" ref="T1245">IFERROR(INDEX([1]Roster!$D$3:$D$42,MATCH($B1245,[1]Roster!$C$3:$C$42,0)),"")</f>
        <v>F/MID</v>
      </c>
      <c r="U1245" s="1" t="str">
        <f t="array" ref="U1245">IFERROR(INDEX([1]Roster!$E$3:$E$42,MATCH($B1245,[1]Roster!$C$3:$C$42,0)),"")</f>
        <v>F/MID</v>
      </c>
      <c r="V1245" s="76">
        <f t="array" ref="V1245">AVERAGEIFS($E$2:$E2309,$B$2:$B2309,$B1245,$P$2:$P2309,"&lt;="&amp;$P1245,$P$2:$P2309,"&gt;"&amp;$P1245-7)</f>
        <v>7.4230769230769234</v>
      </c>
      <c r="W1245" s="76">
        <f ca="1">IFERROR(__xludf.DUMMYFUNCTION("iferror(stdevp(filter($D$2:$D2314,$B$2:$B2314=$B1248,$O$2:$O2314&lt;=$O1248,$O$2:$O2314&gt;$O1248-7)),0)"),0.372677996249964)</f>
        <v>0.37267799624996401</v>
      </c>
      <c r="X1245" s="77">
        <f t="shared" ca="1" si="21"/>
        <v>-1.135234511653743</v>
      </c>
      <c r="Y1245" s="77">
        <f t="shared" ca="1" si="22"/>
        <v>1</v>
      </c>
      <c r="Z1245" s="76">
        <f t="array" ref="Z1245">AVERAGEIFS($F$2:$F2309,$B$2:$B2309,$B1245,$P$2:$P2309,"&lt;="&amp;$P1245,$P$2:$P2309,"&gt;"&amp;$P1245-7)</f>
        <v>7.1538461538461542</v>
      </c>
      <c r="AA1245" s="76">
        <f ca="1">IFERROR(__xludf.DUMMYFUNCTION("iferror(stdevp(filter($E$2:$E2314,$B$2:$B2314=$B1248,$O$2:$O2314&lt;=$O1248,$O$2:$O2314&gt;$O1248-7)),0)"),0.745355992499929)</f>
        <v>0.74535599249992901</v>
      </c>
      <c r="AB1245" s="77">
        <f t="shared" ca="1" si="23"/>
        <v>1.1352345116537403</v>
      </c>
      <c r="AC1245" s="77">
        <f t="shared" ca="1" si="24"/>
        <v>4</v>
      </c>
      <c r="AD1245" s="76">
        <f t="array" ref="AD1245">AVERAGEIFS($G$2:$G2309,$B$2:$B2309,$B1245,$P$2:$P2309,"&lt;="&amp;$P1245,$P$2:$P2309,"&gt;"&amp;$P1245-7)</f>
        <v>7.615384615384615</v>
      </c>
      <c r="AE1245" s="76">
        <f ca="1">IFERROR(__xludf.DUMMYFUNCTION("iferror(stdevp(filter($F$2:$F2314,$B$2:$B2314=$B1248,$O$2:$O2314&lt;=$O1248,$O$2:$O2314&gt;$O1248-7)),0)"),0.471404520791031)</f>
        <v>0.47140452079103101</v>
      </c>
      <c r="AF1245" s="77">
        <f t="shared" ca="1" si="25"/>
        <v>0.81589243983063375</v>
      </c>
      <c r="AG1245" s="77">
        <f t="shared" ca="1" si="26"/>
        <v>3</v>
      </c>
      <c r="AH1245" s="76">
        <f t="array" ref="AH1245">AVERAGEIFS($I$2:$I2309,$B$2:$B2309,$B1245,$P$2:$P2309,"&lt;="&amp;$P1245,$P$2:$P2309,"&gt;"&amp;$P1245-7)</f>
        <v>5.1923076923076925</v>
      </c>
      <c r="AI1245" s="76">
        <f ca="1">IFERROR(__xludf.DUMMYFUNCTION("iferror(stdevp(filter($H$2:$H2314,$B$2:$B2314=$B1248,$O$2:$O2314&lt;=$O1248,$O$2:$O2314&gt;$O1248-7)),0)"),1.10554159678513)</f>
        <v>1.1055415967851301</v>
      </c>
      <c r="AJ1245" s="77">
        <f t="shared" ca="1" si="27"/>
        <v>0.73058518109227533</v>
      </c>
      <c r="AK1245" s="77">
        <f t="shared" ca="1" si="28"/>
        <v>3</v>
      </c>
      <c r="AL1245" s="76">
        <f t="array" ref="AL1245">AVERAGEIFS($J$2:$J2309,$B$2:$B2309,$B1245,$P$2:$P2309,"&lt;="&amp;$P1245,$P$2:$P2309,"&gt;"&amp;$P1245-7)</f>
        <v>7.6923076923076925</v>
      </c>
      <c r="AM1245" s="76">
        <f ca="1">IFERROR(__xludf.DUMMYFUNCTION("iferror(stdevp(filter($I$2:$I2314,$B$2:$B2314=$B1248,$O$2:$O2314&lt;=$O1248,$O$2:$O2314&gt;$O1248-7)),0)"),0.577350269189625)</f>
        <v>0.57735026918962495</v>
      </c>
      <c r="AN1245" s="77">
        <f t="shared" ca="1" si="29"/>
        <v>0.53293871002119342</v>
      </c>
      <c r="AO1245" s="77">
        <f t="shared" ca="1" si="30"/>
        <v>3</v>
      </c>
      <c r="AP1245" s="76">
        <f t="array" ref="AP1245">AVERAGEIFS($K$2:$K2309,$B$2:$B2309,$B1245,$P$2:$P2309,"&lt;="&amp;$P1245,$P$2:$P2309,"&gt;"&amp;$P1245-7)</f>
        <v>7.8461538461538458</v>
      </c>
      <c r="AQ1245" s="76">
        <f ca="1">IFERROR(__xludf.DUMMYFUNCTION("iferror(stdevp(filter($J$2:$J2314,$B$2:$B2314=$B1248,$O$2:$O2314&lt;=$O1248,$O$2:$O2314&gt;$O1248-7)),0)"),0.471404520791031)</f>
        <v>0.47140452079103101</v>
      </c>
      <c r="AR1245" s="77">
        <f t="shared" ca="1" si="31"/>
        <v>0.32635697593225388</v>
      </c>
      <c r="AS1245" s="77">
        <f t="shared" ca="1" si="32"/>
        <v>3</v>
      </c>
      <c r="AT1245" s="78">
        <f t="shared" ca="1" si="33"/>
        <v>0.70833333333333337</v>
      </c>
    </row>
    <row r="1246" spans="1:46" ht="12.5" x14ac:dyDescent="0.25">
      <c r="A1246" s="75">
        <v>44977.405484178242</v>
      </c>
      <c r="B1246" s="1" t="s">
        <v>21</v>
      </c>
      <c r="C1246" s="1" t="str">
        <f>INDEX(TBL_Name,MATCH(Table2[[#This Row],[Athlete Name]],listNames,0),2)</f>
        <v>Athlete 13</v>
      </c>
      <c r="D1246" s="1" t="s">
        <v>143</v>
      </c>
      <c r="E1246" s="1">
        <v>6</v>
      </c>
      <c r="F1246" s="1">
        <v>6</v>
      </c>
      <c r="G1246" s="1">
        <v>8</v>
      </c>
      <c r="H1246" s="1" t="s">
        <v>1594</v>
      </c>
      <c r="I1246" s="1">
        <v>6</v>
      </c>
      <c r="J1246" s="1">
        <v>6</v>
      </c>
      <c r="K1246" s="1">
        <v>6</v>
      </c>
      <c r="L1246" s="1">
        <v>70</v>
      </c>
      <c r="M1246" s="1" t="e">
        <f t="shared" ref="M1246" ca="1" si="44">_xludf.concat($B1246,$P1246)</f>
        <v>#NAME?</v>
      </c>
      <c r="N1246" s="1" t="e">
        <f t="shared" si="18"/>
        <v>#VALUE!</v>
      </c>
      <c r="O1246" s="1" t="e">
        <f ca="1">IF($N1246=_xludf.MINIFS($N$2:$N2496,$R$2:$R2496,$R1246),1,
($N1246-_xludf.MINIFS($N$2:$N2496,$R$2:$R2496,$R1246))+1)</f>
        <v>#VALUE!</v>
      </c>
      <c r="P1246" s="13" t="e">
        <f t="shared" si="19"/>
        <v>#VALUE!</v>
      </c>
      <c r="Q1246" s="1" t="str">
        <f>RIGHT(YEAR($A1246),2)-(MONTH($A1246)&lt;=[1]Roster!$K$25)
 &amp;"-"&amp;
 RIGHT(YEAR($A1246),2)+(MONTH($A1246)&gt;=[1]Roster!$K$26)</f>
        <v>22-23</v>
      </c>
      <c r="R1246" s="1" t="e">
        <f>CHOOSE(MONTH($P1246),[1]Roster!$K$9,[1]Roster!$K$10,[1]Roster!$K$11,[1]Roster!$K$12,[1]Roster!$K$13,[1]Roster!$K$14,[1]Roster!$K$15,[1]Roster!$K$16,[1]Roster!$K$17,[1]Roster!$K$18,[1]Roster!$K$19,[1]Roster!$K$20)&amp;" "&amp;$Q1246</f>
        <v>#VALUE!</v>
      </c>
      <c r="S1246" s="1">
        <f t="shared" si="20"/>
        <v>2</v>
      </c>
      <c r="T1246" s="1" t="str">
        <f t="array" ref="T1246">IFERROR(INDEX([1]Roster!$D$3:$D$42,MATCH($B1246,[1]Roster!$C$3:$C$42,0)),"")</f>
        <v>D</v>
      </c>
      <c r="U1246" s="1" t="str">
        <f t="array" ref="U1246">IFERROR(INDEX([1]Roster!$E$3:$E$42,MATCH($B1246,[1]Roster!$C$3:$C$42,0)),"")</f>
        <v>D</v>
      </c>
      <c r="V1246" s="76">
        <f t="array" ref="V1246">AVERAGEIFS($E$2:$E2309,$B$2:$B2309,$B1246,$P$2:$P2309,"&lt;="&amp;$P1246,$P$2:$P2309,"&gt;"&amp;$P1246-7)</f>
        <v>6.6304347826086953</v>
      </c>
      <c r="W1246" s="76">
        <f ca="1">IFERROR(__xludf.DUMMYFUNCTION("iferror(stdevp(filter($D$2:$D2314,$B$2:$B2314=$B1249,$O$2:$O2314&lt;=$O1249,$O$2:$O2314&gt;$O1249-7)),0)"),0.687184270936276)</f>
        <v>0.68718427093627599</v>
      </c>
      <c r="X1246" s="77">
        <f t="shared" ca="1" si="21"/>
        <v>-0.9174173642678688</v>
      </c>
      <c r="Y1246" s="77">
        <f t="shared" ca="1" si="22"/>
        <v>2</v>
      </c>
      <c r="Z1246" s="76">
        <f t="array" ref="Z1246">AVERAGEIFS($F$2:$F2309,$B$2:$B2309,$B1246,$P$2:$P2309,"&lt;="&amp;$P1246,$P$2:$P2309,"&gt;"&amp;$P1246-7)</f>
        <v>7.6956521739130439</v>
      </c>
      <c r="AA1246" s="76">
        <f ca="1">IFERROR(__xludf.DUMMYFUNCTION("iferror(stdevp(filter($E$2:$E2314,$B$2:$B2314=$B1249,$O$2:$O2314&lt;=$O1249,$O$2:$O2314&gt;$O1249-7)),0)"),0.816496580927726)</f>
        <v>0.81649658092772603</v>
      </c>
      <c r="AB1246" s="77">
        <f t="shared" ca="1" si="23"/>
        <v>-2.0767413036639994</v>
      </c>
      <c r="AC1246" s="77">
        <f t="shared" ca="1" si="24"/>
        <v>1</v>
      </c>
      <c r="AD1246" s="76">
        <f t="array" ref="AD1246">AVERAGEIFS($G$2:$G2309,$B$2:$B2309,$B1246,$P$2:$P2309,"&lt;="&amp;$P1246,$P$2:$P2309,"&gt;"&amp;$P1246-7)</f>
        <v>8.2608695652173907</v>
      </c>
      <c r="AE1246" s="76">
        <f ca="1">IFERROR(__xludf.DUMMYFUNCTION("iferror(stdevp(filter($F$2:$F2314,$B$2:$B2314=$B1249,$O$2:$O2314&lt;=$O1249,$O$2:$O2314&gt;$O1249-7)),0)"),0)</f>
        <v>0</v>
      </c>
      <c r="AF1246" s="77">
        <f t="shared" ca="1" si="25"/>
        <v>0</v>
      </c>
      <c r="AG1246" s="77">
        <f t="shared" ca="1" si="26"/>
        <v>3</v>
      </c>
      <c r="AH1246" s="76">
        <f t="array" ref="AH1246">AVERAGEIFS($I$2:$I2309,$B$2:$B2309,$B1246,$P$2:$P2309,"&lt;="&amp;$P1246,$P$2:$P2309,"&gt;"&amp;$P1246-7)</f>
        <v>5.7391304347826084</v>
      </c>
      <c r="AI1246" s="76">
        <f ca="1">IFERROR(__xludf.DUMMYFUNCTION("iferror(stdevp(filter($H$2:$H2314,$B$2:$B2314=$B1249,$O$2:$O2314&lt;=$O1249,$O$2:$O2314&gt;$O1249-7)),0)"),0.89752746785575)</f>
        <v>0.89752746785574999</v>
      </c>
      <c r="AJ1246" s="77">
        <f t="shared" ca="1" si="27"/>
        <v>0.29065357279886428</v>
      </c>
      <c r="AK1246" s="77">
        <f t="shared" ca="1" si="28"/>
        <v>3</v>
      </c>
      <c r="AL1246" s="76">
        <f t="array" ref="AL1246">AVERAGEIFS($J$2:$J2309,$B$2:$B2309,$B1246,$P$2:$P2309,"&lt;="&amp;$P1246,$P$2:$P2309,"&gt;"&amp;$P1246-7)</f>
        <v>6.5434782608695654</v>
      </c>
      <c r="AM1246" s="76">
        <f ca="1">IFERROR(__xludf.DUMMYFUNCTION("iferror(stdevp(filter($I$2:$I2314,$B$2:$B2314=$B1249,$O$2:$O2314&lt;=$O1249,$O$2:$O2314&gt;$O1249-7)),0)"),0.577350269189625)</f>
        <v>0.57735026918962495</v>
      </c>
      <c r="AN1246" s="77">
        <f t="shared" ca="1" si="29"/>
        <v>-0.94133196063526103</v>
      </c>
      <c r="AO1246" s="77">
        <f t="shared" ca="1" si="30"/>
        <v>2</v>
      </c>
      <c r="AP1246" s="76">
        <f t="array" ref="AP1246">AVERAGEIFS($K$2:$K2309,$B$2:$B2309,$B1246,$P$2:$P2309,"&lt;="&amp;$P1246,$P$2:$P2309,"&gt;"&amp;$P1246-7)</f>
        <v>6.6086956521739131</v>
      </c>
      <c r="AQ1246" s="76">
        <f ca="1">IFERROR(__xludf.DUMMYFUNCTION("iferror(stdevp(filter($J$2:$J2314,$B$2:$B2314=$B1249,$O$2:$O2314&lt;=$O1249,$O$2:$O2314&gt;$O1249-7)),0)"),0.372677996249964)</f>
        <v>0.37267799624996401</v>
      </c>
      <c r="AR1246" s="77">
        <f t="shared" ca="1" si="31"/>
        <v>-1.6333018270433288</v>
      </c>
      <c r="AS1246" s="77">
        <f t="shared" ca="1" si="32"/>
        <v>1</v>
      </c>
      <c r="AT1246" s="78">
        <f t="shared" ca="1" si="33"/>
        <v>0.5</v>
      </c>
    </row>
    <row r="1247" spans="1:46" ht="12.5" x14ac:dyDescent="0.25">
      <c r="A1247" s="75">
        <v>44977.40551329861</v>
      </c>
      <c r="B1247" s="1" t="s">
        <v>6</v>
      </c>
      <c r="C1247" s="1" t="str">
        <f>INDEX(TBL_Name,MATCH(Table2[[#This Row],[Athlete Name]],listNames,0),2)</f>
        <v>Athlete 2</v>
      </c>
      <c r="D1247" s="1" t="s">
        <v>130</v>
      </c>
      <c r="E1247" s="1">
        <v>10</v>
      </c>
      <c r="F1247" s="1">
        <v>10</v>
      </c>
      <c r="G1247" s="1">
        <v>9</v>
      </c>
      <c r="H1247" s="1" t="s">
        <v>342</v>
      </c>
      <c r="I1247" s="1">
        <v>9</v>
      </c>
      <c r="J1247" s="1">
        <v>7</v>
      </c>
      <c r="K1247" s="1">
        <v>9</v>
      </c>
      <c r="L1247" s="1">
        <v>98</v>
      </c>
      <c r="M1247" s="1" t="e">
        <f t="shared" ref="M1247" ca="1" si="45">_xludf.concat($B1247,$P1247)</f>
        <v>#NAME?</v>
      </c>
      <c r="N1247" s="1" t="e">
        <f t="shared" si="18"/>
        <v>#VALUE!</v>
      </c>
      <c r="O1247" s="1" t="e">
        <f ca="1">IF($N1247=_xludf.MINIFS($N$2:$N2497,$R$2:$R2497,$R1247),1,
($N1247-_xludf.MINIFS($N$2:$N2497,$R$2:$R2497,$R1247))+1)</f>
        <v>#VALUE!</v>
      </c>
      <c r="P1247" s="13" t="e">
        <f t="shared" si="19"/>
        <v>#VALUE!</v>
      </c>
      <c r="Q1247" s="1" t="str">
        <f>RIGHT(YEAR($A1247),2)-(MONTH($A1247)&lt;=[1]Roster!$K$25)
 &amp;"-"&amp;
 RIGHT(YEAR($A1247),2)+(MONTH($A1247)&gt;=[1]Roster!$K$26)</f>
        <v>22-23</v>
      </c>
      <c r="R1247" s="1" t="e">
        <f>CHOOSE(MONTH($P1247),[1]Roster!$K$9,[1]Roster!$K$10,[1]Roster!$K$11,[1]Roster!$K$12,[1]Roster!$K$13,[1]Roster!$K$14,[1]Roster!$K$15,[1]Roster!$K$16,[1]Roster!$K$17,[1]Roster!$K$18,[1]Roster!$K$19,[1]Roster!$K$20)&amp;" "&amp;$Q1247</f>
        <v>#VALUE!</v>
      </c>
      <c r="S1247" s="1">
        <f t="shared" si="20"/>
        <v>1</v>
      </c>
      <c r="T1247" s="1" t="str">
        <f t="array" ref="T1247">IFERROR(INDEX([1]Roster!$D$3:$D$42,MATCH($B1247,[1]Roster!$C$3:$C$42,0)),"")</f>
        <v>FWD</v>
      </c>
      <c r="U1247" s="1" t="str">
        <f t="array" ref="U1247">IFERROR(INDEX([1]Roster!$E$3:$E$42,MATCH($B1247,[1]Roster!$C$3:$C$42,0)),"")</f>
        <v>FWD</v>
      </c>
      <c r="V1247" s="76">
        <f t="array" ref="V1247">AVERAGEIFS($E$2:$E2309,$B$2:$B2309,$B1247,$P$2:$P2309,"&lt;="&amp;$P1247,$P$2:$P2309,"&gt;"&amp;$P1247-7)</f>
        <v>9.7441860465116275</v>
      </c>
      <c r="W1247" s="76">
        <f ca="1">IFERROR(__xludf.DUMMYFUNCTION("iferror(stdevp(filter($D$2:$D2314,$B$2:$B2314=$B1250,$O$2:$O2314&lt;=$O1250,$O$2:$O2314&gt;$O1250-7)),0)"),0)</f>
        <v>0</v>
      </c>
      <c r="X1247" s="77">
        <f t="shared" ca="1" si="21"/>
        <v>0</v>
      </c>
      <c r="Y1247" s="77">
        <f t="shared" ca="1" si="22"/>
        <v>3</v>
      </c>
      <c r="Z1247" s="76">
        <f t="array" ref="Z1247">AVERAGEIFS($F$2:$F2309,$B$2:$B2309,$B1247,$P$2:$P2309,"&lt;="&amp;$P1247,$P$2:$P2309,"&gt;"&amp;$P1247-7)</f>
        <v>8.279069767441861</v>
      </c>
      <c r="AA1247" s="76">
        <f ca="1">IFERROR(__xludf.DUMMYFUNCTION("iferror(stdevp(filter($E$2:$E2314,$B$2:$B2314=$B1250,$O$2:$O2314&lt;=$O1250,$O$2:$O2314&gt;$O1250-7)),0)"),0)</f>
        <v>0</v>
      </c>
      <c r="AB1247" s="77">
        <f t="shared" ca="1" si="23"/>
        <v>0</v>
      </c>
      <c r="AC1247" s="77">
        <f t="shared" ca="1" si="24"/>
        <v>3</v>
      </c>
      <c r="AD1247" s="76">
        <f t="array" ref="AD1247">AVERAGEIFS($G$2:$G2309,$B$2:$B2309,$B1247,$P$2:$P2309,"&lt;="&amp;$P1247,$P$2:$P2309,"&gt;"&amp;$P1247-7)</f>
        <v>8.604651162790697</v>
      </c>
      <c r="AE1247" s="76">
        <f ca="1">IFERROR(__xludf.DUMMYFUNCTION("iferror(stdevp(filter($F$2:$F2314,$B$2:$B2314=$B1250,$O$2:$O2314&lt;=$O1250,$O$2:$O2314&gt;$O1250-7)),0)"),0)</f>
        <v>0</v>
      </c>
      <c r="AF1247" s="77">
        <f t="shared" ca="1" si="25"/>
        <v>0</v>
      </c>
      <c r="AG1247" s="77">
        <f t="shared" ca="1" si="26"/>
        <v>3</v>
      </c>
      <c r="AH1247" s="76">
        <f t="array" ref="AH1247">AVERAGEIFS($I$2:$I2309,$B$2:$B2309,$B1247,$P$2:$P2309,"&lt;="&amp;$P1247,$P$2:$P2309,"&gt;"&amp;$P1247-7)</f>
        <v>8.3488372093023262</v>
      </c>
      <c r="AI1247" s="76">
        <f ca="1">IFERROR(__xludf.DUMMYFUNCTION("iferror(stdevp(filter($H$2:$H2314,$B$2:$B2314=$B1250,$O$2:$O2314&lt;=$O1250,$O$2:$O2314&gt;$O1250-7)),0)"),1.49666295470957)</f>
        <v>1.49666295470957</v>
      </c>
      <c r="AJ1247" s="77">
        <f t="shared" ca="1" si="27"/>
        <v>0.43507644032255283</v>
      </c>
      <c r="AK1247" s="77">
        <f t="shared" ca="1" si="28"/>
        <v>3</v>
      </c>
      <c r="AL1247" s="76">
        <f t="array" ref="AL1247">AVERAGEIFS($J$2:$J2309,$B$2:$B2309,$B1247,$P$2:$P2309,"&lt;="&amp;$P1247,$P$2:$P2309,"&gt;"&amp;$P1247-7)</f>
        <v>8.3023255813953494</v>
      </c>
      <c r="AM1247" s="76">
        <f ca="1">IFERROR(__xludf.DUMMYFUNCTION("iferror(stdevp(filter($I$2:$I2314,$B$2:$B2314=$B1250,$O$2:$O2314&lt;=$O1250,$O$2:$O2314&gt;$O1250-7)),0)"),0.632455532033675)</f>
        <v>0.63245553203367499</v>
      </c>
      <c r="AN1247" s="77">
        <f t="shared" ca="1" si="29"/>
        <v>-2.0591575461561575</v>
      </c>
      <c r="AO1247" s="77">
        <f t="shared" ca="1" si="30"/>
        <v>1</v>
      </c>
      <c r="AP1247" s="76">
        <f t="array" ref="AP1247">AVERAGEIFS($K$2:$K2309,$B$2:$B2309,$B1247,$P$2:$P2309,"&lt;="&amp;$P1247,$P$2:$P2309,"&gt;"&amp;$P1247-7)</f>
        <v>8.9069767441860463</v>
      </c>
      <c r="AQ1247" s="76">
        <f ca="1">IFERROR(__xludf.DUMMYFUNCTION("iferror(stdevp(filter($J$2:$J2314,$B$2:$B2314=$B1250,$O$2:$O2314&lt;=$O1250,$O$2:$O2314&gt;$O1250-7)),0)"),0.4)</f>
        <v>0.4</v>
      </c>
      <c r="AR1247" s="77">
        <f t="shared" ca="1" si="31"/>
        <v>0.23255813953488413</v>
      </c>
      <c r="AS1247" s="77">
        <f t="shared" ca="1" si="32"/>
        <v>3</v>
      </c>
      <c r="AT1247" s="78">
        <f t="shared" ca="1" si="33"/>
        <v>0.66666666666666663</v>
      </c>
    </row>
    <row r="1248" spans="1:46" ht="12.5" x14ac:dyDescent="0.25">
      <c r="A1248" s="75">
        <v>44977.45824821759</v>
      </c>
      <c r="B1248" s="1" t="s">
        <v>13</v>
      </c>
      <c r="C1248" s="1" t="str">
        <f>INDEX(TBL_Name,MATCH(Table2[[#This Row],[Athlete Name]],listNames,0),2)</f>
        <v>Athlete 7</v>
      </c>
      <c r="D1248" s="1" t="s">
        <v>130</v>
      </c>
      <c r="E1248" s="1">
        <v>3</v>
      </c>
      <c r="F1248" s="1">
        <v>7</v>
      </c>
      <c r="G1248" s="1">
        <v>6</v>
      </c>
      <c r="H1248" s="1" t="s">
        <v>362</v>
      </c>
      <c r="I1248" s="1">
        <v>6</v>
      </c>
      <c r="J1248" s="1">
        <v>10</v>
      </c>
      <c r="K1248" s="1">
        <v>10</v>
      </c>
      <c r="L1248" s="1">
        <v>80</v>
      </c>
      <c r="M1248" s="1" t="e">
        <f t="shared" ref="M1248" ca="1" si="46">_xludf.concat($B1248,$P1248)</f>
        <v>#NAME?</v>
      </c>
      <c r="N1248" s="1" t="e">
        <f t="shared" si="18"/>
        <v>#VALUE!</v>
      </c>
      <c r="O1248" s="1" t="e">
        <f ca="1">IF($N1248=_xludf.MINIFS($N$2:$N2498,$R$2:$R2498,$R1248),1,
($N1248-_xludf.MINIFS($N$2:$N2498,$R$2:$R2498,$R1248))+1)</f>
        <v>#VALUE!</v>
      </c>
      <c r="P1248" s="13" t="e">
        <f t="shared" si="19"/>
        <v>#VALUE!</v>
      </c>
      <c r="Q1248" s="1" t="str">
        <f>RIGHT(YEAR($A1248),2)-(MONTH($A1248)&lt;=[1]Roster!$K$25)
 &amp;"-"&amp;
 RIGHT(YEAR($A1248),2)+(MONTH($A1248)&gt;=[1]Roster!$K$26)</f>
        <v>22-23</v>
      </c>
      <c r="R1248" s="1" t="e">
        <f>CHOOSE(MONTH($P1248),[1]Roster!$K$9,[1]Roster!$K$10,[1]Roster!$K$11,[1]Roster!$K$12,[1]Roster!$K$13,[1]Roster!$K$14,[1]Roster!$K$15,[1]Roster!$K$16,[1]Roster!$K$17,[1]Roster!$K$18,[1]Roster!$K$19,[1]Roster!$K$20)&amp;" "&amp;$Q1248</f>
        <v>#VALUE!</v>
      </c>
      <c r="S1248" s="1">
        <f t="shared" si="20"/>
        <v>1</v>
      </c>
      <c r="T1248" s="1" t="str">
        <f t="array" ref="T1248">IFERROR(INDEX([1]Roster!$D$3:$D$42,MATCH($B1248,[1]Roster!$C$3:$C$42,0)),"")</f>
        <v>MID/D</v>
      </c>
      <c r="U1248" s="1" t="str">
        <f t="array" ref="U1248">IFERROR(INDEX([1]Roster!$E$3:$E$42,MATCH($B1248,[1]Roster!$C$3:$C$42,0)),"")</f>
        <v>MID/D</v>
      </c>
      <c r="V1248" s="76">
        <f t="array" ref="V1248">AVERAGEIFS($E$2:$E2309,$B$2:$B2309,$B1248,$P$2:$P2309,"&lt;="&amp;$P1248,$P$2:$P2309,"&gt;"&amp;$P1248-7)</f>
        <v>7.6857142857142859</v>
      </c>
      <c r="W1248" s="76">
        <f ca="1">IFERROR(__xludf.DUMMYFUNCTION("iferror(stdevp(filter($D$2:$D2314,$B$2:$B2314=$B1251,$O$2:$O2314&lt;=$O1251,$O$2:$O2314&gt;$O1251-7)),0)"),2.59807621135331)</f>
        <v>2.5980762113533098</v>
      </c>
      <c r="X1248" s="77">
        <f t="shared" ca="1" si="21"/>
        <v>-1.8035322694685496</v>
      </c>
      <c r="Y1248" s="77">
        <f t="shared" ca="1" si="22"/>
        <v>1</v>
      </c>
      <c r="Z1248" s="76">
        <f t="array" ref="Z1248">AVERAGEIFS($F$2:$F2309,$B$2:$B2309,$B1248,$P$2:$P2309,"&lt;="&amp;$P1248,$P$2:$P2309,"&gt;"&amp;$P1248-7)</f>
        <v>7.0857142857142854</v>
      </c>
      <c r="AA1248" s="76">
        <f ca="1">IFERROR(__xludf.DUMMYFUNCTION("iferror(stdevp(filter($E$2:$E2314,$B$2:$B2314=$B1251,$O$2:$O2314&lt;=$O1251,$O$2:$O2314&gt;$O1251-7)),0)"),0.82915619758885)</f>
        <v>0.82915619758884995</v>
      </c>
      <c r="AB1248" s="77">
        <f t="shared" ca="1" si="23"/>
        <v>-0.10337531814094716</v>
      </c>
      <c r="AC1248" s="77">
        <f t="shared" ca="1" si="24"/>
        <v>2</v>
      </c>
      <c r="AD1248" s="76">
        <f t="array" ref="AD1248">AVERAGEIFS($G$2:$G2309,$B$2:$B2309,$B1248,$P$2:$P2309,"&lt;="&amp;$P1248,$P$2:$P2309,"&gt;"&amp;$P1248-7)</f>
        <v>7.1428571428571432</v>
      </c>
      <c r="AE1248" s="76">
        <f ca="1">IFERROR(__xludf.DUMMYFUNCTION("iferror(stdevp(filter($F$2:$F2314,$B$2:$B2314=$B1251,$O$2:$O2314&lt;=$O1251,$O$2:$O2314&gt;$O1251-7)),0)"),0.707106781186547)</f>
        <v>0.70710678118654702</v>
      </c>
      <c r="AF1248" s="77">
        <f t="shared" ca="1" si="25"/>
        <v>-1.6162440712835389</v>
      </c>
      <c r="AG1248" s="77">
        <f t="shared" ca="1" si="26"/>
        <v>1</v>
      </c>
      <c r="AH1248" s="76">
        <f t="array" ref="AH1248">AVERAGEIFS($I$2:$I2309,$B$2:$B2309,$B1248,$P$2:$P2309,"&lt;="&amp;$P1248,$P$2:$P2309,"&gt;"&amp;$P1248-7)</f>
        <v>7.0285714285714285</v>
      </c>
      <c r="AI1248" s="76">
        <f ca="1">IFERROR(__xludf.DUMMYFUNCTION("iferror(stdevp(filter($H$2:$H2314,$B$2:$B2314=$B1251,$O$2:$O2314&lt;=$O1251,$O$2:$O2314&gt;$O1251-7)),0)"),1.58113883008418)</f>
        <v>1.58113883008418</v>
      </c>
      <c r="AJ1248" s="77">
        <f t="shared" ca="1" si="27"/>
        <v>-0.65052569009178485</v>
      </c>
      <c r="AK1248" s="77">
        <f t="shared" ca="1" si="28"/>
        <v>2</v>
      </c>
      <c r="AL1248" s="76">
        <f t="array" ref="AL1248">AVERAGEIFS($J$2:$J2309,$B$2:$B2309,$B1248,$P$2:$P2309,"&lt;="&amp;$P1248,$P$2:$P2309,"&gt;"&amp;$P1248-7)</f>
        <v>9.742857142857142</v>
      </c>
      <c r="AM1248" s="76">
        <f ca="1">IFERROR(__xludf.DUMMYFUNCTION("iferror(stdevp(filter($I$2:$I2314,$B$2:$B2314=$B1251,$O$2:$O2314&lt;=$O1251,$O$2:$O2314&gt;$O1251-7)),0)"),0)</f>
        <v>0</v>
      </c>
      <c r="AN1248" s="77">
        <f t="shared" ca="1" si="29"/>
        <v>0</v>
      </c>
      <c r="AO1248" s="77">
        <f t="shared" ca="1" si="30"/>
        <v>3</v>
      </c>
      <c r="AP1248" s="76">
        <f t="array" ref="AP1248">AVERAGEIFS($K$2:$K2309,$B$2:$B2309,$B1248,$P$2:$P2309,"&lt;="&amp;$P1248,$P$2:$P2309,"&gt;"&amp;$P1248-7)</f>
        <v>9.4285714285714288</v>
      </c>
      <c r="AQ1248" s="76">
        <f ca="1">IFERROR(__xludf.DUMMYFUNCTION("iferror(stdevp(filter($J$2:$J2314,$B$2:$B2314=$B1251,$O$2:$O2314&lt;=$O1251,$O$2:$O2314&gt;$O1251-7)),0)"),0)</f>
        <v>0</v>
      </c>
      <c r="AR1248" s="77">
        <f t="shared" ca="1" si="31"/>
        <v>0</v>
      </c>
      <c r="AS1248" s="77">
        <f t="shared" ca="1" si="32"/>
        <v>3</v>
      </c>
      <c r="AT1248" s="78">
        <f t="shared" ca="1" si="33"/>
        <v>0.5</v>
      </c>
    </row>
    <row r="1249" spans="1:46" ht="12.5" x14ac:dyDescent="0.25">
      <c r="A1249" s="75">
        <v>44977.473930879627</v>
      </c>
      <c r="B1249" s="1" t="s">
        <v>4</v>
      </c>
      <c r="C1249" s="1" t="str">
        <f>INDEX(TBL_Name,MATCH(Table2[[#This Row],[Athlete Name]],listNames,0),2)</f>
        <v>Athlete 1</v>
      </c>
      <c r="D1249" s="1" t="s">
        <v>130</v>
      </c>
      <c r="E1249" s="1">
        <v>8</v>
      </c>
      <c r="F1249" s="1">
        <v>7</v>
      </c>
      <c r="G1249" s="1">
        <v>6</v>
      </c>
      <c r="H1249" s="1" t="s">
        <v>506</v>
      </c>
      <c r="I1249" s="1">
        <v>5</v>
      </c>
      <c r="J1249" s="1">
        <v>5</v>
      </c>
      <c r="K1249" s="1">
        <v>5</v>
      </c>
      <c r="L1249" s="1">
        <v>80</v>
      </c>
      <c r="M1249" s="1" t="e">
        <f t="shared" ref="M1249" ca="1" si="47">_xludf.concat($B1249,$P1249)</f>
        <v>#NAME?</v>
      </c>
      <c r="N1249" s="1" t="e">
        <f t="shared" si="18"/>
        <v>#VALUE!</v>
      </c>
      <c r="O1249" s="1" t="e">
        <f ca="1">IF($N1249=_xludf.MINIFS($N$2:$N2499,$R$2:$R2499,$R1249),1,
($N1249-_xludf.MINIFS($N$2:$N2499,$R$2:$R2499,$R1249))+1)</f>
        <v>#VALUE!</v>
      </c>
      <c r="P1249" s="13" t="e">
        <f t="shared" si="19"/>
        <v>#VALUE!</v>
      </c>
      <c r="Q1249" s="1" t="str">
        <f>RIGHT(YEAR($A1249),2)-(MONTH($A1249)&lt;=[1]Roster!$K$25)
 &amp;"-"&amp;
 RIGHT(YEAR($A1249),2)+(MONTH($A1249)&gt;=[1]Roster!$K$26)</f>
        <v>22-23</v>
      </c>
      <c r="R1249" s="1" t="e">
        <f>CHOOSE(MONTH($P1249),[1]Roster!$K$9,[1]Roster!$K$10,[1]Roster!$K$11,[1]Roster!$K$12,[1]Roster!$K$13,[1]Roster!$K$14,[1]Roster!$K$15,[1]Roster!$K$16,[1]Roster!$K$17,[1]Roster!$K$18,[1]Roster!$K$19,[1]Roster!$K$20)&amp;" "&amp;$Q1249</f>
        <v>#VALUE!</v>
      </c>
      <c r="S1249" s="1">
        <f t="shared" si="20"/>
        <v>1</v>
      </c>
      <c r="T1249" s="1" t="str">
        <f t="array" ref="T1249">IFERROR(INDEX([1]Roster!$D$3:$D$42,MATCH($B1249,[1]Roster!$C$3:$C$42,0)),"")</f>
        <v>FWD</v>
      </c>
      <c r="U1249" s="1" t="str">
        <f t="array" ref="U1249">IFERROR(INDEX([1]Roster!$E$3:$E$42,MATCH($B1249,[1]Roster!$C$3:$C$42,0)),"")</f>
        <v>FWD</v>
      </c>
      <c r="V1249" s="76">
        <f t="array" ref="V1249">AVERAGEIFS($E$2:$E2309,$B$2:$B2309,$B1249,$P$2:$P2309,"&lt;="&amp;$P1249,$P$2:$P2309,"&gt;"&amp;$P1249-7)</f>
        <v>8.3809523809523814</v>
      </c>
      <c r="W1249" s="76">
        <f ca="1">IFERROR(__xludf.DUMMYFUNCTION("iferror(stdevp(filter($D$2:$D2314,$B$2:$B2314=$B1252,$O$2:$O2314&lt;=$O1252,$O$2:$O2314&gt;$O1252-7)),0)"),0.5)</f>
        <v>0.5</v>
      </c>
      <c r="X1249" s="77">
        <f t="shared" ca="1" si="21"/>
        <v>-0.76190476190476275</v>
      </c>
      <c r="Y1249" s="77">
        <f t="shared" ca="1" si="22"/>
        <v>2</v>
      </c>
      <c r="Z1249" s="76">
        <f t="array" ref="Z1249">AVERAGEIFS($F$2:$F2309,$B$2:$B2309,$B1249,$P$2:$P2309,"&lt;="&amp;$P1249,$P$2:$P2309,"&gt;"&amp;$P1249-7)</f>
        <v>6.8571428571428568</v>
      </c>
      <c r="AA1249" s="76">
        <f ca="1">IFERROR(__xludf.DUMMYFUNCTION("iferror(stdevp(filter($E$2:$E2314,$B$2:$B2314=$B1252,$O$2:$O2314&lt;=$O1252,$O$2:$O2314&gt;$O1252-7)),0)"),0.5)</f>
        <v>0.5</v>
      </c>
      <c r="AB1249" s="77">
        <f t="shared" ca="1" si="23"/>
        <v>0.28571428571428648</v>
      </c>
      <c r="AC1249" s="77">
        <f t="shared" ca="1" si="24"/>
        <v>3</v>
      </c>
      <c r="AD1249" s="76">
        <f t="array" ref="AD1249">AVERAGEIFS($G$2:$G2309,$B$2:$B2309,$B1249,$P$2:$P2309,"&lt;="&amp;$P1249,$P$2:$P2309,"&gt;"&amp;$P1249-7)</f>
        <v>5.7619047619047619</v>
      </c>
      <c r="AE1249" s="76">
        <f ca="1">IFERROR(__xludf.DUMMYFUNCTION("iferror(stdevp(filter($F$2:$F2314,$B$2:$B2314=$B1252,$O$2:$O2314&lt;=$O1252,$O$2:$O2314&gt;$O1252-7)),0)"),0)</f>
        <v>0</v>
      </c>
      <c r="AF1249" s="77">
        <f t="shared" ca="1" si="25"/>
        <v>0</v>
      </c>
      <c r="AG1249" s="77">
        <f t="shared" ca="1" si="26"/>
        <v>3</v>
      </c>
      <c r="AH1249" s="76">
        <f t="array" ref="AH1249">AVERAGEIFS($I$2:$I2309,$B$2:$B2309,$B1249,$P$2:$P2309,"&lt;="&amp;$P1249,$P$2:$P2309,"&gt;"&amp;$P1249-7)</f>
        <v>6.8571428571428568</v>
      </c>
      <c r="AI1249" s="76">
        <f ca="1">IFERROR(__xludf.DUMMYFUNCTION("iferror(stdevp(filter($H$2:$H2314,$B$2:$B2314=$B1252,$O$2:$O2314&lt;=$O1252,$O$2:$O2314&gt;$O1252-7)),0)"),0)</f>
        <v>0</v>
      </c>
      <c r="AJ1249" s="77">
        <f t="shared" ca="1" si="27"/>
        <v>0</v>
      </c>
      <c r="AK1249" s="77">
        <f t="shared" ca="1" si="28"/>
        <v>3</v>
      </c>
      <c r="AL1249" s="76">
        <f t="array" ref="AL1249">AVERAGEIFS($J$2:$J2309,$B$2:$B2309,$B1249,$P$2:$P2309,"&lt;="&amp;$P1249,$P$2:$P2309,"&gt;"&amp;$P1249-7)</f>
        <v>5.0952380952380949</v>
      </c>
      <c r="AM1249" s="76">
        <f ca="1">IFERROR(__xludf.DUMMYFUNCTION("iferror(stdevp(filter($I$2:$I2314,$B$2:$B2314=$B1252,$O$2:$O2314&lt;=$O1252,$O$2:$O2314&gt;$O1252-7)),0)"),0)</f>
        <v>0</v>
      </c>
      <c r="AN1249" s="77">
        <f t="shared" ca="1" si="29"/>
        <v>0</v>
      </c>
      <c r="AO1249" s="77">
        <f t="shared" ca="1" si="30"/>
        <v>3</v>
      </c>
      <c r="AP1249" s="76">
        <f t="array" ref="AP1249">AVERAGEIFS($K$2:$K2309,$B$2:$B2309,$B1249,$P$2:$P2309,"&lt;="&amp;$P1249,$P$2:$P2309,"&gt;"&amp;$P1249-7)</f>
        <v>5.3809523809523814</v>
      </c>
      <c r="AQ1249" s="76">
        <f ca="1">IFERROR(__xludf.DUMMYFUNCTION("iferror(stdevp(filter($J$2:$J2314,$B$2:$B2314=$B1252,$O$2:$O2314&lt;=$O1252,$O$2:$O2314&gt;$O1252-7)),0)"),0)</f>
        <v>0</v>
      </c>
      <c r="AR1249" s="77">
        <f t="shared" ca="1" si="31"/>
        <v>0</v>
      </c>
      <c r="AS1249" s="77">
        <f t="shared" ca="1" si="32"/>
        <v>3</v>
      </c>
      <c r="AT1249" s="78">
        <f t="shared" ca="1" si="33"/>
        <v>0.70833333333333337</v>
      </c>
    </row>
    <row r="1250" spans="1:46" ht="12.5" x14ac:dyDescent="0.25">
      <c r="A1250" s="75">
        <v>44977.483034432866</v>
      </c>
      <c r="B1250" s="1" t="s">
        <v>15</v>
      </c>
      <c r="C1250" s="1" t="str">
        <f>INDEX(TBL_Name,MATCH(Table2[[#This Row],[Athlete Name]],listNames,0),2)</f>
        <v>Athlete 8</v>
      </c>
      <c r="D1250" s="1" t="s">
        <v>143</v>
      </c>
      <c r="E1250" s="1">
        <v>10</v>
      </c>
      <c r="F1250" s="1">
        <v>8</v>
      </c>
      <c r="G1250" s="1">
        <v>6</v>
      </c>
      <c r="H1250" s="1"/>
      <c r="I1250" s="1">
        <v>10</v>
      </c>
      <c r="J1250" s="1">
        <v>10</v>
      </c>
      <c r="K1250" s="1">
        <v>10</v>
      </c>
      <c r="L1250" s="1">
        <v>88</v>
      </c>
      <c r="M1250" s="1" t="e">
        <f t="shared" ref="M1250" ca="1" si="48">_xludf.concat($B1250,$P1250)</f>
        <v>#NAME?</v>
      </c>
      <c r="N1250" s="1" t="e">
        <f t="shared" si="18"/>
        <v>#VALUE!</v>
      </c>
      <c r="O1250" s="1" t="e">
        <f ca="1">IF($N1250=_xludf.MINIFS($N$2:$N2500,$R$2:$R2500,$R1250),1,
($N1250-_xludf.MINIFS($N$2:$N2500,$R$2:$R2500,$R1250))+1)</f>
        <v>#VALUE!</v>
      </c>
      <c r="P1250" s="13" t="e">
        <f t="shared" si="19"/>
        <v>#VALUE!</v>
      </c>
      <c r="Q1250" s="1" t="str">
        <f>RIGHT(YEAR($A1250),2)-(MONTH($A1250)&lt;=[1]Roster!$K$25)
 &amp;"-"&amp;
 RIGHT(YEAR($A1250),2)+(MONTH($A1250)&gt;=[1]Roster!$K$26)</f>
        <v>22-23</v>
      </c>
      <c r="R1250" s="1" t="e">
        <f>CHOOSE(MONTH($P1250),[1]Roster!$K$9,[1]Roster!$K$10,[1]Roster!$K$11,[1]Roster!$K$12,[1]Roster!$K$13,[1]Roster!$K$14,[1]Roster!$K$15,[1]Roster!$K$16,[1]Roster!$K$17,[1]Roster!$K$18,[1]Roster!$K$19,[1]Roster!$K$20)&amp;" "&amp;$Q1250</f>
        <v>#VALUE!</v>
      </c>
      <c r="S1250" s="1">
        <f t="shared" si="20"/>
        <v>2</v>
      </c>
      <c r="T1250" s="1" t="str">
        <f t="array" ref="T1250">IFERROR(INDEX([1]Roster!$D$3:$D$42,MATCH($B1250,[1]Roster!$C$3:$C$42,0)),"")</f>
        <v>MID/D</v>
      </c>
      <c r="U1250" s="1" t="str">
        <f t="array" ref="U1250">IFERROR(INDEX([1]Roster!$E$3:$E$42,MATCH($B1250,[1]Roster!$C$3:$C$42,0)),"")</f>
        <v>MID/D</v>
      </c>
      <c r="V1250" s="76">
        <f t="array" ref="V1250">AVERAGEIFS($E$2:$E2309,$B$2:$B2309,$B1250,$P$2:$P2309,"&lt;="&amp;$P1250,$P$2:$P2309,"&gt;"&amp;$P1250-7)</f>
        <v>8.935483870967742</v>
      </c>
      <c r="W1250" s="76">
        <f ca="1">IFERROR(__xludf.DUMMYFUNCTION("iferror(stdevp(filter($D$2:$D2314,$B$2:$B2314=$B1253,$O$2:$O2314&lt;=$O1253,$O$2:$O2314&gt;$O1253-7)),0)"),1.2)</f>
        <v>1.2</v>
      </c>
      <c r="X1250" s="77">
        <f t="shared" ca="1" si="21"/>
        <v>0.88709677419354838</v>
      </c>
      <c r="Y1250" s="77">
        <f t="shared" ca="1" si="22"/>
        <v>3</v>
      </c>
      <c r="Z1250" s="76">
        <f t="array" ref="Z1250">AVERAGEIFS($F$2:$F2309,$B$2:$B2309,$B1250,$P$2:$P2309,"&lt;="&amp;$P1250,$P$2:$P2309,"&gt;"&amp;$P1250-7)</f>
        <v>8.741935483870968</v>
      </c>
      <c r="AA1250" s="76">
        <f ca="1">IFERROR(__xludf.DUMMYFUNCTION("iferror(stdevp(filter($E$2:$E2314,$B$2:$B2314=$B1253,$O$2:$O2314&lt;=$O1253,$O$2:$O2314&gt;$O1253-7)),0)"),1.26491106406735)</f>
        <v>1.26491106406735</v>
      </c>
      <c r="AB1250" s="77">
        <f t="shared" ca="1" si="23"/>
        <v>-0.58655150148284552</v>
      </c>
      <c r="AC1250" s="77">
        <f t="shared" ca="1" si="24"/>
        <v>2</v>
      </c>
      <c r="AD1250" s="76">
        <f t="array" ref="AD1250">AVERAGEIFS($G$2:$G2309,$B$2:$B2309,$B1250,$P$2:$P2309,"&lt;="&amp;$P1250,$P$2:$P2309,"&gt;"&amp;$P1250-7)</f>
        <v>7.32258064516129</v>
      </c>
      <c r="AE1250" s="76">
        <f ca="1">IFERROR(__xludf.DUMMYFUNCTION("iferror(stdevp(filter($F$2:$F2314,$B$2:$B2314=$B1253,$O$2:$O2314&lt;=$O1253,$O$2:$O2314&gt;$O1253-7)),0)"),1.01980390271855)</f>
        <v>1.0198039027185499</v>
      </c>
      <c r="AF1250" s="77">
        <f t="shared" ca="1" si="25"/>
        <v>-1.2968970226879999</v>
      </c>
      <c r="AG1250" s="77">
        <f t="shared" ca="1" si="26"/>
        <v>1</v>
      </c>
      <c r="AH1250" s="76">
        <f t="array" ref="AH1250">AVERAGEIFS($I$2:$I2309,$B$2:$B2309,$B1250,$P$2:$P2309,"&lt;="&amp;$P1250,$P$2:$P2309,"&gt;"&amp;$P1250-7)</f>
        <v>6.419354838709677</v>
      </c>
      <c r="AI1250" s="76">
        <f ca="1">IFERROR(__xludf.DUMMYFUNCTION("iferror(stdevp(filter($H$2:$H2314,$B$2:$B2314=$B1253,$O$2:$O2314&lt;=$O1253,$O$2:$O2314&gt;$O1253-7)),0)"),2.13541565040626)</f>
        <v>2.13541565040626</v>
      </c>
      <c r="AJ1250" s="77">
        <f t="shared" ca="1" si="27"/>
        <v>1.676790727186583</v>
      </c>
      <c r="AK1250" s="77">
        <f t="shared" ca="1" si="28"/>
        <v>4</v>
      </c>
      <c r="AL1250" s="76">
        <f t="array" ref="AL1250">AVERAGEIFS($J$2:$J2309,$B$2:$B2309,$B1250,$P$2:$P2309,"&lt;="&amp;$P1250,$P$2:$P2309,"&gt;"&amp;$P1250-7)</f>
        <v>9.612903225806452</v>
      </c>
      <c r="AM1250" s="76">
        <f ca="1">IFERROR(__xludf.DUMMYFUNCTION("iferror(stdevp(filter($I$2:$I2314,$B$2:$B2314=$B1253,$O$2:$O2314&lt;=$O1253,$O$2:$O2314&gt;$O1253-7)),0)"),0)</f>
        <v>0</v>
      </c>
      <c r="AN1250" s="77">
        <f t="shared" ca="1" si="29"/>
        <v>0</v>
      </c>
      <c r="AO1250" s="77">
        <f t="shared" ca="1" si="30"/>
        <v>3</v>
      </c>
      <c r="AP1250" s="76">
        <f t="array" ref="AP1250">AVERAGEIFS($K$2:$K2309,$B$2:$B2309,$B1250,$P$2:$P2309,"&lt;="&amp;$P1250,$P$2:$P2309,"&gt;"&amp;$P1250-7)</f>
        <v>10</v>
      </c>
      <c r="AQ1250" s="76">
        <f ca="1">IFERROR(__xludf.DUMMYFUNCTION("iferror(stdevp(filter($J$2:$J2314,$B$2:$B2314=$B1253,$O$2:$O2314&lt;=$O1253,$O$2:$O2314&gt;$O1253-7)),0)"),0)</f>
        <v>0</v>
      </c>
      <c r="AR1250" s="77">
        <f t="shared" ca="1" si="31"/>
        <v>0</v>
      </c>
      <c r="AS1250" s="77">
        <f t="shared" ca="1" si="32"/>
        <v>3</v>
      </c>
      <c r="AT1250" s="78">
        <f t="shared" ca="1" si="33"/>
        <v>0.66666666666666663</v>
      </c>
    </row>
    <row r="1251" spans="1:46" ht="12.5" x14ac:dyDescent="0.25">
      <c r="A1251" s="75">
        <v>44977.490369780091</v>
      </c>
      <c r="B1251" s="1" t="s">
        <v>20</v>
      </c>
      <c r="C1251" s="1" t="str">
        <f>INDEX(TBL_Name,MATCH(Table2[[#This Row],[Athlete Name]],listNames,0),2)</f>
        <v>Athlete 12</v>
      </c>
      <c r="D1251" s="1" t="s">
        <v>143</v>
      </c>
      <c r="E1251" s="1">
        <v>5</v>
      </c>
      <c r="F1251" s="1">
        <v>8</v>
      </c>
      <c r="G1251" s="1">
        <v>10</v>
      </c>
      <c r="H1251" s="1" t="s">
        <v>258</v>
      </c>
      <c r="I1251" s="1">
        <v>7</v>
      </c>
      <c r="J1251" s="1">
        <v>6</v>
      </c>
      <c r="K1251" s="1">
        <v>8</v>
      </c>
      <c r="L1251" s="1">
        <v>85</v>
      </c>
      <c r="M1251" s="1" t="e">
        <f t="shared" ref="M1251" ca="1" si="49">_xludf.concat($B1251,$P1251)</f>
        <v>#NAME?</v>
      </c>
      <c r="N1251" s="1" t="e">
        <f t="shared" si="18"/>
        <v>#VALUE!</v>
      </c>
      <c r="O1251" s="1" t="e">
        <f ca="1">IF($N1251=_xludf.MINIFS($N$2:$N2501,$R$2:$R2501,$R1251),1,
($N1251-_xludf.MINIFS($N$2:$N2501,$R$2:$R2501,$R1251))+1)</f>
        <v>#VALUE!</v>
      </c>
      <c r="P1251" s="13" t="e">
        <f t="shared" si="19"/>
        <v>#VALUE!</v>
      </c>
      <c r="Q1251" s="1" t="str">
        <f>RIGHT(YEAR($A1251),2)-(MONTH($A1251)&lt;=[1]Roster!$K$25)
 &amp;"-"&amp;
 RIGHT(YEAR($A1251),2)+(MONTH($A1251)&gt;=[1]Roster!$K$26)</f>
        <v>22-23</v>
      </c>
      <c r="R1251" s="1" t="e">
        <f>CHOOSE(MONTH($P1251),[1]Roster!$K$9,[1]Roster!$K$10,[1]Roster!$K$11,[1]Roster!$K$12,[1]Roster!$K$13,[1]Roster!$K$14,[1]Roster!$K$15,[1]Roster!$K$16,[1]Roster!$K$17,[1]Roster!$K$18,[1]Roster!$K$19,[1]Roster!$K$20)&amp;" "&amp;$Q1251</f>
        <v>#VALUE!</v>
      </c>
      <c r="S1251" s="1">
        <f t="shared" si="20"/>
        <v>2</v>
      </c>
      <c r="T1251" s="1" t="str">
        <f t="array" ref="T1251">IFERROR(INDEX([1]Roster!$D$3:$D$42,MATCH($B1251,[1]Roster!$C$3:$C$42,0)),"")</f>
        <v>D</v>
      </c>
      <c r="U1251" s="1" t="str">
        <f t="array" ref="U1251">IFERROR(INDEX([1]Roster!$E$3:$E$42,MATCH($B1251,[1]Roster!$C$3:$C$42,0)),"")</f>
        <v>D</v>
      </c>
      <c r="V1251" s="76">
        <f t="array" ref="V1251">AVERAGEIFS($E$2:$E2309,$B$2:$B2309,$B1251,$P$2:$P2309,"&lt;="&amp;$P1251,$P$2:$P2309,"&gt;"&amp;$P1251-7)</f>
        <v>7.4761904761904763</v>
      </c>
      <c r="W1251" s="76">
        <f ca="1">IFERROR(__xludf.DUMMYFUNCTION("iferror(stdevp(filter($D$2:$D2314,$B$2:$B2314=$B1254,$O$2:$O2314&lt;=$O1254,$O$2:$O2314&gt;$O1254-7)),0)"),1.5)</f>
        <v>1.5</v>
      </c>
      <c r="X1251" s="77">
        <f t="shared" ca="1" si="21"/>
        <v>-1.6507936507936509</v>
      </c>
      <c r="Y1251" s="77">
        <f t="shared" ca="1" si="22"/>
        <v>1</v>
      </c>
      <c r="Z1251" s="76">
        <f t="array" ref="Z1251">AVERAGEIFS($F$2:$F2309,$B$2:$B2309,$B1251,$P$2:$P2309,"&lt;="&amp;$P1251,$P$2:$P2309,"&gt;"&amp;$P1251-7)</f>
        <v>8.1904761904761898</v>
      </c>
      <c r="AA1251" s="76">
        <f ca="1">IFERROR(__xludf.DUMMYFUNCTION("iferror(stdevp(filter($E$2:$E2314,$B$2:$B2314=$B1254,$O$2:$O2314&lt;=$O1254,$O$2:$O2314&gt;$O1254-7)),0)"),1.4790199457749)</f>
        <v>1.4790199457749</v>
      </c>
      <c r="AB1251" s="77">
        <f t="shared" ca="1" si="23"/>
        <v>-0.12878541024434528</v>
      </c>
      <c r="AC1251" s="77">
        <f t="shared" ca="1" si="24"/>
        <v>2</v>
      </c>
      <c r="AD1251" s="76">
        <f t="array" ref="AD1251">AVERAGEIFS($G$2:$G2309,$B$2:$B2309,$B1251,$P$2:$P2309,"&lt;="&amp;$P1251,$P$2:$P2309,"&gt;"&amp;$P1251-7)</f>
        <v>8.5714285714285712</v>
      </c>
      <c r="AE1251" s="76">
        <f ca="1">IFERROR(__xludf.DUMMYFUNCTION("iferror(stdevp(filter($F$2:$F2314,$B$2:$B2314=$B1254,$O$2:$O2314&lt;=$O1254,$O$2:$O2314&gt;$O1254-7)),0)"),0.82915619758885)</f>
        <v>0.82915619758884995</v>
      </c>
      <c r="AF1251" s="77">
        <f t="shared" ca="1" si="25"/>
        <v>1.7229219690157924</v>
      </c>
      <c r="AG1251" s="77">
        <f t="shared" ca="1" si="26"/>
        <v>4</v>
      </c>
      <c r="AH1251" s="76">
        <f t="array" ref="AH1251">AVERAGEIFS($I$2:$I2309,$B$2:$B2309,$B1251,$P$2:$P2309,"&lt;="&amp;$P1251,$P$2:$P2309,"&gt;"&amp;$P1251-7)</f>
        <v>5.6190476190476186</v>
      </c>
      <c r="AI1251" s="76">
        <f ca="1">IFERROR(__xludf.DUMMYFUNCTION("iferror(stdevp(filter($H$2:$H2314,$B$2:$B2314=$B1254,$O$2:$O2314&lt;=$O1254,$O$2:$O2314&gt;$O1254-7)),0)"),1.5)</f>
        <v>1.5</v>
      </c>
      <c r="AJ1251" s="77">
        <f t="shared" ca="1" si="27"/>
        <v>0.92063492063492092</v>
      </c>
      <c r="AK1251" s="77">
        <f t="shared" ca="1" si="28"/>
        <v>3</v>
      </c>
      <c r="AL1251" s="76">
        <f t="array" ref="AL1251">AVERAGEIFS($J$2:$J2309,$B$2:$B2309,$B1251,$P$2:$P2309,"&lt;="&amp;$P1251,$P$2:$P2309,"&gt;"&amp;$P1251-7)</f>
        <v>7</v>
      </c>
      <c r="AM1251" s="76">
        <f ca="1">IFERROR(__xludf.DUMMYFUNCTION("iferror(stdevp(filter($I$2:$I2314,$B$2:$B2314=$B1254,$O$2:$O2314&lt;=$O1254,$O$2:$O2314&gt;$O1254-7)),0)"),0.433012701892219)</f>
        <v>0.43301270189221902</v>
      </c>
      <c r="AN1251" s="77">
        <f t="shared" ca="1" si="29"/>
        <v>-2.3094010767585047</v>
      </c>
      <c r="AO1251" s="77">
        <f t="shared" ca="1" si="30"/>
        <v>1</v>
      </c>
      <c r="AP1251" s="76">
        <f t="array" ref="AP1251">AVERAGEIFS($K$2:$K2309,$B$2:$B2309,$B1251,$P$2:$P2309,"&lt;="&amp;$P1251,$P$2:$P2309,"&gt;"&amp;$P1251-7)</f>
        <v>7.4285714285714288</v>
      </c>
      <c r="AQ1251" s="76">
        <f ca="1">IFERROR(__xludf.DUMMYFUNCTION("iferror(stdevp(filter($J$2:$J2314,$B$2:$B2314=$B1254,$O$2:$O2314&lt;=$O1254,$O$2:$O2314&gt;$O1254-7)),0)"),0.82915619758885)</f>
        <v>0.82915619758884995</v>
      </c>
      <c r="AR1251" s="77">
        <f t="shared" ca="1" si="31"/>
        <v>0.6891687876063165</v>
      </c>
      <c r="AS1251" s="77">
        <f t="shared" ca="1" si="32"/>
        <v>3</v>
      </c>
      <c r="AT1251" s="78">
        <f t="shared" ca="1" si="33"/>
        <v>0.58333333333333337</v>
      </c>
    </row>
    <row r="1252" spans="1:46" ht="12.5" x14ac:dyDescent="0.25">
      <c r="A1252" s="75">
        <v>44977.503024131947</v>
      </c>
      <c r="B1252" s="1" t="s">
        <v>23</v>
      </c>
      <c r="C1252" s="1" t="str">
        <f>INDEX(TBL_Name,MATCH(Table2[[#This Row],[Athlete Name]],listNames,0),2)</f>
        <v>Athlete 15</v>
      </c>
      <c r="D1252" s="1" t="s">
        <v>150</v>
      </c>
      <c r="E1252" s="1">
        <v>3</v>
      </c>
      <c r="F1252" s="1">
        <v>7</v>
      </c>
      <c r="G1252" s="1">
        <v>8</v>
      </c>
      <c r="H1252" s="1" t="s">
        <v>432</v>
      </c>
      <c r="I1252" s="1">
        <v>10</v>
      </c>
      <c r="J1252" s="1">
        <v>7</v>
      </c>
      <c r="K1252" s="1">
        <v>7</v>
      </c>
      <c r="L1252" s="1">
        <v>65</v>
      </c>
      <c r="M1252" s="1" t="e">
        <f t="shared" ref="M1252" ca="1" si="50">_xludf.concat($B1252,$P1252)</f>
        <v>#NAME?</v>
      </c>
      <c r="N1252" s="1" t="e">
        <f t="shared" si="18"/>
        <v>#VALUE!</v>
      </c>
      <c r="O1252" s="1" t="e">
        <f ca="1">IF($N1252=_xludf.MINIFS($N$2:$N2502,$R$2:$R2502,$R1252),1,
($N1252-_xludf.MINIFS($N$2:$N2502,$R$2:$R2502,$R1252))+1)</f>
        <v>#VALUE!</v>
      </c>
      <c r="P1252" s="13" t="e">
        <f t="shared" si="19"/>
        <v>#VALUE!</v>
      </c>
      <c r="Q1252" s="1" t="str">
        <f>RIGHT(YEAR($A1252),2)-(MONTH($A1252)&lt;=[1]Roster!$K$25)
 &amp;"-"&amp;
 RIGHT(YEAR($A1252),2)+(MONTH($A1252)&gt;=[1]Roster!$K$26)</f>
        <v>22-23</v>
      </c>
      <c r="R1252" s="1" t="e">
        <f>CHOOSE(MONTH($P1252),[1]Roster!$K$9,[1]Roster!$K$10,[1]Roster!$K$11,[1]Roster!$K$12,[1]Roster!$K$13,[1]Roster!$K$14,[1]Roster!$K$15,[1]Roster!$K$16,[1]Roster!$K$17,[1]Roster!$K$18,[1]Roster!$K$19,[1]Roster!$K$20)&amp;" "&amp;$Q1252</f>
        <v>#VALUE!</v>
      </c>
      <c r="S1252" s="1">
        <f t="shared" si="20"/>
        <v>3</v>
      </c>
      <c r="T1252" s="1" t="str">
        <f t="array" ref="T1252">IFERROR(INDEX([1]Roster!$D$3:$D$42,MATCH($B1252,[1]Roster!$C$3:$C$42,0)),"")</f>
        <v>D</v>
      </c>
      <c r="U1252" s="1" t="str">
        <f t="array" ref="U1252">IFERROR(INDEX([1]Roster!$E$3:$E$42,MATCH($B1252,[1]Roster!$C$3:$C$42,0)),"")</f>
        <v>D</v>
      </c>
      <c r="V1252" s="76">
        <f t="array" ref="V1252">AVERAGEIFS($E$2:$E2309,$B$2:$B2309,$B1252,$P$2:$P2309,"&lt;="&amp;$P1252,$P$2:$P2309,"&gt;"&amp;$P1252-7)</f>
        <v>4.7777777777777777</v>
      </c>
      <c r="W1252" s="76">
        <f ca="1">IFERROR(__xludf.DUMMYFUNCTION("iferror(stdevp(filter($D$2:$D2314,$B$2:$B2314=$B1255,$O$2:$O2314&lt;=$O1255,$O$2:$O2314&gt;$O1255-7)),0)"),1.63299316185545)</f>
        <v>1.6329931618554501</v>
      </c>
      <c r="X1252" s="77">
        <f t="shared" ca="1" si="21"/>
        <v>-1.088662107903636</v>
      </c>
      <c r="Y1252" s="77">
        <f t="shared" ca="1" si="22"/>
        <v>1</v>
      </c>
      <c r="Z1252" s="76">
        <f t="array" ref="Z1252">AVERAGEIFS($F$2:$F2309,$B$2:$B2309,$B1252,$P$2:$P2309,"&lt;="&amp;$P1252,$P$2:$P2309,"&gt;"&amp;$P1252-7)</f>
        <v>6.4444444444444446</v>
      </c>
      <c r="AA1252" s="76">
        <f ca="1">IFERROR(__xludf.DUMMYFUNCTION("iferror(stdevp(filter($E$2:$E2314,$B$2:$B2314=$B1255,$O$2:$O2314&lt;=$O1255,$O$2:$O2314&gt;$O1255-7)),0)"),1.69967317119759)</f>
        <v>1.6996731711975901</v>
      </c>
      <c r="AB1252" s="77">
        <f t="shared" ca="1" si="23"/>
        <v>0.32686022523030756</v>
      </c>
      <c r="AC1252" s="77">
        <f t="shared" ca="1" si="24"/>
        <v>3</v>
      </c>
      <c r="AD1252" s="76">
        <f t="array" ref="AD1252">AVERAGEIFS($G$2:$G2309,$B$2:$B2309,$B1252,$P$2:$P2309,"&lt;="&amp;$P1252,$P$2:$P2309,"&gt;"&amp;$P1252-7)</f>
        <v>7.4444444444444446</v>
      </c>
      <c r="AE1252" s="76">
        <f ca="1">IFERROR(__xludf.DUMMYFUNCTION("iferror(stdevp(filter($F$2:$F2314,$B$2:$B2314=$B1255,$O$2:$O2314&lt;=$O1255,$O$2:$O2314&gt;$O1255-7)),0)"),1.63299316185545)</f>
        <v>1.6329931618554501</v>
      </c>
      <c r="AF1252" s="77">
        <f t="shared" ca="1" si="25"/>
        <v>0.34020690871988613</v>
      </c>
      <c r="AG1252" s="77">
        <f t="shared" ca="1" si="26"/>
        <v>3</v>
      </c>
      <c r="AH1252" s="76">
        <f t="array" ref="AH1252">AVERAGEIFS($I$2:$I2309,$B$2:$B2309,$B1252,$P$2:$P2309,"&lt;="&amp;$P1252,$P$2:$P2309,"&gt;"&amp;$P1252-7)</f>
        <v>6.7777777777777777</v>
      </c>
      <c r="AI1252" s="76">
        <f ca="1">IFERROR(__xludf.DUMMYFUNCTION("iferror(stdevp(filter($H$2:$H2314,$B$2:$B2314=$B1255,$O$2:$O2314&lt;=$O1255,$O$2:$O2314&gt;$O1255-7)),0)"),2.94392028877594)</f>
        <v>2.9439202887759399</v>
      </c>
      <c r="AJ1252" s="77">
        <f t="shared" ca="1" si="27"/>
        <v>1.0945344663397794</v>
      </c>
      <c r="AK1252" s="77">
        <f t="shared" ca="1" si="28"/>
        <v>4</v>
      </c>
      <c r="AL1252" s="76">
        <f t="array" ref="AL1252">AVERAGEIFS($J$2:$J2309,$B$2:$B2309,$B1252,$P$2:$P2309,"&lt;="&amp;$P1252,$P$2:$P2309,"&gt;"&amp;$P1252-7)</f>
        <v>8.2222222222222214</v>
      </c>
      <c r="AM1252" s="76">
        <f ca="1">IFERROR(__xludf.DUMMYFUNCTION("iferror(stdevp(filter($I$2:$I2314,$B$2:$B2314=$B1255,$O$2:$O2314&lt;=$O1255,$O$2:$O2314&gt;$O1255-7)),0)"),0.816496580927726)</f>
        <v>0.81649658092772603</v>
      </c>
      <c r="AN1252" s="77">
        <f t="shared" ca="1" si="29"/>
        <v>-1.4969103983674967</v>
      </c>
      <c r="AO1252" s="77">
        <f t="shared" ca="1" si="30"/>
        <v>1</v>
      </c>
      <c r="AP1252" s="76">
        <f t="array" ref="AP1252">AVERAGEIFS($K$2:$K2309,$B$2:$B2309,$B1252,$P$2:$P2309,"&lt;="&amp;$P1252,$P$2:$P2309,"&gt;"&amp;$P1252-7)</f>
        <v>8.1111111111111107</v>
      </c>
      <c r="AQ1252" s="76">
        <f ca="1">IFERROR(__xludf.DUMMYFUNCTION("iferror(stdevp(filter($J$2:$J2314,$B$2:$B2314=$B1255,$O$2:$O2314&lt;=$O1255,$O$2:$O2314&gt;$O1255-7)),0)"),0.471404520791031)</f>
        <v>0.47140452079103101</v>
      </c>
      <c r="AR1252" s="77">
        <f t="shared" ca="1" si="31"/>
        <v>-2.3570226039551607</v>
      </c>
      <c r="AS1252" s="77">
        <f t="shared" ca="1" si="32"/>
        <v>1</v>
      </c>
      <c r="AT1252" s="78">
        <f t="shared" ca="1" si="33"/>
        <v>0.54166666666666663</v>
      </c>
    </row>
    <row r="1253" spans="1:46" ht="12.5" x14ac:dyDescent="0.25">
      <c r="A1253" s="75">
        <v>44977.601900277776</v>
      </c>
      <c r="B1253" s="1" t="s">
        <v>16</v>
      </c>
      <c r="C1253" s="1" t="str">
        <f>INDEX(TBL_Name,MATCH(Table2[[#This Row],[Athlete Name]],listNames,0),2)</f>
        <v>Athlete 9</v>
      </c>
      <c r="D1253" s="1" t="s">
        <v>130</v>
      </c>
      <c r="E1253" s="1">
        <v>9</v>
      </c>
      <c r="F1253" s="1">
        <v>8</v>
      </c>
      <c r="G1253" s="1">
        <v>8</v>
      </c>
      <c r="H1253" s="1" t="s">
        <v>1065</v>
      </c>
      <c r="I1253" s="1">
        <v>5</v>
      </c>
      <c r="J1253" s="1">
        <v>9</v>
      </c>
      <c r="K1253" s="1">
        <v>9</v>
      </c>
      <c r="L1253" s="1">
        <v>85</v>
      </c>
      <c r="M1253" s="1" t="e">
        <f t="shared" ref="M1253" ca="1" si="51">_xludf.concat($B1253,$P1253)</f>
        <v>#NAME?</v>
      </c>
      <c r="N1253" s="1" t="e">
        <f t="shared" si="18"/>
        <v>#VALUE!</v>
      </c>
      <c r="O1253" s="1" t="e">
        <f ca="1">IF($N1253=_xludf.MINIFS($N$2:$N2503,$R$2:$R2503,$R1253),1,
($N1253-_xludf.MINIFS($N$2:$N2503,$R$2:$R2503,$R1253))+1)</f>
        <v>#VALUE!</v>
      </c>
      <c r="P1253" s="13" t="e">
        <f t="shared" si="19"/>
        <v>#VALUE!</v>
      </c>
      <c r="Q1253" s="1" t="str">
        <f>RIGHT(YEAR($A1253),2)-(MONTH($A1253)&lt;=[1]Roster!$K$25)
 &amp;"-"&amp;
 RIGHT(YEAR($A1253),2)+(MONTH($A1253)&gt;=[1]Roster!$K$26)</f>
        <v>22-23</v>
      </c>
      <c r="R1253" s="1" t="e">
        <f>CHOOSE(MONTH($P1253),[1]Roster!$K$9,[1]Roster!$K$10,[1]Roster!$K$11,[1]Roster!$K$12,[1]Roster!$K$13,[1]Roster!$K$14,[1]Roster!$K$15,[1]Roster!$K$16,[1]Roster!$K$17,[1]Roster!$K$18,[1]Roster!$K$19,[1]Roster!$K$20)&amp;" "&amp;$Q1253</f>
        <v>#VALUE!</v>
      </c>
      <c r="S1253" s="1">
        <f t="shared" si="20"/>
        <v>1</v>
      </c>
      <c r="T1253" s="1" t="str">
        <f t="array" ref="T1253">IFERROR(INDEX([1]Roster!$D$3:$D$42,MATCH($B1253,[1]Roster!$C$3:$C$42,0)),"")</f>
        <v>MID/D</v>
      </c>
      <c r="U1253" s="1" t="str">
        <f t="array" ref="U1253">IFERROR(INDEX([1]Roster!$E$3:$E$42,MATCH($B1253,[1]Roster!$C$3:$C$42,0)),"")</f>
        <v>MID/D</v>
      </c>
      <c r="V1253" s="76">
        <f t="array" ref="V1253">AVERAGEIFS($E$2:$E2309,$B$2:$B2309,$B1253,$P$2:$P2309,"&lt;="&amp;$P1253,$P$2:$P2309,"&gt;"&amp;$P1253-7)</f>
        <v>8.9600000000000009</v>
      </c>
      <c r="W1253" s="76">
        <f ca="1">IFERROR(__xludf.DUMMYFUNCTION("iferror(stdevp(filter($D$2:$D2314,$B$2:$B2314=$B1256,$O$2:$O2314&lt;=$O1256,$O$2:$O2314&gt;$O1256-7)),0)"),0)</f>
        <v>0</v>
      </c>
      <c r="X1253" s="77">
        <f t="shared" ca="1" si="21"/>
        <v>0</v>
      </c>
      <c r="Y1253" s="77">
        <f t="shared" ca="1" si="22"/>
        <v>3</v>
      </c>
      <c r="Z1253" s="76">
        <f t="array" ref="Z1253">AVERAGEIFS($F$2:$F2309,$B$2:$B2309,$B1253,$P$2:$P2309,"&lt;="&amp;$P1253,$P$2:$P2309,"&gt;"&amp;$P1253-7)</f>
        <v>7.48</v>
      </c>
      <c r="AA1253" s="76">
        <f ca="1">IFERROR(__xludf.DUMMYFUNCTION("iferror(stdevp(filter($E$2:$E2314,$B$2:$B2314=$B1256,$O$2:$O2314&lt;=$O1256,$O$2:$O2314&gt;$O1256-7)),0)"),0.399999999999999)</f>
        <v>0.39999999999999902</v>
      </c>
      <c r="AB1253" s="77">
        <f t="shared" ca="1" si="23"/>
        <v>1.300000000000002</v>
      </c>
      <c r="AC1253" s="77">
        <f t="shared" ca="1" si="24"/>
        <v>4</v>
      </c>
      <c r="AD1253" s="76">
        <f t="array" ref="AD1253">AVERAGEIFS($G$2:$G2309,$B$2:$B2309,$B1253,$P$2:$P2309,"&lt;="&amp;$P1253,$P$2:$P2309,"&gt;"&amp;$P1253-7)</f>
        <v>7.56</v>
      </c>
      <c r="AE1253" s="76">
        <f ca="1">IFERROR(__xludf.DUMMYFUNCTION("iferror(stdevp(filter($F$2:$F2314,$B$2:$B2314=$B1256,$O$2:$O2314&lt;=$O1256,$O$2:$O2314&gt;$O1256-7)),0)"),0.632455532033675)</f>
        <v>0.63245553203367499</v>
      </c>
      <c r="AF1253" s="77">
        <f t="shared" ca="1" si="25"/>
        <v>0.69570108523704499</v>
      </c>
      <c r="AG1253" s="77">
        <f t="shared" ca="1" si="26"/>
        <v>3</v>
      </c>
      <c r="AH1253" s="76">
        <f t="array" ref="AH1253">AVERAGEIFS($I$2:$I2309,$B$2:$B2309,$B1253,$P$2:$P2309,"&lt;="&amp;$P1253,$P$2:$P2309,"&gt;"&amp;$P1253-7)</f>
        <v>5.8</v>
      </c>
      <c r="AI1253" s="76">
        <f ca="1">IFERROR(__xludf.DUMMYFUNCTION("iferror(stdevp(filter($H$2:$H2314,$B$2:$B2314=$B1256,$O$2:$O2314&lt;=$O1256,$O$2:$O2314&gt;$O1256-7)),0)"),0.632455532033675)</f>
        <v>0.63245553203367499</v>
      </c>
      <c r="AJ1253" s="77">
        <f t="shared" ca="1" si="27"/>
        <v>-1.2649110640673531</v>
      </c>
      <c r="AK1253" s="77">
        <f t="shared" ca="1" si="28"/>
        <v>1</v>
      </c>
      <c r="AL1253" s="76">
        <f t="array" ref="AL1253">AVERAGEIFS($J$2:$J2309,$B$2:$B2309,$B1253,$P$2:$P2309,"&lt;="&amp;$P1253,$P$2:$P2309,"&gt;"&amp;$P1253-7)</f>
        <v>7.8</v>
      </c>
      <c r="AM1253" s="76">
        <f ca="1">IFERROR(__xludf.DUMMYFUNCTION("iferror(stdevp(filter($I$2:$I2314,$B$2:$B2314=$B1256,$O$2:$O2314&lt;=$O1256,$O$2:$O2314&gt;$O1256-7)),0)"),0.8)</f>
        <v>0.8</v>
      </c>
      <c r="AN1253" s="77">
        <f t="shared" ca="1" si="29"/>
        <v>1.5000000000000002</v>
      </c>
      <c r="AO1253" s="77">
        <f t="shared" ca="1" si="30"/>
        <v>4</v>
      </c>
      <c r="AP1253" s="76">
        <f t="array" ref="AP1253">AVERAGEIFS($K$2:$K2309,$B$2:$B2309,$B1253,$P$2:$P2309,"&lt;="&amp;$P1253,$P$2:$P2309,"&gt;"&amp;$P1253-7)</f>
        <v>8.6</v>
      </c>
      <c r="AQ1253" s="76">
        <f ca="1">IFERROR(__xludf.DUMMYFUNCTION("iferror(stdevp(filter($J$2:$J2314,$B$2:$B2314=$B1256,$O$2:$O2314&lt;=$O1256,$O$2:$O2314&gt;$O1256-7)),0)"),0.632455532033675)</f>
        <v>0.63245553203367499</v>
      </c>
      <c r="AR1253" s="77">
        <f t="shared" ca="1" si="31"/>
        <v>0.63245553203367733</v>
      </c>
      <c r="AS1253" s="77">
        <f t="shared" ca="1" si="32"/>
        <v>3</v>
      </c>
      <c r="AT1253" s="78">
        <f t="shared" ca="1" si="33"/>
        <v>0.75</v>
      </c>
    </row>
    <row r="1254" spans="1:46" ht="12.5" x14ac:dyDescent="0.25">
      <c r="A1254" s="75">
        <v>44977.602162858791</v>
      </c>
      <c r="B1254" s="1" t="s">
        <v>19</v>
      </c>
      <c r="C1254" s="1" t="str">
        <f>INDEX(TBL_Name,MATCH(Table2[[#This Row],[Athlete Name]],listNames,0),2)</f>
        <v>Athlete 11</v>
      </c>
      <c r="D1254" s="1" t="s">
        <v>130</v>
      </c>
      <c r="E1254" s="1">
        <v>5</v>
      </c>
      <c r="F1254" s="1">
        <v>6</v>
      </c>
      <c r="G1254" s="1">
        <v>6</v>
      </c>
      <c r="H1254" s="1" t="s">
        <v>446</v>
      </c>
      <c r="I1254" s="1">
        <v>7</v>
      </c>
      <c r="J1254" s="1">
        <v>9</v>
      </c>
      <c r="K1254" s="1">
        <v>8</v>
      </c>
      <c r="L1254" s="1">
        <v>67</v>
      </c>
      <c r="M1254" s="1" t="e">
        <f t="shared" ref="M1254" ca="1" si="52">_xludf.concat($B1254,$P1254)</f>
        <v>#NAME?</v>
      </c>
      <c r="N1254" s="1" t="e">
        <f t="shared" si="18"/>
        <v>#VALUE!</v>
      </c>
      <c r="O1254" s="1" t="e">
        <f ca="1">IF($N1254=_xludf.MINIFS($N$2:$N2504,$R$2:$R2504,$R1254),1,
($N1254-_xludf.MINIFS($N$2:$N2504,$R$2:$R2504,$R1254))+1)</f>
        <v>#VALUE!</v>
      </c>
      <c r="P1254" s="13" t="e">
        <f t="shared" si="19"/>
        <v>#VALUE!</v>
      </c>
      <c r="Q1254" s="1" t="str">
        <f>RIGHT(YEAR($A1254),2)-(MONTH($A1254)&lt;=[1]Roster!$K$25)
 &amp;"-"&amp;
 RIGHT(YEAR($A1254),2)+(MONTH($A1254)&gt;=[1]Roster!$K$26)</f>
        <v>22-23</v>
      </c>
      <c r="R1254" s="1" t="e">
        <f>CHOOSE(MONTH($P1254),[1]Roster!$K$9,[1]Roster!$K$10,[1]Roster!$K$11,[1]Roster!$K$12,[1]Roster!$K$13,[1]Roster!$K$14,[1]Roster!$K$15,[1]Roster!$K$16,[1]Roster!$K$17,[1]Roster!$K$18,[1]Roster!$K$19,[1]Roster!$K$20)&amp;" "&amp;$Q1254</f>
        <v>#VALUE!</v>
      </c>
      <c r="S1254" s="1">
        <f t="shared" si="20"/>
        <v>1</v>
      </c>
      <c r="T1254" s="1" t="str">
        <f t="array" ref="T1254">IFERROR(INDEX([1]Roster!$D$3:$D$42,MATCH($B1254,[1]Roster!$C$3:$C$42,0)),"")</f>
        <v>D</v>
      </c>
      <c r="U1254" s="1" t="str">
        <f t="array" ref="U1254">IFERROR(INDEX([1]Roster!$E$3:$E$42,MATCH($B1254,[1]Roster!$C$3:$C$42,0)),"")</f>
        <v>D</v>
      </c>
      <c r="V1254" s="76">
        <f t="array" ref="V1254">AVERAGEIFS($E$2:$E2309,$B$2:$B2309,$B1254,$P$2:$P2309,"&lt;="&amp;$P1254,$P$2:$P2309,"&gt;"&amp;$P1254-7)</f>
        <v>4.6538461538461542</v>
      </c>
      <c r="W1254" s="76">
        <f ca="1">IFERROR(__xludf.DUMMYFUNCTION("iferror(stdevp(filter($D$2:$D2314,$B$2:$B2314=$B1257,$O$2:$O2314&lt;=$O1257,$O$2:$O2314&gt;$O1257-7)),0)"),0.979795897113271)</f>
        <v>0.97979589711327097</v>
      </c>
      <c r="X1254" s="77">
        <f t="shared" ca="1" si="21"/>
        <v>0.3532917898244966</v>
      </c>
      <c r="Y1254" s="77">
        <f t="shared" ca="1" si="22"/>
        <v>3</v>
      </c>
      <c r="Z1254" s="76">
        <f t="array" ref="Z1254">AVERAGEIFS($F$2:$F2309,$B$2:$B2309,$B1254,$P$2:$P2309,"&lt;="&amp;$P1254,$P$2:$P2309,"&gt;"&amp;$P1254-7)</f>
        <v>6.8461538461538458</v>
      </c>
      <c r="AA1254" s="76">
        <f ca="1">IFERROR(__xludf.DUMMYFUNCTION("iferror(stdevp(filter($E$2:$E2314,$B$2:$B2314=$B1257,$O$2:$O2314&lt;=$O1257,$O$2:$O2314&gt;$O1257-7)),0)"),1.01980390271855)</f>
        <v>1.0198039027185499</v>
      </c>
      <c r="AB1254" s="77">
        <f t="shared" ca="1" si="23"/>
        <v>-0.82972211020001474</v>
      </c>
      <c r="AC1254" s="77">
        <f t="shared" ca="1" si="24"/>
        <v>2</v>
      </c>
      <c r="AD1254" s="76">
        <f t="array" ref="AD1254">AVERAGEIFS($G$2:$G2309,$B$2:$B2309,$B1254,$P$2:$P2309,"&lt;="&amp;$P1254,$P$2:$P2309,"&gt;"&amp;$P1254-7)</f>
        <v>7.2692307692307692</v>
      </c>
      <c r="AE1254" s="76">
        <f ca="1">IFERROR(__xludf.DUMMYFUNCTION("iferror(stdevp(filter($F$2:$F2314,$B$2:$B2314=$B1257,$O$2:$O2314&lt;=$O1257,$O$2:$O2314&gt;$O1257-7)),0)"),1.01980390271855)</f>
        <v>1.0198039027185499</v>
      </c>
      <c r="AF1254" s="77">
        <f t="shared" ca="1" si="25"/>
        <v>-1.2445831653000226</v>
      </c>
      <c r="AG1254" s="77">
        <f t="shared" ca="1" si="26"/>
        <v>1</v>
      </c>
      <c r="AH1254" s="76">
        <f t="array" ref="AH1254">AVERAGEIFS($I$2:$I2309,$B$2:$B2309,$B1254,$P$2:$P2309,"&lt;="&amp;$P1254,$P$2:$P2309,"&gt;"&amp;$P1254-7)</f>
        <v>4.9230769230769234</v>
      </c>
      <c r="AI1254" s="76">
        <f ca="1">IFERROR(__xludf.DUMMYFUNCTION("iferror(stdevp(filter($H$2:$H2314,$B$2:$B2314=$B1257,$O$2:$O2314&lt;=$O1257,$O$2:$O2314&gt;$O1257-7)),0)"),1.35646599662505)</f>
        <v>1.3564659966250501</v>
      </c>
      <c r="AJ1254" s="77">
        <f t="shared" ca="1" si="27"/>
        <v>1.5311280062239356</v>
      </c>
      <c r="AK1254" s="77">
        <f t="shared" ca="1" si="28"/>
        <v>4</v>
      </c>
      <c r="AL1254" s="76">
        <f t="array" ref="AL1254">AVERAGEIFS($J$2:$J2309,$B$2:$B2309,$B1254,$P$2:$P2309,"&lt;="&amp;$P1254,$P$2:$P2309,"&gt;"&amp;$P1254-7)</f>
        <v>7.5769230769230766</v>
      </c>
      <c r="AM1254" s="76">
        <f ca="1">IFERROR(__xludf.DUMMYFUNCTION("iferror(stdevp(filter($I$2:$I2314,$B$2:$B2314=$B1257,$O$2:$O2314&lt;=$O1257,$O$2:$O2314&gt;$O1257-7)),0)"),0.979795897113271)</f>
        <v>0.97979589711327097</v>
      </c>
      <c r="AN1254" s="77">
        <f t="shared" ca="1" si="29"/>
        <v>1.452421802611821</v>
      </c>
      <c r="AO1254" s="77">
        <f t="shared" ca="1" si="30"/>
        <v>4</v>
      </c>
      <c r="AP1254" s="76">
        <f t="array" ref="AP1254">AVERAGEIFS($K$2:$K2309,$B$2:$B2309,$B1254,$P$2:$P2309,"&lt;="&amp;$P1254,$P$2:$P2309,"&gt;"&amp;$P1254-7)</f>
        <v>8</v>
      </c>
      <c r="AQ1254" s="76">
        <f ca="1">IFERROR(__xludf.DUMMYFUNCTION("iferror(stdevp(filter($J$2:$J2314,$B$2:$B2314=$B1257,$O$2:$O2314&lt;=$O1257,$O$2:$O2314&gt;$O1257-7)),0)"),1.16619037896906)</f>
        <v>1.16619037896906</v>
      </c>
      <c r="AR1254" s="77">
        <f t="shared" ca="1" si="31"/>
        <v>0</v>
      </c>
      <c r="AS1254" s="77">
        <f t="shared" ca="1" si="32"/>
        <v>3</v>
      </c>
      <c r="AT1254" s="78">
        <f t="shared" ca="1" si="33"/>
        <v>0.70833333333333337</v>
      </c>
    </row>
    <row r="1255" spans="1:46" ht="12.5" x14ac:dyDescent="0.25">
      <c r="A1255" s="75">
        <v>44977.602506631942</v>
      </c>
      <c r="B1255" s="1" t="s">
        <v>7</v>
      </c>
      <c r="C1255" s="1" t="str">
        <f>INDEX(TBL_Name,MATCH(Table2[[#This Row],[Athlete Name]],listNames,0),2)</f>
        <v>Athlete 3</v>
      </c>
      <c r="D1255" s="1" t="s">
        <v>130</v>
      </c>
      <c r="E1255" s="1">
        <v>5</v>
      </c>
      <c r="F1255" s="1">
        <v>6</v>
      </c>
      <c r="G1255" s="1">
        <v>8</v>
      </c>
      <c r="H1255" s="1"/>
      <c r="I1255" s="1">
        <v>9</v>
      </c>
      <c r="J1255" s="1">
        <v>5</v>
      </c>
      <c r="K1255" s="1">
        <v>5</v>
      </c>
      <c r="L1255" s="1">
        <v>88</v>
      </c>
      <c r="M1255" s="1" t="e">
        <f t="shared" ref="M1255" ca="1" si="53">_xludf.concat($B1255,$P1255)</f>
        <v>#NAME?</v>
      </c>
      <c r="N1255" s="1" t="e">
        <f t="shared" si="18"/>
        <v>#VALUE!</v>
      </c>
      <c r="O1255" s="1" t="e">
        <f ca="1">IF($N1255=_xludf.MINIFS($N$2:$N2505,$R$2:$R2505,$R1255),1,
($N1255-_xludf.MINIFS($N$2:$N2505,$R$2:$R2505,$R1255))+1)</f>
        <v>#VALUE!</v>
      </c>
      <c r="P1255" s="13" t="e">
        <f t="shared" si="19"/>
        <v>#VALUE!</v>
      </c>
      <c r="Q1255" s="1" t="str">
        <f>RIGHT(YEAR($A1255),2)-(MONTH($A1255)&lt;=[1]Roster!$K$25)
 &amp;"-"&amp;
 RIGHT(YEAR($A1255),2)+(MONTH($A1255)&gt;=[1]Roster!$K$26)</f>
        <v>22-23</v>
      </c>
      <c r="R1255" s="1" t="e">
        <f>CHOOSE(MONTH($P1255),[1]Roster!$K$9,[1]Roster!$K$10,[1]Roster!$K$11,[1]Roster!$K$12,[1]Roster!$K$13,[1]Roster!$K$14,[1]Roster!$K$15,[1]Roster!$K$16,[1]Roster!$K$17,[1]Roster!$K$18,[1]Roster!$K$19,[1]Roster!$K$20)&amp;" "&amp;$Q1255</f>
        <v>#VALUE!</v>
      </c>
      <c r="S1255" s="1">
        <f t="shared" si="20"/>
        <v>1</v>
      </c>
      <c r="T1255" s="1" t="str">
        <f t="array" ref="T1255">IFERROR(INDEX([1]Roster!$D$3:$D$42,MATCH($B1255,[1]Roster!$C$3:$C$42,0)),"")</f>
        <v>F/MID</v>
      </c>
      <c r="U1255" s="1" t="str">
        <f t="array" ref="U1255">IFERROR(INDEX([1]Roster!$E$3:$E$42,MATCH($B1255,[1]Roster!$C$3:$C$42,0)),"")</f>
        <v>F/MID</v>
      </c>
      <c r="V1255" s="76">
        <f t="array" ref="V1255">AVERAGEIFS($E$2:$E2309,$B$2:$B2309,$B1255,$P$2:$P2309,"&lt;="&amp;$P1255,$P$2:$P2309,"&gt;"&amp;$P1255-7)</f>
        <v>6</v>
      </c>
      <c r="W1255" s="76">
        <f ca="1">IFERROR(__xludf.DUMMYFUNCTION("iferror(stdevp(filter($D$2:$D2314,$B$2:$B2314=$B1258,$O$2:$O2314&lt;=$O1258,$O$2:$O2314&gt;$O1258-7)),0)"),1.29903810567665)</f>
        <v>1.29903810567665</v>
      </c>
      <c r="X1255" s="77">
        <f t="shared" ca="1" si="21"/>
        <v>-0.76980035891950571</v>
      </c>
      <c r="Y1255" s="77">
        <f t="shared" ca="1" si="22"/>
        <v>2</v>
      </c>
      <c r="Z1255" s="76">
        <f t="array" ref="Z1255">AVERAGEIFS($F$2:$F2309,$B$2:$B2309,$B1255,$P$2:$P2309,"&lt;="&amp;$P1255,$P$2:$P2309,"&gt;"&amp;$P1255-7)</f>
        <v>7.3703703703703702</v>
      </c>
      <c r="AA1255" s="76">
        <f ca="1">IFERROR(__xludf.DUMMYFUNCTION("iferror(stdevp(filter($E$2:$E2314,$B$2:$B2314=$B1258,$O$2:$O2314&lt;=$O1258,$O$2:$O2314&gt;$O1258-7)),0)"),0.866025403784438)</f>
        <v>0.86602540378443804</v>
      </c>
      <c r="AB1255" s="77">
        <f t="shared" ca="1" si="23"/>
        <v>-1.5823674044456419</v>
      </c>
      <c r="AC1255" s="77">
        <f t="shared" ca="1" si="24"/>
        <v>1</v>
      </c>
      <c r="AD1255" s="76">
        <f t="array" ref="AD1255">AVERAGEIFS($G$2:$G2309,$B$2:$B2309,$B1255,$P$2:$P2309,"&lt;="&amp;$P1255,$P$2:$P2309,"&gt;"&amp;$P1255-7)</f>
        <v>7.7777777777777777</v>
      </c>
      <c r="AE1255" s="76">
        <f ca="1">IFERROR(__xludf.DUMMYFUNCTION("iferror(stdevp(filter($F$2:$F2314,$B$2:$B2314=$B1258,$O$2:$O2314&lt;=$O1258,$O$2:$O2314&gt;$O1258-7)),0)"),0.433012701892219)</f>
        <v>0.43301270189221902</v>
      </c>
      <c r="AF1255" s="77">
        <f t="shared" ca="1" si="25"/>
        <v>0.51320023927966796</v>
      </c>
      <c r="AG1255" s="77">
        <f t="shared" ca="1" si="26"/>
        <v>3</v>
      </c>
      <c r="AH1255" s="76">
        <f t="array" ref="AH1255">AVERAGEIFS($I$2:$I2309,$B$2:$B2309,$B1255,$P$2:$P2309,"&lt;="&amp;$P1255,$P$2:$P2309,"&gt;"&amp;$P1255-7)</f>
        <v>6.333333333333333</v>
      </c>
      <c r="AI1255" s="76">
        <f ca="1">IFERROR(__xludf.DUMMYFUNCTION("iferror(stdevp(filter($H$2:$H2314,$B$2:$B2314=$B1258,$O$2:$O2314&lt;=$O1258,$O$2:$O2314&gt;$O1258-7)),0)"),2.06155281280883)</f>
        <v>2.0615528128088298</v>
      </c>
      <c r="AJ1255" s="77">
        <f t="shared" ca="1" si="27"/>
        <v>1.2935233335271097</v>
      </c>
      <c r="AK1255" s="77">
        <f t="shared" ca="1" si="28"/>
        <v>4</v>
      </c>
      <c r="AL1255" s="76">
        <f t="array" ref="AL1255">AVERAGEIFS($J$2:$J2309,$B$2:$B2309,$B1255,$P$2:$P2309,"&lt;="&amp;$P1255,$P$2:$P2309,"&gt;"&amp;$P1255-7)</f>
        <v>5.4230769230769234</v>
      </c>
      <c r="AM1255" s="76">
        <f ca="1">IFERROR(__xludf.DUMMYFUNCTION("iferror(stdevp(filter($I$2:$I2314,$B$2:$B2314=$B1258,$O$2:$O2314&lt;=$O1258,$O$2:$O2314&gt;$O1258-7)),0)"),1.29903810567665)</f>
        <v>1.29903810567665</v>
      </c>
      <c r="AN1255" s="77">
        <f t="shared" ca="1" si="29"/>
        <v>-0.3256847672351757</v>
      </c>
      <c r="AO1255" s="77">
        <f t="shared" ca="1" si="30"/>
        <v>2</v>
      </c>
      <c r="AP1255" s="76">
        <f t="array" ref="AP1255">AVERAGEIFS($K$2:$K2309,$B$2:$B2309,$B1255,$P$2:$P2309,"&lt;="&amp;$P1255,$P$2:$P2309,"&gt;"&amp;$P1255-7)</f>
        <v>7.5769230769230766</v>
      </c>
      <c r="AQ1255" s="76">
        <f ca="1">IFERROR(__xludf.DUMMYFUNCTION("iferror(stdevp(filter($J$2:$J2314,$B$2:$B2314=$B1258,$O$2:$O2314&lt;=$O1258,$O$2:$O2314&gt;$O1258-7)),0)"),1.29903810567665)</f>
        <v>1.29903810567665</v>
      </c>
      <c r="AR1255" s="77">
        <f t="shared" ca="1" si="31"/>
        <v>-1.9837163095233414</v>
      </c>
      <c r="AS1255" s="77">
        <f t="shared" ca="1" si="32"/>
        <v>1</v>
      </c>
      <c r="AT1255" s="78">
        <f t="shared" ca="1" si="33"/>
        <v>0.54166666666666663</v>
      </c>
    </row>
    <row r="1256" spans="1:46" ht="12.5" x14ac:dyDescent="0.25">
      <c r="A1256" s="75">
        <v>44977.602512337966</v>
      </c>
      <c r="B1256" s="1" t="s">
        <v>12</v>
      </c>
      <c r="C1256" s="1" t="str">
        <f>INDEX(TBL_Name,MATCH(Table2[[#This Row],[Athlete Name]],listNames,0),2)</f>
        <v>Athlete 6</v>
      </c>
      <c r="D1256" s="1" t="s">
        <v>130</v>
      </c>
      <c r="E1256" s="1">
        <v>9</v>
      </c>
      <c r="F1256" s="1">
        <v>9</v>
      </c>
      <c r="G1256" s="1">
        <v>9</v>
      </c>
      <c r="H1256" s="1" t="s">
        <v>178</v>
      </c>
      <c r="I1256" s="1">
        <v>7</v>
      </c>
      <c r="J1256" s="1">
        <v>6</v>
      </c>
      <c r="K1256" s="1">
        <v>10</v>
      </c>
      <c r="L1256" s="1">
        <v>88</v>
      </c>
      <c r="M1256" s="1" t="e">
        <f t="shared" ref="M1256" ca="1" si="54">_xludf.concat($B1256,$P1256)</f>
        <v>#NAME?</v>
      </c>
      <c r="N1256" s="1" t="e">
        <f t="shared" si="18"/>
        <v>#VALUE!</v>
      </c>
      <c r="O1256" s="1" t="e">
        <f ca="1">IF($N1256=_xludf.MINIFS($N$2:$N2506,$R$2:$R2506,$R1256),1,
($N1256-_xludf.MINIFS($N$2:$N2506,$R$2:$R2506,$R1256))+1)</f>
        <v>#VALUE!</v>
      </c>
      <c r="P1256" s="13" t="e">
        <f t="shared" si="19"/>
        <v>#VALUE!</v>
      </c>
      <c r="Q1256" s="1" t="str">
        <f>RIGHT(YEAR($A1256),2)-(MONTH($A1256)&lt;=[1]Roster!$K$25)
 &amp;"-"&amp;
 RIGHT(YEAR($A1256),2)+(MONTH($A1256)&gt;=[1]Roster!$K$26)</f>
        <v>22-23</v>
      </c>
      <c r="R1256" s="1" t="e">
        <f>CHOOSE(MONTH($P1256),[1]Roster!$K$9,[1]Roster!$K$10,[1]Roster!$K$11,[1]Roster!$K$12,[1]Roster!$K$13,[1]Roster!$K$14,[1]Roster!$K$15,[1]Roster!$K$16,[1]Roster!$K$17,[1]Roster!$K$18,[1]Roster!$K$19,[1]Roster!$K$20)&amp;" "&amp;$Q1256</f>
        <v>#VALUE!</v>
      </c>
      <c r="S1256" s="1">
        <f t="shared" si="20"/>
        <v>1</v>
      </c>
      <c r="T1256" s="1" t="str">
        <f t="array" ref="T1256">IFERROR(INDEX([1]Roster!$D$3:$D$42,MATCH($B1256,[1]Roster!$C$3:$C$42,0)),"")</f>
        <v>MID</v>
      </c>
      <c r="U1256" s="1" t="str">
        <f t="array" ref="U1256">IFERROR(INDEX([1]Roster!$E$3:$E$42,MATCH($B1256,[1]Roster!$C$3:$C$42,0)),"")</f>
        <v>MID</v>
      </c>
      <c r="V1256" s="76">
        <f t="array" ref="V1256">AVERAGEIFS($E$2:$E2309,$B$2:$B2309,$B1256,$P$2:$P2309,"&lt;="&amp;$P1256,$P$2:$P2309,"&gt;"&amp;$P1256-7)</f>
        <v>9.75</v>
      </c>
      <c r="W1256" s="76">
        <f ca="1">IFERROR(__xludf.DUMMYFUNCTION("iferror(stdevp(filter($D$2:$D2314,$B$2:$B2314=$B1259,$O$2:$O2314&lt;=$O1259,$O$2:$O2314&gt;$O1259-7)),0)"),0.471404520791031)</f>
        <v>0.47140452079103101</v>
      </c>
      <c r="X1256" s="77">
        <f t="shared" ca="1" si="21"/>
        <v>-1.5909902576697341</v>
      </c>
      <c r="Y1256" s="77">
        <f t="shared" ca="1" si="22"/>
        <v>1</v>
      </c>
      <c r="Z1256" s="76">
        <f t="array" ref="Z1256">AVERAGEIFS($F$2:$F2309,$B$2:$B2309,$B1256,$P$2:$P2309,"&lt;="&amp;$P1256,$P$2:$P2309,"&gt;"&amp;$P1256-7)</f>
        <v>7.083333333333333</v>
      </c>
      <c r="AA1256" s="76">
        <f ca="1">IFERROR(__xludf.DUMMYFUNCTION("iferror(stdevp(filter($E$2:$E2314,$B$2:$B2314=$B1259,$O$2:$O2314&lt;=$O1259,$O$2:$O2314&gt;$O1259-7)),0)"),0.816496580927726)</f>
        <v>0.81649658092772603</v>
      </c>
      <c r="AB1256" s="77">
        <f t="shared" ca="1" si="23"/>
        <v>2.3474276701672125</v>
      </c>
      <c r="AC1256" s="77">
        <f t="shared" ca="1" si="24"/>
        <v>4</v>
      </c>
      <c r="AD1256" s="76">
        <f t="array" ref="AD1256">AVERAGEIFS($G$2:$G2309,$B$2:$B2309,$B1256,$P$2:$P2309,"&lt;="&amp;$P1256,$P$2:$P2309,"&gt;"&amp;$P1256-7)</f>
        <v>7.083333333333333</v>
      </c>
      <c r="AE1256" s="76">
        <f ca="1">IFERROR(__xludf.DUMMYFUNCTION("iferror(stdevp(filter($F$2:$F2314,$B$2:$B2314=$B1259,$O$2:$O2314&lt;=$O1259,$O$2:$O2314&gt;$O1259-7)),0)"),0.471404520791031)</f>
        <v>0.47140452079103101</v>
      </c>
      <c r="AF1256" s="77">
        <f t="shared" ca="1" si="25"/>
        <v>4.0658639918226545</v>
      </c>
      <c r="AG1256" s="77">
        <f t="shared" ca="1" si="26"/>
        <v>4</v>
      </c>
      <c r="AH1256" s="76">
        <f t="array" ref="AH1256">AVERAGEIFS($I$2:$I2309,$B$2:$B2309,$B1256,$P$2:$P2309,"&lt;="&amp;$P1256,$P$2:$P2309,"&gt;"&amp;$P1256-7)</f>
        <v>6.583333333333333</v>
      </c>
      <c r="AI1256" s="76">
        <f ca="1">IFERROR(__xludf.DUMMYFUNCTION("iferror(stdevp(filter($H$2:$H2314,$B$2:$B2314=$B1259,$O$2:$O2314&lt;=$O1259,$O$2:$O2314&gt;$O1259-7)),0)"),1.63299316185545)</f>
        <v>1.6329931618554501</v>
      </c>
      <c r="AJ1256" s="77">
        <f t="shared" ca="1" si="27"/>
        <v>0.2551551815399149</v>
      </c>
      <c r="AK1256" s="77">
        <f t="shared" ca="1" si="28"/>
        <v>3</v>
      </c>
      <c r="AL1256" s="76">
        <f t="array" ref="AL1256">AVERAGEIFS($J$2:$J2309,$B$2:$B2309,$B1256,$P$2:$P2309,"&lt;="&amp;$P1256,$P$2:$P2309,"&gt;"&amp;$P1256-7)</f>
        <v>6.666666666666667</v>
      </c>
      <c r="AM1256" s="76">
        <f ca="1">IFERROR(__xludf.DUMMYFUNCTION("iferror(stdevp(filter($I$2:$I2314,$B$2:$B2314=$B1259,$O$2:$O2314&lt;=$O1259,$O$2:$O2314&gt;$O1259-7)),0)"),0.942809041582063)</f>
        <v>0.94280904158206302</v>
      </c>
      <c r="AN1256" s="77">
        <f t="shared" ca="1" si="29"/>
        <v>-0.70710678118654813</v>
      </c>
      <c r="AO1256" s="77">
        <f t="shared" ca="1" si="30"/>
        <v>2</v>
      </c>
      <c r="AP1256" s="76">
        <f t="array" ref="AP1256">AVERAGEIFS($K$2:$K2309,$B$2:$B2309,$B1256,$P$2:$P2309,"&lt;="&amp;$P1256,$P$2:$P2309,"&gt;"&amp;$P1256-7)</f>
        <v>8.25</v>
      </c>
      <c r="AQ1256" s="76">
        <f ca="1">IFERROR(__xludf.DUMMYFUNCTION("iferror(stdevp(filter($J$2:$J2314,$B$2:$B2314=$B1259,$O$2:$O2314&lt;=$O1259,$O$2:$O2314&gt;$O1259-7)),0)"),1.88561808316412)</f>
        <v>1.8856180831641201</v>
      </c>
      <c r="AR1256" s="77">
        <f t="shared" ca="1" si="31"/>
        <v>0.9280776503073469</v>
      </c>
      <c r="AS1256" s="77">
        <f t="shared" ca="1" si="32"/>
        <v>3</v>
      </c>
      <c r="AT1256" s="78">
        <f t="shared" ca="1" si="33"/>
        <v>0.70833333333333337</v>
      </c>
    </row>
    <row r="1257" spans="1:46" ht="12.5" x14ac:dyDescent="0.25">
      <c r="A1257" s="75">
        <v>44978.295728449069</v>
      </c>
      <c r="B1257" s="1" t="s">
        <v>13</v>
      </c>
      <c r="C1257" s="1" t="str">
        <f>INDEX(TBL_Name,MATCH(Table2[[#This Row],[Athlete Name]],listNames,0),2)</f>
        <v>Athlete 7</v>
      </c>
      <c r="D1257" s="1" t="s">
        <v>130</v>
      </c>
      <c r="E1257" s="1">
        <v>3</v>
      </c>
      <c r="F1257" s="1">
        <v>6</v>
      </c>
      <c r="G1257" s="1">
        <v>7</v>
      </c>
      <c r="H1257" s="1" t="s">
        <v>326</v>
      </c>
      <c r="I1257" s="1">
        <v>5</v>
      </c>
      <c r="J1257" s="1">
        <v>7</v>
      </c>
      <c r="K1257" s="1">
        <v>10</v>
      </c>
      <c r="L1257" s="1">
        <v>72</v>
      </c>
      <c r="M1257" s="1" t="e">
        <f t="shared" ref="M1257" ca="1" si="55">_xludf.concat($B1257,$P1257)</f>
        <v>#NAME?</v>
      </c>
      <c r="N1257" s="1" t="e">
        <f t="shared" si="18"/>
        <v>#VALUE!</v>
      </c>
      <c r="O1257" s="1" t="e">
        <f ca="1">IF($N1257=_xludf.MINIFS($N$2:$N2507,$R$2:$R2507,$R1257),1,
($N1257-_xludf.MINIFS($N$2:$N2507,$R$2:$R2507,$R1257))+1)</f>
        <v>#VALUE!</v>
      </c>
      <c r="P1257" s="13" t="e">
        <f t="shared" si="19"/>
        <v>#VALUE!</v>
      </c>
      <c r="Q1257" s="1" t="str">
        <f>RIGHT(YEAR($A1257),2)-(MONTH($A1257)&lt;=[1]Roster!$K$25)
 &amp;"-"&amp;
 RIGHT(YEAR($A1257),2)+(MONTH($A1257)&gt;=[1]Roster!$K$26)</f>
        <v>22-23</v>
      </c>
      <c r="R1257" s="1" t="e">
        <f>CHOOSE(MONTH($P1257),[1]Roster!$K$9,[1]Roster!$K$10,[1]Roster!$K$11,[1]Roster!$K$12,[1]Roster!$K$13,[1]Roster!$K$14,[1]Roster!$K$15,[1]Roster!$K$16,[1]Roster!$K$17,[1]Roster!$K$18,[1]Roster!$K$19,[1]Roster!$K$20)&amp;" "&amp;$Q1257</f>
        <v>#VALUE!</v>
      </c>
      <c r="S1257" s="1">
        <f t="shared" si="20"/>
        <v>1</v>
      </c>
      <c r="T1257" s="1" t="str">
        <f t="array" ref="T1257">IFERROR(INDEX([1]Roster!$D$3:$D$42,MATCH($B1257,[1]Roster!$C$3:$C$42,0)),"")</f>
        <v>MID/D</v>
      </c>
      <c r="U1257" s="1" t="str">
        <f t="array" ref="U1257">IFERROR(INDEX([1]Roster!$E$3:$E$42,MATCH($B1257,[1]Roster!$C$3:$C$42,0)),"")</f>
        <v>MID/D</v>
      </c>
      <c r="V1257" s="76">
        <f t="array" ref="V1257">AVERAGEIFS($E$2:$E2309,$B$2:$B2309,$B1257,$P$2:$P2309,"&lt;="&amp;$P1257,$P$2:$P2309,"&gt;"&amp;$P1257-7)</f>
        <v>7.6857142857142859</v>
      </c>
      <c r="W1257" s="76">
        <f ca="1">IFERROR(__xludf.DUMMYFUNCTION("iferror(stdevp(filter($D$2:$D2314,$B$2:$B2314=$B1260,$O$2:$O2314&lt;=$O1260,$O$2:$O2314&gt;$O1260-7)),0)"),2.44948974278317)</f>
        <v>2.4494897427831699</v>
      </c>
      <c r="X1257" s="77">
        <f t="shared" ca="1" si="21"/>
        <v>-1.9129348467449647</v>
      </c>
      <c r="Y1257" s="77">
        <f t="shared" ca="1" si="22"/>
        <v>1</v>
      </c>
      <c r="Z1257" s="76">
        <f t="array" ref="Z1257">AVERAGEIFS($F$2:$F2309,$B$2:$B2309,$B1257,$P$2:$P2309,"&lt;="&amp;$P1257,$P$2:$P2309,"&gt;"&amp;$P1257-7)</f>
        <v>7.0857142857142854</v>
      </c>
      <c r="AA1257" s="76">
        <f ca="1">IFERROR(__xludf.DUMMYFUNCTION("iferror(stdevp(filter($E$2:$E2314,$B$2:$B2314=$B1260,$O$2:$O2314&lt;=$O1260,$O$2:$O2314&gt;$O1260-7)),0)"),1.08972473588516)</f>
        <v>1.0897247358851601</v>
      </c>
      <c r="AB1257" s="77">
        <f t="shared" ca="1" si="23"/>
        <v>-0.99631975852358989</v>
      </c>
      <c r="AC1257" s="77">
        <f t="shared" ca="1" si="24"/>
        <v>2</v>
      </c>
      <c r="AD1257" s="76">
        <f t="array" ref="AD1257">AVERAGEIFS($G$2:$G2309,$B$2:$B2309,$B1257,$P$2:$P2309,"&lt;="&amp;$P1257,$P$2:$P2309,"&gt;"&amp;$P1257-7)</f>
        <v>7.1428571428571432</v>
      </c>
      <c r="AE1257" s="76">
        <f ca="1">IFERROR(__xludf.DUMMYFUNCTION("iferror(stdevp(filter($F$2:$F2314,$B$2:$B2314=$B1260,$O$2:$O2314&lt;=$O1260,$O$2:$O2314&gt;$O1260-7)),0)"),0.707106781186547)</f>
        <v>0.70710678118654702</v>
      </c>
      <c r="AF1257" s="77">
        <f t="shared" ca="1" si="25"/>
        <v>-0.20203050891044283</v>
      </c>
      <c r="AG1257" s="77">
        <f t="shared" ca="1" si="26"/>
        <v>2</v>
      </c>
      <c r="AH1257" s="76">
        <f t="array" ref="AH1257">AVERAGEIFS($I$2:$I2309,$B$2:$B2309,$B1257,$P$2:$P2309,"&lt;="&amp;$P1257,$P$2:$P2309,"&gt;"&amp;$P1257-7)</f>
        <v>7.0285714285714285</v>
      </c>
      <c r="AI1257" s="76">
        <f ca="1">IFERROR(__xludf.DUMMYFUNCTION("iferror(stdevp(filter($H$2:$H2314,$B$2:$B2314=$B1260,$O$2:$O2314&lt;=$O1260,$O$2:$O2314&gt;$O1260-7)),0)"),1.22474487139158)</f>
        <v>1.2247448713915801</v>
      </c>
      <c r="AJ1257" s="77">
        <f t="shared" ca="1" si="27"/>
        <v>-1.6563216355962562</v>
      </c>
      <c r="AK1257" s="77">
        <f t="shared" ca="1" si="28"/>
        <v>1</v>
      </c>
      <c r="AL1257" s="76">
        <f t="array" ref="AL1257">AVERAGEIFS($J$2:$J2309,$B$2:$B2309,$B1257,$P$2:$P2309,"&lt;="&amp;$P1257,$P$2:$P2309,"&gt;"&amp;$P1257-7)</f>
        <v>9.742857142857142</v>
      </c>
      <c r="AM1257" s="76">
        <f ca="1">IFERROR(__xludf.DUMMYFUNCTION("iferror(stdevp(filter($I$2:$I2314,$B$2:$B2314=$B1260,$O$2:$O2314&lt;=$O1260,$O$2:$O2314&gt;$O1260-7)),0)"),1.29903810567665)</f>
        <v>1.29903810567665</v>
      </c>
      <c r="AN1257" s="77">
        <f t="shared" ca="1" si="29"/>
        <v>-2.1114524130363579</v>
      </c>
      <c r="AO1257" s="77">
        <f t="shared" ca="1" si="30"/>
        <v>1</v>
      </c>
      <c r="AP1257" s="76">
        <f t="array" ref="AP1257">AVERAGEIFS($K$2:$K2309,$B$2:$B2309,$B1257,$P$2:$P2309,"&lt;="&amp;$P1257,$P$2:$P2309,"&gt;"&amp;$P1257-7)</f>
        <v>9.4285714285714288</v>
      </c>
      <c r="AQ1257" s="76">
        <f ca="1">IFERROR(__xludf.DUMMYFUNCTION("iferror(stdevp(filter($J$2:$J2314,$B$2:$B2314=$B1260,$O$2:$O2314&lt;=$O1260,$O$2:$O2314&gt;$O1260-7)),0)"),0)</f>
        <v>0</v>
      </c>
      <c r="AR1257" s="77">
        <f t="shared" ca="1" si="31"/>
        <v>0</v>
      </c>
      <c r="AS1257" s="77">
        <f t="shared" ca="1" si="32"/>
        <v>3</v>
      </c>
      <c r="AT1257" s="78">
        <f t="shared" ca="1" si="33"/>
        <v>0.41666666666666669</v>
      </c>
    </row>
    <row r="1258" spans="1:46" ht="12.5" x14ac:dyDescent="0.25">
      <c r="A1258" s="75">
        <v>44978.367794097227</v>
      </c>
      <c r="B1258" s="1" t="s">
        <v>17</v>
      </c>
      <c r="C1258" s="1" t="str">
        <f>INDEX(TBL_Name,MATCH(Table2[[#This Row],[Athlete Name]],listNames,0),2)</f>
        <v>Athlete 10</v>
      </c>
      <c r="D1258" s="1" t="s">
        <v>130</v>
      </c>
      <c r="E1258" s="1">
        <v>8</v>
      </c>
      <c r="F1258" s="1">
        <v>8</v>
      </c>
      <c r="G1258" s="1">
        <v>8</v>
      </c>
      <c r="H1258" s="1" t="s">
        <v>228</v>
      </c>
      <c r="I1258" s="1">
        <v>6</v>
      </c>
      <c r="J1258" s="1">
        <v>7</v>
      </c>
      <c r="K1258" s="1">
        <v>8</v>
      </c>
      <c r="L1258" s="1">
        <v>74</v>
      </c>
      <c r="M1258" s="1" t="e">
        <f t="shared" ref="M1258" ca="1" si="56">_xludf.concat($B1258,$P1258)</f>
        <v>#NAME?</v>
      </c>
      <c r="N1258" s="1" t="e">
        <f t="shared" si="18"/>
        <v>#VALUE!</v>
      </c>
      <c r="O1258" s="1" t="e">
        <f ca="1">IF($N1258=_xludf.MINIFS($N$2:$N2508,$R$2:$R2508,$R1258),1,
($N1258-_xludf.MINIFS($N$2:$N2508,$R$2:$R2508,$R1258))+1)</f>
        <v>#VALUE!</v>
      </c>
      <c r="P1258" s="13" t="e">
        <f t="shared" si="19"/>
        <v>#VALUE!</v>
      </c>
      <c r="Q1258" s="1" t="str">
        <f>RIGHT(YEAR($A1258),2)-(MONTH($A1258)&lt;=[1]Roster!$K$25)
 &amp;"-"&amp;
 RIGHT(YEAR($A1258),2)+(MONTH($A1258)&gt;=[1]Roster!$K$26)</f>
        <v>22-23</v>
      </c>
      <c r="R1258" s="1" t="e">
        <f>CHOOSE(MONTH($P1258),[1]Roster!$K$9,[1]Roster!$K$10,[1]Roster!$K$11,[1]Roster!$K$12,[1]Roster!$K$13,[1]Roster!$K$14,[1]Roster!$K$15,[1]Roster!$K$16,[1]Roster!$K$17,[1]Roster!$K$18,[1]Roster!$K$19,[1]Roster!$K$20)&amp;" "&amp;$Q1258</f>
        <v>#VALUE!</v>
      </c>
      <c r="S1258" s="1">
        <f t="shared" si="20"/>
        <v>1</v>
      </c>
      <c r="T1258" s="1" t="str">
        <f t="array" ref="T1258">IFERROR(INDEX([1]Roster!$D$3:$D$42,MATCH($B1258,[1]Roster!$C$3:$C$42,0)),"")</f>
        <v>D</v>
      </c>
      <c r="U1258" s="1" t="str">
        <f t="array" ref="U1258">IFERROR(INDEX([1]Roster!$E$3:$E$42,MATCH($B1258,[1]Roster!$C$3:$C$42,0)),"")</f>
        <v>D</v>
      </c>
      <c r="V1258" s="76">
        <f t="array" ref="V1258">AVERAGEIFS($E$2:$E2309,$B$2:$B2309,$B1258,$P$2:$P2309,"&lt;="&amp;$P1258,$P$2:$P2309,"&gt;"&amp;$P1258-7)</f>
        <v>6.9024390243902438</v>
      </c>
      <c r="W1258" s="76">
        <f ca="1">IFERROR(__xludf.DUMMYFUNCTION("iferror(stdevp(filter($D$2:$D2314,$B$2:$B2314=$B1261,$O$2:$O2314&lt;=$O1261,$O$2:$O2314&gt;$O1261-7)),0)"),1.95078331845327)</f>
        <v>1.9507833184532699</v>
      </c>
      <c r="X1258" s="77">
        <f t="shared" ca="1" si="21"/>
        <v>0.5626257745939649</v>
      </c>
      <c r="Y1258" s="77">
        <f t="shared" ca="1" si="22"/>
        <v>3</v>
      </c>
      <c r="Z1258" s="76">
        <f t="array" ref="Z1258">AVERAGEIFS($F$2:$F2309,$B$2:$B2309,$B1258,$P$2:$P2309,"&lt;="&amp;$P1258,$P$2:$P2309,"&gt;"&amp;$P1258-7)</f>
        <v>7.2926829268292686</v>
      </c>
      <c r="AA1258" s="76">
        <f ca="1">IFERROR(__xludf.DUMMYFUNCTION("iferror(stdevp(filter($E$2:$E2314,$B$2:$B2314=$B1261,$O$2:$O2314&lt;=$O1261,$O$2:$O2314&gt;$O1261-7)),0)"),1)</f>
        <v>1</v>
      </c>
      <c r="AB1258" s="77">
        <f t="shared" ca="1" si="23"/>
        <v>0.70731707317073145</v>
      </c>
      <c r="AC1258" s="77">
        <f t="shared" ca="1" si="24"/>
        <v>3</v>
      </c>
      <c r="AD1258" s="76">
        <f t="array" ref="AD1258">AVERAGEIFS($G$2:$G2309,$B$2:$B2309,$B1258,$P$2:$P2309,"&lt;="&amp;$P1258,$P$2:$P2309,"&gt;"&amp;$P1258-7)</f>
        <v>7.8048780487804876</v>
      </c>
      <c r="AE1258" s="76">
        <f ca="1">IFERROR(__xludf.DUMMYFUNCTION("iferror(stdevp(filter($F$2:$F2314,$B$2:$B2314=$B1261,$O$2:$O2314&lt;=$O1261,$O$2:$O2314&gt;$O1261-7)),0)"),1.49071198499985)</f>
        <v>1.49071198499985</v>
      </c>
      <c r="AF1258" s="77">
        <f t="shared" ca="1" si="25"/>
        <v>0.13089178404876914</v>
      </c>
      <c r="AG1258" s="77">
        <f t="shared" ca="1" si="26"/>
        <v>3</v>
      </c>
      <c r="AH1258" s="76">
        <f t="array" ref="AH1258">AVERAGEIFS($I$2:$I2309,$B$2:$B2309,$B1258,$P$2:$P2309,"&lt;="&amp;$P1258,$P$2:$P2309,"&gt;"&amp;$P1258-7)</f>
        <v>6.3170731707317076</v>
      </c>
      <c r="AI1258" s="76">
        <f ca="1">IFERROR(__xludf.DUMMYFUNCTION("iferror(stdevp(filter($H$2:$H2314,$B$2:$B2314=$B1261,$O$2:$O2314&lt;=$O1261,$O$2:$O2314&gt;$O1261-7)),0)"),1.24721912892464)</f>
        <v>1.2472191289246399</v>
      </c>
      <c r="AJ1258" s="77">
        <f t="shared" ca="1" si="27"/>
        <v>-0.25422410816060048</v>
      </c>
      <c r="AK1258" s="77">
        <f t="shared" ca="1" si="28"/>
        <v>2</v>
      </c>
      <c r="AL1258" s="76">
        <f t="array" ref="AL1258">AVERAGEIFS($J$2:$J2309,$B$2:$B2309,$B1258,$P$2:$P2309,"&lt;="&amp;$P1258,$P$2:$P2309,"&gt;"&amp;$P1258-7)</f>
        <v>6.9024390243902438</v>
      </c>
      <c r="AM1258" s="76">
        <f ca="1">IFERROR(__xludf.DUMMYFUNCTION("iferror(stdevp(filter($I$2:$I2314,$B$2:$B2314=$B1261,$O$2:$O2314&lt;=$O1261,$O$2:$O2314&gt;$O1261-7)),0)"),1.5723301886761)</f>
        <v>1.5723301886761001</v>
      </c>
      <c r="AN1258" s="77">
        <f t="shared" ca="1" si="29"/>
        <v>6.2048656390616269E-2</v>
      </c>
      <c r="AO1258" s="77">
        <f t="shared" ca="1" si="30"/>
        <v>3</v>
      </c>
      <c r="AP1258" s="76">
        <f t="array" ref="AP1258">AVERAGEIFS($K$2:$K2309,$B$2:$B2309,$B1258,$P$2:$P2309,"&lt;="&amp;$P1258,$P$2:$P2309,"&gt;"&amp;$P1258-7)</f>
        <v>8</v>
      </c>
      <c r="AQ1258" s="76">
        <f ca="1">IFERROR(__xludf.DUMMYFUNCTION("iferror(stdevp(filter($J$2:$J2314,$B$2:$B2314=$B1261,$O$2:$O2314&lt;=$O1261,$O$2:$O2314&gt;$O1261-7)),0)"),0.816496580927726)</f>
        <v>0.81649658092772603</v>
      </c>
      <c r="AR1258" s="77">
        <f t="shared" ca="1" si="31"/>
        <v>0</v>
      </c>
      <c r="AS1258" s="77">
        <f t="shared" ca="1" si="32"/>
        <v>3</v>
      </c>
      <c r="AT1258" s="78">
        <f t="shared" ca="1" si="33"/>
        <v>0.70833333333333337</v>
      </c>
    </row>
    <row r="1259" spans="1:46" ht="12.5" x14ac:dyDescent="0.25">
      <c r="A1259" s="75">
        <v>44978.385544687495</v>
      </c>
      <c r="B1259" s="1" t="s">
        <v>29</v>
      </c>
      <c r="C1259" s="1" t="str">
        <f>INDEX(TBL_Name,MATCH(Table2[[#This Row],[Athlete Name]],listNames,0),2)</f>
        <v>Athlete 18</v>
      </c>
      <c r="D1259" s="1" t="s">
        <v>130</v>
      </c>
      <c r="E1259" s="1">
        <v>9</v>
      </c>
      <c r="F1259" s="1">
        <v>8</v>
      </c>
      <c r="G1259" s="1">
        <v>9</v>
      </c>
      <c r="H1259" s="1" t="s">
        <v>1347</v>
      </c>
      <c r="I1259" s="1">
        <v>7</v>
      </c>
      <c r="J1259" s="1">
        <v>9</v>
      </c>
      <c r="K1259" s="1">
        <v>8</v>
      </c>
      <c r="L1259" s="1">
        <v>95</v>
      </c>
      <c r="M1259" s="1" t="e">
        <f t="shared" ref="M1259" ca="1" si="57">_xludf.concat($B1259,$P1259)</f>
        <v>#NAME?</v>
      </c>
      <c r="N1259" s="1" t="e">
        <f t="shared" si="18"/>
        <v>#VALUE!</v>
      </c>
      <c r="O1259" s="1" t="e">
        <f ca="1">IF($N1259=_xludf.MINIFS($N$2:$N2509,$R$2:$R2509,$R1259),1,
($N1259-_xludf.MINIFS($N$2:$N2509,$R$2:$R2509,$R1259))+1)</f>
        <v>#VALUE!</v>
      </c>
      <c r="P1259" s="13" t="e">
        <f t="shared" si="19"/>
        <v>#VALUE!</v>
      </c>
      <c r="Q1259" s="1" t="str">
        <f>RIGHT(YEAR($A1259),2)-(MONTH($A1259)&lt;=[1]Roster!$K$25)
 &amp;"-"&amp;
 RIGHT(YEAR($A1259),2)+(MONTH($A1259)&gt;=[1]Roster!$K$26)</f>
        <v>22-23</v>
      </c>
      <c r="R1259" s="1" t="e">
        <f>CHOOSE(MONTH($P1259),[1]Roster!$K$9,[1]Roster!$K$10,[1]Roster!$K$11,[1]Roster!$K$12,[1]Roster!$K$13,[1]Roster!$K$14,[1]Roster!$K$15,[1]Roster!$K$16,[1]Roster!$K$17,[1]Roster!$K$18,[1]Roster!$K$19,[1]Roster!$K$20)&amp;" "&amp;$Q1259</f>
        <v>#VALUE!</v>
      </c>
      <c r="S1259" s="1">
        <f t="shared" si="20"/>
        <v>1</v>
      </c>
      <c r="T1259" s="1" t="str">
        <f t="array" ref="T1259">IFERROR(INDEX([1]Roster!$D$3:$D$42,MATCH($B1259,[1]Roster!$C$3:$C$42,0)),"")</f>
        <v>GK</v>
      </c>
      <c r="U1259" s="1" t="str">
        <f t="array" ref="U1259">IFERROR(INDEX([1]Roster!$E$3:$E$42,MATCH($B1259,[1]Roster!$C$3:$C$42,0)),"")</f>
        <v>GK</v>
      </c>
      <c r="V1259" s="76">
        <f t="array" ref="V1259">AVERAGEIFS($E$2:$E2309,$B$2:$B2309,$B1259,$P$2:$P2309,"&lt;="&amp;$P1259,$P$2:$P2309,"&gt;"&amp;$P1259-7)</f>
        <v>8.53125</v>
      </c>
      <c r="W1259" s="76">
        <f ca="1">IFERROR(__xludf.DUMMYFUNCTION("iferror(stdevp(filter($D$2:$D2314,$B$2:$B2314=$B1262,$O$2:$O2314&lt;=$O1262,$O$2:$O2314&gt;$O1262-7)),0)"),0.489897948556635)</f>
        <v>0.48989794855663499</v>
      </c>
      <c r="X1259" s="77">
        <f t="shared" ca="1" si="21"/>
        <v>0.95683193077468021</v>
      </c>
      <c r="Y1259" s="77">
        <f t="shared" ca="1" si="22"/>
        <v>3</v>
      </c>
      <c r="Z1259" s="76">
        <f t="array" ref="Z1259">AVERAGEIFS($F$2:$F2309,$B$2:$B2309,$B1259,$P$2:$P2309,"&lt;="&amp;$P1259,$P$2:$P2309,"&gt;"&amp;$P1259-7)</f>
        <v>8.125</v>
      </c>
      <c r="AA1259" s="76">
        <f ca="1">IFERROR(__xludf.DUMMYFUNCTION("iferror(stdevp(filter($E$2:$E2314,$B$2:$B2314=$B1262,$O$2:$O2314&lt;=$O1262,$O$2:$O2314&gt;$O1262-7)),0)"),0.799999999999999)</f>
        <v>0.79999999999999905</v>
      </c>
      <c r="AB1259" s="77">
        <f t="shared" ca="1" si="23"/>
        <v>-0.15625000000000019</v>
      </c>
      <c r="AC1259" s="77">
        <f t="shared" ca="1" si="24"/>
        <v>2</v>
      </c>
      <c r="AD1259" s="76">
        <f t="array" ref="AD1259">AVERAGEIFS($G$2:$G2309,$B$2:$B2309,$B1259,$P$2:$P2309,"&lt;="&amp;$P1259,$P$2:$P2309,"&gt;"&amp;$P1259-7)</f>
        <v>8.09375</v>
      </c>
      <c r="AE1259" s="76">
        <f ca="1">IFERROR(__xludf.DUMMYFUNCTION("iferror(stdevp(filter($F$2:$F2314,$B$2:$B2314=$B1262,$O$2:$O2314&lt;=$O1262,$O$2:$O2314&gt;$O1262-7)),0)"),0.4)</f>
        <v>0.4</v>
      </c>
      <c r="AF1259" s="77">
        <f t="shared" ca="1" si="25"/>
        <v>2.265625</v>
      </c>
      <c r="AG1259" s="77">
        <f t="shared" ca="1" si="26"/>
        <v>4</v>
      </c>
      <c r="AH1259" s="76">
        <f t="array" ref="AH1259">AVERAGEIFS($I$2:$I2309,$B$2:$B2309,$B1259,$P$2:$P2309,"&lt;="&amp;$P1259,$P$2:$P2309,"&gt;"&amp;$P1259-7)</f>
        <v>7.875</v>
      </c>
      <c r="AI1259" s="76">
        <f ca="1">IFERROR(__xludf.DUMMYFUNCTION("iferror(stdevp(filter($H$2:$H2314,$B$2:$B2314=$B1262,$O$2:$O2314&lt;=$O1262,$O$2:$O2314&gt;$O1262-7)),0)"),1.2)</f>
        <v>1.2</v>
      </c>
      <c r="AJ1259" s="77">
        <f t="shared" ca="1" si="27"/>
        <v>-0.72916666666666674</v>
      </c>
      <c r="AK1259" s="77">
        <f t="shared" ca="1" si="28"/>
        <v>2</v>
      </c>
      <c r="AL1259" s="76">
        <f t="array" ref="AL1259">AVERAGEIFS($J$2:$J2309,$B$2:$B2309,$B1259,$P$2:$P2309,"&lt;="&amp;$P1259,$P$2:$P2309,"&gt;"&amp;$P1259-7)</f>
        <v>8.34375</v>
      </c>
      <c r="AM1259" s="76">
        <f ca="1">IFERROR(__xludf.DUMMYFUNCTION("iferror(stdevp(filter($I$2:$I2314,$B$2:$B2314=$B1262,$O$2:$O2314&lt;=$O1262,$O$2:$O2314&gt;$O1262-7)),0)"),0.4)</f>
        <v>0.4</v>
      </c>
      <c r="AN1259" s="77">
        <f t="shared" ca="1" si="29"/>
        <v>1.640625</v>
      </c>
      <c r="AO1259" s="77">
        <f t="shared" ca="1" si="30"/>
        <v>4</v>
      </c>
      <c r="AP1259" s="76">
        <f t="array" ref="AP1259">AVERAGEIFS($K$2:$K2309,$B$2:$B2309,$B1259,$P$2:$P2309,"&lt;="&amp;$P1259,$P$2:$P2309,"&gt;"&amp;$P1259-7)</f>
        <v>8.46875</v>
      </c>
      <c r="AQ1259" s="76">
        <f ca="1">IFERROR(__xludf.DUMMYFUNCTION("iferror(stdevp(filter($J$2:$J2314,$B$2:$B2314=$B1262,$O$2:$O2314&lt;=$O1262,$O$2:$O2314&gt;$O1262-7)),0)"),0.894427190999915)</f>
        <v>0.89442719099991497</v>
      </c>
      <c r="AR1259" s="77">
        <f t="shared" ca="1" si="31"/>
        <v>-0.52407843222651374</v>
      </c>
      <c r="AS1259" s="77">
        <f t="shared" ca="1" si="32"/>
        <v>2</v>
      </c>
      <c r="AT1259" s="78">
        <f t="shared" ca="1" si="33"/>
        <v>0.70833333333333337</v>
      </c>
    </row>
    <row r="1260" spans="1:46" ht="12.5" x14ac:dyDescent="0.25">
      <c r="A1260" s="75">
        <v>44978.385758159726</v>
      </c>
      <c r="B1260" s="1" t="s">
        <v>21</v>
      </c>
      <c r="C1260" s="1" t="str">
        <f>INDEX(TBL_Name,MATCH(Table2[[#This Row],[Athlete Name]],listNames,0),2)</f>
        <v>Athlete 13</v>
      </c>
      <c r="D1260" s="1" t="s">
        <v>143</v>
      </c>
      <c r="E1260" s="1">
        <v>7</v>
      </c>
      <c r="F1260" s="1">
        <v>8</v>
      </c>
      <c r="G1260" s="1">
        <v>8</v>
      </c>
      <c r="H1260" s="1" t="s">
        <v>1349</v>
      </c>
      <c r="I1260" s="1">
        <v>6</v>
      </c>
      <c r="J1260" s="1">
        <v>6</v>
      </c>
      <c r="K1260" s="1">
        <v>6</v>
      </c>
      <c r="L1260" s="1">
        <v>75</v>
      </c>
      <c r="M1260" s="1" t="e">
        <f t="shared" ref="M1260" ca="1" si="58">_xludf.concat($B1260,$P1260)</f>
        <v>#NAME?</v>
      </c>
      <c r="N1260" s="1" t="e">
        <f t="shared" si="18"/>
        <v>#VALUE!</v>
      </c>
      <c r="O1260" s="1" t="e">
        <f ca="1">IF($N1260=_xludf.MINIFS($N$2:$N2510,$R$2:$R2510,$R1260),1,
($N1260-_xludf.MINIFS($N$2:$N2510,$R$2:$R2510,$R1260))+1)</f>
        <v>#VALUE!</v>
      </c>
      <c r="P1260" s="13" t="e">
        <f t="shared" si="19"/>
        <v>#VALUE!</v>
      </c>
      <c r="Q1260" s="1" t="str">
        <f>RIGHT(YEAR($A1260),2)-(MONTH($A1260)&lt;=[1]Roster!$K$25)
 &amp;"-"&amp;
 RIGHT(YEAR($A1260),2)+(MONTH($A1260)&gt;=[1]Roster!$K$26)</f>
        <v>22-23</v>
      </c>
      <c r="R1260" s="1" t="e">
        <f>CHOOSE(MONTH($P1260),[1]Roster!$K$9,[1]Roster!$K$10,[1]Roster!$K$11,[1]Roster!$K$12,[1]Roster!$K$13,[1]Roster!$K$14,[1]Roster!$K$15,[1]Roster!$K$16,[1]Roster!$K$17,[1]Roster!$K$18,[1]Roster!$K$19,[1]Roster!$K$20)&amp;" "&amp;$Q1260</f>
        <v>#VALUE!</v>
      </c>
      <c r="S1260" s="1">
        <f t="shared" si="20"/>
        <v>2</v>
      </c>
      <c r="T1260" s="1" t="str">
        <f t="array" ref="T1260">IFERROR(INDEX([1]Roster!$D$3:$D$42,MATCH($B1260,[1]Roster!$C$3:$C$42,0)),"")</f>
        <v>D</v>
      </c>
      <c r="U1260" s="1" t="str">
        <f t="array" ref="U1260">IFERROR(INDEX([1]Roster!$E$3:$E$42,MATCH($B1260,[1]Roster!$C$3:$C$42,0)),"")</f>
        <v>D</v>
      </c>
      <c r="V1260" s="76">
        <f t="array" ref="V1260">AVERAGEIFS($E$2:$E2309,$B$2:$B2309,$B1260,$P$2:$P2309,"&lt;="&amp;$P1260,$P$2:$P2309,"&gt;"&amp;$P1260-7)</f>
        <v>6.6304347826086953</v>
      </c>
      <c r="W1260" s="76">
        <f ca="1">IFERROR(__xludf.DUMMYFUNCTION("iferror(stdevp(filter($D$2:$D2314,$B$2:$B2314=$B1263,$O$2:$O2314&lt;=$O1263,$O$2:$O2314&gt;$O1263-7)),0)"),0.687184270936277)</f>
        <v>0.68718427093627699</v>
      </c>
      <c r="X1260" s="77">
        <f t="shared" ca="1" si="21"/>
        <v>0.53779638595012991</v>
      </c>
      <c r="Y1260" s="77">
        <f t="shared" ca="1" si="22"/>
        <v>3</v>
      </c>
      <c r="Z1260" s="76">
        <f t="array" ref="Z1260">AVERAGEIFS($F$2:$F2309,$B$2:$B2309,$B1260,$P$2:$P2309,"&lt;="&amp;$P1260,$P$2:$P2309,"&gt;"&amp;$P1260-7)</f>
        <v>7.6956521739130439</v>
      </c>
      <c r="AA1260" s="76">
        <f ca="1">IFERROR(__xludf.DUMMYFUNCTION("iferror(stdevp(filter($E$2:$E2314,$B$2:$B2314=$B1263,$O$2:$O2314&lt;=$O1263,$O$2:$O2314&gt;$O1263-7)),0)"),0.89752746785575)</f>
        <v>0.89752746785574999</v>
      </c>
      <c r="AB1260" s="77">
        <f t="shared" ca="1" si="23"/>
        <v>0.33909583493200751</v>
      </c>
      <c r="AC1260" s="77">
        <f t="shared" ca="1" si="24"/>
        <v>3</v>
      </c>
      <c r="AD1260" s="76">
        <f t="array" ref="AD1260">AVERAGEIFS($G$2:$G2309,$B$2:$B2309,$B1260,$P$2:$P2309,"&lt;="&amp;$P1260,$P$2:$P2309,"&gt;"&amp;$P1260-7)</f>
        <v>8.2608695652173907</v>
      </c>
      <c r="AE1260" s="76">
        <f ca="1">IFERROR(__xludf.DUMMYFUNCTION("iferror(stdevp(filter($F$2:$F2314,$B$2:$B2314=$B1263,$O$2:$O2314&lt;=$O1263,$O$2:$O2314&gt;$O1263-7)),0)"),0)</f>
        <v>0</v>
      </c>
      <c r="AF1260" s="77">
        <f t="shared" ca="1" si="25"/>
        <v>0</v>
      </c>
      <c r="AG1260" s="77">
        <f t="shared" ca="1" si="26"/>
        <v>3</v>
      </c>
      <c r="AH1260" s="76">
        <f t="array" ref="AH1260">AVERAGEIFS($I$2:$I2309,$B$2:$B2309,$B1260,$P$2:$P2309,"&lt;="&amp;$P1260,$P$2:$P2309,"&gt;"&amp;$P1260-7)</f>
        <v>5.7391304347826084</v>
      </c>
      <c r="AI1260" s="76">
        <f ca="1">IFERROR(__xludf.DUMMYFUNCTION("iferror(stdevp(filter($H$2:$H2314,$B$2:$B2314=$B1263,$O$2:$O2314&lt;=$O1263,$O$2:$O2314&gt;$O1263-7)),0)"),0.89752746785575)</f>
        <v>0.89752746785574999</v>
      </c>
      <c r="AJ1260" s="77">
        <f t="shared" ca="1" si="27"/>
        <v>0.29065357279886428</v>
      </c>
      <c r="AK1260" s="77">
        <f t="shared" ca="1" si="28"/>
        <v>3</v>
      </c>
      <c r="AL1260" s="76">
        <f t="array" ref="AL1260">AVERAGEIFS($J$2:$J2309,$B$2:$B2309,$B1260,$P$2:$P2309,"&lt;="&amp;$P1260,$P$2:$P2309,"&gt;"&amp;$P1260-7)</f>
        <v>6.5434782608695654</v>
      </c>
      <c r="AM1260" s="76">
        <f ca="1">IFERROR(__xludf.DUMMYFUNCTION("iferror(stdevp(filter($I$2:$I2314,$B$2:$B2314=$B1263,$O$2:$O2314&lt;=$O1263,$O$2:$O2314&gt;$O1263-7)),0)"),0.372677996249965)</f>
        <v>0.372677996249965</v>
      </c>
      <c r="AN1260" s="77">
        <f t="shared" ca="1" si="29"/>
        <v>-1.4583052027172545</v>
      </c>
      <c r="AO1260" s="77">
        <f t="shared" ca="1" si="30"/>
        <v>1</v>
      </c>
      <c r="AP1260" s="76">
        <f t="array" ref="AP1260">AVERAGEIFS($K$2:$K2309,$B$2:$B2309,$B1260,$P$2:$P2309,"&lt;="&amp;$P1260,$P$2:$P2309,"&gt;"&amp;$P1260-7)</f>
        <v>6.6086956521739131</v>
      </c>
      <c r="AQ1260" s="76">
        <f ca="1">IFERROR(__xludf.DUMMYFUNCTION("iferror(stdevp(filter($J$2:$J2314,$B$2:$B2314=$B1263,$O$2:$O2314&lt;=$O1263,$O$2:$O2314&gt;$O1263-7)),0)"),0)</f>
        <v>0</v>
      </c>
      <c r="AR1260" s="77">
        <f t="shared" ca="1" si="31"/>
        <v>0</v>
      </c>
      <c r="AS1260" s="77">
        <f t="shared" ca="1" si="32"/>
        <v>3</v>
      </c>
      <c r="AT1260" s="78">
        <f t="shared" ca="1" si="33"/>
        <v>0.66666666666666663</v>
      </c>
    </row>
    <row r="1261" spans="1:46" ht="12.5" x14ac:dyDescent="0.25">
      <c r="A1261" s="75">
        <v>44978.409600810184</v>
      </c>
      <c r="B1261" s="1" t="s">
        <v>6</v>
      </c>
      <c r="C1261" s="1" t="str">
        <f>INDEX(TBL_Name,MATCH(Table2[[#This Row],[Athlete Name]],listNames,0),2)</f>
        <v>Athlete 2</v>
      </c>
      <c r="D1261" s="1" t="s">
        <v>130</v>
      </c>
      <c r="E1261" s="1">
        <v>10</v>
      </c>
      <c r="F1261" s="1">
        <v>10</v>
      </c>
      <c r="G1261" s="1">
        <v>9</v>
      </c>
      <c r="H1261" s="1" t="s">
        <v>71</v>
      </c>
      <c r="I1261" s="1">
        <v>8</v>
      </c>
      <c r="J1261" s="1">
        <v>9</v>
      </c>
      <c r="K1261" s="1">
        <v>7</v>
      </c>
      <c r="L1261" s="1">
        <v>98</v>
      </c>
      <c r="M1261" s="1" t="e">
        <f t="shared" ref="M1261" ca="1" si="59">_xludf.concat($B1261,$P1261)</f>
        <v>#NAME?</v>
      </c>
      <c r="N1261" s="1" t="e">
        <f t="shared" si="18"/>
        <v>#VALUE!</v>
      </c>
      <c r="O1261" s="1" t="e">
        <f ca="1">IF($N1261=_xludf.MINIFS($N$2:$N2511,$R$2:$R2511,$R1261),1,
($N1261-_xludf.MINIFS($N$2:$N2511,$R$2:$R2511,$R1261))+1)</f>
        <v>#VALUE!</v>
      </c>
      <c r="P1261" s="13" t="e">
        <f t="shared" si="19"/>
        <v>#VALUE!</v>
      </c>
      <c r="Q1261" s="1" t="str">
        <f>RIGHT(YEAR($A1261),2)-(MONTH($A1261)&lt;=[1]Roster!$K$25)
 &amp;"-"&amp;
 RIGHT(YEAR($A1261),2)+(MONTH($A1261)&gt;=[1]Roster!$K$26)</f>
        <v>22-23</v>
      </c>
      <c r="R1261" s="1" t="e">
        <f>CHOOSE(MONTH($P1261),[1]Roster!$K$9,[1]Roster!$K$10,[1]Roster!$K$11,[1]Roster!$K$12,[1]Roster!$K$13,[1]Roster!$K$14,[1]Roster!$K$15,[1]Roster!$K$16,[1]Roster!$K$17,[1]Roster!$K$18,[1]Roster!$K$19,[1]Roster!$K$20)&amp;" "&amp;$Q1261</f>
        <v>#VALUE!</v>
      </c>
      <c r="S1261" s="1">
        <f t="shared" si="20"/>
        <v>1</v>
      </c>
      <c r="T1261" s="1" t="str">
        <f t="array" ref="T1261">IFERROR(INDEX([1]Roster!$D$3:$D$42,MATCH($B1261,[1]Roster!$C$3:$C$42,0)),"")</f>
        <v>FWD</v>
      </c>
      <c r="U1261" s="1" t="str">
        <f t="array" ref="U1261">IFERROR(INDEX([1]Roster!$E$3:$E$42,MATCH($B1261,[1]Roster!$C$3:$C$42,0)),"")</f>
        <v>FWD</v>
      </c>
      <c r="V1261" s="76">
        <f t="array" ref="V1261">AVERAGEIFS($E$2:$E2309,$B$2:$B2309,$B1261,$P$2:$P2309,"&lt;="&amp;$P1261,$P$2:$P2309,"&gt;"&amp;$P1261-7)</f>
        <v>9.7441860465116275</v>
      </c>
      <c r="W1261" s="76">
        <f ca="1">IFERROR(__xludf.DUMMYFUNCTION("iferror(stdevp(filter($D$2:$D2314,$B$2:$B2314=$B1264,$O$2:$O2314&lt;=$O1264,$O$2:$O2314&gt;$O1264-7)),0)"),0)</f>
        <v>0</v>
      </c>
      <c r="X1261" s="77">
        <f t="shared" ca="1" si="21"/>
        <v>0</v>
      </c>
      <c r="Y1261" s="77">
        <f t="shared" ca="1" si="22"/>
        <v>3</v>
      </c>
      <c r="Z1261" s="76">
        <f t="array" ref="Z1261">AVERAGEIFS($F$2:$F2309,$B$2:$B2309,$B1261,$P$2:$P2309,"&lt;="&amp;$P1261,$P$2:$P2309,"&gt;"&amp;$P1261-7)</f>
        <v>8.279069767441861</v>
      </c>
      <c r="AA1261" s="76">
        <f ca="1">IFERROR(__xludf.DUMMYFUNCTION("iferror(stdevp(filter($E$2:$E2314,$B$2:$B2314=$B1264,$O$2:$O2314&lt;=$O1264,$O$2:$O2314&gt;$O1264-7)),0)"),0)</f>
        <v>0</v>
      </c>
      <c r="AB1261" s="77">
        <f t="shared" ca="1" si="23"/>
        <v>0</v>
      </c>
      <c r="AC1261" s="77">
        <f t="shared" ca="1" si="24"/>
        <v>3</v>
      </c>
      <c r="AD1261" s="76">
        <f t="array" ref="AD1261">AVERAGEIFS($G$2:$G2309,$B$2:$B2309,$B1261,$P$2:$P2309,"&lt;="&amp;$P1261,$P$2:$P2309,"&gt;"&amp;$P1261-7)</f>
        <v>8.604651162790697</v>
      </c>
      <c r="AE1261" s="76">
        <f ca="1">IFERROR(__xludf.DUMMYFUNCTION("iferror(stdevp(filter($F$2:$F2314,$B$2:$B2314=$B1264,$O$2:$O2314&lt;=$O1264,$O$2:$O2314&gt;$O1264-7)),0)"),0)</f>
        <v>0</v>
      </c>
      <c r="AF1261" s="77">
        <f t="shared" ca="1" si="25"/>
        <v>0</v>
      </c>
      <c r="AG1261" s="77">
        <f t="shared" ca="1" si="26"/>
        <v>3</v>
      </c>
      <c r="AH1261" s="76">
        <f t="array" ref="AH1261">AVERAGEIFS($I$2:$I2309,$B$2:$B2309,$B1261,$P$2:$P2309,"&lt;="&amp;$P1261,$P$2:$P2309,"&gt;"&amp;$P1261-7)</f>
        <v>8.3488372093023262</v>
      </c>
      <c r="AI1261" s="76">
        <f ca="1">IFERROR(__xludf.DUMMYFUNCTION("iferror(stdevp(filter($H$2:$H2314,$B$2:$B2314=$B1264,$O$2:$O2314&lt;=$O1264,$O$2:$O2314&gt;$O1264-7)),0)"),1.32664991614216)</f>
        <v>1.3266499161421601</v>
      </c>
      <c r="AJ1261" s="77">
        <f t="shared" ca="1" si="27"/>
        <v>-0.26294594003874777</v>
      </c>
      <c r="AK1261" s="77">
        <f t="shared" ca="1" si="28"/>
        <v>2</v>
      </c>
      <c r="AL1261" s="76">
        <f t="array" ref="AL1261">AVERAGEIFS($J$2:$J2309,$B$2:$B2309,$B1261,$P$2:$P2309,"&lt;="&amp;$P1261,$P$2:$P2309,"&gt;"&amp;$P1261-7)</f>
        <v>8.3023255813953494</v>
      </c>
      <c r="AM1261" s="76">
        <f ca="1">IFERROR(__xludf.DUMMYFUNCTION("iferror(stdevp(filter($I$2:$I2314,$B$2:$B2314=$B1264,$O$2:$O2314&lt;=$O1264,$O$2:$O2314&gt;$O1264-7)),0)"),0.632455532033675)</f>
        <v>0.63245553203367499</v>
      </c>
      <c r="AN1261" s="77">
        <f t="shared" ca="1" si="29"/>
        <v>1.103120114012226</v>
      </c>
      <c r="AO1261" s="77">
        <f t="shared" ca="1" si="30"/>
        <v>4</v>
      </c>
      <c r="AP1261" s="76">
        <f t="array" ref="AP1261">AVERAGEIFS($K$2:$K2309,$B$2:$B2309,$B1261,$P$2:$P2309,"&lt;="&amp;$P1261,$P$2:$P2309,"&gt;"&amp;$P1261-7)</f>
        <v>8.9069767441860463</v>
      </c>
      <c r="AQ1261" s="76">
        <f ca="1">IFERROR(__xludf.DUMMYFUNCTION("iferror(stdevp(filter($J$2:$J2314,$B$2:$B2314=$B1264,$O$2:$O2314&lt;=$O1264,$O$2:$O2314&gt;$O1264-7)),0)"),0.799999999999999)</f>
        <v>0.79999999999999905</v>
      </c>
      <c r="AR1261" s="77">
        <f t="shared" ca="1" si="31"/>
        <v>-2.3837209302325606</v>
      </c>
      <c r="AS1261" s="77">
        <f t="shared" ca="1" si="32"/>
        <v>1</v>
      </c>
      <c r="AT1261" s="78">
        <f t="shared" ca="1" si="33"/>
        <v>0.66666666666666663</v>
      </c>
    </row>
    <row r="1262" spans="1:46" ht="12.5" x14ac:dyDescent="0.25">
      <c r="A1262" s="75">
        <v>44978.430515567132</v>
      </c>
      <c r="B1262" s="1" t="s">
        <v>22</v>
      </c>
      <c r="C1262" s="1" t="str">
        <f>INDEX(TBL_Name,MATCH(Table2[[#This Row],[Athlete Name]],listNames,0),2)</f>
        <v>Athlete 14</v>
      </c>
      <c r="D1262" s="1" t="s">
        <v>130</v>
      </c>
      <c r="E1262" s="1">
        <v>6</v>
      </c>
      <c r="F1262" s="1">
        <v>7</v>
      </c>
      <c r="G1262" s="1">
        <v>8</v>
      </c>
      <c r="H1262" s="1" t="s">
        <v>236</v>
      </c>
      <c r="I1262" s="1">
        <v>6</v>
      </c>
      <c r="J1262" s="1">
        <v>8</v>
      </c>
      <c r="K1262" s="1">
        <v>9</v>
      </c>
      <c r="L1262" s="1">
        <v>84</v>
      </c>
      <c r="M1262" s="1" t="e">
        <f t="shared" ref="M1262" ca="1" si="60">_xludf.concat($B1262,$P1262)</f>
        <v>#NAME?</v>
      </c>
      <c r="N1262" s="1" t="e">
        <f t="shared" si="18"/>
        <v>#VALUE!</v>
      </c>
      <c r="O1262" s="1" t="e">
        <f ca="1">IF($N1262=_xludf.MINIFS($N$2:$N2512,$R$2:$R2512,$R1262),1,
($N1262-_xludf.MINIFS($N$2:$N2512,$R$2:$R2512,$R1262))+1)</f>
        <v>#VALUE!</v>
      </c>
      <c r="P1262" s="13" t="e">
        <f t="shared" si="19"/>
        <v>#VALUE!</v>
      </c>
      <c r="Q1262" s="1" t="str">
        <f>RIGHT(YEAR($A1262),2)-(MONTH($A1262)&lt;=[1]Roster!$K$25)
 &amp;"-"&amp;
 RIGHT(YEAR($A1262),2)+(MONTH($A1262)&gt;=[1]Roster!$K$26)</f>
        <v>22-23</v>
      </c>
      <c r="R1262" s="1" t="e">
        <f>CHOOSE(MONTH($P1262),[1]Roster!$K$9,[1]Roster!$K$10,[1]Roster!$K$11,[1]Roster!$K$12,[1]Roster!$K$13,[1]Roster!$K$14,[1]Roster!$K$15,[1]Roster!$K$16,[1]Roster!$K$17,[1]Roster!$K$18,[1]Roster!$K$19,[1]Roster!$K$20)&amp;" "&amp;$Q1262</f>
        <v>#VALUE!</v>
      </c>
      <c r="S1262" s="1">
        <f t="shared" si="20"/>
        <v>1</v>
      </c>
      <c r="T1262" s="1" t="str">
        <f t="array" ref="T1262">IFERROR(INDEX([1]Roster!$D$3:$D$42,MATCH($B1262,[1]Roster!$C$3:$C$42,0)),"")</f>
        <v>D</v>
      </c>
      <c r="U1262" s="1" t="str">
        <f t="array" ref="U1262">IFERROR(INDEX([1]Roster!$E$3:$E$42,MATCH($B1262,[1]Roster!$C$3:$C$42,0)),"")</f>
        <v>D</v>
      </c>
      <c r="V1262" s="76">
        <f t="array" ref="V1262">AVERAGEIFS($E$2:$E2309,$B$2:$B2309,$B1262,$P$2:$P2309,"&lt;="&amp;$P1262,$P$2:$P2309,"&gt;"&amp;$P1262-7)</f>
        <v>5.791666666666667</v>
      </c>
      <c r="W1262" s="76">
        <f ca="1">IFERROR(__xludf.DUMMYFUNCTION("iferror(stdevp(filter($D$2:$D2314,$B$2:$B2314=$B1265,$O$2:$O2314&lt;=$O1265,$O$2:$O2314&gt;$O1265-7)),0)"),1.29903810567665)</f>
        <v>1.29903810567665</v>
      </c>
      <c r="X1262" s="77">
        <f t="shared" ca="1" si="21"/>
        <v>0.16037507477489679</v>
      </c>
      <c r="Y1262" s="77">
        <f t="shared" ca="1" si="22"/>
        <v>3</v>
      </c>
      <c r="Z1262" s="76">
        <f t="array" ref="Z1262">AVERAGEIFS($F$2:$F2309,$B$2:$B2309,$B1262,$P$2:$P2309,"&lt;="&amp;$P1262,$P$2:$P2309,"&gt;"&amp;$P1262-7)</f>
        <v>5.458333333333333</v>
      </c>
      <c r="AA1262" s="76">
        <f ca="1">IFERROR(__xludf.DUMMYFUNCTION("iferror(stdevp(filter($E$2:$E2314,$B$2:$B2314=$B1265,$O$2:$O2314&lt;=$O1265,$O$2:$O2314&gt;$O1265-7)),0)"),1.6583123951777)</f>
        <v>1.6583123951776999</v>
      </c>
      <c r="AB1262" s="77">
        <f t="shared" ca="1" si="23"/>
        <v>0.92965997911477138</v>
      </c>
      <c r="AC1262" s="77">
        <f t="shared" ca="1" si="24"/>
        <v>3</v>
      </c>
      <c r="AD1262" s="76">
        <f t="array" ref="AD1262">AVERAGEIFS($G$2:$G2309,$B$2:$B2309,$B1262,$P$2:$P2309,"&lt;="&amp;$P1262,$P$2:$P2309,"&gt;"&amp;$P1262-7)</f>
        <v>6.833333333333333</v>
      </c>
      <c r="AE1262" s="76">
        <f ca="1">IFERROR(__xludf.DUMMYFUNCTION("iferror(stdevp(filter($F$2:$F2314,$B$2:$B2314=$B1265,$O$2:$O2314&lt;=$O1265,$O$2:$O2314&gt;$O1265-7)),0)"),1.29903810567665)</f>
        <v>1.29903810567665</v>
      </c>
      <c r="AF1262" s="77">
        <f t="shared" ca="1" si="25"/>
        <v>0.89810041873942359</v>
      </c>
      <c r="AG1262" s="77">
        <f t="shared" ca="1" si="26"/>
        <v>3</v>
      </c>
      <c r="AH1262" s="76">
        <f t="array" ref="AH1262">AVERAGEIFS($I$2:$I2309,$B$2:$B2309,$B1262,$P$2:$P2309,"&lt;="&amp;$P1262,$P$2:$P2309,"&gt;"&amp;$P1262-7)</f>
        <v>5.125</v>
      </c>
      <c r="AI1262" s="76">
        <f ca="1">IFERROR(__xludf.DUMMYFUNCTION("iferror(stdevp(filter($H$2:$H2314,$B$2:$B2314=$B1265,$O$2:$O2314&lt;=$O1265,$O$2:$O2314&gt;$O1265-7)),0)"),2.06155281280883)</f>
        <v>2.0615528128088298</v>
      </c>
      <c r="AJ1262" s="77">
        <f t="shared" ca="1" si="27"/>
        <v>0.42443734381358278</v>
      </c>
      <c r="AK1262" s="77">
        <f t="shared" ca="1" si="28"/>
        <v>3</v>
      </c>
      <c r="AL1262" s="76">
        <f t="array" ref="AL1262">AVERAGEIFS($J$2:$J2309,$B$2:$B2309,$B1262,$P$2:$P2309,"&lt;="&amp;$P1262,$P$2:$P2309,"&gt;"&amp;$P1262-7)</f>
        <v>7.125</v>
      </c>
      <c r="AM1262" s="76">
        <f ca="1">IFERROR(__xludf.DUMMYFUNCTION("iferror(stdevp(filter($I$2:$I2314,$B$2:$B2314=$B1265,$O$2:$O2314&lt;=$O1265,$O$2:$O2314&gt;$O1265-7)),0)"),0.866025403784438)</f>
        <v>0.86602540378443804</v>
      </c>
      <c r="AN1262" s="77">
        <f t="shared" ca="1" si="29"/>
        <v>1.0103629710818458</v>
      </c>
      <c r="AO1262" s="77">
        <f t="shared" ca="1" si="30"/>
        <v>4</v>
      </c>
      <c r="AP1262" s="76">
        <f t="array" ref="AP1262">AVERAGEIFS($K$2:$K2309,$B$2:$B2309,$B1262,$P$2:$P2309,"&lt;="&amp;$P1262,$P$2:$P2309,"&gt;"&amp;$P1262-7)</f>
        <v>7.083333333333333</v>
      </c>
      <c r="AQ1262" s="76">
        <f ca="1">IFERROR(__xludf.DUMMYFUNCTION("iferror(stdevp(filter($J$2:$J2314,$B$2:$B2314=$B1265,$O$2:$O2314&lt;=$O1265,$O$2:$O2314&gt;$O1265-7)),0)"),1.4790199457749)</f>
        <v>1.4790199457749</v>
      </c>
      <c r="AR1262" s="77">
        <f t="shared" ca="1" si="31"/>
        <v>1.295903190583729</v>
      </c>
      <c r="AS1262" s="77">
        <f t="shared" ca="1" si="32"/>
        <v>4</v>
      </c>
      <c r="AT1262" s="78">
        <f t="shared" ca="1" si="33"/>
        <v>0.83333333333333337</v>
      </c>
    </row>
    <row r="1263" spans="1:46" ht="12.5" x14ac:dyDescent="0.25">
      <c r="A1263" s="75">
        <v>44978.455884560186</v>
      </c>
      <c r="B1263" s="1" t="s">
        <v>9</v>
      </c>
      <c r="C1263" s="1" t="str">
        <f>INDEX(TBL_Name,MATCH(Table2[[#This Row],[Athlete Name]],listNames,0),2)</f>
        <v>Athlete 4</v>
      </c>
      <c r="D1263" s="1" t="s">
        <v>130</v>
      </c>
      <c r="E1263" s="1">
        <v>6</v>
      </c>
      <c r="F1263" s="1">
        <v>7</v>
      </c>
      <c r="G1263" s="1">
        <v>7</v>
      </c>
      <c r="H1263" s="1" t="s">
        <v>1595</v>
      </c>
      <c r="I1263" s="1">
        <v>5</v>
      </c>
      <c r="J1263" s="1">
        <v>8</v>
      </c>
      <c r="K1263" s="1">
        <v>8</v>
      </c>
      <c r="L1263" s="1">
        <v>90</v>
      </c>
      <c r="M1263" s="1" t="e">
        <f t="shared" ref="M1263" ca="1" si="61">_xludf.concat($B1263,$P1263)</f>
        <v>#NAME?</v>
      </c>
      <c r="N1263" s="1" t="e">
        <f t="shared" si="18"/>
        <v>#VALUE!</v>
      </c>
      <c r="O1263" s="1" t="e">
        <f ca="1">IF($N1263=_xludf.MINIFS($N$2:$N2513,$R$2:$R2513,$R1263),1,
($N1263-_xludf.MINIFS($N$2:$N2513,$R$2:$R2513,$R1263))+1)</f>
        <v>#VALUE!</v>
      </c>
      <c r="P1263" s="13" t="e">
        <f t="shared" si="19"/>
        <v>#VALUE!</v>
      </c>
      <c r="Q1263" s="1" t="str">
        <f>RIGHT(YEAR($A1263),2)-(MONTH($A1263)&lt;=[1]Roster!$K$25)
 &amp;"-"&amp;
 RIGHT(YEAR($A1263),2)+(MONTH($A1263)&gt;=[1]Roster!$K$26)</f>
        <v>22-23</v>
      </c>
      <c r="R1263" s="1" t="e">
        <f>CHOOSE(MONTH($P1263),[1]Roster!$K$9,[1]Roster!$K$10,[1]Roster!$K$11,[1]Roster!$K$12,[1]Roster!$K$13,[1]Roster!$K$14,[1]Roster!$K$15,[1]Roster!$K$16,[1]Roster!$K$17,[1]Roster!$K$18,[1]Roster!$K$19,[1]Roster!$K$20)&amp;" "&amp;$Q1263</f>
        <v>#VALUE!</v>
      </c>
      <c r="S1263" s="1">
        <f t="shared" si="20"/>
        <v>1</v>
      </c>
      <c r="T1263" s="1" t="str">
        <f t="array" ref="T1263">IFERROR(INDEX([1]Roster!$D$3:$D$42,MATCH($B1263,[1]Roster!$C$3:$C$42,0)),"")</f>
        <v>F/MID</v>
      </c>
      <c r="U1263" s="1" t="str">
        <f t="array" ref="U1263">IFERROR(INDEX([1]Roster!$E$3:$E$42,MATCH($B1263,[1]Roster!$C$3:$C$42,0)),"")</f>
        <v>F/MID</v>
      </c>
      <c r="V1263" s="76">
        <f t="array" ref="V1263">AVERAGEIFS($E$2:$E2309,$B$2:$B2309,$B1263,$P$2:$P2309,"&lt;="&amp;$P1263,$P$2:$P2309,"&gt;"&amp;$P1263-7)</f>
        <v>7.4230769230769234</v>
      </c>
      <c r="W1263" s="76">
        <f ca="1">IFERROR(__xludf.DUMMYFUNCTION("iferror(stdevp(filter($D$2:$D2314,$B$2:$B2314=$B1266,$O$2:$O2314&lt;=$O1266,$O$2:$O2314&gt;$O1266-7)),0)"),0.763762615825973)</f>
        <v>0.76376261582597305</v>
      </c>
      <c r="X1263" s="77">
        <f t="shared" ca="1" si="21"/>
        <v>-1.8632450627842436</v>
      </c>
      <c r="Y1263" s="77">
        <f t="shared" ca="1" si="22"/>
        <v>1</v>
      </c>
      <c r="Z1263" s="76">
        <f t="array" ref="Z1263">AVERAGEIFS($F$2:$F2309,$B$2:$B2309,$B1263,$P$2:$P2309,"&lt;="&amp;$P1263,$P$2:$P2309,"&gt;"&amp;$P1263-7)</f>
        <v>7.1538461538461542</v>
      </c>
      <c r="AA1263" s="76">
        <f ca="1">IFERROR(__xludf.DUMMYFUNCTION("iferror(stdevp(filter($E$2:$E2314,$B$2:$B2314=$B1266,$O$2:$O2314&lt;=$O1266,$O$2:$O2314&gt;$O1266-7)),0)"),0.745355992499929)</f>
        <v>0.74535599249992901</v>
      </c>
      <c r="AB1263" s="77">
        <f t="shared" ca="1" si="23"/>
        <v>-0.20640627484613513</v>
      </c>
      <c r="AC1263" s="77">
        <f t="shared" ca="1" si="24"/>
        <v>2</v>
      </c>
      <c r="AD1263" s="76">
        <f t="array" ref="AD1263">AVERAGEIFS($G$2:$G2309,$B$2:$B2309,$B1263,$P$2:$P2309,"&lt;="&amp;$P1263,$P$2:$P2309,"&gt;"&amp;$P1263-7)</f>
        <v>7.615384615384615</v>
      </c>
      <c r="AE1263" s="76">
        <f ca="1">IFERROR(__xludf.DUMMYFUNCTION("iferror(stdevp(filter($F$2:$F2314,$B$2:$B2314=$B1266,$O$2:$O2314&lt;=$O1266,$O$2:$O2314&gt;$O1266-7)),0)"),0.471404520791031)</f>
        <v>0.47140452079103101</v>
      </c>
      <c r="AF1263" s="77">
        <f t="shared" ca="1" si="25"/>
        <v>-1.3054279037290117</v>
      </c>
      <c r="AG1263" s="77">
        <f t="shared" ca="1" si="26"/>
        <v>1</v>
      </c>
      <c r="AH1263" s="76">
        <f t="array" ref="AH1263">AVERAGEIFS($I$2:$I2309,$B$2:$B2309,$B1263,$P$2:$P2309,"&lt;="&amp;$P1263,$P$2:$P2309,"&gt;"&amp;$P1263-7)</f>
        <v>5.1923076923076925</v>
      </c>
      <c r="AI1263" s="76">
        <f ca="1">IFERROR(__xludf.DUMMYFUNCTION("iferror(stdevp(filter($H$2:$H2314,$B$2:$B2314=$B1266,$O$2:$O2314&lt;=$O1266,$O$2:$O2314&gt;$O1266-7)),0)"),0.942809041582063)</f>
        <v>0.94280904158206302</v>
      </c>
      <c r="AJ1263" s="77">
        <f t="shared" ca="1" si="27"/>
        <v>-0.20397310995765824</v>
      </c>
      <c r="AK1263" s="77">
        <f t="shared" ca="1" si="28"/>
        <v>2</v>
      </c>
      <c r="AL1263" s="76">
        <f t="array" ref="AL1263">AVERAGEIFS($J$2:$J2309,$B$2:$B2309,$B1263,$P$2:$P2309,"&lt;="&amp;$P1263,$P$2:$P2309,"&gt;"&amp;$P1263-7)</f>
        <v>7.6923076923076925</v>
      </c>
      <c r="AM1263" s="76">
        <f ca="1">IFERROR(__xludf.DUMMYFUNCTION("iferror(stdevp(filter($I$2:$I2314,$B$2:$B2314=$B1266,$O$2:$O2314&lt;=$O1266,$O$2:$O2314&gt;$O1266-7)),0)"),0.372677996249964)</f>
        <v>0.37267799624996401</v>
      </c>
      <c r="AN1263" s="77">
        <f t="shared" ca="1" si="29"/>
        <v>0.82562509938453932</v>
      </c>
      <c r="AO1263" s="77">
        <f t="shared" ca="1" si="30"/>
        <v>3</v>
      </c>
      <c r="AP1263" s="76">
        <f t="array" ref="AP1263">AVERAGEIFS($K$2:$K2309,$B$2:$B2309,$B1263,$P$2:$P2309,"&lt;="&amp;$P1263,$P$2:$P2309,"&gt;"&amp;$P1263-7)</f>
        <v>7.8461538461538458</v>
      </c>
      <c r="AQ1263" s="76">
        <f ca="1">IFERROR(__xludf.DUMMYFUNCTION("iferror(stdevp(filter($J$2:$J2314,$B$2:$B2314=$B1266,$O$2:$O2314&lt;=$O1266,$O$2:$O2314&gt;$O1266-7)),0)"),0.372677996249964)</f>
        <v>0.37267799624996401</v>
      </c>
      <c r="AR1263" s="77">
        <f t="shared" ca="1" si="31"/>
        <v>0.41281254969227082</v>
      </c>
      <c r="AS1263" s="77">
        <f t="shared" ca="1" si="32"/>
        <v>3</v>
      </c>
      <c r="AT1263" s="78">
        <f t="shared" ca="1" si="33"/>
        <v>0.5</v>
      </c>
    </row>
    <row r="1264" spans="1:46" ht="12.5" x14ac:dyDescent="0.25">
      <c r="A1264" s="75">
        <v>44978.461376990745</v>
      </c>
      <c r="B1264" s="1" t="s">
        <v>12</v>
      </c>
      <c r="C1264" s="1" t="str">
        <f>INDEX(TBL_Name,MATCH(Table2[[#This Row],[Athlete Name]],listNames,0),2)</f>
        <v>Athlete 6</v>
      </c>
      <c r="D1264" s="1" t="s">
        <v>130</v>
      </c>
      <c r="E1264" s="1">
        <v>8</v>
      </c>
      <c r="F1264" s="1">
        <v>8</v>
      </c>
      <c r="G1264" s="1">
        <v>8</v>
      </c>
      <c r="H1264" s="1" t="s">
        <v>1596</v>
      </c>
      <c r="I1264" s="1">
        <v>7</v>
      </c>
      <c r="J1264" s="1">
        <v>6</v>
      </c>
      <c r="K1264" s="1">
        <v>9</v>
      </c>
      <c r="L1264" s="1">
        <v>65</v>
      </c>
      <c r="M1264" s="1" t="e">
        <f t="shared" ref="M1264" ca="1" si="62">_xludf.concat($B1264,$P1264)</f>
        <v>#NAME?</v>
      </c>
      <c r="N1264" s="1" t="e">
        <f t="shared" si="18"/>
        <v>#VALUE!</v>
      </c>
      <c r="O1264" s="1" t="e">
        <f ca="1">IF($N1264=_xludf.MINIFS($N$2:$N2514,$R$2:$R2514,$R1264),1,
($N1264-_xludf.MINIFS($N$2:$N2514,$R$2:$R2514,$R1264))+1)</f>
        <v>#VALUE!</v>
      </c>
      <c r="P1264" s="13" t="e">
        <f t="shared" si="19"/>
        <v>#VALUE!</v>
      </c>
      <c r="Q1264" s="1" t="str">
        <f>RIGHT(YEAR($A1264),2)-(MONTH($A1264)&lt;=[1]Roster!$K$25)
 &amp;"-"&amp;
 RIGHT(YEAR($A1264),2)+(MONTH($A1264)&gt;=[1]Roster!$K$26)</f>
        <v>22-23</v>
      </c>
      <c r="R1264" s="1" t="e">
        <f>CHOOSE(MONTH($P1264),[1]Roster!$K$9,[1]Roster!$K$10,[1]Roster!$K$11,[1]Roster!$K$12,[1]Roster!$K$13,[1]Roster!$K$14,[1]Roster!$K$15,[1]Roster!$K$16,[1]Roster!$K$17,[1]Roster!$K$18,[1]Roster!$K$19,[1]Roster!$K$20)&amp;" "&amp;$Q1264</f>
        <v>#VALUE!</v>
      </c>
      <c r="S1264" s="1">
        <f t="shared" si="20"/>
        <v>1</v>
      </c>
      <c r="T1264" s="1" t="str">
        <f t="array" ref="T1264">IFERROR(INDEX([1]Roster!$D$3:$D$42,MATCH($B1264,[1]Roster!$C$3:$C$42,0)),"")</f>
        <v>MID</v>
      </c>
      <c r="U1264" s="1" t="str">
        <f t="array" ref="U1264">IFERROR(INDEX([1]Roster!$E$3:$E$42,MATCH($B1264,[1]Roster!$C$3:$C$42,0)),"")</f>
        <v>MID</v>
      </c>
      <c r="V1264" s="76">
        <f t="array" ref="V1264">AVERAGEIFS($E$2:$E2309,$B$2:$B2309,$B1264,$P$2:$P2309,"&lt;="&amp;$P1264,$P$2:$P2309,"&gt;"&amp;$P1264-7)</f>
        <v>9.75</v>
      </c>
      <c r="W1264" s="76">
        <f ca="1">IFERROR(__xludf.DUMMYFUNCTION("iferror(stdevp(filter($D$2:$D2314,$B$2:$B2314=$B1267,$O$2:$O2314&lt;=$O1267,$O$2:$O2314&gt;$O1267-7)),0)"),0.707106781186547)</f>
        <v>0.70710678118654702</v>
      </c>
      <c r="X1264" s="77">
        <f t="shared" ca="1" si="21"/>
        <v>-2.4748737341529181</v>
      </c>
      <c r="Y1264" s="77">
        <f t="shared" ca="1" si="22"/>
        <v>1</v>
      </c>
      <c r="Z1264" s="76">
        <f t="array" ref="Z1264">AVERAGEIFS($F$2:$F2309,$B$2:$B2309,$B1264,$P$2:$P2309,"&lt;="&amp;$P1264,$P$2:$P2309,"&gt;"&amp;$P1264-7)</f>
        <v>7.083333333333333</v>
      </c>
      <c r="AA1264" s="76">
        <f ca="1">IFERROR(__xludf.DUMMYFUNCTION("iferror(stdevp(filter($E$2:$E2314,$B$2:$B2314=$B1267,$O$2:$O2314&lt;=$O1267,$O$2:$O2314&gt;$O1267-7)),0)"),0.82915619758885)</f>
        <v>0.82915619758884995</v>
      </c>
      <c r="AB1264" s="77">
        <f t="shared" ca="1" si="23"/>
        <v>1.1055415967851336</v>
      </c>
      <c r="AC1264" s="77">
        <f t="shared" ca="1" si="24"/>
        <v>4</v>
      </c>
      <c r="AD1264" s="76">
        <f t="array" ref="AD1264">AVERAGEIFS($G$2:$G2309,$B$2:$B2309,$B1264,$P$2:$P2309,"&lt;="&amp;$P1264,$P$2:$P2309,"&gt;"&amp;$P1264-7)</f>
        <v>7.083333333333333</v>
      </c>
      <c r="AE1264" s="76">
        <f ca="1">IFERROR(__xludf.DUMMYFUNCTION("iferror(stdevp(filter($F$2:$F2314,$B$2:$B2314=$B1267,$O$2:$O2314&lt;=$O1267,$O$2:$O2314&gt;$O1267-7)),0)"),0.433012701892219)</f>
        <v>0.43301270189221902</v>
      </c>
      <c r="AF1264" s="77">
        <f t="shared" ca="1" si="25"/>
        <v>2.11695098702863</v>
      </c>
      <c r="AG1264" s="77">
        <f t="shared" ca="1" si="26"/>
        <v>4</v>
      </c>
      <c r="AH1264" s="76">
        <f t="array" ref="AH1264">AVERAGEIFS($I$2:$I2309,$B$2:$B2309,$B1264,$P$2:$P2309,"&lt;="&amp;$P1264,$P$2:$P2309,"&gt;"&amp;$P1264-7)</f>
        <v>6.583333333333333</v>
      </c>
      <c r="AI1264" s="76">
        <f ca="1">IFERROR(__xludf.DUMMYFUNCTION("iferror(stdevp(filter($H$2:$H2314,$B$2:$B2314=$B1267,$O$2:$O2314&lt;=$O1267,$O$2:$O2314&gt;$O1267-7)),0)"),1.6583123951777)</f>
        <v>1.6583123951776999</v>
      </c>
      <c r="AJ1264" s="77">
        <f t="shared" ca="1" si="27"/>
        <v>0.25125945381480319</v>
      </c>
      <c r="AK1264" s="77">
        <f t="shared" ca="1" si="28"/>
        <v>3</v>
      </c>
      <c r="AL1264" s="76">
        <f t="array" ref="AL1264">AVERAGEIFS($J$2:$J2309,$B$2:$B2309,$B1264,$P$2:$P2309,"&lt;="&amp;$P1264,$P$2:$P2309,"&gt;"&amp;$P1264-7)</f>
        <v>6.666666666666667</v>
      </c>
      <c r="AM1264" s="76">
        <f ca="1">IFERROR(__xludf.DUMMYFUNCTION("iferror(stdevp(filter($I$2:$I2314,$B$2:$B2314=$B1267,$O$2:$O2314&lt;=$O1267,$O$2:$O2314&gt;$O1267-7)),0)"),0.866025403784438)</f>
        <v>0.86602540378443804</v>
      </c>
      <c r="AN1264" s="77">
        <f t="shared" ca="1" si="29"/>
        <v>-0.76980035891950194</v>
      </c>
      <c r="AO1264" s="77">
        <f t="shared" ca="1" si="30"/>
        <v>2</v>
      </c>
      <c r="AP1264" s="76">
        <f t="array" ref="AP1264">AVERAGEIFS($K$2:$K2309,$B$2:$B2309,$B1264,$P$2:$P2309,"&lt;="&amp;$P1264,$P$2:$P2309,"&gt;"&amp;$P1264-7)</f>
        <v>8.25</v>
      </c>
      <c r="AQ1264" s="76">
        <f ca="1">IFERROR(__xludf.DUMMYFUNCTION("iferror(stdevp(filter($J$2:$J2314,$B$2:$B2314=$B1267,$O$2:$O2314&lt;=$O1267,$O$2:$O2314&gt;$O1267-7)),0)"),1.6393596310755)</f>
        <v>1.6393596310755001</v>
      </c>
      <c r="AR1264" s="77">
        <f t="shared" ca="1" si="31"/>
        <v>0.457495710997814</v>
      </c>
      <c r="AS1264" s="77">
        <f t="shared" ca="1" si="32"/>
        <v>3</v>
      </c>
      <c r="AT1264" s="78">
        <f t="shared" ca="1" si="33"/>
        <v>0.70833333333333337</v>
      </c>
    </row>
    <row r="1265" spans="1:46" ht="12.5" x14ac:dyDescent="0.25">
      <c r="A1265" s="75">
        <v>44978.472416006945</v>
      </c>
      <c r="B1265" s="1" t="s">
        <v>10</v>
      </c>
      <c r="C1265" s="1" t="str">
        <f>INDEX(TBL_Name,MATCH(Table2[[#This Row],[Athlete Name]],listNames,0),2)</f>
        <v>Athlete 5</v>
      </c>
      <c r="D1265" s="1" t="s">
        <v>130</v>
      </c>
      <c r="E1265" s="1">
        <v>9</v>
      </c>
      <c r="F1265" s="1">
        <v>8</v>
      </c>
      <c r="G1265" s="1">
        <v>8</v>
      </c>
      <c r="H1265" s="1" t="s">
        <v>362</v>
      </c>
      <c r="I1265" s="1">
        <v>7</v>
      </c>
      <c r="J1265" s="1">
        <v>8</v>
      </c>
      <c r="K1265" s="1">
        <v>8</v>
      </c>
      <c r="L1265" s="1">
        <v>85</v>
      </c>
      <c r="M1265" s="1" t="e">
        <f t="shared" ref="M1265" ca="1" si="63">_xludf.concat($B1265,$P1265)</f>
        <v>#NAME?</v>
      </c>
      <c r="N1265" s="1" t="e">
        <f t="shared" si="18"/>
        <v>#VALUE!</v>
      </c>
      <c r="O1265" s="1" t="e">
        <f ca="1">IF($N1265=_xludf.MINIFS($N$2:$N2515,$R$2:$R2515,$R1265),1,
($N1265-_xludf.MINIFS($N$2:$N2515,$R$2:$R2515,$R1265))+1)</f>
        <v>#VALUE!</v>
      </c>
      <c r="P1265" s="13" t="e">
        <f t="shared" si="19"/>
        <v>#VALUE!</v>
      </c>
      <c r="Q1265" s="1" t="str">
        <f>RIGHT(YEAR($A1265),2)-(MONTH($A1265)&lt;=[1]Roster!$K$25)
 &amp;"-"&amp;
 RIGHT(YEAR($A1265),2)+(MONTH($A1265)&gt;=[1]Roster!$K$26)</f>
        <v>22-23</v>
      </c>
      <c r="R1265" s="1" t="e">
        <f>CHOOSE(MONTH($P1265),[1]Roster!$K$9,[1]Roster!$K$10,[1]Roster!$K$11,[1]Roster!$K$12,[1]Roster!$K$13,[1]Roster!$K$14,[1]Roster!$K$15,[1]Roster!$K$16,[1]Roster!$K$17,[1]Roster!$K$18,[1]Roster!$K$19,[1]Roster!$K$20)&amp;" "&amp;$Q1265</f>
        <v>#VALUE!</v>
      </c>
      <c r="S1265" s="1">
        <f t="shared" si="20"/>
        <v>1</v>
      </c>
      <c r="T1265" s="1" t="str">
        <f t="array" ref="T1265">IFERROR(INDEX([1]Roster!$D$3:$D$42,MATCH($B1265,[1]Roster!$C$3:$C$42,0)),"")</f>
        <v>MID</v>
      </c>
      <c r="U1265" s="1" t="str">
        <f t="array" ref="U1265">IFERROR(INDEX([1]Roster!$E$3:$E$42,MATCH($B1265,[1]Roster!$C$3:$C$42,0)),"")</f>
        <v>MID</v>
      </c>
      <c r="V1265" s="76">
        <f t="array" ref="V1265">AVERAGEIFS($E$2:$E2309,$B$2:$B2309,$B1265,$P$2:$P2309,"&lt;="&amp;$P1265,$P$2:$P2309,"&gt;"&amp;$P1265-7)</f>
        <v>8.4042553191489358</v>
      </c>
      <c r="W1265" s="76">
        <f ca="1">IFERROR(__xludf.DUMMYFUNCTION("iferror(stdevp(filter($D$2:$D2314,$B$2:$B2314=$B1268,$O$2:$O2314&lt;=$O1268,$O$2:$O2314&gt;$O1268-7)),0)"),0.89752746785575)</f>
        <v>0.89752746785574999</v>
      </c>
      <c r="X1265" s="77">
        <f t="shared" ca="1" si="21"/>
        <v>0.66376205986690973</v>
      </c>
      <c r="Y1265" s="77">
        <f t="shared" ca="1" si="22"/>
        <v>3</v>
      </c>
      <c r="Z1265" s="76">
        <f t="array" ref="Z1265">AVERAGEIFS($F$2:$F2309,$B$2:$B2309,$B1265,$P$2:$P2309,"&lt;="&amp;$P1265,$P$2:$P2309,"&gt;"&amp;$P1265-7)</f>
        <v>8.085106382978724</v>
      </c>
      <c r="AA1265" s="76">
        <f ca="1">IFERROR(__xludf.DUMMYFUNCTION("iferror(stdevp(filter($E$2:$E2314,$B$2:$B2314=$B1268,$O$2:$O2314&lt;=$O1268,$O$2:$O2314&gt;$O1268-7)),0)"),0.372677996249964)</f>
        <v>0.37267799624996401</v>
      </c>
      <c r="AB1265" s="77">
        <f t="shared" ca="1" si="23"/>
        <v>-0.22836438919146998</v>
      </c>
      <c r="AC1265" s="77">
        <f t="shared" ca="1" si="24"/>
        <v>2</v>
      </c>
      <c r="AD1265" s="76">
        <f t="array" ref="AD1265">AVERAGEIFS($G$2:$G2309,$B$2:$B2309,$B1265,$P$2:$P2309,"&lt;="&amp;$P1265,$P$2:$P2309,"&gt;"&amp;$P1265-7)</f>
        <v>8.0638297872340434</v>
      </c>
      <c r="AE1265" s="76">
        <f ca="1">IFERROR(__xludf.DUMMYFUNCTION("iferror(stdevp(filter($F$2:$F2314,$B$2:$B2314=$B1268,$O$2:$O2314&lt;=$O1268,$O$2:$O2314&gt;$O1268-7)),0)"),0.372677996249964)</f>
        <v>0.37267799624996401</v>
      </c>
      <c r="AF1265" s="77">
        <f t="shared" ca="1" si="25"/>
        <v>-0.17127329189360369</v>
      </c>
      <c r="AG1265" s="77">
        <f t="shared" ca="1" si="26"/>
        <v>2</v>
      </c>
      <c r="AH1265" s="76">
        <f t="array" ref="AH1265">AVERAGEIFS($I$2:$I2309,$B$2:$B2309,$B1265,$P$2:$P2309,"&lt;="&amp;$P1265,$P$2:$P2309,"&gt;"&amp;$P1265-7)</f>
        <v>6.7446808510638299</v>
      </c>
      <c r="AI1265" s="76">
        <f ca="1">IFERROR(__xludf.DUMMYFUNCTION("iferror(stdevp(filter($H$2:$H2314,$B$2:$B2314=$B1268,$O$2:$O2314&lt;=$O1268,$O$2:$O2314&gt;$O1268-7)),0)"),1.97905701450631)</f>
        <v>1.97905701450631</v>
      </c>
      <c r="AJ1265" s="77">
        <f t="shared" ca="1" si="27"/>
        <v>0.12901050705699924</v>
      </c>
      <c r="AK1265" s="77">
        <f t="shared" ca="1" si="28"/>
        <v>3</v>
      </c>
      <c r="AL1265" s="76">
        <f t="array" ref="AL1265">AVERAGEIFS($J$2:$J2309,$B$2:$B2309,$B1265,$P$2:$P2309,"&lt;="&amp;$P1265,$P$2:$P2309,"&gt;"&amp;$P1265-7)</f>
        <v>8.1063829787234045</v>
      </c>
      <c r="AM1265" s="76">
        <f ca="1">IFERROR(__xludf.DUMMYFUNCTION("iferror(stdevp(filter($I$2:$I2314,$B$2:$B2314=$B1268,$O$2:$O2314&lt;=$O1268,$O$2:$O2314&gt;$O1268-7)),0)"),0)</f>
        <v>0</v>
      </c>
      <c r="AN1265" s="77">
        <f t="shared" ca="1" si="29"/>
        <v>0</v>
      </c>
      <c r="AO1265" s="77">
        <f t="shared" ca="1" si="30"/>
        <v>3</v>
      </c>
      <c r="AP1265" s="76">
        <f t="array" ref="AP1265">AVERAGEIFS($K$2:$K2309,$B$2:$B2309,$B1265,$P$2:$P2309,"&lt;="&amp;$P1265,$P$2:$P2309,"&gt;"&amp;$P1265-7)</f>
        <v>8.2978723404255312</v>
      </c>
      <c r="AQ1265" s="76">
        <f ca="1">IFERROR(__xludf.DUMMYFUNCTION("iferror(stdevp(filter($J$2:$J2314,$B$2:$B2314=$B1268,$O$2:$O2314&lt;=$O1268,$O$2:$O2314&gt;$O1268-7)),0)"),0.89752746785575)</f>
        <v>0.89752746785574999</v>
      </c>
      <c r="AR1265" s="77">
        <f t="shared" ca="1" si="31"/>
        <v>-0.33188102993345386</v>
      </c>
      <c r="AS1265" s="77">
        <f t="shared" ca="1" si="32"/>
        <v>2</v>
      </c>
      <c r="AT1265" s="78">
        <f t="shared" ca="1" si="33"/>
        <v>0.625</v>
      </c>
    </row>
    <row r="1266" spans="1:46" ht="12.5" x14ac:dyDescent="0.25">
      <c r="A1266" s="75">
        <v>44978.477922106482</v>
      </c>
      <c r="B1266" s="1" t="s">
        <v>15</v>
      </c>
      <c r="C1266" s="1" t="str">
        <f>INDEX(TBL_Name,MATCH(Table2[[#This Row],[Athlete Name]],listNames,0),2)</f>
        <v>Athlete 8</v>
      </c>
      <c r="D1266" s="1" t="s">
        <v>130</v>
      </c>
      <c r="E1266" s="1">
        <v>5</v>
      </c>
      <c r="F1266" s="1">
        <v>10</v>
      </c>
      <c r="G1266" s="1">
        <v>7</v>
      </c>
      <c r="H1266" s="1" t="s">
        <v>258</v>
      </c>
      <c r="I1266" s="1">
        <v>7</v>
      </c>
      <c r="J1266" s="1">
        <v>10</v>
      </c>
      <c r="K1266" s="1">
        <v>10</v>
      </c>
      <c r="L1266" s="1">
        <v>79</v>
      </c>
      <c r="M1266" s="1" t="e">
        <f t="shared" ref="M1266" ca="1" si="64">_xludf.concat($B1266,$P1266)</f>
        <v>#NAME?</v>
      </c>
      <c r="N1266" s="1" t="e">
        <f t="shared" si="18"/>
        <v>#VALUE!</v>
      </c>
      <c r="O1266" s="1" t="e">
        <f ca="1">IF($N1266=_xludf.MINIFS($N$2:$N2516,$R$2:$R2516,$R1266),1,
($N1266-_xludf.MINIFS($N$2:$N2516,$R$2:$R2516,$R1266))+1)</f>
        <v>#VALUE!</v>
      </c>
      <c r="P1266" s="13" t="e">
        <f t="shared" si="19"/>
        <v>#VALUE!</v>
      </c>
      <c r="Q1266" s="1" t="str">
        <f>RIGHT(YEAR($A1266),2)-(MONTH($A1266)&lt;=[1]Roster!$K$25)
 &amp;"-"&amp;
 RIGHT(YEAR($A1266),2)+(MONTH($A1266)&gt;=[1]Roster!$K$26)</f>
        <v>22-23</v>
      </c>
      <c r="R1266" s="1" t="e">
        <f>CHOOSE(MONTH($P1266),[1]Roster!$K$9,[1]Roster!$K$10,[1]Roster!$K$11,[1]Roster!$K$12,[1]Roster!$K$13,[1]Roster!$K$14,[1]Roster!$K$15,[1]Roster!$K$16,[1]Roster!$K$17,[1]Roster!$K$18,[1]Roster!$K$19,[1]Roster!$K$20)&amp;" "&amp;$Q1266</f>
        <v>#VALUE!</v>
      </c>
      <c r="S1266" s="1">
        <f t="shared" si="20"/>
        <v>1</v>
      </c>
      <c r="T1266" s="1" t="str">
        <f t="array" ref="T1266">IFERROR(INDEX([1]Roster!$D$3:$D$42,MATCH($B1266,[1]Roster!$C$3:$C$42,0)),"")</f>
        <v>MID/D</v>
      </c>
      <c r="U1266" s="1" t="str">
        <f t="array" ref="U1266">IFERROR(INDEX([1]Roster!$E$3:$E$42,MATCH($B1266,[1]Roster!$C$3:$C$42,0)),"")</f>
        <v>MID/D</v>
      </c>
      <c r="V1266" s="76">
        <f t="array" ref="V1266">AVERAGEIFS($E$2:$E2309,$B$2:$B2309,$B1266,$P$2:$P2309,"&lt;="&amp;$P1266,$P$2:$P2309,"&gt;"&amp;$P1266-7)</f>
        <v>8.935483870967742</v>
      </c>
      <c r="W1266" s="76">
        <f ca="1">IFERROR(__xludf.DUMMYFUNCTION("iferror(stdevp(filter($D$2:$D2314,$B$2:$B2314=$B1269,$O$2:$O2314&lt;=$O1269,$O$2:$O2314&gt;$O1269-7)),0)"),2.0591260281974)</f>
        <v>2.0591260281974</v>
      </c>
      <c r="X1266" s="77">
        <f t="shared" ca="1" si="21"/>
        <v>-1.9112399227030039</v>
      </c>
      <c r="Y1266" s="77">
        <f t="shared" ca="1" si="22"/>
        <v>1</v>
      </c>
      <c r="Z1266" s="76">
        <f t="array" ref="Z1266">AVERAGEIFS($F$2:$F2309,$B$2:$B2309,$B1266,$P$2:$P2309,"&lt;="&amp;$P1266,$P$2:$P2309,"&gt;"&amp;$P1266-7)</f>
        <v>8.741935483870968</v>
      </c>
      <c r="AA1266" s="76">
        <f ca="1">IFERROR(__xludf.DUMMYFUNCTION("iferror(stdevp(filter($E$2:$E2314,$B$2:$B2314=$B1269,$O$2:$O2314&lt;=$O1269,$O$2:$O2314&gt;$O1269-7)),0)"),1.26491106406735)</f>
        <v>1.26491106406735</v>
      </c>
      <c r="AB1266" s="77">
        <f t="shared" ca="1" si="23"/>
        <v>0.99458732860134635</v>
      </c>
      <c r="AC1266" s="77">
        <f t="shared" ca="1" si="24"/>
        <v>3</v>
      </c>
      <c r="AD1266" s="76">
        <f t="array" ref="AD1266">AVERAGEIFS($G$2:$G2309,$B$2:$B2309,$B1266,$P$2:$P2309,"&lt;="&amp;$P1266,$P$2:$P2309,"&gt;"&amp;$P1266-7)</f>
        <v>7.32258064516129</v>
      </c>
      <c r="AE1266" s="76">
        <f ca="1">IFERROR(__xludf.DUMMYFUNCTION("iferror(stdevp(filter($F$2:$F2314,$B$2:$B2314=$B1269,$O$2:$O2314&lt;=$O1269,$O$2:$O2314&gt;$O1269-7)),0)"),1.01980390271855)</f>
        <v>1.0198039027185499</v>
      </c>
      <c r="AF1266" s="77">
        <f t="shared" ca="1" si="25"/>
        <v>-0.31631634699707289</v>
      </c>
      <c r="AG1266" s="77">
        <f t="shared" ca="1" si="26"/>
        <v>2</v>
      </c>
      <c r="AH1266" s="76">
        <f t="array" ref="AH1266">AVERAGEIFS($I$2:$I2309,$B$2:$B2309,$B1266,$P$2:$P2309,"&lt;="&amp;$P1266,$P$2:$P2309,"&gt;"&amp;$P1266-7)</f>
        <v>6.419354838709677</v>
      </c>
      <c r="AI1266" s="76">
        <f ca="1">IFERROR(__xludf.DUMMYFUNCTION("iferror(stdevp(filter($H$2:$H2314,$B$2:$B2314=$B1269,$O$2:$O2314&lt;=$O1269,$O$2:$O2314&gt;$O1269-7)),0)"),2.13541565040626)</f>
        <v>2.13541565040626</v>
      </c>
      <c r="AJ1266" s="77">
        <f t="shared" ca="1" si="27"/>
        <v>0.27191200981404062</v>
      </c>
      <c r="AK1266" s="77">
        <f t="shared" ca="1" si="28"/>
        <v>3</v>
      </c>
      <c r="AL1266" s="76">
        <f t="array" ref="AL1266">AVERAGEIFS($J$2:$J2309,$B$2:$B2309,$B1266,$P$2:$P2309,"&lt;="&amp;$P1266,$P$2:$P2309,"&gt;"&amp;$P1266-7)</f>
        <v>9.612903225806452</v>
      </c>
      <c r="AM1266" s="76">
        <f ca="1">IFERROR(__xludf.DUMMYFUNCTION("iferror(stdevp(filter($I$2:$I2314,$B$2:$B2314=$B1269,$O$2:$O2314&lt;=$O1269,$O$2:$O2314&gt;$O1269-7)),0)"),0)</f>
        <v>0</v>
      </c>
      <c r="AN1266" s="77">
        <f t="shared" ca="1" si="29"/>
        <v>0</v>
      </c>
      <c r="AO1266" s="77">
        <f t="shared" ca="1" si="30"/>
        <v>3</v>
      </c>
      <c r="AP1266" s="76">
        <f t="array" ref="AP1266">AVERAGEIFS($K$2:$K2309,$B$2:$B2309,$B1266,$P$2:$P2309,"&lt;="&amp;$P1266,$P$2:$P2309,"&gt;"&amp;$P1266-7)</f>
        <v>10</v>
      </c>
      <c r="AQ1266" s="76">
        <f ca="1">IFERROR(__xludf.DUMMYFUNCTION("iferror(stdevp(filter($J$2:$J2314,$B$2:$B2314=$B1269,$O$2:$O2314&lt;=$O1269,$O$2:$O2314&gt;$O1269-7)),0)"),0)</f>
        <v>0</v>
      </c>
      <c r="AR1266" s="77">
        <f t="shared" ca="1" si="31"/>
        <v>0</v>
      </c>
      <c r="AS1266" s="77">
        <f t="shared" ca="1" si="32"/>
        <v>3</v>
      </c>
      <c r="AT1266" s="78">
        <f t="shared" ca="1" si="33"/>
        <v>0.625</v>
      </c>
    </row>
    <row r="1267" spans="1:46" ht="12.5" x14ac:dyDescent="0.25">
      <c r="A1267" s="75">
        <v>44978.49069741898</v>
      </c>
      <c r="B1267" s="1" t="s">
        <v>20</v>
      </c>
      <c r="C1267" s="1" t="str">
        <f>INDEX(TBL_Name,MATCH(Table2[[#This Row],[Athlete Name]],listNames,0),2)</f>
        <v>Athlete 12</v>
      </c>
      <c r="D1267" s="1" t="s">
        <v>143</v>
      </c>
      <c r="E1267" s="1">
        <v>6</v>
      </c>
      <c r="F1267" s="1">
        <v>8</v>
      </c>
      <c r="G1267" s="1">
        <v>7</v>
      </c>
      <c r="H1267" s="1" t="s">
        <v>215</v>
      </c>
      <c r="I1267" s="1">
        <v>6</v>
      </c>
      <c r="J1267" s="1">
        <v>7</v>
      </c>
      <c r="K1267" s="1">
        <v>8</v>
      </c>
      <c r="L1267" s="1">
        <v>85</v>
      </c>
      <c r="M1267" s="1" t="e">
        <f t="shared" ref="M1267" ca="1" si="65">_xludf.concat($B1267,$P1267)</f>
        <v>#NAME?</v>
      </c>
      <c r="N1267" s="1" t="e">
        <f t="shared" si="18"/>
        <v>#VALUE!</v>
      </c>
      <c r="O1267" s="1" t="e">
        <f ca="1">IF($N1267=_xludf.MINIFS($N$2:$N2517,$R$2:$R2517,$R1267),1,
($N1267-_xludf.MINIFS($N$2:$N2517,$R$2:$R2517,$R1267))+1)</f>
        <v>#VALUE!</v>
      </c>
      <c r="P1267" s="13" t="e">
        <f t="shared" si="19"/>
        <v>#VALUE!</v>
      </c>
      <c r="Q1267" s="1" t="str">
        <f>RIGHT(YEAR($A1267),2)-(MONTH($A1267)&lt;=[1]Roster!$K$25)
 &amp;"-"&amp;
 RIGHT(YEAR($A1267),2)+(MONTH($A1267)&gt;=[1]Roster!$K$26)</f>
        <v>22-23</v>
      </c>
      <c r="R1267" s="1" t="e">
        <f>CHOOSE(MONTH($P1267),[1]Roster!$K$9,[1]Roster!$K$10,[1]Roster!$K$11,[1]Roster!$K$12,[1]Roster!$K$13,[1]Roster!$K$14,[1]Roster!$K$15,[1]Roster!$K$16,[1]Roster!$K$17,[1]Roster!$K$18,[1]Roster!$K$19,[1]Roster!$K$20)&amp;" "&amp;$Q1267</f>
        <v>#VALUE!</v>
      </c>
      <c r="S1267" s="1">
        <f t="shared" si="20"/>
        <v>2</v>
      </c>
      <c r="T1267" s="1" t="str">
        <f t="array" ref="T1267">IFERROR(INDEX([1]Roster!$D$3:$D$42,MATCH($B1267,[1]Roster!$C$3:$C$42,0)),"")</f>
        <v>D</v>
      </c>
      <c r="U1267" s="1" t="str">
        <f t="array" ref="U1267">IFERROR(INDEX([1]Roster!$E$3:$E$42,MATCH($B1267,[1]Roster!$C$3:$C$42,0)),"")</f>
        <v>D</v>
      </c>
      <c r="V1267" s="76">
        <f t="array" ref="V1267">AVERAGEIFS($E$2:$E2309,$B$2:$B2309,$B1267,$P$2:$P2309,"&lt;="&amp;$P1267,$P$2:$P2309,"&gt;"&amp;$P1267-7)</f>
        <v>7.4761904761904763</v>
      </c>
      <c r="W1267" s="76">
        <f ca="1">IFERROR(__xludf.DUMMYFUNCTION("iferror(stdevp(filter($D$2:$D2314,$B$2:$B2314=$B1270,$O$2:$O2314&lt;=$O1270,$O$2:$O2314&gt;$O1270-7)),0)"),0.433012701892219)</f>
        <v>0.43301270189221902</v>
      </c>
      <c r="X1267" s="77">
        <f t="shared" ca="1" si="21"/>
        <v>-3.4091158752149355</v>
      </c>
      <c r="Y1267" s="77">
        <f t="shared" ca="1" si="22"/>
        <v>1</v>
      </c>
      <c r="Z1267" s="76">
        <f t="array" ref="Z1267">AVERAGEIFS($F$2:$F2309,$B$2:$B2309,$B1267,$P$2:$P2309,"&lt;="&amp;$P1267,$P$2:$P2309,"&gt;"&amp;$P1267-7)</f>
        <v>8.1904761904761898</v>
      </c>
      <c r="AA1267" s="76">
        <f ca="1">IFERROR(__xludf.DUMMYFUNCTION("iferror(stdevp(filter($E$2:$E2314,$B$2:$B2314=$B1270,$O$2:$O2314&lt;=$O1270,$O$2:$O2314&gt;$O1270-7)),0)"),1.08972473588516)</f>
        <v>1.0897247358851601</v>
      </c>
      <c r="AB1267" s="77">
        <f t="shared" ca="1" si="23"/>
        <v>-0.17479294009185731</v>
      </c>
      <c r="AC1267" s="77">
        <f t="shared" ca="1" si="24"/>
        <v>2</v>
      </c>
      <c r="AD1267" s="76">
        <f t="array" ref="AD1267">AVERAGEIFS($G$2:$G2309,$B$2:$B2309,$B1267,$P$2:$P2309,"&lt;="&amp;$P1267,$P$2:$P2309,"&gt;"&amp;$P1267-7)</f>
        <v>8.5714285714285712</v>
      </c>
      <c r="AE1267" s="76">
        <f ca="1">IFERROR(__xludf.DUMMYFUNCTION("iferror(stdevp(filter($F$2:$F2314,$B$2:$B2314=$B1270,$O$2:$O2314&lt;=$O1270,$O$2:$O2314&gt;$O1270-7)),0)"),1.11803398874989)</f>
        <v>1.11803398874989</v>
      </c>
      <c r="AF1267" s="77">
        <f t="shared" ca="1" si="25"/>
        <v>-1.4055284429998736</v>
      </c>
      <c r="AG1267" s="77">
        <f t="shared" ca="1" si="26"/>
        <v>1</v>
      </c>
      <c r="AH1267" s="76">
        <f t="array" ref="AH1267">AVERAGEIFS($I$2:$I2309,$B$2:$B2309,$B1267,$P$2:$P2309,"&lt;="&amp;$P1267,$P$2:$P2309,"&gt;"&amp;$P1267-7)</f>
        <v>5.6190476190476186</v>
      </c>
      <c r="AI1267" s="76">
        <f ca="1">IFERROR(__xludf.DUMMYFUNCTION("iferror(stdevp(filter($H$2:$H2314,$B$2:$B2314=$B1270,$O$2:$O2314&lt;=$O1270,$O$2:$O2314&gt;$O1270-7)),0)"),1.58113883008418)</f>
        <v>1.58113883008418</v>
      </c>
      <c r="AJ1267" s="77">
        <f t="shared" ca="1" si="27"/>
        <v>0.24093544077473542</v>
      </c>
      <c r="AK1267" s="77">
        <f t="shared" ca="1" si="28"/>
        <v>3</v>
      </c>
      <c r="AL1267" s="76">
        <f t="array" ref="AL1267">AVERAGEIFS($J$2:$J2309,$B$2:$B2309,$B1267,$P$2:$P2309,"&lt;="&amp;$P1267,$P$2:$P2309,"&gt;"&amp;$P1267-7)</f>
        <v>7</v>
      </c>
      <c r="AM1267" s="76">
        <f ca="1">IFERROR(__xludf.DUMMYFUNCTION("iferror(stdevp(filter($I$2:$I2314,$B$2:$B2314=$B1270,$O$2:$O2314&lt;=$O1270,$O$2:$O2314&gt;$O1270-7)),0)"),0.5)</f>
        <v>0.5</v>
      </c>
      <c r="AN1267" s="77">
        <f t="shared" ca="1" si="29"/>
        <v>0</v>
      </c>
      <c r="AO1267" s="77">
        <f t="shared" ca="1" si="30"/>
        <v>3</v>
      </c>
      <c r="AP1267" s="76">
        <f t="array" ref="AP1267">AVERAGEIFS($K$2:$K2309,$B$2:$B2309,$B1267,$P$2:$P2309,"&lt;="&amp;$P1267,$P$2:$P2309,"&gt;"&amp;$P1267-7)</f>
        <v>7.4285714285714288</v>
      </c>
      <c r="AQ1267" s="76">
        <f ca="1">IFERROR(__xludf.DUMMYFUNCTION("iferror(stdevp(filter($J$2:$J2314,$B$2:$B2314=$B1270,$O$2:$O2314&lt;=$O1270,$O$2:$O2314&gt;$O1270-7)),0)"),0.82915619758885)</f>
        <v>0.82915619758884995</v>
      </c>
      <c r="AR1267" s="77">
        <f t="shared" ca="1" si="31"/>
        <v>0.6891687876063165</v>
      </c>
      <c r="AS1267" s="77">
        <f t="shared" ca="1" si="32"/>
        <v>3</v>
      </c>
      <c r="AT1267" s="78">
        <f t="shared" ca="1" si="33"/>
        <v>0.54166666666666663</v>
      </c>
    </row>
    <row r="1268" spans="1:46" ht="12.5" x14ac:dyDescent="0.25">
      <c r="A1268" s="75">
        <v>44978.503390474536</v>
      </c>
      <c r="B1268" s="1" t="s">
        <v>19</v>
      </c>
      <c r="C1268" s="1" t="str">
        <f>INDEX(TBL_Name,MATCH(Table2[[#This Row],[Athlete Name]],listNames,0),2)</f>
        <v>Athlete 11</v>
      </c>
      <c r="D1268" s="1" t="s">
        <v>130</v>
      </c>
      <c r="E1268" s="1">
        <v>4</v>
      </c>
      <c r="F1268" s="1">
        <v>4</v>
      </c>
      <c r="G1268" s="1">
        <v>5</v>
      </c>
      <c r="H1268" s="1" t="s">
        <v>203</v>
      </c>
      <c r="I1268" s="1">
        <v>6</v>
      </c>
      <c r="J1268" s="1">
        <v>8</v>
      </c>
      <c r="K1268" s="1">
        <v>8</v>
      </c>
      <c r="L1268" s="1">
        <v>52</v>
      </c>
      <c r="M1268" s="1" t="e">
        <f t="shared" ref="M1268" ca="1" si="66">_xludf.concat($B1268,$P1268)</f>
        <v>#NAME?</v>
      </c>
      <c r="N1268" s="1" t="e">
        <f t="shared" si="18"/>
        <v>#VALUE!</v>
      </c>
      <c r="O1268" s="1" t="e">
        <f ca="1">IF($N1268=_xludf.MINIFS($N$2:$N2518,$R$2:$R2518,$R1268),1,
($N1268-_xludf.MINIFS($N$2:$N2518,$R$2:$R2518,$R1268))+1)</f>
        <v>#VALUE!</v>
      </c>
      <c r="P1268" s="13" t="e">
        <f t="shared" si="19"/>
        <v>#VALUE!</v>
      </c>
      <c r="Q1268" s="1" t="str">
        <f>RIGHT(YEAR($A1268),2)-(MONTH($A1268)&lt;=[1]Roster!$K$25)
 &amp;"-"&amp;
 RIGHT(YEAR($A1268),2)+(MONTH($A1268)&gt;=[1]Roster!$K$26)</f>
        <v>22-23</v>
      </c>
      <c r="R1268" s="1" t="e">
        <f>CHOOSE(MONTH($P1268),[1]Roster!$K$9,[1]Roster!$K$10,[1]Roster!$K$11,[1]Roster!$K$12,[1]Roster!$K$13,[1]Roster!$K$14,[1]Roster!$K$15,[1]Roster!$K$16,[1]Roster!$K$17,[1]Roster!$K$18,[1]Roster!$K$19,[1]Roster!$K$20)&amp;" "&amp;$Q1268</f>
        <v>#VALUE!</v>
      </c>
      <c r="S1268" s="1">
        <f t="shared" si="20"/>
        <v>1</v>
      </c>
      <c r="T1268" s="1" t="str">
        <f t="array" ref="T1268">IFERROR(INDEX([1]Roster!$D$3:$D$42,MATCH($B1268,[1]Roster!$C$3:$C$42,0)),"")</f>
        <v>D</v>
      </c>
      <c r="U1268" s="1" t="str">
        <f t="array" ref="U1268">IFERROR(INDEX([1]Roster!$E$3:$E$42,MATCH($B1268,[1]Roster!$C$3:$C$42,0)),"")</f>
        <v>D</v>
      </c>
      <c r="V1268" s="76">
        <f t="array" ref="V1268">AVERAGEIFS($E$2:$E2309,$B$2:$B2309,$B1268,$P$2:$P2309,"&lt;="&amp;$P1268,$P$2:$P2309,"&gt;"&amp;$P1268-7)</f>
        <v>4.6538461538461542</v>
      </c>
      <c r="W1268" s="76">
        <f ca="1">IFERROR(__xludf.DUMMYFUNCTION("iferror(stdevp(filter($D$2:$D2314,$B$2:$B2314=$B1271,$O$2:$O2314&lt;=$O1271,$O$2:$O2314&gt;$O1271-7)),0)"),0.979795897113271)</f>
        <v>0.97979589711327097</v>
      </c>
      <c r="X1268" s="77">
        <f t="shared" ca="1" si="21"/>
        <v>-0.66732893633516122</v>
      </c>
      <c r="Y1268" s="77">
        <f t="shared" ca="1" si="22"/>
        <v>2</v>
      </c>
      <c r="Z1268" s="76">
        <f t="array" ref="Z1268">AVERAGEIFS($F$2:$F2309,$B$2:$B2309,$B1268,$P$2:$P2309,"&lt;="&amp;$P1268,$P$2:$P2309,"&gt;"&amp;$P1268-7)</f>
        <v>6.8461538461538458</v>
      </c>
      <c r="AA1268" s="76">
        <f ca="1">IFERROR(__xludf.DUMMYFUNCTION("iferror(stdevp(filter($E$2:$E2314,$B$2:$B2314=$B1271,$O$2:$O2314&lt;=$O1271,$O$2:$O2314&gt;$O1271-7)),0)"),1.78885438199983)</f>
        <v>1.7888543819998299</v>
      </c>
      <c r="AB1268" s="77">
        <f t="shared" ca="1" si="23"/>
        <v>-1.5910483686056209</v>
      </c>
      <c r="AC1268" s="77">
        <f t="shared" ca="1" si="24"/>
        <v>1</v>
      </c>
      <c r="AD1268" s="76">
        <f t="array" ref="AD1268">AVERAGEIFS($G$2:$G2309,$B$2:$B2309,$B1268,$P$2:$P2309,"&lt;="&amp;$P1268,$P$2:$P2309,"&gt;"&amp;$P1268-7)</f>
        <v>7.2692307692307692</v>
      </c>
      <c r="AE1268" s="76">
        <f ca="1">IFERROR(__xludf.DUMMYFUNCTION("iferror(stdevp(filter($F$2:$F2314,$B$2:$B2314=$B1271,$O$2:$O2314&lt;=$O1271,$O$2:$O2314&gt;$O1271-7)),0)"),1.4696938456699)</f>
        <v>1.4696938456699</v>
      </c>
      <c r="AF1268" s="77">
        <f t="shared" ca="1" si="25"/>
        <v>-1.5440159703441045</v>
      </c>
      <c r="AG1268" s="77">
        <f t="shared" ca="1" si="26"/>
        <v>1</v>
      </c>
      <c r="AH1268" s="76">
        <f t="array" ref="AH1268">AVERAGEIFS($I$2:$I2309,$B$2:$B2309,$B1268,$P$2:$P2309,"&lt;="&amp;$P1268,$P$2:$P2309,"&gt;"&amp;$P1268-7)</f>
        <v>4.9230769230769234</v>
      </c>
      <c r="AI1268" s="76">
        <f ca="1">IFERROR(__xludf.DUMMYFUNCTION("iferror(stdevp(filter($H$2:$H2314,$B$2:$B2314=$B1271,$O$2:$O2314&lt;=$O1271,$O$2:$O2314&gt;$O1271-7)),0)"),1.4696938456699)</f>
        <v>1.4696938456699</v>
      </c>
      <c r="AJ1268" s="77">
        <f t="shared" ca="1" si="27"/>
        <v>0.73275334185821894</v>
      </c>
      <c r="AK1268" s="77">
        <f t="shared" ca="1" si="28"/>
        <v>3</v>
      </c>
      <c r="AL1268" s="76">
        <f t="array" ref="AL1268">AVERAGEIFS($J$2:$J2309,$B$2:$B2309,$B1268,$P$2:$P2309,"&lt;="&amp;$P1268,$P$2:$P2309,"&gt;"&amp;$P1268-7)</f>
        <v>7.5769230769230766</v>
      </c>
      <c r="AM1268" s="76">
        <f ca="1">IFERROR(__xludf.DUMMYFUNCTION("iferror(stdevp(filter($I$2:$I2314,$B$2:$B2314=$B1271,$O$2:$O2314&lt;=$O1271,$O$2:$O2314&gt;$O1271-7)),0)"),0.399999999999999)</f>
        <v>0.39999999999999902</v>
      </c>
      <c r="AN1268" s="77">
        <f t="shared" ca="1" si="29"/>
        <v>1.057692307692311</v>
      </c>
      <c r="AO1268" s="77">
        <f t="shared" ca="1" si="30"/>
        <v>4</v>
      </c>
      <c r="AP1268" s="76">
        <f t="array" ref="AP1268">AVERAGEIFS($K$2:$K2309,$B$2:$B2309,$B1268,$P$2:$P2309,"&lt;="&amp;$P1268,$P$2:$P2309,"&gt;"&amp;$P1268-7)</f>
        <v>8</v>
      </c>
      <c r="AQ1268" s="76">
        <f ca="1">IFERROR(__xludf.DUMMYFUNCTION("iferror(stdevp(filter($J$2:$J2314,$B$2:$B2314=$B1271,$O$2:$O2314&lt;=$O1271,$O$2:$O2314&gt;$O1271-7)),0)"),0.399999999999999)</f>
        <v>0.39999999999999902</v>
      </c>
      <c r="AR1268" s="77">
        <f t="shared" ca="1" si="31"/>
        <v>0</v>
      </c>
      <c r="AS1268" s="77">
        <f t="shared" ca="1" si="32"/>
        <v>3</v>
      </c>
      <c r="AT1268" s="78">
        <f t="shared" ca="1" si="33"/>
        <v>0.58333333333333337</v>
      </c>
    </row>
    <row r="1269" spans="1:46" ht="12.5" x14ac:dyDescent="0.25">
      <c r="A1269" s="75">
        <v>44978.504051111115</v>
      </c>
      <c r="B1269" s="1" t="s">
        <v>7</v>
      </c>
      <c r="C1269" s="1" t="str">
        <f>INDEX(TBL_Name,MATCH(Table2[[#This Row],[Athlete Name]],listNames,0),2)</f>
        <v>Athlete 3</v>
      </c>
      <c r="D1269" s="1" t="s">
        <v>130</v>
      </c>
      <c r="E1269" s="1">
        <v>5</v>
      </c>
      <c r="F1269" s="1">
        <v>7</v>
      </c>
      <c r="G1269" s="1">
        <v>7</v>
      </c>
      <c r="H1269" s="1"/>
      <c r="I1269" s="1">
        <v>6</v>
      </c>
      <c r="J1269" s="1">
        <v>3</v>
      </c>
      <c r="K1269" s="1">
        <v>6</v>
      </c>
      <c r="L1269" s="1">
        <v>88</v>
      </c>
      <c r="M1269" s="1" t="e">
        <f t="shared" ref="M1269" ca="1" si="67">_xludf.concat($B1269,$P1269)</f>
        <v>#NAME?</v>
      </c>
      <c r="N1269" s="1" t="e">
        <f t="shared" si="18"/>
        <v>#VALUE!</v>
      </c>
      <c r="O1269" s="1" t="e">
        <f ca="1">IF($N1269=_xludf.MINIFS($N$2:$N2519,$R$2:$R2519,$R1269),1,
($N1269-_xludf.MINIFS($N$2:$N2519,$R$2:$R2519,$R1269))+1)</f>
        <v>#VALUE!</v>
      </c>
      <c r="P1269" s="13" t="e">
        <f t="shared" si="19"/>
        <v>#VALUE!</v>
      </c>
      <c r="Q1269" s="1" t="str">
        <f>RIGHT(YEAR($A1269),2)-(MONTH($A1269)&lt;=[1]Roster!$K$25)
 &amp;"-"&amp;
 RIGHT(YEAR($A1269),2)+(MONTH($A1269)&gt;=[1]Roster!$K$26)</f>
        <v>22-23</v>
      </c>
      <c r="R1269" s="1" t="e">
        <f>CHOOSE(MONTH($P1269),[1]Roster!$K$9,[1]Roster!$K$10,[1]Roster!$K$11,[1]Roster!$K$12,[1]Roster!$K$13,[1]Roster!$K$14,[1]Roster!$K$15,[1]Roster!$K$16,[1]Roster!$K$17,[1]Roster!$K$18,[1]Roster!$K$19,[1]Roster!$K$20)&amp;" "&amp;$Q1269</f>
        <v>#VALUE!</v>
      </c>
      <c r="S1269" s="1">
        <f t="shared" si="20"/>
        <v>1</v>
      </c>
      <c r="T1269" s="1" t="str">
        <f t="array" ref="T1269">IFERROR(INDEX([1]Roster!$D$3:$D$42,MATCH($B1269,[1]Roster!$C$3:$C$42,0)),"")</f>
        <v>F/MID</v>
      </c>
      <c r="U1269" s="1" t="str">
        <f t="array" ref="U1269">IFERROR(INDEX([1]Roster!$E$3:$E$42,MATCH($B1269,[1]Roster!$C$3:$C$42,0)),"")</f>
        <v>F/MID</v>
      </c>
      <c r="V1269" s="76">
        <f t="array" ref="V1269">AVERAGEIFS($E$2:$E2309,$B$2:$B2309,$B1269,$P$2:$P2309,"&lt;="&amp;$P1269,$P$2:$P2309,"&gt;"&amp;$P1269-7)</f>
        <v>6</v>
      </c>
      <c r="W1269" s="76">
        <f ca="1">IFERROR(__xludf.DUMMYFUNCTION("iferror(stdevp(filter($D$2:$D2314,$B$2:$B2314=$B1272,$O$2:$O2314&lt;=$O1272,$O$2:$O2314&gt;$O1272-7)),0)"),1.22474487139158)</f>
        <v>1.2247448713915801</v>
      </c>
      <c r="X1269" s="77">
        <f t="shared" ca="1" si="21"/>
        <v>-0.81649658092773203</v>
      </c>
      <c r="Y1269" s="77">
        <f t="shared" ca="1" si="22"/>
        <v>2</v>
      </c>
      <c r="Z1269" s="76">
        <f t="array" ref="Z1269">AVERAGEIFS($F$2:$F2309,$B$2:$B2309,$B1269,$P$2:$P2309,"&lt;="&amp;$P1269,$P$2:$P2309,"&gt;"&amp;$P1269-7)</f>
        <v>7.3703703703703702</v>
      </c>
      <c r="AA1269" s="76">
        <f ca="1">IFERROR(__xludf.DUMMYFUNCTION("iferror(stdevp(filter($E$2:$E2314,$B$2:$B2314=$B1272,$O$2:$O2314&lt;=$O1272,$O$2:$O2314&gt;$O1272-7)),0)"),0.82915619758885)</f>
        <v>0.82915619758884995</v>
      </c>
      <c r="AB1269" s="77">
        <f t="shared" ca="1" si="23"/>
        <v>-0.44668347344853854</v>
      </c>
      <c r="AC1269" s="77">
        <f t="shared" ca="1" si="24"/>
        <v>2</v>
      </c>
      <c r="AD1269" s="76">
        <f t="array" ref="AD1269">AVERAGEIFS($G$2:$G2309,$B$2:$B2309,$B1269,$P$2:$P2309,"&lt;="&amp;$P1269,$P$2:$P2309,"&gt;"&amp;$P1269-7)</f>
        <v>7.7777777777777777</v>
      </c>
      <c r="AE1269" s="76">
        <f ca="1">IFERROR(__xludf.DUMMYFUNCTION("iferror(stdevp(filter($F$2:$F2314,$B$2:$B2314=$B1272,$O$2:$O2314&lt;=$O1272,$O$2:$O2314&gt;$O1272-7)),0)"),0.5)</f>
        <v>0.5</v>
      </c>
      <c r="AF1269" s="77">
        <f t="shared" ca="1" si="25"/>
        <v>-1.5555555555555554</v>
      </c>
      <c r="AG1269" s="77">
        <f t="shared" ca="1" si="26"/>
        <v>1</v>
      </c>
      <c r="AH1269" s="76">
        <f t="array" ref="AH1269">AVERAGEIFS($I$2:$I2309,$B$2:$B2309,$B1269,$P$2:$P2309,"&lt;="&amp;$P1269,$P$2:$P2309,"&gt;"&amp;$P1269-7)</f>
        <v>6.333333333333333</v>
      </c>
      <c r="AI1269" s="76">
        <f ca="1">IFERROR(__xludf.DUMMYFUNCTION("iferror(stdevp(filter($H$2:$H2314,$B$2:$B2314=$B1272,$O$2:$O2314&lt;=$O1272,$O$2:$O2314&gt;$O1272-7)),0)"),1.87082869338697)</f>
        <v>1.87082869338697</v>
      </c>
      <c r="AJ1269" s="77">
        <f t="shared" ca="1" si="27"/>
        <v>-0.17817416127494951</v>
      </c>
      <c r="AK1269" s="77">
        <f t="shared" ca="1" si="28"/>
        <v>2</v>
      </c>
      <c r="AL1269" s="76">
        <f t="array" ref="AL1269">AVERAGEIFS($J$2:$J2309,$B$2:$B2309,$B1269,$P$2:$P2309,"&lt;="&amp;$P1269,$P$2:$P2309,"&gt;"&amp;$P1269-7)</f>
        <v>5.4230769230769234</v>
      </c>
      <c r="AM1269" s="76">
        <f ca="1">IFERROR(__xludf.DUMMYFUNCTION("iferror(stdevp(filter($I$2:$I2314,$B$2:$B2314=$B1272,$O$2:$O2314&lt;=$O1272,$O$2:$O2314&gt;$O1272-7)),0)"),1.78535710713571)</f>
        <v>1.7853571071357099</v>
      </c>
      <c r="AN1269" s="77">
        <f t="shared" ca="1" si="29"/>
        <v>-1.3571945429809962</v>
      </c>
      <c r="AO1269" s="77">
        <f t="shared" ca="1" si="30"/>
        <v>1</v>
      </c>
      <c r="AP1269" s="76">
        <f t="array" ref="AP1269">AVERAGEIFS($K$2:$K2309,$B$2:$B2309,$B1269,$P$2:$P2309,"&lt;="&amp;$P1269,$P$2:$P2309,"&gt;"&amp;$P1269-7)</f>
        <v>7.5769230769230766</v>
      </c>
      <c r="AQ1269" s="76">
        <f ca="1">IFERROR(__xludf.DUMMYFUNCTION("iferror(stdevp(filter($J$2:$J2314,$B$2:$B2314=$B1272,$O$2:$O2314&lt;=$O1272,$O$2:$O2314&gt;$O1272-7)),0)"),1.08972473588516)</f>
        <v>1.0897247358851601</v>
      </c>
      <c r="AR1269" s="77">
        <f t="shared" ca="1" si="31"/>
        <v>-1.4470838597989388</v>
      </c>
      <c r="AS1269" s="77">
        <f t="shared" ca="1" si="32"/>
        <v>1</v>
      </c>
      <c r="AT1269" s="78">
        <f t="shared" ca="1" si="33"/>
        <v>0.375</v>
      </c>
    </row>
    <row r="1270" spans="1:46" ht="12.5" x14ac:dyDescent="0.25">
      <c r="A1270" s="75">
        <v>44978.504262523144</v>
      </c>
      <c r="B1270" s="1" t="s">
        <v>16</v>
      </c>
      <c r="C1270" s="1" t="str">
        <f>INDEX(TBL_Name,MATCH(Table2[[#This Row],[Athlete Name]],listNames,0),2)</f>
        <v>Athlete 9</v>
      </c>
      <c r="D1270" s="1" t="s">
        <v>130</v>
      </c>
      <c r="E1270" s="1">
        <v>8</v>
      </c>
      <c r="F1270" s="1">
        <v>7</v>
      </c>
      <c r="G1270" s="1">
        <v>7</v>
      </c>
      <c r="H1270" s="1" t="s">
        <v>1597</v>
      </c>
      <c r="I1270" s="1">
        <v>6</v>
      </c>
      <c r="J1270" s="1">
        <v>8</v>
      </c>
      <c r="K1270" s="1">
        <v>9</v>
      </c>
      <c r="L1270" s="1">
        <v>85</v>
      </c>
      <c r="M1270" s="1" t="e">
        <f t="shared" ref="M1270" ca="1" si="68">_xludf.concat($B1270,$P1270)</f>
        <v>#NAME?</v>
      </c>
      <c r="N1270" s="1" t="e">
        <f t="shared" si="18"/>
        <v>#VALUE!</v>
      </c>
      <c r="O1270" s="1" t="e">
        <f ca="1">IF($N1270=_xludf.MINIFS($N$2:$N2520,$R$2:$R2520,$R1270),1,
($N1270-_xludf.MINIFS($N$2:$N2520,$R$2:$R2520,$R1270))+1)</f>
        <v>#VALUE!</v>
      </c>
      <c r="P1270" s="13" t="e">
        <f t="shared" si="19"/>
        <v>#VALUE!</v>
      </c>
      <c r="Q1270" s="1" t="str">
        <f>RIGHT(YEAR($A1270),2)-(MONTH($A1270)&lt;=[1]Roster!$K$25)
 &amp;"-"&amp;
 RIGHT(YEAR($A1270),2)+(MONTH($A1270)&gt;=[1]Roster!$K$26)</f>
        <v>22-23</v>
      </c>
      <c r="R1270" s="1" t="e">
        <f>CHOOSE(MONTH($P1270),[1]Roster!$K$9,[1]Roster!$K$10,[1]Roster!$K$11,[1]Roster!$K$12,[1]Roster!$K$13,[1]Roster!$K$14,[1]Roster!$K$15,[1]Roster!$K$16,[1]Roster!$K$17,[1]Roster!$K$18,[1]Roster!$K$19,[1]Roster!$K$20)&amp;" "&amp;$Q1270</f>
        <v>#VALUE!</v>
      </c>
      <c r="S1270" s="1">
        <f t="shared" si="20"/>
        <v>1</v>
      </c>
      <c r="T1270" s="1" t="str">
        <f t="array" ref="T1270">IFERROR(INDEX([1]Roster!$D$3:$D$42,MATCH($B1270,[1]Roster!$C$3:$C$42,0)),"")</f>
        <v>MID/D</v>
      </c>
      <c r="U1270" s="1" t="str">
        <f t="array" ref="U1270">IFERROR(INDEX([1]Roster!$E$3:$E$42,MATCH($B1270,[1]Roster!$C$3:$C$42,0)),"")</f>
        <v>MID/D</v>
      </c>
      <c r="V1270" s="76">
        <f t="array" ref="V1270">AVERAGEIFS($E$2:$E2309,$B$2:$B2309,$B1270,$P$2:$P2309,"&lt;="&amp;$P1270,$P$2:$P2309,"&gt;"&amp;$P1270-7)</f>
        <v>8.9600000000000009</v>
      </c>
      <c r="W1270" s="76">
        <f ca="1">IFERROR(__xludf.DUMMYFUNCTION("iferror(stdevp(filter($D$2:$D2314,$B$2:$B2314=$B1273,$O$2:$O2314&lt;=$O1273,$O$2:$O2314&gt;$O1273-7)),0)"),0.4)</f>
        <v>0.4</v>
      </c>
      <c r="X1270" s="77">
        <f t="shared" ca="1" si="21"/>
        <v>-2.4000000000000021</v>
      </c>
      <c r="Y1270" s="77">
        <f t="shared" ca="1" si="22"/>
        <v>1</v>
      </c>
      <c r="Z1270" s="76">
        <f t="array" ref="Z1270">AVERAGEIFS($F$2:$F2309,$B$2:$B2309,$B1270,$P$2:$P2309,"&lt;="&amp;$P1270,$P$2:$P2309,"&gt;"&amp;$P1270-7)</f>
        <v>7.48</v>
      </c>
      <c r="AA1270" s="76">
        <f ca="1">IFERROR(__xludf.DUMMYFUNCTION("iferror(stdevp(filter($E$2:$E2314,$B$2:$B2314=$B1273,$O$2:$O2314&lt;=$O1273,$O$2:$O2314&gt;$O1273-7)),0)"),0.4)</f>
        <v>0.4</v>
      </c>
      <c r="AB1270" s="77">
        <f t="shared" ca="1" si="23"/>
        <v>-1.2000000000000011</v>
      </c>
      <c r="AC1270" s="77">
        <f t="shared" ca="1" si="24"/>
        <v>1</v>
      </c>
      <c r="AD1270" s="76">
        <f t="array" ref="AD1270">AVERAGEIFS($G$2:$G2309,$B$2:$B2309,$B1270,$P$2:$P2309,"&lt;="&amp;$P1270,$P$2:$P2309,"&gt;"&amp;$P1270-7)</f>
        <v>7.56</v>
      </c>
      <c r="AE1270" s="76">
        <f ca="1">IFERROR(__xludf.DUMMYFUNCTION("iferror(stdevp(filter($F$2:$F2314,$B$2:$B2314=$B1273,$O$2:$O2314&lt;=$O1273,$O$2:$O2314&gt;$O1273-7)),0)"),0.632455532033675)</f>
        <v>0.63245553203367499</v>
      </c>
      <c r="AF1270" s="77">
        <f t="shared" ca="1" si="25"/>
        <v>-0.88543774484714677</v>
      </c>
      <c r="AG1270" s="77">
        <f t="shared" ca="1" si="26"/>
        <v>2</v>
      </c>
      <c r="AH1270" s="76">
        <f t="array" ref="AH1270">AVERAGEIFS($I$2:$I2309,$B$2:$B2309,$B1270,$P$2:$P2309,"&lt;="&amp;$P1270,$P$2:$P2309,"&gt;"&amp;$P1270-7)</f>
        <v>5.8</v>
      </c>
      <c r="AI1270" s="76">
        <f ca="1">IFERROR(__xludf.DUMMYFUNCTION("iferror(stdevp(filter($H$2:$H2314,$B$2:$B2314=$B1273,$O$2:$O2314&lt;=$O1273,$O$2:$O2314&gt;$O1273-7)),0)"),0.632455532033675)</f>
        <v>0.63245553203367499</v>
      </c>
      <c r="AJ1270" s="77">
        <f t="shared" ca="1" si="27"/>
        <v>0.31622776601683866</v>
      </c>
      <c r="AK1270" s="77">
        <f t="shared" ca="1" si="28"/>
        <v>3</v>
      </c>
      <c r="AL1270" s="76">
        <f t="array" ref="AL1270">AVERAGEIFS($J$2:$J2309,$B$2:$B2309,$B1270,$P$2:$P2309,"&lt;="&amp;$P1270,$P$2:$P2309,"&gt;"&amp;$P1270-7)</f>
        <v>7.8</v>
      </c>
      <c r="AM1270" s="76">
        <f ca="1">IFERROR(__xludf.DUMMYFUNCTION("iferror(stdevp(filter($I$2:$I2314,$B$2:$B2314=$B1273,$O$2:$O2314&lt;=$O1273,$O$2:$O2314&gt;$O1273-7)),0)"),0.748331477354788)</f>
        <v>0.748331477354788</v>
      </c>
      <c r="AN1270" s="77">
        <f t="shared" ca="1" si="29"/>
        <v>0.26726124191242473</v>
      </c>
      <c r="AO1270" s="77">
        <f t="shared" ca="1" si="30"/>
        <v>3</v>
      </c>
      <c r="AP1270" s="76">
        <f t="array" ref="AP1270">AVERAGEIFS($K$2:$K2309,$B$2:$B2309,$B1270,$P$2:$P2309,"&lt;="&amp;$P1270,$P$2:$P2309,"&gt;"&amp;$P1270-7)</f>
        <v>8.6</v>
      </c>
      <c r="AQ1270" s="76">
        <f ca="1">IFERROR(__xludf.DUMMYFUNCTION("iferror(stdevp(filter($J$2:$J2314,$B$2:$B2314=$B1273,$O$2:$O2314&lt;=$O1273,$O$2:$O2314&gt;$O1273-7)),0)"),0.748331477354788)</f>
        <v>0.748331477354788</v>
      </c>
      <c r="AR1270" s="77">
        <f t="shared" ca="1" si="31"/>
        <v>0.53452248382484946</v>
      </c>
      <c r="AS1270" s="77">
        <f t="shared" ca="1" si="32"/>
        <v>3</v>
      </c>
      <c r="AT1270" s="78">
        <f t="shared" ca="1" si="33"/>
        <v>0.54166666666666663</v>
      </c>
    </row>
    <row r="1271" spans="1:46" ht="12.5" x14ac:dyDescent="0.25">
      <c r="A1271" s="75">
        <v>44979.29043011574</v>
      </c>
      <c r="B1271" s="1" t="s">
        <v>13</v>
      </c>
      <c r="C1271" s="1" t="str">
        <f>INDEX(TBL_Name,MATCH(Table2[[#This Row],[Athlete Name]],listNames,0),2)</f>
        <v>Athlete 7</v>
      </c>
      <c r="D1271" s="1" t="s">
        <v>130</v>
      </c>
      <c r="E1271" s="1">
        <v>3</v>
      </c>
      <c r="F1271" s="1">
        <v>6</v>
      </c>
      <c r="G1271" s="1">
        <v>7</v>
      </c>
      <c r="H1271" s="1" t="s">
        <v>415</v>
      </c>
      <c r="I1271" s="1">
        <v>6</v>
      </c>
      <c r="J1271" s="1">
        <v>10</v>
      </c>
      <c r="K1271" s="1">
        <v>10</v>
      </c>
      <c r="L1271" s="1">
        <v>75</v>
      </c>
      <c r="M1271" s="1" t="e">
        <f t="shared" ref="M1271" ca="1" si="69">_xludf.concat($B1271,$P1271)</f>
        <v>#NAME?</v>
      </c>
      <c r="N1271" s="1" t="e">
        <f t="shared" si="18"/>
        <v>#VALUE!</v>
      </c>
      <c r="O1271" s="1" t="e">
        <f ca="1">IF($N1271=_xludf.MINIFS($N$2:$N2521,$R$2:$R2521,$R1271),1,
($N1271-_xludf.MINIFS($N$2:$N2521,$R$2:$R2521,$R1271))+1)</f>
        <v>#VALUE!</v>
      </c>
      <c r="P1271" s="13" t="e">
        <f t="shared" si="19"/>
        <v>#VALUE!</v>
      </c>
      <c r="Q1271" s="1" t="str">
        <f>RIGHT(YEAR($A1271),2)-(MONTH($A1271)&lt;=[1]Roster!$K$25)
 &amp;"-"&amp;
 RIGHT(YEAR($A1271),2)+(MONTH($A1271)&gt;=[1]Roster!$K$26)</f>
        <v>22-23</v>
      </c>
      <c r="R1271" s="1" t="e">
        <f>CHOOSE(MONTH($P1271),[1]Roster!$K$9,[1]Roster!$K$10,[1]Roster!$K$11,[1]Roster!$K$12,[1]Roster!$K$13,[1]Roster!$K$14,[1]Roster!$K$15,[1]Roster!$K$16,[1]Roster!$K$17,[1]Roster!$K$18,[1]Roster!$K$19,[1]Roster!$K$20)&amp;" "&amp;$Q1271</f>
        <v>#VALUE!</v>
      </c>
      <c r="S1271" s="1">
        <f t="shared" si="20"/>
        <v>1</v>
      </c>
      <c r="T1271" s="1" t="str">
        <f t="array" ref="T1271">IFERROR(INDEX([1]Roster!$D$3:$D$42,MATCH($B1271,[1]Roster!$C$3:$C$42,0)),"")</f>
        <v>MID/D</v>
      </c>
      <c r="U1271" s="1" t="str">
        <f t="array" ref="U1271">IFERROR(INDEX([1]Roster!$E$3:$E$42,MATCH($B1271,[1]Roster!$C$3:$C$42,0)),"")</f>
        <v>MID/D</v>
      </c>
      <c r="V1271" s="76">
        <f t="array" ref="V1271">AVERAGEIFS($E$2:$E2309,$B$2:$B2309,$B1271,$P$2:$P2309,"&lt;="&amp;$P1271,$P$2:$P2309,"&gt;"&amp;$P1271-7)</f>
        <v>7.6857142857142859</v>
      </c>
      <c r="W1271" s="76">
        <f ca="1">IFERROR(__xludf.DUMMYFUNCTION("iferror(stdevp(filter($D$2:$D2314,$B$2:$B2314=$B1274,$O$2:$O2314&lt;=$O1274,$O$2:$O2314&gt;$O1274-7)),0)"),0.866025403784438)</f>
        <v>0.86602540378443804</v>
      </c>
      <c r="X1271" s="77">
        <f t="shared" ca="1" si="21"/>
        <v>-5.4105968084056402</v>
      </c>
      <c r="Y1271" s="77">
        <f t="shared" ca="1" si="22"/>
        <v>1</v>
      </c>
      <c r="Z1271" s="76">
        <f t="array" ref="Z1271">AVERAGEIFS($F$2:$F2309,$B$2:$B2309,$B1271,$P$2:$P2309,"&lt;="&amp;$P1271,$P$2:$P2309,"&gt;"&amp;$P1271-7)</f>
        <v>7.0857142857142854</v>
      </c>
      <c r="AA1271" s="76">
        <f ca="1">IFERROR(__xludf.DUMMYFUNCTION("iferror(stdevp(filter($E$2:$E2314,$B$2:$B2314=$B1274,$O$2:$O2314&lt;=$O1274,$O$2:$O2314&gt;$O1274-7)),0)"),0.5)</f>
        <v>0.5</v>
      </c>
      <c r="AB1271" s="77">
        <f t="shared" ca="1" si="23"/>
        <v>-2.1714285714285708</v>
      </c>
      <c r="AC1271" s="77">
        <f t="shared" ca="1" si="24"/>
        <v>1</v>
      </c>
      <c r="AD1271" s="76">
        <f t="array" ref="AD1271">AVERAGEIFS($G$2:$G2309,$B$2:$B2309,$B1271,$P$2:$P2309,"&lt;="&amp;$P1271,$P$2:$P2309,"&gt;"&amp;$P1271-7)</f>
        <v>7.1428571428571432</v>
      </c>
      <c r="AE1271" s="76">
        <f ca="1">IFERROR(__xludf.DUMMYFUNCTION("iferror(stdevp(filter($F$2:$F2314,$B$2:$B2314=$B1274,$O$2:$O2314&lt;=$O1274,$O$2:$O2314&gt;$O1274-7)),0)"),0.433012701892219)</f>
        <v>0.43301270189221902</v>
      </c>
      <c r="AF1271" s="77">
        <f t="shared" ca="1" si="25"/>
        <v>-0.32991443953693012</v>
      </c>
      <c r="AG1271" s="77">
        <f t="shared" ca="1" si="26"/>
        <v>2</v>
      </c>
      <c r="AH1271" s="76">
        <f t="array" ref="AH1271">AVERAGEIFS($I$2:$I2309,$B$2:$B2309,$B1271,$P$2:$P2309,"&lt;="&amp;$P1271,$P$2:$P2309,"&gt;"&amp;$P1271-7)</f>
        <v>7.0285714285714285</v>
      </c>
      <c r="AI1271" s="76">
        <f ca="1">IFERROR(__xludf.DUMMYFUNCTION("iferror(stdevp(filter($H$2:$H2314,$B$2:$B2314=$B1274,$O$2:$O2314&lt;=$O1274,$O$2:$O2314&gt;$O1274-7)),0)"),0.5)</f>
        <v>0.5</v>
      </c>
      <c r="AJ1271" s="77">
        <f t="shared" ca="1" si="27"/>
        <v>-2.0571428571428569</v>
      </c>
      <c r="AK1271" s="77">
        <f t="shared" ca="1" si="28"/>
        <v>1</v>
      </c>
      <c r="AL1271" s="76">
        <f t="array" ref="AL1271">AVERAGEIFS($J$2:$J2309,$B$2:$B2309,$B1271,$P$2:$P2309,"&lt;="&amp;$P1271,$P$2:$P2309,"&gt;"&amp;$P1271-7)</f>
        <v>9.742857142857142</v>
      </c>
      <c r="AM1271" s="76">
        <f ca="1">IFERROR(__xludf.DUMMYFUNCTION("iferror(stdevp(filter($I$2:$I2314,$B$2:$B2314=$B1274,$O$2:$O2314&lt;=$O1274,$O$2:$O2314&gt;$O1274-7)),0)"),1.29903810567665)</f>
        <v>1.29903810567665</v>
      </c>
      <c r="AN1271" s="77">
        <f t="shared" ca="1" si="29"/>
        <v>0.19794866372215927</v>
      </c>
      <c r="AO1271" s="77">
        <f t="shared" ca="1" si="30"/>
        <v>3</v>
      </c>
      <c r="AP1271" s="76">
        <f t="array" ref="AP1271">AVERAGEIFS($K$2:$K2309,$B$2:$B2309,$B1271,$P$2:$P2309,"&lt;="&amp;$P1271,$P$2:$P2309,"&gt;"&amp;$P1271-7)</f>
        <v>9.4285714285714288</v>
      </c>
      <c r="AQ1271" s="76">
        <f ca="1">IFERROR(__xludf.DUMMYFUNCTION("iferror(stdevp(filter($J$2:$J2314,$B$2:$B2314=$B1274,$O$2:$O2314&lt;=$O1274,$O$2:$O2314&gt;$O1274-7)),0)"),0)</f>
        <v>0</v>
      </c>
      <c r="AR1271" s="77">
        <f t="shared" ca="1" si="31"/>
        <v>0</v>
      </c>
      <c r="AS1271" s="77">
        <f t="shared" ca="1" si="32"/>
        <v>3</v>
      </c>
      <c r="AT1271" s="78">
        <f t="shared" ca="1" si="33"/>
        <v>0.45833333333333331</v>
      </c>
    </row>
    <row r="1272" spans="1:46" ht="12.5" x14ac:dyDescent="0.25">
      <c r="A1272" s="75">
        <v>44979.317989062503</v>
      </c>
      <c r="B1272" s="1" t="s">
        <v>7</v>
      </c>
      <c r="C1272" s="1" t="str">
        <f>INDEX(TBL_Name,MATCH(Table2[[#This Row],[Athlete Name]],listNames,0),2)</f>
        <v>Athlete 3</v>
      </c>
      <c r="D1272" s="1" t="s">
        <v>130</v>
      </c>
      <c r="E1272" s="1">
        <v>7</v>
      </c>
      <c r="F1272" s="1">
        <v>8</v>
      </c>
      <c r="G1272" s="1">
        <v>8</v>
      </c>
      <c r="H1272" s="1" t="s">
        <v>228</v>
      </c>
      <c r="I1272" s="1">
        <v>5</v>
      </c>
      <c r="J1272" s="1">
        <v>3</v>
      </c>
      <c r="K1272" s="1">
        <v>8</v>
      </c>
      <c r="L1272" s="1">
        <v>89</v>
      </c>
      <c r="M1272" s="1" t="e">
        <f t="shared" ref="M1272" ca="1" si="70">_xludf.concat($B1272,$P1272)</f>
        <v>#NAME?</v>
      </c>
      <c r="N1272" s="1" t="e">
        <f t="shared" si="18"/>
        <v>#VALUE!</v>
      </c>
      <c r="O1272" s="1" t="e">
        <f ca="1">IF($N1272=_xludf.MINIFS($N$2:$N2522,$R$2:$R2522,$R1272),1,
($N1272-_xludf.MINIFS($N$2:$N2522,$R$2:$R2522,$R1272))+1)</f>
        <v>#VALUE!</v>
      </c>
      <c r="P1272" s="13" t="e">
        <f t="shared" si="19"/>
        <v>#VALUE!</v>
      </c>
      <c r="Q1272" s="1" t="str">
        <f>RIGHT(YEAR($A1272),2)-(MONTH($A1272)&lt;=[1]Roster!$K$25)
 &amp;"-"&amp;
 RIGHT(YEAR($A1272),2)+(MONTH($A1272)&gt;=[1]Roster!$K$26)</f>
        <v>22-23</v>
      </c>
      <c r="R1272" s="1" t="e">
        <f>CHOOSE(MONTH($P1272),[1]Roster!$K$9,[1]Roster!$K$10,[1]Roster!$K$11,[1]Roster!$K$12,[1]Roster!$K$13,[1]Roster!$K$14,[1]Roster!$K$15,[1]Roster!$K$16,[1]Roster!$K$17,[1]Roster!$K$18,[1]Roster!$K$19,[1]Roster!$K$20)&amp;" "&amp;$Q1272</f>
        <v>#VALUE!</v>
      </c>
      <c r="S1272" s="1">
        <f t="shared" si="20"/>
        <v>1</v>
      </c>
      <c r="T1272" s="1" t="str">
        <f t="array" ref="T1272">IFERROR(INDEX([1]Roster!$D$3:$D$42,MATCH($B1272,[1]Roster!$C$3:$C$42,0)),"")</f>
        <v>F/MID</v>
      </c>
      <c r="U1272" s="1" t="str">
        <f t="array" ref="U1272">IFERROR(INDEX([1]Roster!$E$3:$E$42,MATCH($B1272,[1]Roster!$C$3:$C$42,0)),"")</f>
        <v>F/MID</v>
      </c>
      <c r="V1272" s="76">
        <f t="array" ref="V1272">AVERAGEIFS($E$2:$E2309,$B$2:$B2309,$B1272,$P$2:$P2309,"&lt;="&amp;$P1272,$P$2:$P2309,"&gt;"&amp;$P1272-7)</f>
        <v>6</v>
      </c>
      <c r="W1272" s="76">
        <f ca="1">IFERROR(__xludf.DUMMYFUNCTION("iferror(stdevp(filter($D$2:$D2314,$B$2:$B2314=$B1275,$O$2:$O2314&lt;=$O1275,$O$2:$O2314&gt;$O1275-7)),0)"),0.82915619758885)</f>
        <v>0.82915619758884995</v>
      </c>
      <c r="X1272" s="77">
        <f t="shared" ca="1" si="21"/>
        <v>1.2060453783110545</v>
      </c>
      <c r="Y1272" s="77">
        <f t="shared" ca="1" si="22"/>
        <v>4</v>
      </c>
      <c r="Z1272" s="76">
        <f t="array" ref="Z1272">AVERAGEIFS($F$2:$F2309,$B$2:$B2309,$B1272,$P$2:$P2309,"&lt;="&amp;$P1272,$P$2:$P2309,"&gt;"&amp;$P1272-7)</f>
        <v>7.3703703703703702</v>
      </c>
      <c r="AA1272" s="76">
        <f ca="1">IFERROR(__xludf.DUMMYFUNCTION("iferror(stdevp(filter($E$2:$E2314,$B$2:$B2314=$B1275,$O$2:$O2314&lt;=$O1275,$O$2:$O2314&gt;$O1275-7)),0)"),0.82915619758885)</f>
        <v>0.82915619758884995</v>
      </c>
      <c r="AB1272" s="77">
        <f t="shared" ca="1" si="23"/>
        <v>0.75936190486251598</v>
      </c>
      <c r="AC1272" s="77">
        <f t="shared" ca="1" si="24"/>
        <v>3</v>
      </c>
      <c r="AD1272" s="76">
        <f t="array" ref="AD1272">AVERAGEIFS($G$2:$G2309,$B$2:$B2309,$B1272,$P$2:$P2309,"&lt;="&amp;$P1272,$P$2:$P2309,"&gt;"&amp;$P1272-7)</f>
        <v>7.7777777777777777</v>
      </c>
      <c r="AE1272" s="76">
        <f ca="1">IFERROR(__xludf.DUMMYFUNCTION("iferror(stdevp(filter($F$2:$F2314,$B$2:$B2314=$B1275,$O$2:$O2314&lt;=$O1275,$O$2:$O2314&gt;$O1275-7)),0)"),0.433012701892219)</f>
        <v>0.43301270189221902</v>
      </c>
      <c r="AF1272" s="77">
        <f t="shared" ca="1" si="25"/>
        <v>0.51320023927966796</v>
      </c>
      <c r="AG1272" s="77">
        <f t="shared" ca="1" si="26"/>
        <v>3</v>
      </c>
      <c r="AH1272" s="76">
        <f t="array" ref="AH1272">AVERAGEIFS($I$2:$I2309,$B$2:$B2309,$B1272,$P$2:$P2309,"&lt;="&amp;$P1272,$P$2:$P2309,"&gt;"&amp;$P1272-7)</f>
        <v>6.333333333333333</v>
      </c>
      <c r="AI1272" s="76">
        <f ca="1">IFERROR(__xludf.DUMMYFUNCTION("iferror(stdevp(filter($H$2:$H2314,$B$2:$B2314=$B1275,$O$2:$O2314&lt;=$O1275,$O$2:$O2314&gt;$O1275-7)),0)"),1.87082869338697)</f>
        <v>1.87082869338697</v>
      </c>
      <c r="AJ1272" s="77">
        <f t="shared" ca="1" si="27"/>
        <v>-0.71269664509979846</v>
      </c>
      <c r="AK1272" s="77">
        <f t="shared" ca="1" si="28"/>
        <v>2</v>
      </c>
      <c r="AL1272" s="76">
        <f t="array" ref="AL1272">AVERAGEIFS($J$2:$J2309,$B$2:$B2309,$B1272,$P$2:$P2309,"&lt;="&amp;$P1272,$P$2:$P2309,"&gt;"&amp;$P1272-7)</f>
        <v>5.4230769230769234</v>
      </c>
      <c r="AM1272" s="76">
        <f ca="1">IFERROR(__xludf.DUMMYFUNCTION("iferror(stdevp(filter($I$2:$I2314,$B$2:$B2314=$B1275,$O$2:$O2314&lt;=$O1275,$O$2:$O2314&gt;$O1275-7)),0)"),0.999999999999999)</f>
        <v>0.999999999999999</v>
      </c>
      <c r="AN1272" s="77">
        <f t="shared" ca="1" si="29"/>
        <v>-2.4230769230769256</v>
      </c>
      <c r="AO1272" s="77">
        <f t="shared" ca="1" si="30"/>
        <v>1</v>
      </c>
      <c r="AP1272" s="76">
        <f t="array" ref="AP1272">AVERAGEIFS($K$2:$K2309,$B$2:$B2309,$B1272,$P$2:$P2309,"&lt;="&amp;$P1272,$P$2:$P2309,"&gt;"&amp;$P1272-7)</f>
        <v>7.5769230769230766</v>
      </c>
      <c r="AQ1272" s="76">
        <f ca="1">IFERROR(__xludf.DUMMYFUNCTION("iferror(stdevp(filter($J$2:$J2314,$B$2:$B2314=$B1275,$O$2:$O2314&lt;=$O1275,$O$2:$O2314&gt;$O1275-7)),0)"),1.08972473588516)</f>
        <v>1.0897247358851601</v>
      </c>
      <c r="AR1272" s="77">
        <f t="shared" ca="1" si="31"/>
        <v>0.38824201116556928</v>
      </c>
      <c r="AS1272" s="77">
        <f t="shared" ca="1" si="32"/>
        <v>3</v>
      </c>
      <c r="AT1272" s="78">
        <f t="shared" ca="1" si="33"/>
        <v>0.66666666666666663</v>
      </c>
    </row>
    <row r="1273" spans="1:46" ht="12.5" x14ac:dyDescent="0.25">
      <c r="A1273" s="75">
        <v>44979.35270304398</v>
      </c>
      <c r="B1273" s="1" t="s">
        <v>29</v>
      </c>
      <c r="C1273" s="1" t="str">
        <f>INDEX(TBL_Name,MATCH(Table2[[#This Row],[Athlete Name]],listNames,0),2)</f>
        <v>Athlete 18</v>
      </c>
      <c r="D1273" s="1" t="s">
        <v>130</v>
      </c>
      <c r="E1273" s="1">
        <v>8</v>
      </c>
      <c r="F1273" s="1">
        <v>7</v>
      </c>
      <c r="G1273" s="1">
        <v>8</v>
      </c>
      <c r="H1273" s="1" t="s">
        <v>1598</v>
      </c>
      <c r="I1273" s="1">
        <v>7</v>
      </c>
      <c r="J1273" s="1">
        <v>8</v>
      </c>
      <c r="K1273" s="1">
        <v>8</v>
      </c>
      <c r="L1273" s="1">
        <v>90</v>
      </c>
      <c r="M1273" s="1" t="e">
        <f t="shared" ref="M1273" ca="1" si="71">_xludf.concat($B1273,$P1273)</f>
        <v>#NAME?</v>
      </c>
      <c r="N1273" s="1" t="e">
        <f t="shared" si="18"/>
        <v>#VALUE!</v>
      </c>
      <c r="O1273" s="1" t="e">
        <f ca="1">IF($N1273=_xludf.MINIFS($N$2:$N2523,$R$2:$R2523,$R1273),1,
($N1273-_xludf.MINIFS($N$2:$N2523,$R$2:$R2523,$R1273))+1)</f>
        <v>#VALUE!</v>
      </c>
      <c r="P1273" s="13" t="e">
        <f t="shared" si="19"/>
        <v>#VALUE!</v>
      </c>
      <c r="Q1273" s="1" t="str">
        <f>RIGHT(YEAR($A1273),2)-(MONTH($A1273)&lt;=[1]Roster!$K$25)
 &amp;"-"&amp;
 RIGHT(YEAR($A1273),2)+(MONTH($A1273)&gt;=[1]Roster!$K$26)</f>
        <v>22-23</v>
      </c>
      <c r="R1273" s="1" t="e">
        <f>CHOOSE(MONTH($P1273),[1]Roster!$K$9,[1]Roster!$K$10,[1]Roster!$K$11,[1]Roster!$K$12,[1]Roster!$K$13,[1]Roster!$K$14,[1]Roster!$K$15,[1]Roster!$K$16,[1]Roster!$K$17,[1]Roster!$K$18,[1]Roster!$K$19,[1]Roster!$K$20)&amp;" "&amp;$Q1273</f>
        <v>#VALUE!</v>
      </c>
      <c r="S1273" s="1">
        <f t="shared" si="20"/>
        <v>1</v>
      </c>
      <c r="T1273" s="1" t="str">
        <f t="array" ref="T1273">IFERROR(INDEX([1]Roster!$D$3:$D$42,MATCH($B1273,[1]Roster!$C$3:$C$42,0)),"")</f>
        <v>GK</v>
      </c>
      <c r="U1273" s="1" t="str">
        <f t="array" ref="U1273">IFERROR(INDEX([1]Roster!$E$3:$E$42,MATCH($B1273,[1]Roster!$C$3:$C$42,0)),"")</f>
        <v>GK</v>
      </c>
      <c r="V1273" s="76">
        <f t="array" ref="V1273">AVERAGEIFS($E$2:$E2309,$B$2:$B2309,$B1273,$P$2:$P2309,"&lt;="&amp;$P1273,$P$2:$P2309,"&gt;"&amp;$P1273-7)</f>
        <v>8.53125</v>
      </c>
      <c r="W1273" s="76">
        <f ca="1">IFERROR(__xludf.DUMMYFUNCTION("iferror(stdevp(filter($D$2:$D2314,$B$2:$B2314=$B1276,$O$2:$O2314&lt;=$O1276,$O$2:$O2314&gt;$O1276-7)),0)"),0.399999999999999)</f>
        <v>0.39999999999999902</v>
      </c>
      <c r="X1273" s="77">
        <f t="shared" ca="1" si="21"/>
        <v>-1.3281250000000033</v>
      </c>
      <c r="Y1273" s="77">
        <f t="shared" ca="1" si="22"/>
        <v>1</v>
      </c>
      <c r="Z1273" s="76">
        <f t="array" ref="Z1273">AVERAGEIFS($F$2:$F2309,$B$2:$B2309,$B1273,$P$2:$P2309,"&lt;="&amp;$P1273,$P$2:$P2309,"&gt;"&amp;$P1273-7)</f>
        <v>8.125</v>
      </c>
      <c r="AA1273" s="76">
        <f ca="1">IFERROR(__xludf.DUMMYFUNCTION("iferror(stdevp(filter($E$2:$E2314,$B$2:$B2314=$B1276,$O$2:$O2314&lt;=$O1276,$O$2:$O2314&gt;$O1276-7)),0)"),0.979795897113271)</f>
        <v>0.97979589711327097</v>
      </c>
      <c r="AB1273" s="77">
        <f t="shared" ca="1" si="23"/>
        <v>-1.148198316929615</v>
      </c>
      <c r="AC1273" s="77">
        <f t="shared" ca="1" si="24"/>
        <v>1</v>
      </c>
      <c r="AD1273" s="76">
        <f t="array" ref="AD1273">AVERAGEIFS($G$2:$G2309,$B$2:$B2309,$B1273,$P$2:$P2309,"&lt;="&amp;$P1273,$P$2:$P2309,"&gt;"&amp;$P1273-7)</f>
        <v>8.09375</v>
      </c>
      <c r="AE1273" s="76">
        <f ca="1">IFERROR(__xludf.DUMMYFUNCTION("iferror(stdevp(filter($F$2:$F2314,$B$2:$B2314=$B1276,$O$2:$O2314&lt;=$O1276,$O$2:$O2314&gt;$O1276-7)),0)"),0.399999999999999)</f>
        <v>0.39999999999999902</v>
      </c>
      <c r="AF1273" s="77">
        <f t="shared" ca="1" si="25"/>
        <v>-0.23437500000000058</v>
      </c>
      <c r="AG1273" s="77">
        <f t="shared" ca="1" si="26"/>
        <v>2</v>
      </c>
      <c r="AH1273" s="76">
        <f t="array" ref="AH1273">AVERAGEIFS($I$2:$I2309,$B$2:$B2309,$B1273,$P$2:$P2309,"&lt;="&amp;$P1273,$P$2:$P2309,"&gt;"&amp;$P1273-7)</f>
        <v>7.875</v>
      </c>
      <c r="AI1273" s="76">
        <f ca="1">IFERROR(__xludf.DUMMYFUNCTION("iferror(stdevp(filter($H$2:$H2314,$B$2:$B2314=$B1276,$O$2:$O2314&lt;=$O1276,$O$2:$O2314&gt;$O1276-7)),0)"),1.2)</f>
        <v>1.2</v>
      </c>
      <c r="AJ1273" s="77">
        <f t="shared" ca="1" si="27"/>
        <v>-0.72916666666666674</v>
      </c>
      <c r="AK1273" s="77">
        <f t="shared" ca="1" si="28"/>
        <v>2</v>
      </c>
      <c r="AL1273" s="76">
        <f t="array" ref="AL1273">AVERAGEIFS($J$2:$J2309,$B$2:$B2309,$B1273,$P$2:$P2309,"&lt;="&amp;$P1273,$P$2:$P2309,"&gt;"&amp;$P1273-7)</f>
        <v>8.34375</v>
      </c>
      <c r="AM1273" s="76">
        <f ca="1">IFERROR(__xludf.DUMMYFUNCTION("iferror(stdevp(filter($I$2:$I2314,$B$2:$B2314=$B1276,$O$2:$O2314&lt;=$O1276,$O$2:$O2314&gt;$O1276-7)),0)"),0.489897948556635)</f>
        <v>0.48989794855663499</v>
      </c>
      <c r="AN1273" s="77">
        <f t="shared" ca="1" si="29"/>
        <v>-0.70167674923476542</v>
      </c>
      <c r="AO1273" s="77">
        <f t="shared" ca="1" si="30"/>
        <v>2</v>
      </c>
      <c r="AP1273" s="76">
        <f t="array" ref="AP1273">AVERAGEIFS($K$2:$K2309,$B$2:$B2309,$B1273,$P$2:$P2309,"&lt;="&amp;$P1273,$P$2:$P2309,"&gt;"&amp;$P1273-7)</f>
        <v>8.46875</v>
      </c>
      <c r="AQ1273" s="76">
        <f ca="1">IFERROR(__xludf.DUMMYFUNCTION("iferror(stdevp(filter($J$2:$J2314,$B$2:$B2314=$B1276,$O$2:$O2314&lt;=$O1276,$O$2:$O2314&gt;$O1276-7)),0)"),0.894427190999915)</f>
        <v>0.89442719099991497</v>
      </c>
      <c r="AR1273" s="77">
        <f t="shared" ca="1" si="31"/>
        <v>-0.52407843222651374</v>
      </c>
      <c r="AS1273" s="77">
        <f t="shared" ca="1" si="32"/>
        <v>2</v>
      </c>
      <c r="AT1273" s="78">
        <f t="shared" ca="1" si="33"/>
        <v>0.41666666666666669</v>
      </c>
    </row>
    <row r="1274" spans="1:46" ht="12.5" x14ac:dyDescent="0.25">
      <c r="A1274" s="75">
        <v>44979.414957025467</v>
      </c>
      <c r="B1274" s="1" t="s">
        <v>21</v>
      </c>
      <c r="C1274" s="1" t="str">
        <f>INDEX(TBL_Name,MATCH(Table2[[#This Row],[Athlete Name]],listNames,0),2)</f>
        <v>Athlete 13</v>
      </c>
      <c r="D1274" s="1" t="s">
        <v>143</v>
      </c>
      <c r="E1274" s="1">
        <v>6</v>
      </c>
      <c r="F1274" s="1">
        <v>8</v>
      </c>
      <c r="G1274" s="1">
        <v>8</v>
      </c>
      <c r="H1274" s="1" t="s">
        <v>1599</v>
      </c>
      <c r="I1274" s="1">
        <v>7</v>
      </c>
      <c r="J1274" s="1">
        <v>7</v>
      </c>
      <c r="K1274" s="1">
        <v>6</v>
      </c>
      <c r="L1274" s="1">
        <v>70</v>
      </c>
      <c r="M1274" s="1" t="e">
        <f t="shared" ref="M1274" ca="1" si="72">_xludf.concat($B1274,$P1274)</f>
        <v>#NAME?</v>
      </c>
      <c r="N1274" s="1" t="e">
        <f t="shared" si="18"/>
        <v>#VALUE!</v>
      </c>
      <c r="O1274" s="1" t="e">
        <f ca="1">IF($N1274=_xludf.MINIFS($N$2:$N2524,$R$2:$R2524,$R1274),1,
($N1274-_xludf.MINIFS($N$2:$N2524,$R$2:$R2524,$R1274))+1)</f>
        <v>#VALUE!</v>
      </c>
      <c r="P1274" s="13" t="e">
        <f t="shared" si="19"/>
        <v>#VALUE!</v>
      </c>
      <c r="Q1274" s="1" t="str">
        <f>RIGHT(YEAR($A1274),2)-(MONTH($A1274)&lt;=[1]Roster!$K$25)
 &amp;"-"&amp;
 RIGHT(YEAR($A1274),2)+(MONTH($A1274)&gt;=[1]Roster!$K$26)</f>
        <v>22-23</v>
      </c>
      <c r="R1274" s="1" t="e">
        <f>CHOOSE(MONTH($P1274),[1]Roster!$K$9,[1]Roster!$K$10,[1]Roster!$K$11,[1]Roster!$K$12,[1]Roster!$K$13,[1]Roster!$K$14,[1]Roster!$K$15,[1]Roster!$K$16,[1]Roster!$K$17,[1]Roster!$K$18,[1]Roster!$K$19,[1]Roster!$K$20)&amp;" "&amp;$Q1274</f>
        <v>#VALUE!</v>
      </c>
      <c r="S1274" s="1">
        <f t="shared" si="20"/>
        <v>2</v>
      </c>
      <c r="T1274" s="1" t="str">
        <f t="array" ref="T1274">IFERROR(INDEX([1]Roster!$D$3:$D$42,MATCH($B1274,[1]Roster!$C$3:$C$42,0)),"")</f>
        <v>D</v>
      </c>
      <c r="U1274" s="1" t="str">
        <f t="array" ref="U1274">IFERROR(INDEX([1]Roster!$E$3:$E$42,MATCH($B1274,[1]Roster!$C$3:$C$42,0)),"")</f>
        <v>D</v>
      </c>
      <c r="V1274" s="76">
        <f t="array" ref="V1274">AVERAGEIFS($E$2:$E2309,$B$2:$B2309,$B1274,$P$2:$P2309,"&lt;="&amp;$P1274,$P$2:$P2309,"&gt;"&amp;$P1274-7)</f>
        <v>6.6304347826086953</v>
      </c>
      <c r="W1274" s="76">
        <f ca="1">IFERROR(__xludf.DUMMYFUNCTION("iferror(stdevp(filter($D$2:$D2314,$B$2:$B2314=$B1277,$O$2:$O2314&lt;=$O1277,$O$2:$O2314&gt;$O1277-7)),0)"),0.687184270936276)</f>
        <v>0.68718427093627599</v>
      </c>
      <c r="X1274" s="77">
        <f t="shared" ca="1" si="21"/>
        <v>-0.9174173642678688</v>
      </c>
      <c r="Y1274" s="77">
        <f t="shared" ca="1" si="22"/>
        <v>2</v>
      </c>
      <c r="Z1274" s="76">
        <f t="array" ref="Z1274">AVERAGEIFS($F$2:$F2309,$B$2:$B2309,$B1274,$P$2:$P2309,"&lt;="&amp;$P1274,$P$2:$P2309,"&gt;"&amp;$P1274-7)</f>
        <v>7.6956521739130439</v>
      </c>
      <c r="AA1274" s="76">
        <f ca="1">IFERROR(__xludf.DUMMYFUNCTION("iferror(stdevp(filter($E$2:$E2314,$B$2:$B2314=$B1277,$O$2:$O2314&lt;=$O1277,$O$2:$O2314&gt;$O1277-7)),0)"),0.89752746785575)</f>
        <v>0.89752746785574999</v>
      </c>
      <c r="AB1274" s="77">
        <f t="shared" ca="1" si="23"/>
        <v>0.33909583493200751</v>
      </c>
      <c r="AC1274" s="77">
        <f t="shared" ca="1" si="24"/>
        <v>3</v>
      </c>
      <c r="AD1274" s="76">
        <f t="array" ref="AD1274">AVERAGEIFS($G$2:$G2309,$B$2:$B2309,$B1274,$P$2:$P2309,"&lt;="&amp;$P1274,$P$2:$P2309,"&gt;"&amp;$P1274-7)</f>
        <v>8.2608695652173907</v>
      </c>
      <c r="AE1274" s="76">
        <f ca="1">IFERROR(__xludf.DUMMYFUNCTION("iferror(stdevp(filter($F$2:$F2314,$B$2:$B2314=$B1277,$O$2:$O2314&lt;=$O1277,$O$2:$O2314&gt;$O1277-7)),0)"),0)</f>
        <v>0</v>
      </c>
      <c r="AF1274" s="77">
        <f t="shared" ca="1" si="25"/>
        <v>0</v>
      </c>
      <c r="AG1274" s="77">
        <f t="shared" ca="1" si="26"/>
        <v>3</v>
      </c>
      <c r="AH1274" s="76">
        <f t="array" ref="AH1274">AVERAGEIFS($I$2:$I2309,$B$2:$B2309,$B1274,$P$2:$P2309,"&lt;="&amp;$P1274,$P$2:$P2309,"&gt;"&amp;$P1274-7)</f>
        <v>5.7391304347826084</v>
      </c>
      <c r="AI1274" s="76">
        <f ca="1">IFERROR(__xludf.DUMMYFUNCTION("iferror(stdevp(filter($H$2:$H2314,$B$2:$B2314=$B1277,$O$2:$O2314&lt;=$O1277,$O$2:$O2314&gt;$O1277-7)),0)"),0.942809041582063)</f>
        <v>0.94280904158206302</v>
      </c>
      <c r="AJ1274" s="77">
        <f t="shared" ca="1" si="27"/>
        <v>1.3373541296354277</v>
      </c>
      <c r="AK1274" s="77">
        <f t="shared" ca="1" si="28"/>
        <v>4</v>
      </c>
      <c r="AL1274" s="76">
        <f t="array" ref="AL1274">AVERAGEIFS($J$2:$J2309,$B$2:$B2309,$B1274,$P$2:$P2309,"&lt;="&amp;$P1274,$P$2:$P2309,"&gt;"&amp;$P1274-7)</f>
        <v>6.5434782608695654</v>
      </c>
      <c r="AM1274" s="76">
        <f ca="1">IFERROR(__xludf.DUMMYFUNCTION("iferror(stdevp(filter($I$2:$I2314,$B$2:$B2314=$B1277,$O$2:$O2314&lt;=$O1277,$O$2:$O2314&gt;$O1277-7)),0)"),0.471404520791031)</f>
        <v>0.47140452079103101</v>
      </c>
      <c r="AN1274" s="77">
        <f t="shared" ca="1" si="29"/>
        <v>0.96842885249462041</v>
      </c>
      <c r="AO1274" s="77">
        <f t="shared" ca="1" si="30"/>
        <v>3</v>
      </c>
      <c r="AP1274" s="76">
        <f t="array" ref="AP1274">AVERAGEIFS($K$2:$K2309,$B$2:$B2309,$B1274,$P$2:$P2309,"&lt;="&amp;$P1274,$P$2:$P2309,"&gt;"&amp;$P1274-7)</f>
        <v>6.6086956521739131</v>
      </c>
      <c r="AQ1274" s="76">
        <f ca="1">IFERROR(__xludf.DUMMYFUNCTION("iferror(stdevp(filter($J$2:$J2314,$B$2:$B2314=$B1277,$O$2:$O2314&lt;=$O1277,$O$2:$O2314&gt;$O1277-7)),0)"),0)</f>
        <v>0</v>
      </c>
      <c r="AR1274" s="77">
        <f t="shared" ca="1" si="31"/>
        <v>0</v>
      </c>
      <c r="AS1274" s="77">
        <f t="shared" ca="1" si="32"/>
        <v>3</v>
      </c>
      <c r="AT1274" s="78">
        <f t="shared" ca="1" si="33"/>
        <v>0.75</v>
      </c>
    </row>
    <row r="1275" spans="1:46" ht="12.5" x14ac:dyDescent="0.25">
      <c r="A1275" s="75">
        <v>44979.447637916666</v>
      </c>
      <c r="B1275" s="1" t="s">
        <v>17</v>
      </c>
      <c r="C1275" s="1" t="str">
        <f>INDEX(TBL_Name,MATCH(Table2[[#This Row],[Athlete Name]],listNames,0),2)</f>
        <v>Athlete 10</v>
      </c>
      <c r="D1275" s="1" t="s">
        <v>130</v>
      </c>
      <c r="E1275" s="1">
        <v>7</v>
      </c>
      <c r="F1275" s="1">
        <v>8</v>
      </c>
      <c r="G1275" s="1">
        <v>9</v>
      </c>
      <c r="H1275" s="1" t="s">
        <v>287</v>
      </c>
      <c r="I1275" s="1">
        <v>8</v>
      </c>
      <c r="J1275" s="1">
        <v>6</v>
      </c>
      <c r="K1275" s="1">
        <v>9</v>
      </c>
      <c r="L1275" s="1">
        <v>81</v>
      </c>
      <c r="M1275" s="1" t="e">
        <f t="shared" ref="M1275" ca="1" si="73">_xludf.concat($B1275,$P1275)</f>
        <v>#NAME?</v>
      </c>
      <c r="N1275" s="1" t="e">
        <f t="shared" si="18"/>
        <v>#VALUE!</v>
      </c>
      <c r="O1275" s="1" t="e">
        <f ca="1">IF($N1275=_xludf.MINIFS($N$2:$N2525,$R$2:$R2525,$R1275),1,
($N1275-_xludf.MINIFS($N$2:$N2525,$R$2:$R2525,$R1275))+1)</f>
        <v>#VALUE!</v>
      </c>
      <c r="P1275" s="13" t="e">
        <f t="shared" si="19"/>
        <v>#VALUE!</v>
      </c>
      <c r="Q1275" s="1" t="str">
        <f>RIGHT(YEAR($A1275),2)-(MONTH($A1275)&lt;=[1]Roster!$K$25)
 &amp;"-"&amp;
 RIGHT(YEAR($A1275),2)+(MONTH($A1275)&gt;=[1]Roster!$K$26)</f>
        <v>22-23</v>
      </c>
      <c r="R1275" s="1" t="e">
        <f>CHOOSE(MONTH($P1275),[1]Roster!$K$9,[1]Roster!$K$10,[1]Roster!$K$11,[1]Roster!$K$12,[1]Roster!$K$13,[1]Roster!$K$14,[1]Roster!$K$15,[1]Roster!$K$16,[1]Roster!$K$17,[1]Roster!$K$18,[1]Roster!$K$19,[1]Roster!$K$20)&amp;" "&amp;$Q1275</f>
        <v>#VALUE!</v>
      </c>
      <c r="S1275" s="1">
        <f t="shared" si="20"/>
        <v>1</v>
      </c>
      <c r="T1275" s="1" t="str">
        <f t="array" ref="T1275">IFERROR(INDEX([1]Roster!$D$3:$D$42,MATCH($B1275,[1]Roster!$C$3:$C$42,0)),"")</f>
        <v>D</v>
      </c>
      <c r="U1275" s="1" t="str">
        <f t="array" ref="U1275">IFERROR(INDEX([1]Roster!$E$3:$E$42,MATCH($B1275,[1]Roster!$C$3:$C$42,0)),"")</f>
        <v>D</v>
      </c>
      <c r="V1275" s="76">
        <f t="array" ref="V1275">AVERAGEIFS($E$2:$E2309,$B$2:$B2309,$B1275,$P$2:$P2309,"&lt;="&amp;$P1275,$P$2:$P2309,"&gt;"&amp;$P1275-7)</f>
        <v>6.9024390243902438</v>
      </c>
      <c r="W1275" s="76">
        <f ca="1">IFERROR(__xludf.DUMMYFUNCTION("iferror(stdevp(filter($D$2:$D2314,$B$2:$B2314=$B1278,$O$2:$O2314&lt;=$O1278,$O$2:$O2314&gt;$O1278-7)),0)"),1.91485421551267)</f>
        <v>1.91485421551267</v>
      </c>
      <c r="X1275" s="77">
        <f t="shared" ca="1" si="21"/>
        <v>5.0949557840692258E-2</v>
      </c>
      <c r="Y1275" s="77">
        <f t="shared" ca="1" si="22"/>
        <v>3</v>
      </c>
      <c r="Z1275" s="76">
        <f t="array" ref="Z1275">AVERAGEIFS($F$2:$F2309,$B$2:$B2309,$B1275,$P$2:$P2309,"&lt;="&amp;$P1275,$P$2:$P2309,"&gt;"&amp;$P1275-7)</f>
        <v>7.2926829268292686</v>
      </c>
      <c r="AA1275" s="76">
        <f ca="1">IFERROR(__xludf.DUMMYFUNCTION("iferror(stdevp(filter($E$2:$E2314,$B$2:$B2314=$B1278,$O$2:$O2314&lt;=$O1278,$O$2:$O2314&gt;$O1278-7)),0)"),1)</f>
        <v>1</v>
      </c>
      <c r="AB1275" s="77">
        <f t="shared" ca="1" si="23"/>
        <v>0.70731707317073145</v>
      </c>
      <c r="AC1275" s="77">
        <f t="shared" ca="1" si="24"/>
        <v>3</v>
      </c>
      <c r="AD1275" s="76">
        <f t="array" ref="AD1275">AVERAGEIFS($G$2:$G2309,$B$2:$B2309,$B1275,$P$2:$P2309,"&lt;="&amp;$P1275,$P$2:$P2309,"&gt;"&amp;$P1275-7)</f>
        <v>7.8048780487804876</v>
      </c>
      <c r="AE1275" s="76">
        <f ca="1">IFERROR(__xludf.DUMMYFUNCTION("iferror(stdevp(filter($F$2:$F2314,$B$2:$B2314=$B1278,$O$2:$O2314&lt;=$O1278,$O$2:$O2314&gt;$O1278-7)),0)"),1.46249406456535)</f>
        <v>1.4624940645653499</v>
      </c>
      <c r="AF1275" s="77">
        <f t="shared" ca="1" si="25"/>
        <v>0.81718071900325973</v>
      </c>
      <c r="AG1275" s="77">
        <f t="shared" ca="1" si="26"/>
        <v>3</v>
      </c>
      <c r="AH1275" s="76">
        <f t="array" ref="AH1275">AVERAGEIFS($I$2:$I2309,$B$2:$B2309,$B1275,$P$2:$P2309,"&lt;="&amp;$P1275,$P$2:$P2309,"&gt;"&amp;$P1275-7)</f>
        <v>6.3170731707317076</v>
      </c>
      <c r="AI1275" s="76">
        <f ca="1">IFERROR(__xludf.DUMMYFUNCTION("iferror(stdevp(filter($H$2:$H2314,$B$2:$B2314=$B1278,$O$2:$O2314&lt;=$O1278,$O$2:$O2314&gt;$O1278-7)),0)"),1.46249406456535)</f>
        <v>1.4624940645653499</v>
      </c>
      <c r="AJ1275" s="77">
        <f t="shared" ca="1" si="27"/>
        <v>1.1507238696168347</v>
      </c>
      <c r="AK1275" s="77">
        <f t="shared" ca="1" si="28"/>
        <v>4</v>
      </c>
      <c r="AL1275" s="76">
        <f t="array" ref="AL1275">AVERAGEIFS($J$2:$J2309,$B$2:$B2309,$B1275,$P$2:$P2309,"&lt;="&amp;$P1275,$P$2:$P2309,"&gt;"&amp;$P1275-7)</f>
        <v>6.9024390243902438</v>
      </c>
      <c r="AM1275" s="76">
        <f ca="1">IFERROR(__xludf.DUMMYFUNCTION("iferror(stdevp(filter($I$2:$I2314,$B$2:$B2314=$B1278,$O$2:$O2314&lt;=$O1278,$O$2:$O2314&gt;$O1278-7)),0)"),1.5)</f>
        <v>1.5</v>
      </c>
      <c r="AN1275" s="77">
        <f t="shared" ca="1" si="29"/>
        <v>-0.60162601626016254</v>
      </c>
      <c r="AO1275" s="77">
        <f t="shared" ca="1" si="30"/>
        <v>2</v>
      </c>
      <c r="AP1275" s="76">
        <f t="array" ref="AP1275">AVERAGEIFS($K$2:$K2309,$B$2:$B2309,$B1275,$P$2:$P2309,"&lt;="&amp;$P1275,$P$2:$P2309,"&gt;"&amp;$P1275-7)</f>
        <v>8</v>
      </c>
      <c r="AQ1275" s="76">
        <f ca="1">IFERROR(__xludf.DUMMYFUNCTION("iferror(stdevp(filter($J$2:$J2314,$B$2:$B2314=$B1278,$O$2:$O2314&lt;=$O1278,$O$2:$O2314&gt;$O1278-7)),0)"),0.957427107756338)</f>
        <v>0.95742710775633799</v>
      </c>
      <c r="AR1275" s="77">
        <f t="shared" ca="1" si="31"/>
        <v>1.0444659357341872</v>
      </c>
      <c r="AS1275" s="77">
        <f t="shared" ca="1" si="32"/>
        <v>4</v>
      </c>
      <c r="AT1275" s="78">
        <f t="shared" ca="1" si="33"/>
        <v>0.79166666666666663</v>
      </c>
    </row>
    <row r="1276" spans="1:46" ht="12.5" x14ac:dyDescent="0.25">
      <c r="A1276" s="75">
        <v>44979.472980613427</v>
      </c>
      <c r="B1276" s="1" t="s">
        <v>6</v>
      </c>
      <c r="C1276" s="1" t="str">
        <f>INDEX(TBL_Name,MATCH(Table2[[#This Row],[Athlete Name]],listNames,0),2)</f>
        <v>Athlete 2</v>
      </c>
      <c r="D1276" s="1" t="s">
        <v>130</v>
      </c>
      <c r="E1276" s="1">
        <v>9</v>
      </c>
      <c r="F1276" s="1">
        <v>10</v>
      </c>
      <c r="G1276" s="1">
        <v>8</v>
      </c>
      <c r="H1276" s="1" t="s">
        <v>71</v>
      </c>
      <c r="I1276" s="1">
        <v>9</v>
      </c>
      <c r="J1276" s="1">
        <v>9</v>
      </c>
      <c r="K1276" s="1">
        <v>8</v>
      </c>
      <c r="L1276" s="1">
        <v>95</v>
      </c>
      <c r="M1276" s="1" t="e">
        <f t="shared" ref="M1276" ca="1" si="74">_xludf.concat($B1276,$P1276)</f>
        <v>#NAME?</v>
      </c>
      <c r="N1276" s="1" t="e">
        <f t="shared" si="18"/>
        <v>#VALUE!</v>
      </c>
      <c r="O1276" s="1" t="e">
        <f ca="1">IF($N1276=_xludf.MINIFS($N$2:$N2526,$R$2:$R2526,$R1276),1,
($N1276-_xludf.MINIFS($N$2:$N2526,$R$2:$R2526,$R1276))+1)</f>
        <v>#VALUE!</v>
      </c>
      <c r="P1276" s="13" t="e">
        <f t="shared" si="19"/>
        <v>#VALUE!</v>
      </c>
      <c r="Q1276" s="1" t="str">
        <f>RIGHT(YEAR($A1276),2)-(MONTH($A1276)&lt;=[1]Roster!$K$25)
 &amp;"-"&amp;
 RIGHT(YEAR($A1276),2)+(MONTH($A1276)&gt;=[1]Roster!$K$26)</f>
        <v>22-23</v>
      </c>
      <c r="R1276" s="1" t="e">
        <f>CHOOSE(MONTH($P1276),[1]Roster!$K$9,[1]Roster!$K$10,[1]Roster!$K$11,[1]Roster!$K$12,[1]Roster!$K$13,[1]Roster!$K$14,[1]Roster!$K$15,[1]Roster!$K$16,[1]Roster!$K$17,[1]Roster!$K$18,[1]Roster!$K$19,[1]Roster!$K$20)&amp;" "&amp;$Q1276</f>
        <v>#VALUE!</v>
      </c>
      <c r="S1276" s="1">
        <f t="shared" si="20"/>
        <v>1</v>
      </c>
      <c r="T1276" s="1" t="str">
        <f t="array" ref="T1276">IFERROR(INDEX([1]Roster!$D$3:$D$42,MATCH($B1276,[1]Roster!$C$3:$C$42,0)),"")</f>
        <v>FWD</v>
      </c>
      <c r="U1276" s="1" t="str">
        <f t="array" ref="U1276">IFERROR(INDEX([1]Roster!$E$3:$E$42,MATCH($B1276,[1]Roster!$C$3:$C$42,0)),"")</f>
        <v>FWD</v>
      </c>
      <c r="V1276" s="76">
        <f t="array" ref="V1276">AVERAGEIFS($E$2:$E2309,$B$2:$B2309,$B1276,$P$2:$P2309,"&lt;="&amp;$P1276,$P$2:$P2309,"&gt;"&amp;$P1276-7)</f>
        <v>9.7441860465116275</v>
      </c>
      <c r="W1276" s="76">
        <f ca="1">IFERROR(__xludf.DUMMYFUNCTION("iferror(stdevp(filter($D$2:$D2314,$B$2:$B2314=$B1279,$O$2:$O2314&lt;=$O1279,$O$2:$O2314&gt;$O1279-7)),0)"),0.4)</f>
        <v>0.4</v>
      </c>
      <c r="X1276" s="77">
        <f t="shared" ca="1" si="21"/>
        <v>-1.8604651162790686</v>
      </c>
      <c r="Y1276" s="77">
        <f t="shared" ca="1" si="22"/>
        <v>1</v>
      </c>
      <c r="Z1276" s="76">
        <f t="array" ref="Z1276">AVERAGEIFS($F$2:$F2309,$B$2:$B2309,$B1276,$P$2:$P2309,"&lt;="&amp;$P1276,$P$2:$P2309,"&gt;"&amp;$P1276-7)</f>
        <v>8.279069767441861</v>
      </c>
      <c r="AA1276" s="76">
        <f ca="1">IFERROR(__xludf.DUMMYFUNCTION("iferror(stdevp(filter($E$2:$E2314,$B$2:$B2314=$B1279,$O$2:$O2314&lt;=$O1279,$O$2:$O2314&gt;$O1279-7)),0)"),0)</f>
        <v>0</v>
      </c>
      <c r="AB1276" s="77">
        <f t="shared" ca="1" si="23"/>
        <v>0</v>
      </c>
      <c r="AC1276" s="77">
        <f t="shared" ca="1" si="24"/>
        <v>3</v>
      </c>
      <c r="AD1276" s="76">
        <f t="array" ref="AD1276">AVERAGEIFS($G$2:$G2309,$B$2:$B2309,$B1276,$P$2:$P2309,"&lt;="&amp;$P1276,$P$2:$P2309,"&gt;"&amp;$P1276-7)</f>
        <v>8.604651162790697</v>
      </c>
      <c r="AE1276" s="76">
        <f ca="1">IFERROR(__xludf.DUMMYFUNCTION("iferror(stdevp(filter($F$2:$F2314,$B$2:$B2314=$B1279,$O$2:$O2314&lt;=$O1279,$O$2:$O2314&gt;$O1279-7)),0)"),0.4)</f>
        <v>0.4</v>
      </c>
      <c r="AF1276" s="77">
        <f t="shared" ca="1" si="25"/>
        <v>-1.5116279069767424</v>
      </c>
      <c r="AG1276" s="77">
        <f t="shared" ca="1" si="26"/>
        <v>1</v>
      </c>
      <c r="AH1276" s="76">
        <f t="array" ref="AH1276">AVERAGEIFS($I$2:$I2309,$B$2:$B2309,$B1276,$P$2:$P2309,"&lt;="&amp;$P1276,$P$2:$P2309,"&gt;"&amp;$P1276-7)</f>
        <v>8.3488372093023262</v>
      </c>
      <c r="AI1276" s="76">
        <f ca="1">IFERROR(__xludf.DUMMYFUNCTION("iferror(stdevp(filter($H$2:$H2314,$B$2:$B2314=$B1279,$O$2:$O2314&lt;=$O1279,$O$2:$O2314&gt;$O1279-7)),0)"),1.49666295470957)</f>
        <v>1.49666295470957</v>
      </c>
      <c r="AJ1276" s="77">
        <f t="shared" ca="1" si="27"/>
        <v>0.43507644032255283</v>
      </c>
      <c r="AK1276" s="77">
        <f t="shared" ca="1" si="28"/>
        <v>3</v>
      </c>
      <c r="AL1276" s="76">
        <f t="array" ref="AL1276">AVERAGEIFS($J$2:$J2309,$B$2:$B2309,$B1276,$P$2:$P2309,"&lt;="&amp;$P1276,$P$2:$P2309,"&gt;"&amp;$P1276-7)</f>
        <v>8.3023255813953494</v>
      </c>
      <c r="AM1276" s="76">
        <f ca="1">IFERROR(__xludf.DUMMYFUNCTION("iferror(stdevp(filter($I$2:$I2314,$B$2:$B2314=$B1279,$O$2:$O2314&lt;=$O1279,$O$2:$O2314&gt;$O1279-7)),0)"),0.748331477354788)</f>
        <v>0.748331477354788</v>
      </c>
      <c r="AN1276" s="77">
        <f t="shared" ca="1" si="29"/>
        <v>0.93230665783403821</v>
      </c>
      <c r="AO1276" s="77">
        <f t="shared" ca="1" si="30"/>
        <v>3</v>
      </c>
      <c r="AP1276" s="76">
        <f t="array" ref="AP1276">AVERAGEIFS($K$2:$K2309,$B$2:$B2309,$B1276,$P$2:$P2309,"&lt;="&amp;$P1276,$P$2:$P2309,"&gt;"&amp;$P1276-7)</f>
        <v>8.9069767441860463</v>
      </c>
      <c r="AQ1276" s="76">
        <f ca="1">IFERROR(__xludf.DUMMYFUNCTION("iferror(stdevp(filter($J$2:$J2314,$B$2:$B2314=$B1279,$O$2:$O2314&lt;=$O1279,$O$2:$O2314&gt;$O1279-7)),0)"),0.8)</f>
        <v>0.8</v>
      </c>
      <c r="AR1276" s="77">
        <f t="shared" ca="1" si="31"/>
        <v>-1.1337209302325579</v>
      </c>
      <c r="AS1276" s="77">
        <f t="shared" ca="1" si="32"/>
        <v>1</v>
      </c>
      <c r="AT1276" s="78">
        <f t="shared" ca="1" si="33"/>
        <v>0.5</v>
      </c>
    </row>
    <row r="1277" spans="1:46" ht="12.5" x14ac:dyDescent="0.25">
      <c r="A1277" s="75">
        <v>44979.514465347223</v>
      </c>
      <c r="B1277" s="1" t="s">
        <v>15</v>
      </c>
      <c r="C1277" s="1" t="str">
        <f>INDEX(TBL_Name,MATCH(Table2[[#This Row],[Athlete Name]],listNames,0),2)</f>
        <v>Athlete 8</v>
      </c>
      <c r="D1277" s="1" t="s">
        <v>143</v>
      </c>
      <c r="E1277" s="1">
        <v>10</v>
      </c>
      <c r="F1277" s="1">
        <v>10</v>
      </c>
      <c r="G1277" s="1">
        <v>8</v>
      </c>
      <c r="H1277" s="1" t="s">
        <v>228</v>
      </c>
      <c r="I1277" s="1">
        <v>7</v>
      </c>
      <c r="J1277" s="1">
        <v>10</v>
      </c>
      <c r="K1277" s="1">
        <v>10</v>
      </c>
      <c r="L1277" s="1">
        <v>85</v>
      </c>
      <c r="M1277" s="1" t="e">
        <f t="shared" ref="M1277" ca="1" si="75">_xludf.concat($B1277,$P1277)</f>
        <v>#NAME?</v>
      </c>
      <c r="N1277" s="1" t="e">
        <f t="shared" si="18"/>
        <v>#VALUE!</v>
      </c>
      <c r="O1277" s="1" t="e">
        <f ca="1">IF($N1277=_xludf.MINIFS($N$2:$N2527,$R$2:$R2527,$R1277),1,
($N1277-_xludf.MINIFS($N$2:$N2527,$R$2:$R2527,$R1277))+1)</f>
        <v>#VALUE!</v>
      </c>
      <c r="P1277" s="13" t="e">
        <f t="shared" si="19"/>
        <v>#VALUE!</v>
      </c>
      <c r="Q1277" s="1" t="str">
        <f>RIGHT(YEAR($A1277),2)-(MONTH($A1277)&lt;=[1]Roster!$K$25)
 &amp;"-"&amp;
 RIGHT(YEAR($A1277),2)+(MONTH($A1277)&gt;=[1]Roster!$K$26)</f>
        <v>22-23</v>
      </c>
      <c r="R1277" s="1" t="e">
        <f>CHOOSE(MONTH($P1277),[1]Roster!$K$9,[1]Roster!$K$10,[1]Roster!$K$11,[1]Roster!$K$12,[1]Roster!$K$13,[1]Roster!$K$14,[1]Roster!$K$15,[1]Roster!$K$16,[1]Roster!$K$17,[1]Roster!$K$18,[1]Roster!$K$19,[1]Roster!$K$20)&amp;" "&amp;$Q1277</f>
        <v>#VALUE!</v>
      </c>
      <c r="S1277" s="1">
        <f t="shared" si="20"/>
        <v>2</v>
      </c>
      <c r="T1277" s="1" t="str">
        <f t="array" ref="T1277">IFERROR(INDEX([1]Roster!$D$3:$D$42,MATCH($B1277,[1]Roster!$C$3:$C$42,0)),"")</f>
        <v>MID/D</v>
      </c>
      <c r="U1277" s="1" t="str">
        <f t="array" ref="U1277">IFERROR(INDEX([1]Roster!$E$3:$E$42,MATCH($B1277,[1]Roster!$C$3:$C$42,0)),"")</f>
        <v>MID/D</v>
      </c>
      <c r="V1277" s="76">
        <f t="array" ref="V1277">AVERAGEIFS($E$2:$E2309,$B$2:$B2309,$B1277,$P$2:$P2309,"&lt;="&amp;$P1277,$P$2:$P2309,"&gt;"&amp;$P1277-7)</f>
        <v>8.935483870967742</v>
      </c>
      <c r="W1277" s="76">
        <f ca="1">IFERROR(__xludf.DUMMYFUNCTION("iferror(stdevp(filter($D$2:$D2314,$B$2:$B2314=$B1280,$O$2:$O2314&lt;=$O1280,$O$2:$O2314&gt;$O1280-7)),0)"),2)</f>
        <v>2</v>
      </c>
      <c r="X1277" s="77">
        <f t="shared" ca="1" si="21"/>
        <v>0.532258064516129</v>
      </c>
      <c r="Y1277" s="77">
        <f t="shared" ca="1" si="22"/>
        <v>3</v>
      </c>
      <c r="Z1277" s="76">
        <f t="array" ref="Z1277">AVERAGEIFS($F$2:$F2309,$B$2:$B2309,$B1277,$P$2:$P2309,"&lt;="&amp;$P1277,$P$2:$P2309,"&gt;"&amp;$P1277-7)</f>
        <v>8.741935483870968</v>
      </c>
      <c r="AA1277" s="76">
        <f ca="1">IFERROR(__xludf.DUMMYFUNCTION("iferror(stdevp(filter($E$2:$E2314,$B$2:$B2314=$B1280,$O$2:$O2314&lt;=$O1280,$O$2:$O2314&gt;$O1280-7)),0)"),0.8)</f>
        <v>0.8</v>
      </c>
      <c r="AB1277" s="77">
        <f t="shared" ca="1" si="23"/>
        <v>1.57258064516129</v>
      </c>
      <c r="AC1277" s="77">
        <f t="shared" ca="1" si="24"/>
        <v>4</v>
      </c>
      <c r="AD1277" s="76">
        <f t="array" ref="AD1277">AVERAGEIFS($G$2:$G2309,$B$2:$B2309,$B1277,$P$2:$P2309,"&lt;="&amp;$P1277,$P$2:$P2309,"&gt;"&amp;$P1277-7)</f>
        <v>7.32258064516129</v>
      </c>
      <c r="AE1277" s="76">
        <f ca="1">IFERROR(__xludf.DUMMYFUNCTION("iferror(stdevp(filter($F$2:$F2314,$B$2:$B2314=$B1280,$O$2:$O2314&lt;=$O1280,$O$2:$O2314&gt;$O1280-7)),0)"),1.01980390271855)</f>
        <v>1.0198039027185499</v>
      </c>
      <c r="AF1277" s="77">
        <f t="shared" ca="1" si="25"/>
        <v>0.66426432869385399</v>
      </c>
      <c r="AG1277" s="77">
        <f t="shared" ca="1" si="26"/>
        <v>3</v>
      </c>
      <c r="AH1277" s="76">
        <f t="array" ref="AH1277">AVERAGEIFS($I$2:$I2309,$B$2:$B2309,$B1277,$P$2:$P2309,"&lt;="&amp;$P1277,$P$2:$P2309,"&gt;"&amp;$P1277-7)</f>
        <v>6.419354838709677</v>
      </c>
      <c r="AI1277" s="76">
        <f ca="1">IFERROR(__xludf.DUMMYFUNCTION("iferror(stdevp(filter($H$2:$H2314,$B$2:$B2314=$B1280,$O$2:$O2314&lt;=$O1280,$O$2:$O2314&gt;$O1280-7)),0)"),1.83303027798233)</f>
        <v>1.83303027798233</v>
      </c>
      <c r="AJ1277" s="77">
        <f t="shared" ca="1" si="27"/>
        <v>0.31676790518128051</v>
      </c>
      <c r="AK1277" s="77">
        <f t="shared" ca="1" si="28"/>
        <v>3</v>
      </c>
      <c r="AL1277" s="76">
        <f t="array" ref="AL1277">AVERAGEIFS($J$2:$J2309,$B$2:$B2309,$B1277,$P$2:$P2309,"&lt;="&amp;$P1277,$P$2:$P2309,"&gt;"&amp;$P1277-7)</f>
        <v>9.612903225806452</v>
      </c>
      <c r="AM1277" s="76">
        <f ca="1">IFERROR(__xludf.DUMMYFUNCTION("iferror(stdevp(filter($I$2:$I2314,$B$2:$B2314=$B1280,$O$2:$O2314&lt;=$O1280,$O$2:$O2314&gt;$O1280-7)),0)"),0)</f>
        <v>0</v>
      </c>
      <c r="AN1277" s="77">
        <f t="shared" ca="1" si="29"/>
        <v>0</v>
      </c>
      <c r="AO1277" s="77">
        <f t="shared" ca="1" si="30"/>
        <v>3</v>
      </c>
      <c r="AP1277" s="76">
        <f t="array" ref="AP1277">AVERAGEIFS($K$2:$K2309,$B$2:$B2309,$B1277,$P$2:$P2309,"&lt;="&amp;$P1277,$P$2:$P2309,"&gt;"&amp;$P1277-7)</f>
        <v>10</v>
      </c>
      <c r="AQ1277" s="76">
        <f ca="1">IFERROR(__xludf.DUMMYFUNCTION("iferror(stdevp(filter($J$2:$J2314,$B$2:$B2314=$B1280,$O$2:$O2314&lt;=$O1280,$O$2:$O2314&gt;$O1280-7)),0)"),0)</f>
        <v>0</v>
      </c>
      <c r="AR1277" s="77">
        <f t="shared" ca="1" si="31"/>
        <v>0</v>
      </c>
      <c r="AS1277" s="77">
        <f t="shared" ca="1" si="32"/>
        <v>3</v>
      </c>
      <c r="AT1277" s="78">
        <f t="shared" ca="1" si="33"/>
        <v>0.79166666666666663</v>
      </c>
    </row>
    <row r="1278" spans="1:46" ht="12.5" x14ac:dyDescent="0.25">
      <c r="A1278" s="75">
        <v>44979.529325219904</v>
      </c>
      <c r="B1278" s="1" t="s">
        <v>24</v>
      </c>
      <c r="C1278" s="1" t="str">
        <f>INDEX(TBL_Name,MATCH(Table2[[#This Row],[Athlete Name]],listNames,0),2)</f>
        <v>Athlete 16</v>
      </c>
      <c r="D1278" s="1" t="s">
        <v>130</v>
      </c>
      <c r="E1278" s="1">
        <v>4</v>
      </c>
      <c r="F1278" s="1">
        <v>5</v>
      </c>
      <c r="G1278" s="1">
        <v>5</v>
      </c>
      <c r="H1278" s="1" t="s">
        <v>181</v>
      </c>
      <c r="I1278" s="1">
        <v>8</v>
      </c>
      <c r="J1278" s="1">
        <v>8</v>
      </c>
      <c r="K1278" s="1">
        <v>7</v>
      </c>
      <c r="L1278" s="1">
        <v>90</v>
      </c>
      <c r="M1278" s="1" t="e">
        <f t="shared" ref="M1278" ca="1" si="76">_xludf.concat($B1278,$P1278)</f>
        <v>#NAME?</v>
      </c>
      <c r="N1278" s="1" t="e">
        <f t="shared" si="18"/>
        <v>#VALUE!</v>
      </c>
      <c r="O1278" s="1" t="e">
        <f ca="1">IF($N1278=_xludf.MINIFS($N$2:$N2528,$R$2:$R2528,$R1278),1,
($N1278-_xludf.MINIFS($N$2:$N2528,$R$2:$R2528,$R1278))+1)</f>
        <v>#VALUE!</v>
      </c>
      <c r="P1278" s="13" t="e">
        <f t="shared" si="19"/>
        <v>#VALUE!</v>
      </c>
      <c r="Q1278" s="1" t="str">
        <f>RIGHT(YEAR($A1278),2)-(MONTH($A1278)&lt;=[1]Roster!$K$25)
 &amp;"-"&amp;
 RIGHT(YEAR($A1278),2)+(MONTH($A1278)&gt;=[1]Roster!$K$26)</f>
        <v>22-23</v>
      </c>
      <c r="R1278" s="1" t="e">
        <f>CHOOSE(MONTH($P1278),[1]Roster!$K$9,[1]Roster!$K$10,[1]Roster!$K$11,[1]Roster!$K$12,[1]Roster!$K$13,[1]Roster!$K$14,[1]Roster!$K$15,[1]Roster!$K$16,[1]Roster!$K$17,[1]Roster!$K$18,[1]Roster!$K$19,[1]Roster!$K$20)&amp;" "&amp;$Q1278</f>
        <v>#VALUE!</v>
      </c>
      <c r="S1278" s="1">
        <f t="shared" si="20"/>
        <v>1</v>
      </c>
      <c r="T1278" s="1" t="str">
        <f t="array" ref="T1278">IFERROR(INDEX([1]Roster!$D$3:$D$42,MATCH($B1278,[1]Roster!$C$3:$C$42,0)),"")</f>
        <v>D</v>
      </c>
      <c r="U1278" s="1" t="str">
        <f t="array" ref="U1278">IFERROR(INDEX([1]Roster!$E$3:$E$42,MATCH($B1278,[1]Roster!$C$3:$C$42,0)),"")</f>
        <v>D</v>
      </c>
      <c r="V1278" s="76">
        <f t="array" ref="V1278">AVERAGEIFS($E$2:$E2309,$B$2:$B2309,$B1278,$P$2:$P2309,"&lt;="&amp;$P1278,$P$2:$P2309,"&gt;"&amp;$P1278-7)</f>
        <v>4.1818181818181817</v>
      </c>
      <c r="W1278" s="76">
        <f ca="1">IFERROR(__xludf.DUMMYFUNCTION("iferror(stdevp(filter($D$2:$D2314,$B$2:$B2314=$B1281,$O$2:$O2314&lt;=$O1281,$O$2:$O2314&gt;$O1281-7)),0)"),1.80277563773199)</f>
        <v>1.8027756377319899</v>
      </c>
      <c r="X1278" s="77">
        <f t="shared" ca="1" si="21"/>
        <v>-0.10085458113186002</v>
      </c>
      <c r="Y1278" s="77">
        <f t="shared" ca="1" si="22"/>
        <v>2</v>
      </c>
      <c r="Z1278" s="76">
        <f t="array" ref="Z1278">AVERAGEIFS($F$2:$F2309,$B$2:$B2309,$B1278,$P$2:$P2309,"&lt;="&amp;$P1278,$P$2:$P2309,"&gt;"&amp;$P1278-7)</f>
        <v>6</v>
      </c>
      <c r="AA1278" s="76">
        <f ca="1">IFERROR(__xludf.DUMMYFUNCTION("iferror(stdevp(filter($E$2:$E2314,$B$2:$B2314=$B1281,$O$2:$O2314&lt;=$O1281,$O$2:$O2314&gt;$O1281-7)),0)"),1.58113883008418)</f>
        <v>1.58113883008418</v>
      </c>
      <c r="AB1278" s="77">
        <f t="shared" ca="1" si="23"/>
        <v>-0.63245553203367977</v>
      </c>
      <c r="AC1278" s="77">
        <f t="shared" ca="1" si="24"/>
        <v>2</v>
      </c>
      <c r="AD1278" s="76">
        <f t="array" ref="AD1278">AVERAGEIFS($G$2:$G2309,$B$2:$B2309,$B1278,$P$2:$P2309,"&lt;="&amp;$P1278,$P$2:$P2309,"&gt;"&amp;$P1278-7)</f>
        <v>5.9090909090909092</v>
      </c>
      <c r="AE1278" s="76">
        <f ca="1">IFERROR(__xludf.DUMMYFUNCTION("iferror(stdevp(filter($F$2:$F2314,$B$2:$B2314=$B1281,$O$2:$O2314&lt;=$O1281,$O$2:$O2314&gt;$O1281-7)),0)"),0.82915619758885)</f>
        <v>0.82915619758884995</v>
      </c>
      <c r="AF1278" s="77">
        <f t="shared" ca="1" si="25"/>
        <v>-1.096404889373686</v>
      </c>
      <c r="AG1278" s="77">
        <f t="shared" ca="1" si="26"/>
        <v>1</v>
      </c>
      <c r="AH1278" s="76">
        <f t="array" ref="AH1278">AVERAGEIFS($I$2:$I2309,$B$2:$B2309,$B1278,$P$2:$P2309,"&lt;="&amp;$P1278,$P$2:$P2309,"&gt;"&amp;$P1278-7)</f>
        <v>4.9545454545454541</v>
      </c>
      <c r="AI1278" s="76">
        <f ca="1">IFERROR(__xludf.DUMMYFUNCTION("iferror(stdevp(filter($H$2:$H2314,$B$2:$B2314=$B1281,$O$2:$O2314&lt;=$O1281,$O$2:$O2314&gt;$O1281-7)),0)"),1.92028643696715)</f>
        <v>1.92028643696715</v>
      </c>
      <c r="AJ1278" s="77">
        <f t="shared" ca="1" si="27"/>
        <v>1.5859376428573109</v>
      </c>
      <c r="AK1278" s="77">
        <f t="shared" ca="1" si="28"/>
        <v>4</v>
      </c>
      <c r="AL1278" s="76">
        <f t="array" ref="AL1278">AVERAGEIFS($J$2:$J2309,$B$2:$B2309,$B1278,$P$2:$P2309,"&lt;="&amp;$P1278,$P$2:$P2309,"&gt;"&amp;$P1278-7)</f>
        <v>6.9090909090909092</v>
      </c>
      <c r="AM1278" s="76">
        <f ca="1">IFERROR(__xludf.DUMMYFUNCTION("iferror(stdevp(filter($I$2:$I2314,$B$2:$B2314=$B1281,$O$2:$O2314&lt;=$O1281,$O$2:$O2314&gt;$O1281-7)),0)"),1.5)</f>
        <v>1.5</v>
      </c>
      <c r="AN1278" s="77">
        <f t="shared" ca="1" si="29"/>
        <v>0.72727272727272718</v>
      </c>
      <c r="AO1278" s="77">
        <f t="shared" ca="1" si="30"/>
        <v>3</v>
      </c>
      <c r="AP1278" s="76">
        <f t="array" ref="AP1278">AVERAGEIFS($K$2:$K2309,$B$2:$B2309,$B1278,$P$2:$P2309,"&lt;="&amp;$P1278,$P$2:$P2309,"&gt;"&amp;$P1278-7)</f>
        <v>6.7272727272727275</v>
      </c>
      <c r="AQ1278" s="76">
        <f ca="1">IFERROR(__xludf.DUMMYFUNCTION("iferror(stdevp(filter($J$2:$J2314,$B$2:$B2314=$B1281,$O$2:$O2314&lt;=$O1281,$O$2:$O2314&gt;$O1281-7)),0)"),1.22474487139158)</f>
        <v>1.2247448713915801</v>
      </c>
      <c r="AR1278" s="77">
        <f t="shared" ca="1" si="31"/>
        <v>0.22268088570756309</v>
      </c>
      <c r="AS1278" s="77">
        <f t="shared" ca="1" si="32"/>
        <v>3</v>
      </c>
      <c r="AT1278" s="78">
        <f t="shared" ca="1" si="33"/>
        <v>0.625</v>
      </c>
    </row>
    <row r="1279" spans="1:46" ht="12.5" x14ac:dyDescent="0.25">
      <c r="A1279" s="75">
        <v>44979.540561273148</v>
      </c>
      <c r="B1279" s="1" t="s">
        <v>10</v>
      </c>
      <c r="C1279" s="1" t="str">
        <f>INDEX(TBL_Name,MATCH(Table2[[#This Row],[Athlete Name]],listNames,0),2)</f>
        <v>Athlete 5</v>
      </c>
      <c r="D1279" s="1" t="s">
        <v>130</v>
      </c>
      <c r="E1279" s="1">
        <v>5</v>
      </c>
      <c r="F1279" s="1">
        <v>7</v>
      </c>
      <c r="G1279" s="1">
        <v>7</v>
      </c>
      <c r="H1279" s="1" t="s">
        <v>203</v>
      </c>
      <c r="I1279" s="1">
        <v>7</v>
      </c>
      <c r="J1279" s="1">
        <v>9</v>
      </c>
      <c r="K1279" s="1">
        <v>9</v>
      </c>
      <c r="L1279" s="1">
        <v>67</v>
      </c>
      <c r="M1279" s="1" t="e">
        <f t="shared" ref="M1279" ca="1" si="77">_xludf.concat($B1279,$P1279)</f>
        <v>#NAME?</v>
      </c>
      <c r="N1279" s="1" t="e">
        <f t="shared" si="18"/>
        <v>#VALUE!</v>
      </c>
      <c r="O1279" s="1" t="e">
        <f ca="1">IF($N1279=_xludf.MINIFS($N$2:$N2529,$R$2:$R2529,$R1279),1,
($N1279-_xludf.MINIFS($N$2:$N2529,$R$2:$R2529,$R1279))+1)</f>
        <v>#VALUE!</v>
      </c>
      <c r="P1279" s="13" t="e">
        <f t="shared" si="19"/>
        <v>#VALUE!</v>
      </c>
      <c r="Q1279" s="1" t="str">
        <f>RIGHT(YEAR($A1279),2)-(MONTH($A1279)&lt;=[1]Roster!$K$25)
 &amp;"-"&amp;
 RIGHT(YEAR($A1279),2)+(MONTH($A1279)&gt;=[1]Roster!$K$26)</f>
        <v>22-23</v>
      </c>
      <c r="R1279" s="1" t="e">
        <f>CHOOSE(MONTH($P1279),[1]Roster!$K$9,[1]Roster!$K$10,[1]Roster!$K$11,[1]Roster!$K$12,[1]Roster!$K$13,[1]Roster!$K$14,[1]Roster!$K$15,[1]Roster!$K$16,[1]Roster!$K$17,[1]Roster!$K$18,[1]Roster!$K$19,[1]Roster!$K$20)&amp;" "&amp;$Q1279</f>
        <v>#VALUE!</v>
      </c>
      <c r="S1279" s="1">
        <f t="shared" si="20"/>
        <v>1</v>
      </c>
      <c r="T1279" s="1" t="str">
        <f t="array" ref="T1279">IFERROR(INDEX([1]Roster!$D$3:$D$42,MATCH($B1279,[1]Roster!$C$3:$C$42,0)),"")</f>
        <v>MID</v>
      </c>
      <c r="U1279" s="1" t="str">
        <f t="array" ref="U1279">IFERROR(INDEX([1]Roster!$E$3:$E$42,MATCH($B1279,[1]Roster!$C$3:$C$42,0)),"")</f>
        <v>MID</v>
      </c>
      <c r="V1279" s="76">
        <f t="array" ref="V1279">AVERAGEIFS($E$2:$E2309,$B$2:$B2309,$B1279,$P$2:$P2309,"&lt;="&amp;$P1279,$P$2:$P2309,"&gt;"&amp;$P1279-7)</f>
        <v>8.4042553191489358</v>
      </c>
      <c r="W1279" s="76">
        <f ca="1">IFERROR(__xludf.DUMMYFUNCTION("iferror(stdevp(filter($D$2:$D2314,$B$2:$B2314=$B1282,$O$2:$O2314&lt;=$O1282,$O$2:$O2314&gt;$O1282-7)),0)"),1.46249406456535)</f>
        <v>1.4624940645653499</v>
      </c>
      <c r="X1279" s="77">
        <f t="shared" ca="1" si="21"/>
        <v>-2.3277053915160151</v>
      </c>
      <c r="Y1279" s="77">
        <f t="shared" ca="1" si="22"/>
        <v>1</v>
      </c>
      <c r="Z1279" s="76">
        <f t="array" ref="Z1279">AVERAGEIFS($F$2:$F2309,$B$2:$B2309,$B1279,$P$2:$P2309,"&lt;="&amp;$P1279,$P$2:$P2309,"&gt;"&amp;$P1279-7)</f>
        <v>8.085106382978724</v>
      </c>
      <c r="AA1279" s="76">
        <f ca="1">IFERROR(__xludf.DUMMYFUNCTION("iferror(stdevp(filter($E$2:$E2314,$B$2:$B2314=$B1282,$O$2:$O2314&lt;=$O1282,$O$2:$O2314&gt;$O1282-7)),0)"),0.471404520791031)</f>
        <v>0.47140452079103101</v>
      </c>
      <c r="AB1279" s="77">
        <f t="shared" ca="1" si="23"/>
        <v>-2.3018582451391909</v>
      </c>
      <c r="AC1279" s="77">
        <f t="shared" ca="1" si="24"/>
        <v>1</v>
      </c>
      <c r="AD1279" s="76">
        <f t="array" ref="AD1279">AVERAGEIFS($G$2:$G2309,$B$2:$B2309,$B1279,$P$2:$P2309,"&lt;="&amp;$P1279,$P$2:$P2309,"&gt;"&amp;$P1279-7)</f>
        <v>8.0638297872340434</v>
      </c>
      <c r="AE1279" s="76">
        <f ca="1">IFERROR(__xludf.DUMMYFUNCTION("iferror(stdevp(filter($F$2:$F2314,$B$2:$B2314=$B1282,$O$2:$O2314&lt;=$O1282,$O$2:$O2314&gt;$O1282-7)),0)"),0.471404520791031)</f>
        <v>0.47140452079103101</v>
      </c>
      <c r="AF1279" s="77">
        <f t="shared" ca="1" si="25"/>
        <v>-2.2567237697443057</v>
      </c>
      <c r="AG1279" s="77">
        <f t="shared" ca="1" si="26"/>
        <v>1</v>
      </c>
      <c r="AH1279" s="76">
        <f t="array" ref="AH1279">AVERAGEIFS($I$2:$I2309,$B$2:$B2309,$B1279,$P$2:$P2309,"&lt;="&amp;$P1279,$P$2:$P2309,"&gt;"&amp;$P1279-7)</f>
        <v>6.7446808510638299</v>
      </c>
      <c r="AI1279" s="76">
        <f ca="1">IFERROR(__xludf.DUMMYFUNCTION("iferror(stdevp(filter($H$2:$H2314,$B$2:$B2314=$B1282,$O$2:$O2314&lt;=$O1282,$O$2:$O2314&gt;$O1282-7)),0)"),2.03442593595561)</f>
        <v>2.0344259359556101</v>
      </c>
      <c r="AJ1279" s="77">
        <f t="shared" ca="1" si="27"/>
        <v>0.1254993580369598</v>
      </c>
      <c r="AK1279" s="77">
        <f t="shared" ca="1" si="28"/>
        <v>3</v>
      </c>
      <c r="AL1279" s="76">
        <f t="array" ref="AL1279">AVERAGEIFS($J$2:$J2309,$B$2:$B2309,$B1279,$P$2:$P2309,"&lt;="&amp;$P1279,$P$2:$P2309,"&gt;"&amp;$P1279-7)</f>
        <v>8.1063829787234045</v>
      </c>
      <c r="AM1279" s="76">
        <f ca="1">IFERROR(__xludf.DUMMYFUNCTION("iferror(stdevp(filter($I$2:$I2314,$B$2:$B2314=$B1282,$O$2:$O2314&lt;=$O1282,$O$2:$O2314&gt;$O1282-7)),0)"),0.372677996249965)</f>
        <v>0.372677996249965</v>
      </c>
      <c r="AN1279" s="77">
        <f t="shared" ca="1" si="29"/>
        <v>2.3978260865104115</v>
      </c>
      <c r="AO1279" s="77">
        <f t="shared" ca="1" si="30"/>
        <v>4</v>
      </c>
      <c r="AP1279" s="76">
        <f t="array" ref="AP1279">AVERAGEIFS($K$2:$K2309,$B$2:$B2309,$B1279,$P$2:$P2309,"&lt;="&amp;$P1279,$P$2:$P2309,"&gt;"&amp;$P1279-7)</f>
        <v>8.2978723404255312</v>
      </c>
      <c r="AQ1279" s="76">
        <f ca="1">IFERROR(__xludf.DUMMYFUNCTION("iferror(stdevp(filter($J$2:$J2314,$B$2:$B2314=$B1282,$O$2:$O2314&lt;=$O1282,$O$2:$O2314&gt;$O1282-7)),0)"),1)</f>
        <v>1</v>
      </c>
      <c r="AR1279" s="77">
        <f t="shared" ca="1" si="31"/>
        <v>0.70212765957446877</v>
      </c>
      <c r="AS1279" s="77">
        <f t="shared" ca="1" si="32"/>
        <v>3</v>
      </c>
      <c r="AT1279" s="78">
        <f t="shared" ca="1" si="33"/>
        <v>0.54166666666666663</v>
      </c>
    </row>
    <row r="1280" spans="1:46" ht="12.5" x14ac:dyDescent="0.25">
      <c r="A1280" s="75">
        <v>44979.601178136574</v>
      </c>
      <c r="B1280" s="1" t="s">
        <v>22</v>
      </c>
      <c r="C1280" s="1" t="str">
        <f>INDEX(TBL_Name,MATCH(Table2[[#This Row],[Athlete Name]],listNames,0),2)</f>
        <v>Athlete 14</v>
      </c>
      <c r="D1280" s="1" t="s">
        <v>130</v>
      </c>
      <c r="E1280" s="1">
        <v>7</v>
      </c>
      <c r="F1280" s="1">
        <v>7</v>
      </c>
      <c r="G1280" s="1">
        <v>6</v>
      </c>
      <c r="H1280" s="1" t="s">
        <v>797</v>
      </c>
      <c r="I1280" s="1">
        <v>5</v>
      </c>
      <c r="J1280" s="1">
        <v>7</v>
      </c>
      <c r="K1280" s="1">
        <v>7</v>
      </c>
      <c r="L1280" s="1">
        <v>85</v>
      </c>
      <c r="M1280" s="1" t="e">
        <f t="shared" ref="M1280" ca="1" si="78">_xludf.concat($B1280,$P1280)</f>
        <v>#NAME?</v>
      </c>
      <c r="N1280" s="1" t="e">
        <f t="shared" si="18"/>
        <v>#VALUE!</v>
      </c>
      <c r="O1280" s="1" t="e">
        <f ca="1">IF($N1280=_xludf.MINIFS($N$2:$N2530,$R$2:$R2530,$R1280),1,
($N1280-_xludf.MINIFS($N$2:$N2530,$R$2:$R2530,$R1280))+1)</f>
        <v>#VALUE!</v>
      </c>
      <c r="P1280" s="13" t="e">
        <f t="shared" si="19"/>
        <v>#VALUE!</v>
      </c>
      <c r="Q1280" s="1" t="str">
        <f>RIGHT(YEAR($A1280),2)-(MONTH($A1280)&lt;=[1]Roster!$K$25)
 &amp;"-"&amp;
 RIGHT(YEAR($A1280),2)+(MONTH($A1280)&gt;=[1]Roster!$K$26)</f>
        <v>22-23</v>
      </c>
      <c r="R1280" s="1" t="e">
        <f>CHOOSE(MONTH($P1280),[1]Roster!$K$9,[1]Roster!$K$10,[1]Roster!$K$11,[1]Roster!$K$12,[1]Roster!$K$13,[1]Roster!$K$14,[1]Roster!$K$15,[1]Roster!$K$16,[1]Roster!$K$17,[1]Roster!$K$18,[1]Roster!$K$19,[1]Roster!$K$20)&amp;" "&amp;$Q1280</f>
        <v>#VALUE!</v>
      </c>
      <c r="S1280" s="1">
        <f t="shared" si="20"/>
        <v>1</v>
      </c>
      <c r="T1280" s="1" t="str">
        <f t="array" ref="T1280">IFERROR(INDEX([1]Roster!$D$3:$D$42,MATCH($B1280,[1]Roster!$C$3:$C$42,0)),"")</f>
        <v>D</v>
      </c>
      <c r="U1280" s="1" t="str">
        <f t="array" ref="U1280">IFERROR(INDEX([1]Roster!$E$3:$E$42,MATCH($B1280,[1]Roster!$C$3:$C$42,0)),"")</f>
        <v>D</v>
      </c>
      <c r="V1280" s="76">
        <f t="array" ref="V1280">AVERAGEIFS($E$2:$E2309,$B$2:$B2309,$B1280,$P$2:$P2309,"&lt;="&amp;$P1280,$P$2:$P2309,"&gt;"&amp;$P1280-7)</f>
        <v>5.791666666666667</v>
      </c>
      <c r="W1280" s="76">
        <f ca="1">IFERROR(__xludf.DUMMYFUNCTION("iferror(stdevp(filter($D$2:$D2314,$B$2:$B2314=$B1283,$O$2:$O2314&lt;=$O1283,$O$2:$O2314&gt;$O1283-7)),0)"),1.5)</f>
        <v>1.5</v>
      </c>
      <c r="X1280" s="77">
        <f t="shared" ca="1" si="21"/>
        <v>0.80555555555555536</v>
      </c>
      <c r="Y1280" s="77">
        <f t="shared" ca="1" si="22"/>
        <v>3</v>
      </c>
      <c r="Z1280" s="76">
        <f t="array" ref="Z1280">AVERAGEIFS($F$2:$F2309,$B$2:$B2309,$B1280,$P$2:$P2309,"&lt;="&amp;$P1280,$P$2:$P2309,"&gt;"&amp;$P1280-7)</f>
        <v>5.458333333333333</v>
      </c>
      <c r="AA1280" s="76">
        <f ca="1">IFERROR(__xludf.DUMMYFUNCTION("iferror(stdevp(filter($E$2:$E2314,$B$2:$B2314=$B1283,$O$2:$O2314&lt;=$O1283,$O$2:$O2314&gt;$O1283-7)),0)"),1.73205080756887)</f>
        <v>1.7320508075688701</v>
      </c>
      <c r="AB1280" s="77">
        <f t="shared" ca="1" si="23"/>
        <v>0.89008166500067698</v>
      </c>
      <c r="AC1280" s="77">
        <f t="shared" ca="1" si="24"/>
        <v>3</v>
      </c>
      <c r="AD1280" s="76">
        <f t="array" ref="AD1280">AVERAGEIFS($G$2:$G2309,$B$2:$B2309,$B1280,$P$2:$P2309,"&lt;="&amp;$P1280,$P$2:$P2309,"&gt;"&amp;$P1280-7)</f>
        <v>6.833333333333333</v>
      </c>
      <c r="AE1280" s="76">
        <f ca="1">IFERROR(__xludf.DUMMYFUNCTION("iferror(stdevp(filter($F$2:$F2314,$B$2:$B2314=$B1283,$O$2:$O2314&lt;=$O1283,$O$2:$O2314&gt;$O1283-7)),0)"),1.29903810567665)</f>
        <v>1.29903810567665</v>
      </c>
      <c r="AF1280" s="77">
        <f t="shared" ca="1" si="25"/>
        <v>-0.64150029909958783</v>
      </c>
      <c r="AG1280" s="77">
        <f t="shared" ca="1" si="26"/>
        <v>2</v>
      </c>
      <c r="AH1280" s="76">
        <f t="array" ref="AH1280">AVERAGEIFS($I$2:$I2309,$B$2:$B2309,$B1280,$P$2:$P2309,"&lt;="&amp;$P1280,$P$2:$P2309,"&gt;"&amp;$P1280-7)</f>
        <v>5.125</v>
      </c>
      <c r="AI1280" s="76">
        <f ca="1">IFERROR(__xludf.DUMMYFUNCTION("iferror(stdevp(filter($H$2:$H2314,$B$2:$B2314=$B1283,$O$2:$O2314&lt;=$O1283,$O$2:$O2314&gt;$O1283-7)),0)"),1.87082869338697)</f>
        <v>1.87082869338697</v>
      </c>
      <c r="AJ1280" s="77">
        <f t="shared" ca="1" si="27"/>
        <v>-6.6815310478106127E-2</v>
      </c>
      <c r="AK1280" s="77">
        <f t="shared" ca="1" si="28"/>
        <v>2</v>
      </c>
      <c r="AL1280" s="76">
        <f t="array" ref="AL1280">AVERAGEIFS($J$2:$J2309,$B$2:$B2309,$B1280,$P$2:$P2309,"&lt;="&amp;$P1280,$P$2:$P2309,"&gt;"&amp;$P1280-7)</f>
        <v>7.125</v>
      </c>
      <c r="AM1280" s="76">
        <f ca="1">IFERROR(__xludf.DUMMYFUNCTION("iferror(stdevp(filter($I$2:$I2314,$B$2:$B2314=$B1283,$O$2:$O2314&lt;=$O1283,$O$2:$O2314&gt;$O1283-7)),0)"),0.829156197588849)</f>
        <v>0.82915619758884895</v>
      </c>
      <c r="AN1280" s="77">
        <f t="shared" ca="1" si="29"/>
        <v>-0.15075567228888198</v>
      </c>
      <c r="AO1280" s="77">
        <f t="shared" ca="1" si="30"/>
        <v>2</v>
      </c>
      <c r="AP1280" s="76">
        <f t="array" ref="AP1280">AVERAGEIFS($K$2:$K2309,$B$2:$B2309,$B1280,$P$2:$P2309,"&lt;="&amp;$P1280,$P$2:$P2309,"&gt;"&amp;$P1280-7)</f>
        <v>7.083333333333333</v>
      </c>
      <c r="AQ1280" s="76">
        <f ca="1">IFERROR(__xludf.DUMMYFUNCTION("iferror(stdevp(filter($J$2:$J2314,$B$2:$B2314=$B1283,$O$2:$O2314&lt;=$O1283,$O$2:$O2314&gt;$O1283-7)),0)"),1.41421356237309)</f>
        <v>1.41421356237309</v>
      </c>
      <c r="AR1280" s="77">
        <f t="shared" ca="1" si="31"/>
        <v>-5.892556509887896E-2</v>
      </c>
      <c r="AS1280" s="77">
        <f t="shared" ca="1" si="32"/>
        <v>2</v>
      </c>
      <c r="AT1280" s="78">
        <f t="shared" ca="1" si="33"/>
        <v>0.58333333333333337</v>
      </c>
    </row>
    <row r="1281" spans="1:46" ht="12.5" x14ac:dyDescent="0.25">
      <c r="A1281" s="75">
        <v>44979.601674618054</v>
      </c>
      <c r="B1281" s="1" t="s">
        <v>4</v>
      </c>
      <c r="C1281" s="1" t="str">
        <f>INDEX(TBL_Name,MATCH(Table2[[#This Row],[Athlete Name]],listNames,0),2)</f>
        <v>Athlete 1</v>
      </c>
      <c r="D1281" s="1" t="s">
        <v>130</v>
      </c>
      <c r="E1281" s="1">
        <v>7</v>
      </c>
      <c r="F1281" s="1">
        <v>8</v>
      </c>
      <c r="G1281" s="1">
        <v>7</v>
      </c>
      <c r="H1281" s="1" t="s">
        <v>506</v>
      </c>
      <c r="I1281" s="1">
        <v>8</v>
      </c>
      <c r="J1281" s="1">
        <v>5</v>
      </c>
      <c r="K1281" s="1">
        <v>5</v>
      </c>
      <c r="L1281" s="1">
        <v>90</v>
      </c>
      <c r="M1281" s="1" t="e">
        <f t="shared" ref="M1281" ca="1" si="79">_xludf.concat($B1281,$P1281)</f>
        <v>#NAME?</v>
      </c>
      <c r="N1281" s="1" t="e">
        <f t="shared" si="18"/>
        <v>#VALUE!</v>
      </c>
      <c r="O1281" s="1" t="e">
        <f ca="1">IF($N1281=_xludf.MINIFS($N$2:$N2531,$R$2:$R2531,$R1281),1,
($N1281-_xludf.MINIFS($N$2:$N2531,$R$2:$R2531,$R1281))+1)</f>
        <v>#VALUE!</v>
      </c>
      <c r="P1281" s="13" t="e">
        <f t="shared" si="19"/>
        <v>#VALUE!</v>
      </c>
      <c r="Q1281" s="1" t="str">
        <f>RIGHT(YEAR($A1281),2)-(MONTH($A1281)&lt;=[1]Roster!$K$25)
 &amp;"-"&amp;
 RIGHT(YEAR($A1281),2)+(MONTH($A1281)&gt;=[1]Roster!$K$26)</f>
        <v>22-23</v>
      </c>
      <c r="R1281" s="1" t="e">
        <f>CHOOSE(MONTH($P1281),[1]Roster!$K$9,[1]Roster!$K$10,[1]Roster!$K$11,[1]Roster!$K$12,[1]Roster!$K$13,[1]Roster!$K$14,[1]Roster!$K$15,[1]Roster!$K$16,[1]Roster!$K$17,[1]Roster!$K$18,[1]Roster!$K$19,[1]Roster!$K$20)&amp;" "&amp;$Q1281</f>
        <v>#VALUE!</v>
      </c>
      <c r="S1281" s="1">
        <f t="shared" si="20"/>
        <v>1</v>
      </c>
      <c r="T1281" s="1" t="str">
        <f t="array" ref="T1281">IFERROR(INDEX([1]Roster!$D$3:$D$42,MATCH($B1281,[1]Roster!$C$3:$C$42,0)),"")</f>
        <v>FWD</v>
      </c>
      <c r="U1281" s="1" t="str">
        <f t="array" ref="U1281">IFERROR(INDEX([1]Roster!$E$3:$E$42,MATCH($B1281,[1]Roster!$C$3:$C$42,0)),"")</f>
        <v>FWD</v>
      </c>
      <c r="V1281" s="76">
        <f t="array" ref="V1281">AVERAGEIFS($E$2:$E2309,$B$2:$B2309,$B1281,$P$2:$P2309,"&lt;="&amp;$P1281,$P$2:$P2309,"&gt;"&amp;$P1281-7)</f>
        <v>8.3809523809523814</v>
      </c>
      <c r="W1281" s="76">
        <f ca="1">IFERROR(__xludf.DUMMYFUNCTION("iferror(stdevp(filter($D$2:$D2314,$B$2:$B2314=$B1284,$O$2:$O2314&lt;=$O1284,$O$2:$O2314&gt;$O1284-7)),0)"),0.471404520791031)</f>
        <v>0.47140452079103101</v>
      </c>
      <c r="X1281" s="77">
        <f t="shared" ca="1" si="21"/>
        <v>-2.9294423792014164</v>
      </c>
      <c r="Y1281" s="77">
        <f t="shared" ca="1" si="22"/>
        <v>1</v>
      </c>
      <c r="Z1281" s="76">
        <f t="array" ref="Z1281">AVERAGEIFS($F$2:$F2309,$B$2:$B2309,$B1281,$P$2:$P2309,"&lt;="&amp;$P1281,$P$2:$P2309,"&gt;"&amp;$P1281-7)</f>
        <v>6.8571428571428568</v>
      </c>
      <c r="AA1281" s="76">
        <f ca="1">IFERROR(__xludf.DUMMYFUNCTION("iferror(stdevp(filter($E$2:$E2314,$B$2:$B2314=$B1284,$O$2:$O2314&lt;=$O1284,$O$2:$O2314&gt;$O1284-7)),0)"),0.471404520791031)</f>
        <v>0.47140452079103101</v>
      </c>
      <c r="AB1281" s="77">
        <f t="shared" ca="1" si="23"/>
        <v>2.42436610692531</v>
      </c>
      <c r="AC1281" s="77">
        <f t="shared" ca="1" si="24"/>
        <v>4</v>
      </c>
      <c r="AD1281" s="76">
        <f t="array" ref="AD1281">AVERAGEIFS($G$2:$G2309,$B$2:$B2309,$B1281,$P$2:$P2309,"&lt;="&amp;$P1281,$P$2:$P2309,"&gt;"&amp;$P1281-7)</f>
        <v>5.7619047619047619</v>
      </c>
      <c r="AE1281" s="76">
        <f ca="1">IFERROR(__xludf.DUMMYFUNCTION("iferror(stdevp(filter($F$2:$F2314,$B$2:$B2314=$B1284,$O$2:$O2314&lt;=$O1284,$O$2:$O2314&gt;$O1284-7)),0)"),0.471404520791031)</f>
        <v>0.47140452079103101</v>
      </c>
      <c r="AF1281" s="77">
        <f t="shared" ca="1" si="25"/>
        <v>2.6263966158357519</v>
      </c>
      <c r="AG1281" s="77">
        <f t="shared" ca="1" si="26"/>
        <v>4</v>
      </c>
      <c r="AH1281" s="76">
        <f t="array" ref="AH1281">AVERAGEIFS($I$2:$I2309,$B$2:$B2309,$B1281,$P$2:$P2309,"&lt;="&amp;$P1281,$P$2:$P2309,"&gt;"&amp;$P1281-7)</f>
        <v>6.8571428571428568</v>
      </c>
      <c r="AI1281" s="76">
        <f ca="1">IFERROR(__xludf.DUMMYFUNCTION("iferror(stdevp(filter($H$2:$H2314,$B$2:$B2314=$B1284,$O$2:$O2314&lt;=$O1284,$O$2:$O2314&gt;$O1284-7)),0)"),1.41421356237309)</f>
        <v>1.41421356237309</v>
      </c>
      <c r="AJ1281" s="77">
        <f t="shared" ca="1" si="27"/>
        <v>0.80812203564177176</v>
      </c>
      <c r="AK1281" s="77">
        <f t="shared" ca="1" si="28"/>
        <v>3</v>
      </c>
      <c r="AL1281" s="76">
        <f t="array" ref="AL1281">AVERAGEIFS($J$2:$J2309,$B$2:$B2309,$B1281,$P$2:$P2309,"&lt;="&amp;$P1281,$P$2:$P2309,"&gt;"&amp;$P1281-7)</f>
        <v>5.0952380952380949</v>
      </c>
      <c r="AM1281" s="76">
        <f ca="1">IFERROR(__xludf.DUMMYFUNCTION("iferror(stdevp(filter($I$2:$I2314,$B$2:$B2314=$B1284,$O$2:$O2314&lt;=$O1284,$O$2:$O2314&gt;$O1284-7)),0)"),0)</f>
        <v>0</v>
      </c>
      <c r="AN1281" s="77">
        <f t="shared" ca="1" si="29"/>
        <v>0</v>
      </c>
      <c r="AO1281" s="77">
        <f t="shared" ca="1" si="30"/>
        <v>3</v>
      </c>
      <c r="AP1281" s="76">
        <f t="array" ref="AP1281">AVERAGEIFS($K$2:$K2309,$B$2:$B2309,$B1281,$P$2:$P2309,"&lt;="&amp;$P1281,$P$2:$P2309,"&gt;"&amp;$P1281-7)</f>
        <v>5.3809523809523814</v>
      </c>
      <c r="AQ1281" s="76">
        <f ca="1">IFERROR(__xludf.DUMMYFUNCTION("iferror(stdevp(filter($J$2:$J2314,$B$2:$B2314=$B1284,$O$2:$O2314&lt;=$O1284,$O$2:$O2314&gt;$O1284-7)),0)"),0)</f>
        <v>0</v>
      </c>
      <c r="AR1281" s="77">
        <f t="shared" ca="1" si="31"/>
        <v>0</v>
      </c>
      <c r="AS1281" s="77">
        <f t="shared" ca="1" si="32"/>
        <v>3</v>
      </c>
      <c r="AT1281" s="78">
        <f t="shared" ca="1" si="33"/>
        <v>0.75</v>
      </c>
    </row>
    <row r="1282" spans="1:46" ht="12.5" x14ac:dyDescent="0.25">
      <c r="A1282" s="75">
        <v>44979.60435040509</v>
      </c>
      <c r="B1282" s="1" t="s">
        <v>20</v>
      </c>
      <c r="C1282" s="1" t="str">
        <f>INDEX(TBL_Name,MATCH(Table2[[#This Row],[Athlete Name]],listNames,0),2)</f>
        <v>Athlete 12</v>
      </c>
      <c r="D1282" s="1" t="s">
        <v>143</v>
      </c>
      <c r="E1282" s="1">
        <v>5</v>
      </c>
      <c r="F1282" s="1">
        <v>8</v>
      </c>
      <c r="G1282" s="1">
        <v>9</v>
      </c>
      <c r="H1282" s="1" t="s">
        <v>215</v>
      </c>
      <c r="I1282" s="1">
        <v>6</v>
      </c>
      <c r="J1282" s="1">
        <v>7</v>
      </c>
      <c r="K1282" s="1">
        <v>7</v>
      </c>
      <c r="L1282" s="1">
        <v>81</v>
      </c>
      <c r="M1282" s="1" t="e">
        <f t="shared" ref="M1282" ca="1" si="80">_xludf.concat($B1282,$P1282)</f>
        <v>#NAME?</v>
      </c>
      <c r="N1282" s="1" t="e">
        <f t="shared" si="18"/>
        <v>#VALUE!</v>
      </c>
      <c r="O1282" s="1" t="e">
        <f ca="1">IF($N1282=_xludf.MINIFS($N$2:$N2532,$R$2:$R2532,$R1282),1,
($N1282-_xludf.MINIFS($N$2:$N2532,$R$2:$R2532,$R1282))+1)</f>
        <v>#VALUE!</v>
      </c>
      <c r="P1282" s="13" t="e">
        <f t="shared" si="19"/>
        <v>#VALUE!</v>
      </c>
      <c r="Q1282" s="1" t="str">
        <f>RIGHT(YEAR($A1282),2)-(MONTH($A1282)&lt;=[1]Roster!$K$25)
 &amp;"-"&amp;
 RIGHT(YEAR($A1282),2)+(MONTH($A1282)&gt;=[1]Roster!$K$26)</f>
        <v>22-23</v>
      </c>
      <c r="R1282" s="1" t="e">
        <f>CHOOSE(MONTH($P1282),[1]Roster!$K$9,[1]Roster!$K$10,[1]Roster!$K$11,[1]Roster!$K$12,[1]Roster!$K$13,[1]Roster!$K$14,[1]Roster!$K$15,[1]Roster!$K$16,[1]Roster!$K$17,[1]Roster!$K$18,[1]Roster!$K$19,[1]Roster!$K$20)&amp;" "&amp;$Q1282</f>
        <v>#VALUE!</v>
      </c>
      <c r="S1282" s="1">
        <f t="shared" si="20"/>
        <v>2</v>
      </c>
      <c r="T1282" s="1" t="str">
        <f t="array" ref="T1282">IFERROR(INDEX([1]Roster!$D$3:$D$42,MATCH($B1282,[1]Roster!$C$3:$C$42,0)),"")</f>
        <v>D</v>
      </c>
      <c r="U1282" s="1" t="str">
        <f t="array" ref="U1282">IFERROR(INDEX([1]Roster!$E$3:$E$42,MATCH($B1282,[1]Roster!$C$3:$C$42,0)),"")</f>
        <v>D</v>
      </c>
      <c r="V1282" s="76">
        <f t="array" ref="V1282">AVERAGEIFS($E$2:$E2309,$B$2:$B2309,$B1282,$P$2:$P2309,"&lt;="&amp;$P1282,$P$2:$P2309,"&gt;"&amp;$P1282-7)</f>
        <v>7.4761904761904763</v>
      </c>
      <c r="W1282" s="76">
        <f ca="1">IFERROR(__xludf.DUMMYFUNCTION("iferror(stdevp(filter($D$2:$D2314,$B$2:$B2314=$B1285,$O$2:$O2314&lt;=$O1285,$O$2:$O2314&gt;$O1285-7)),0)"),0.5)</f>
        <v>0.5</v>
      </c>
      <c r="X1282" s="77">
        <f t="shared" ca="1" si="21"/>
        <v>-4.9523809523809526</v>
      </c>
      <c r="Y1282" s="77">
        <f t="shared" ca="1" si="22"/>
        <v>1</v>
      </c>
      <c r="Z1282" s="76">
        <f t="array" ref="Z1282">AVERAGEIFS($F$2:$F2309,$B$2:$B2309,$B1282,$P$2:$P2309,"&lt;="&amp;$P1282,$P$2:$P2309,"&gt;"&amp;$P1282-7)</f>
        <v>8.1904761904761898</v>
      </c>
      <c r="AA1282" s="76">
        <f ca="1">IFERROR(__xludf.DUMMYFUNCTION("iferror(stdevp(filter($E$2:$E2314,$B$2:$B2314=$B1285,$O$2:$O2314&lt;=$O1285,$O$2:$O2314&gt;$O1285-7)),0)"),0.866025403784438)</f>
        <v>0.86602540378443804</v>
      </c>
      <c r="AB1282" s="77">
        <f t="shared" ca="1" si="23"/>
        <v>-0.21994295969128538</v>
      </c>
      <c r="AC1282" s="77">
        <f t="shared" ca="1" si="24"/>
        <v>2</v>
      </c>
      <c r="AD1282" s="76">
        <f t="array" ref="AD1282">AVERAGEIFS($G$2:$G2309,$B$2:$B2309,$B1282,$P$2:$P2309,"&lt;="&amp;$P1282,$P$2:$P2309,"&gt;"&amp;$P1282-7)</f>
        <v>8.5714285714285712</v>
      </c>
      <c r="AE1282" s="76">
        <f ca="1">IFERROR(__xludf.DUMMYFUNCTION("iferror(stdevp(filter($F$2:$F2314,$B$2:$B2314=$B1285,$O$2:$O2314&lt;=$O1285,$O$2:$O2314&gt;$O1285-7)),0)"),1.08972473588516)</f>
        <v>1.0897247358851601</v>
      </c>
      <c r="AF1282" s="77">
        <f t="shared" ca="1" si="25"/>
        <v>0.39328411520668055</v>
      </c>
      <c r="AG1282" s="77">
        <f t="shared" ca="1" si="26"/>
        <v>3</v>
      </c>
      <c r="AH1282" s="76">
        <f t="array" ref="AH1282">AVERAGEIFS($I$2:$I2309,$B$2:$B2309,$B1282,$P$2:$P2309,"&lt;="&amp;$P1282,$P$2:$P2309,"&gt;"&amp;$P1282-7)</f>
        <v>5.6190476190476186</v>
      </c>
      <c r="AI1282" s="76">
        <f ca="1">IFERROR(__xludf.DUMMYFUNCTION("iferror(stdevp(filter($H$2:$H2314,$B$2:$B2314=$B1285,$O$2:$O2314&lt;=$O1285,$O$2:$O2314&gt;$O1285-7)),0)"),1.08972473588516)</f>
        <v>1.0897247358851601</v>
      </c>
      <c r="AJ1282" s="77">
        <f t="shared" ca="1" si="27"/>
        <v>0.34958588018371622</v>
      </c>
      <c r="AK1282" s="77">
        <f t="shared" ca="1" si="28"/>
        <v>3</v>
      </c>
      <c r="AL1282" s="76">
        <f t="array" ref="AL1282">AVERAGEIFS($J$2:$J2309,$B$2:$B2309,$B1282,$P$2:$P2309,"&lt;="&amp;$P1282,$P$2:$P2309,"&gt;"&amp;$P1282-7)</f>
        <v>7</v>
      </c>
      <c r="AM1282" s="76">
        <f ca="1">IFERROR(__xludf.DUMMYFUNCTION("iferror(stdevp(filter($I$2:$I2314,$B$2:$B2314=$B1285,$O$2:$O2314&lt;=$O1285,$O$2:$O2314&gt;$O1285-7)),0)"),0.433012701892219)</f>
        <v>0.43301270189221902</v>
      </c>
      <c r="AN1282" s="77">
        <f t="shared" ca="1" si="29"/>
        <v>0</v>
      </c>
      <c r="AO1282" s="77">
        <f t="shared" ca="1" si="30"/>
        <v>3</v>
      </c>
      <c r="AP1282" s="76">
        <f t="array" ref="AP1282">AVERAGEIFS($K$2:$K2309,$B$2:$B2309,$B1282,$P$2:$P2309,"&lt;="&amp;$P1282,$P$2:$P2309,"&gt;"&amp;$P1282-7)</f>
        <v>7.4285714285714288</v>
      </c>
      <c r="AQ1282" s="76">
        <f ca="1">IFERROR(__xludf.DUMMYFUNCTION("iferror(stdevp(filter($J$2:$J2314,$B$2:$B2314=$B1285,$O$2:$O2314&lt;=$O1285,$O$2:$O2314&gt;$O1285-7)),0)"),0.5)</f>
        <v>0.5</v>
      </c>
      <c r="AR1282" s="77">
        <f t="shared" ca="1" si="31"/>
        <v>-0.85714285714285765</v>
      </c>
      <c r="AS1282" s="77">
        <f t="shared" ca="1" si="32"/>
        <v>2</v>
      </c>
      <c r="AT1282" s="78">
        <f t="shared" ca="1" si="33"/>
        <v>0.58333333333333337</v>
      </c>
    </row>
    <row r="1283" spans="1:46" ht="12.5" x14ac:dyDescent="0.25">
      <c r="A1283" s="75">
        <v>44980.328092928241</v>
      </c>
      <c r="B1283" s="1" t="s">
        <v>29</v>
      </c>
      <c r="C1283" s="1" t="str">
        <f>INDEX(TBL_Name,MATCH(Table2[[#This Row],[Athlete Name]],listNames,0),2)</f>
        <v>Athlete 18</v>
      </c>
      <c r="D1283" s="1" t="s">
        <v>130</v>
      </c>
      <c r="E1283" s="1">
        <v>5</v>
      </c>
      <c r="F1283" s="1">
        <v>6</v>
      </c>
      <c r="G1283" s="1">
        <v>9</v>
      </c>
      <c r="H1283" s="1" t="s">
        <v>586</v>
      </c>
      <c r="I1283" s="1">
        <v>9</v>
      </c>
      <c r="J1283" s="1">
        <v>9</v>
      </c>
      <c r="K1283" s="1">
        <v>9</v>
      </c>
      <c r="L1283" s="1">
        <v>90</v>
      </c>
      <c r="M1283" s="1" t="e">
        <f t="shared" ref="M1283" ca="1" si="81">_xludf.concat($B1283,$P1283)</f>
        <v>#NAME?</v>
      </c>
      <c r="N1283" s="1" t="e">
        <f t="shared" si="18"/>
        <v>#VALUE!</v>
      </c>
      <c r="O1283" s="1" t="e">
        <f ca="1">IF($N1283=_xludf.MINIFS($N$2:$N2533,$R$2:$R2533,$R1283),1,
($N1283-_xludf.MINIFS($N$2:$N2533,$R$2:$R2533,$R1283))+1)</f>
        <v>#VALUE!</v>
      </c>
      <c r="P1283" s="13" t="e">
        <f t="shared" si="19"/>
        <v>#VALUE!</v>
      </c>
      <c r="Q1283" s="1" t="str">
        <f>RIGHT(YEAR($A1283),2)-(MONTH($A1283)&lt;=[1]Roster!$K$25)
 &amp;"-"&amp;
 RIGHT(YEAR($A1283),2)+(MONTH($A1283)&gt;=[1]Roster!$K$26)</f>
        <v>22-23</v>
      </c>
      <c r="R1283" s="1" t="e">
        <f>CHOOSE(MONTH($P1283),[1]Roster!$K$9,[1]Roster!$K$10,[1]Roster!$K$11,[1]Roster!$K$12,[1]Roster!$K$13,[1]Roster!$K$14,[1]Roster!$K$15,[1]Roster!$K$16,[1]Roster!$K$17,[1]Roster!$K$18,[1]Roster!$K$19,[1]Roster!$K$20)&amp;" "&amp;$Q1283</f>
        <v>#VALUE!</v>
      </c>
      <c r="S1283" s="1">
        <f t="shared" si="20"/>
        <v>1</v>
      </c>
      <c r="T1283" s="1" t="str">
        <f t="array" ref="T1283">IFERROR(INDEX([1]Roster!$D$3:$D$42,MATCH($B1283,[1]Roster!$C$3:$C$42,0)),"")</f>
        <v>GK</v>
      </c>
      <c r="U1283" s="1" t="str">
        <f t="array" ref="U1283">IFERROR(INDEX([1]Roster!$E$3:$E$42,MATCH($B1283,[1]Roster!$C$3:$C$42,0)),"")</f>
        <v>GK</v>
      </c>
      <c r="V1283" s="76">
        <f t="array" ref="V1283">AVERAGEIFS($E$2:$E2309,$B$2:$B2309,$B1283,$P$2:$P2309,"&lt;="&amp;$P1283,$P$2:$P2309,"&gt;"&amp;$P1283-7)</f>
        <v>8.53125</v>
      </c>
      <c r="W1283" s="76">
        <f ca="1">IFERROR(__xludf.DUMMYFUNCTION("iferror(stdevp(filter($D$2:$D2314,$B$2:$B2314=$B1286,$O$2:$O2314&lt;=$O1286,$O$2:$O2314&gt;$O1286-7)),0)"),1.35646599662505)</f>
        <v>1.3564659966250501</v>
      </c>
      <c r="X1283" s="77">
        <f t="shared" ca="1" si="21"/>
        <v>-2.6032720383599095</v>
      </c>
      <c r="Y1283" s="77">
        <f t="shared" ca="1" si="22"/>
        <v>1</v>
      </c>
      <c r="Z1283" s="76">
        <f t="array" ref="Z1283">AVERAGEIFS($F$2:$F2309,$B$2:$B2309,$B1283,$P$2:$P2309,"&lt;="&amp;$P1283,$P$2:$P2309,"&gt;"&amp;$P1283-7)</f>
        <v>8.125</v>
      </c>
      <c r="AA1283" s="76">
        <f ca="1">IFERROR(__xludf.DUMMYFUNCTION("iferror(stdevp(filter($E$2:$E2314,$B$2:$B2314=$B1286,$O$2:$O2314&lt;=$O1286,$O$2:$O2314&gt;$O1286-7)),0)"),1.32664991614215)</f>
        <v>1.3266499161421501</v>
      </c>
      <c r="AB1283" s="77">
        <f t="shared" ca="1" si="23"/>
        <v>-1.6017790180693812</v>
      </c>
      <c r="AC1283" s="77">
        <f t="shared" ca="1" si="24"/>
        <v>1</v>
      </c>
      <c r="AD1283" s="76">
        <f t="array" ref="AD1283">AVERAGEIFS($G$2:$G2309,$B$2:$B2309,$B1283,$P$2:$P2309,"&lt;="&amp;$P1283,$P$2:$P2309,"&gt;"&amp;$P1283-7)</f>
        <v>8.09375</v>
      </c>
      <c r="AE1283" s="76">
        <f ca="1">IFERROR(__xludf.DUMMYFUNCTION("iferror(stdevp(filter($F$2:$F2314,$B$2:$B2314=$B1286,$O$2:$O2314&lt;=$O1286,$O$2:$O2314&gt;$O1286-7)),0)"),0.489897948556635)</f>
        <v>0.48989794855663499</v>
      </c>
      <c r="AF1283" s="77">
        <f t="shared" ca="1" si="25"/>
        <v>1.8498750661643817</v>
      </c>
      <c r="AG1283" s="77">
        <f t="shared" ca="1" si="26"/>
        <v>4</v>
      </c>
      <c r="AH1283" s="76">
        <f t="array" ref="AH1283">AVERAGEIFS($I$2:$I2309,$B$2:$B2309,$B1283,$P$2:$P2309,"&lt;="&amp;$P1283,$P$2:$P2309,"&gt;"&amp;$P1283-7)</f>
        <v>7.875</v>
      </c>
      <c r="AI1283" s="76">
        <f ca="1">IFERROR(__xludf.DUMMYFUNCTION("iferror(stdevp(filter($H$2:$H2314,$B$2:$B2314=$B1286,$O$2:$O2314&lt;=$O1286,$O$2:$O2314&gt;$O1286-7)),0)"),0.979795897113271)</f>
        <v>0.97979589711327097</v>
      </c>
      <c r="AJ1283" s="77">
        <f t="shared" ca="1" si="27"/>
        <v>1.148198316929615</v>
      </c>
      <c r="AK1283" s="77">
        <f t="shared" ca="1" si="28"/>
        <v>4</v>
      </c>
      <c r="AL1283" s="76">
        <f t="array" ref="AL1283">AVERAGEIFS($J$2:$J2309,$B$2:$B2309,$B1283,$P$2:$P2309,"&lt;="&amp;$P1283,$P$2:$P2309,"&gt;"&amp;$P1283-7)</f>
        <v>8.34375</v>
      </c>
      <c r="AM1283" s="76">
        <f ca="1">IFERROR(__xludf.DUMMYFUNCTION("iferror(stdevp(filter($I$2:$I2314,$B$2:$B2314=$B1286,$O$2:$O2314&lt;=$O1286,$O$2:$O2314&gt;$O1286-7)),0)"),0.399999999999999)</f>
        <v>0.39999999999999902</v>
      </c>
      <c r="AN1283" s="77">
        <f t="shared" ca="1" si="29"/>
        <v>1.640625000000004</v>
      </c>
      <c r="AO1283" s="77">
        <f t="shared" ca="1" si="30"/>
        <v>4</v>
      </c>
      <c r="AP1283" s="76">
        <f t="array" ref="AP1283">AVERAGEIFS($K$2:$K2309,$B$2:$B2309,$B1283,$P$2:$P2309,"&lt;="&amp;$P1283,$P$2:$P2309,"&gt;"&amp;$P1283-7)</f>
        <v>8.46875</v>
      </c>
      <c r="AQ1283" s="76">
        <f ca="1">IFERROR(__xludf.DUMMYFUNCTION("iferror(stdevp(filter($J$2:$J2314,$B$2:$B2314=$B1286,$O$2:$O2314&lt;=$O1286,$O$2:$O2314&gt;$O1286-7)),0)"),0.894427190999916)</f>
        <v>0.89442719099991597</v>
      </c>
      <c r="AR1283" s="77">
        <f t="shared" ca="1" si="31"/>
        <v>0.59395555652338161</v>
      </c>
      <c r="AS1283" s="77">
        <f t="shared" ca="1" si="32"/>
        <v>3</v>
      </c>
      <c r="AT1283" s="78">
        <f t="shared" ca="1" si="33"/>
        <v>0.70833333333333337</v>
      </c>
    </row>
    <row r="1284" spans="1:46" ht="12.5" x14ac:dyDescent="0.25">
      <c r="A1284" s="75">
        <v>44980.36728755787</v>
      </c>
      <c r="B1284" s="1" t="s">
        <v>21</v>
      </c>
      <c r="C1284" s="1" t="str">
        <f>INDEX(TBL_Name,MATCH(Table2[[#This Row],[Athlete Name]],listNames,0),2)</f>
        <v>Athlete 13</v>
      </c>
      <c r="D1284" s="1" t="s">
        <v>130</v>
      </c>
      <c r="E1284" s="1">
        <v>6</v>
      </c>
      <c r="F1284" s="1">
        <v>8</v>
      </c>
      <c r="G1284" s="1">
        <v>8</v>
      </c>
      <c r="H1284" s="1" t="s">
        <v>1600</v>
      </c>
      <c r="I1284" s="1">
        <v>7</v>
      </c>
      <c r="J1284" s="1">
        <v>6</v>
      </c>
      <c r="K1284" s="1">
        <v>6</v>
      </c>
      <c r="L1284" s="1">
        <v>75</v>
      </c>
      <c r="M1284" s="1" t="e">
        <f t="shared" ref="M1284" ca="1" si="82">_xludf.concat($B1284,$P1284)</f>
        <v>#NAME?</v>
      </c>
      <c r="N1284" s="1" t="e">
        <f t="shared" si="18"/>
        <v>#VALUE!</v>
      </c>
      <c r="O1284" s="1" t="e">
        <f ca="1">IF($N1284=_xludf.MINIFS($N$2:$N2534,$R$2:$R2534,$R1284),1,
($N1284-_xludf.MINIFS($N$2:$N2534,$R$2:$R2534,$R1284))+1)</f>
        <v>#VALUE!</v>
      </c>
      <c r="P1284" s="13" t="e">
        <f t="shared" si="19"/>
        <v>#VALUE!</v>
      </c>
      <c r="Q1284" s="1" t="str">
        <f>RIGHT(YEAR($A1284),2)-(MONTH($A1284)&lt;=[1]Roster!$K$25)
 &amp;"-"&amp;
 RIGHT(YEAR($A1284),2)+(MONTH($A1284)&gt;=[1]Roster!$K$26)</f>
        <v>22-23</v>
      </c>
      <c r="R1284" s="1" t="e">
        <f>CHOOSE(MONTH($P1284),[1]Roster!$K$9,[1]Roster!$K$10,[1]Roster!$K$11,[1]Roster!$K$12,[1]Roster!$K$13,[1]Roster!$K$14,[1]Roster!$K$15,[1]Roster!$K$16,[1]Roster!$K$17,[1]Roster!$K$18,[1]Roster!$K$19,[1]Roster!$K$20)&amp;" "&amp;$Q1284</f>
        <v>#VALUE!</v>
      </c>
      <c r="S1284" s="1">
        <f t="shared" si="20"/>
        <v>1</v>
      </c>
      <c r="T1284" s="1" t="str">
        <f t="array" ref="T1284">IFERROR(INDEX([1]Roster!$D$3:$D$42,MATCH($B1284,[1]Roster!$C$3:$C$42,0)),"")</f>
        <v>D</v>
      </c>
      <c r="U1284" s="1" t="str">
        <f t="array" ref="U1284">IFERROR(INDEX([1]Roster!$E$3:$E$42,MATCH($B1284,[1]Roster!$C$3:$C$42,0)),"")</f>
        <v>D</v>
      </c>
      <c r="V1284" s="76">
        <f t="array" ref="V1284">AVERAGEIFS($E$2:$E2309,$B$2:$B2309,$B1284,$P$2:$P2309,"&lt;="&amp;$P1284,$P$2:$P2309,"&gt;"&amp;$P1284-7)</f>
        <v>6.6304347826086953</v>
      </c>
      <c r="W1284" s="76">
        <f ca="1">IFERROR(__xludf.DUMMYFUNCTION("iferror(stdevp(filter($D$2:$D2314,$B$2:$B2314=$B1287,$O$2:$O2314&lt;=$O1287,$O$2:$O2314&gt;$O1287-7)),0)"),0.638876564999939)</f>
        <v>0.63887656499993895</v>
      </c>
      <c r="X1284" s="77">
        <f t="shared" ca="1" si="21"/>
        <v>-0.98678652050534299</v>
      </c>
      <c r="Y1284" s="77">
        <f t="shared" ca="1" si="22"/>
        <v>2</v>
      </c>
      <c r="Z1284" s="76">
        <f t="array" ref="Z1284">AVERAGEIFS($F$2:$F2309,$B$2:$B2309,$B1284,$P$2:$P2309,"&lt;="&amp;$P1284,$P$2:$P2309,"&gt;"&amp;$P1284-7)</f>
        <v>7.6956521739130439</v>
      </c>
      <c r="AA1284" s="76">
        <f ca="1">IFERROR(__xludf.DUMMYFUNCTION("iferror(stdevp(filter($E$2:$E2314,$B$2:$B2314=$B1287,$O$2:$O2314&lt;=$O1287,$O$2:$O2314&gt;$O1287-7)),0)"),0.88063057185271)</f>
        <v>0.88063057185270999</v>
      </c>
      <c r="AB1284" s="77">
        <f t="shared" ca="1" si="23"/>
        <v>0.34560215806118966</v>
      </c>
      <c r="AC1284" s="77">
        <f t="shared" ca="1" si="24"/>
        <v>3</v>
      </c>
      <c r="AD1284" s="76">
        <f t="array" ref="AD1284">AVERAGEIFS($G$2:$G2309,$B$2:$B2309,$B1284,$P$2:$P2309,"&lt;="&amp;$P1284,$P$2:$P2309,"&gt;"&amp;$P1284-7)</f>
        <v>8.2608695652173907</v>
      </c>
      <c r="AE1284" s="76">
        <f ca="1">IFERROR(__xludf.DUMMYFUNCTION("iferror(stdevp(filter($F$2:$F2314,$B$2:$B2314=$B1287,$O$2:$O2314&lt;=$O1287,$O$2:$O2314&gt;$O1287-7)),0)"),0)</f>
        <v>0</v>
      </c>
      <c r="AF1284" s="77">
        <f t="shared" ca="1" si="25"/>
        <v>0</v>
      </c>
      <c r="AG1284" s="77">
        <f t="shared" ca="1" si="26"/>
        <v>3</v>
      </c>
      <c r="AH1284" s="76">
        <f t="array" ref="AH1284">AVERAGEIFS($I$2:$I2309,$B$2:$B2309,$B1284,$P$2:$P2309,"&lt;="&amp;$P1284,$P$2:$P2309,"&gt;"&amp;$P1284-7)</f>
        <v>5.7391304347826084</v>
      </c>
      <c r="AI1284" s="76">
        <f ca="1">IFERROR(__xludf.DUMMYFUNCTION("iferror(stdevp(filter($H$2:$H2314,$B$2:$B2314=$B1287,$O$2:$O2314&lt;=$O1287,$O$2:$O2314&gt;$O1287-7)),0)"),0.989743318610786)</f>
        <v>0.98974331861078602</v>
      </c>
      <c r="AJ1284" s="77">
        <f t="shared" ca="1" si="27"/>
        <v>1.2739359200597193</v>
      </c>
      <c r="AK1284" s="77">
        <f t="shared" ca="1" si="28"/>
        <v>4</v>
      </c>
      <c r="AL1284" s="76">
        <f t="array" ref="AL1284">AVERAGEIFS($J$2:$J2309,$B$2:$B2309,$B1284,$P$2:$P2309,"&lt;="&amp;$P1284,$P$2:$P2309,"&gt;"&amp;$P1284-7)</f>
        <v>6.5434782608695654</v>
      </c>
      <c r="AM1284" s="76">
        <f ca="1">IFERROR(__xludf.DUMMYFUNCTION("iferror(stdevp(filter($I$2:$I2314,$B$2:$B2314=$B1287,$O$2:$O2314&lt;=$O1287,$O$2:$O2314&gt;$O1287-7)),0)"),0.451753951452625)</f>
        <v>0.45175395145262498</v>
      </c>
      <c r="AN1284" s="77">
        <f t="shared" ca="1" si="29"/>
        <v>-1.2030404141944944</v>
      </c>
      <c r="AO1284" s="77">
        <f t="shared" ca="1" si="30"/>
        <v>1</v>
      </c>
      <c r="AP1284" s="76">
        <f t="array" ref="AP1284">AVERAGEIFS($K$2:$K2309,$B$2:$B2309,$B1284,$P$2:$P2309,"&lt;="&amp;$P1284,$P$2:$P2309,"&gt;"&amp;$P1284-7)</f>
        <v>6.6086956521739131</v>
      </c>
      <c r="AQ1284" s="76">
        <f ca="1">IFERROR(__xludf.DUMMYFUNCTION("iferror(stdevp(filter($J$2:$J2314,$B$2:$B2314=$B1287,$O$2:$O2314&lt;=$O1287,$O$2:$O2314&gt;$O1287-7)),0)"),0)</f>
        <v>0</v>
      </c>
      <c r="AR1284" s="77">
        <f t="shared" ca="1" si="31"/>
        <v>0</v>
      </c>
      <c r="AS1284" s="77">
        <f t="shared" ca="1" si="32"/>
        <v>3</v>
      </c>
      <c r="AT1284" s="78">
        <f t="shared" ca="1" si="33"/>
        <v>0.66666666666666663</v>
      </c>
    </row>
    <row r="1285" spans="1:46" ht="12.5" x14ac:dyDescent="0.25">
      <c r="A1285" s="75">
        <v>44980.461321342591</v>
      </c>
      <c r="B1285" s="1" t="s">
        <v>17</v>
      </c>
      <c r="C1285" s="1" t="str">
        <f>INDEX(TBL_Name,MATCH(Table2[[#This Row],[Athlete Name]],listNames,0),2)</f>
        <v>Athlete 10</v>
      </c>
      <c r="D1285" s="1" t="s">
        <v>130</v>
      </c>
      <c r="E1285" s="1">
        <v>6</v>
      </c>
      <c r="F1285" s="1">
        <v>6</v>
      </c>
      <c r="G1285" s="1">
        <v>10</v>
      </c>
      <c r="H1285" s="1" t="s">
        <v>287</v>
      </c>
      <c r="I1285" s="1">
        <v>8</v>
      </c>
      <c r="J1285" s="1">
        <v>7</v>
      </c>
      <c r="K1285" s="1">
        <v>9</v>
      </c>
      <c r="L1285" s="1">
        <v>80</v>
      </c>
      <c r="M1285" s="1" t="e">
        <f t="shared" ref="M1285" ca="1" si="83">_xludf.concat($B1285,$P1285)</f>
        <v>#NAME?</v>
      </c>
      <c r="N1285" s="1" t="e">
        <f t="shared" si="18"/>
        <v>#VALUE!</v>
      </c>
      <c r="O1285" s="1" t="e">
        <f ca="1">IF($N1285=_xludf.MINIFS($N$2:$N2535,$R$2:$R2535,$R1285),1,
($N1285-_xludf.MINIFS($N$2:$N2535,$R$2:$R2535,$R1285))+1)</f>
        <v>#VALUE!</v>
      </c>
      <c r="P1285" s="13" t="e">
        <f t="shared" si="19"/>
        <v>#VALUE!</v>
      </c>
      <c r="Q1285" s="1" t="str">
        <f>RIGHT(YEAR($A1285),2)-(MONTH($A1285)&lt;=[1]Roster!$K$25)
 &amp;"-"&amp;
 RIGHT(YEAR($A1285),2)+(MONTH($A1285)&gt;=[1]Roster!$K$26)</f>
        <v>22-23</v>
      </c>
      <c r="R1285" s="1" t="e">
        <f>CHOOSE(MONTH($P1285),[1]Roster!$K$9,[1]Roster!$K$10,[1]Roster!$K$11,[1]Roster!$K$12,[1]Roster!$K$13,[1]Roster!$K$14,[1]Roster!$K$15,[1]Roster!$K$16,[1]Roster!$K$17,[1]Roster!$K$18,[1]Roster!$K$19,[1]Roster!$K$20)&amp;" "&amp;$Q1285</f>
        <v>#VALUE!</v>
      </c>
      <c r="S1285" s="1">
        <f t="shared" si="20"/>
        <v>1</v>
      </c>
      <c r="T1285" s="1" t="str">
        <f t="array" ref="T1285">IFERROR(INDEX([1]Roster!$D$3:$D$42,MATCH($B1285,[1]Roster!$C$3:$C$42,0)),"")</f>
        <v>D</v>
      </c>
      <c r="U1285" s="1" t="str">
        <f t="array" ref="U1285">IFERROR(INDEX([1]Roster!$E$3:$E$42,MATCH($B1285,[1]Roster!$C$3:$C$42,0)),"")</f>
        <v>D</v>
      </c>
      <c r="V1285" s="76">
        <f t="array" ref="V1285">AVERAGEIFS($E$2:$E2309,$B$2:$B2309,$B1285,$P$2:$P2309,"&lt;="&amp;$P1285,$P$2:$P2309,"&gt;"&amp;$P1285-7)</f>
        <v>6.9024390243902438</v>
      </c>
      <c r="W1285" s="76">
        <f ca="1">IFERROR(__xludf.DUMMYFUNCTION("iferror(stdevp(filter($D$2:$D2314,$B$2:$B2314=$B1288,$O$2:$O2314&lt;=$O1288,$O$2:$O2314&gt;$O1288-7)),0)"),0.957427107756338)</f>
        <v>0.95742710775633799</v>
      </c>
      <c r="X1285" s="77">
        <f t="shared" ca="1" si="21"/>
        <v>-0.9425668200528029</v>
      </c>
      <c r="Y1285" s="77">
        <f t="shared" ca="1" si="22"/>
        <v>2</v>
      </c>
      <c r="Z1285" s="76">
        <f t="array" ref="Z1285">AVERAGEIFS($F$2:$F2309,$B$2:$B2309,$B1285,$P$2:$P2309,"&lt;="&amp;$P1285,$P$2:$P2309,"&gt;"&amp;$P1285-7)</f>
        <v>7.2926829268292686</v>
      </c>
      <c r="AA1285" s="76">
        <f ca="1">IFERROR(__xludf.DUMMYFUNCTION("iferror(stdevp(filter($E$2:$E2314,$B$2:$B2314=$B1288,$O$2:$O2314&lt;=$O1288,$O$2:$O2314&gt;$O1288-7)),0)"),0.745355992499929)</f>
        <v>0.74535599249992901</v>
      </c>
      <c r="AB1285" s="77">
        <f t="shared" ca="1" si="23"/>
        <v>-1.7343161386461807</v>
      </c>
      <c r="AC1285" s="77">
        <f t="shared" ca="1" si="24"/>
        <v>1</v>
      </c>
      <c r="AD1285" s="76">
        <f t="array" ref="AD1285">AVERAGEIFS($G$2:$G2309,$B$2:$B2309,$B1285,$P$2:$P2309,"&lt;="&amp;$P1285,$P$2:$P2309,"&gt;"&amp;$P1285-7)</f>
        <v>7.8048780487804876</v>
      </c>
      <c r="AE1285" s="76">
        <f ca="1">IFERROR(__xludf.DUMMYFUNCTION("iferror(stdevp(filter($F$2:$F2314,$B$2:$B2314=$B1288,$O$2:$O2314&lt;=$O1288,$O$2:$O2314&gt;$O1288-7)),0)"),1.46249406456535)</f>
        <v>1.4624940645653499</v>
      </c>
      <c r="AF1285" s="77">
        <f t="shared" ca="1" si="25"/>
        <v>1.5009441777610892</v>
      </c>
      <c r="AG1285" s="77">
        <f t="shared" ca="1" si="26"/>
        <v>4</v>
      </c>
      <c r="AH1285" s="76">
        <f t="array" ref="AH1285">AVERAGEIFS($I$2:$I2309,$B$2:$B2309,$B1285,$P$2:$P2309,"&lt;="&amp;$P1285,$P$2:$P2309,"&gt;"&amp;$P1285-7)</f>
        <v>6.3170731707317076</v>
      </c>
      <c r="AI1285" s="76">
        <f ca="1">IFERROR(__xludf.DUMMYFUNCTION("iferror(stdevp(filter($H$2:$H2314,$B$2:$B2314=$B1288,$O$2:$O2314&lt;=$O1288,$O$2:$O2314&gt;$O1288-7)),0)"),1.38443731048634)</f>
        <v>1.3844373104863399</v>
      </c>
      <c r="AJ1285" s="77">
        <f t="shared" ca="1" si="27"/>
        <v>1.2156034921343575</v>
      </c>
      <c r="AK1285" s="77">
        <f t="shared" ca="1" si="28"/>
        <v>4</v>
      </c>
      <c r="AL1285" s="76">
        <f t="array" ref="AL1285">AVERAGEIFS($J$2:$J2309,$B$2:$B2309,$B1285,$P$2:$P2309,"&lt;="&amp;$P1285,$P$2:$P2309,"&gt;"&amp;$P1285-7)</f>
        <v>6.9024390243902438</v>
      </c>
      <c r="AM1285" s="76">
        <f ca="1">IFERROR(__xludf.DUMMYFUNCTION("iferror(stdevp(filter($I$2:$I2314,$B$2:$B2314=$B1288,$O$2:$O2314&lt;=$O1288,$O$2:$O2314&gt;$O1288-7)),0)"),1.5)</f>
        <v>1.5</v>
      </c>
      <c r="AN1285" s="77">
        <f t="shared" ca="1" si="29"/>
        <v>6.5040650406504127E-2</v>
      </c>
      <c r="AO1285" s="77">
        <f t="shared" ca="1" si="30"/>
        <v>3</v>
      </c>
      <c r="AP1285" s="76">
        <f t="array" ref="AP1285">AVERAGEIFS($K$2:$K2309,$B$2:$B2309,$B1285,$P$2:$P2309,"&lt;="&amp;$P1285,$P$2:$P2309,"&gt;"&amp;$P1285-7)</f>
        <v>8</v>
      </c>
      <c r="AQ1285" s="76">
        <f ca="1">IFERROR(__xludf.DUMMYFUNCTION("iferror(stdevp(filter($J$2:$J2314,$B$2:$B2314=$B1288,$O$2:$O2314&lt;=$O1288,$O$2:$O2314&gt;$O1288-7)),0)"),1.06718737290547)</f>
        <v>1.0671873729054699</v>
      </c>
      <c r="AR1285" s="77">
        <f t="shared" ca="1" si="31"/>
        <v>0.93704257133164059</v>
      </c>
      <c r="AS1285" s="77">
        <f t="shared" ca="1" si="32"/>
        <v>3</v>
      </c>
      <c r="AT1285" s="78">
        <f t="shared" ca="1" si="33"/>
        <v>0.70833333333333337</v>
      </c>
    </row>
    <row r="1286" spans="1:46" ht="12.5" x14ac:dyDescent="0.25">
      <c r="A1286" s="75">
        <v>44980.589534328705</v>
      </c>
      <c r="B1286" s="1" t="s">
        <v>13</v>
      </c>
      <c r="C1286" s="1" t="str">
        <f>INDEX(TBL_Name,MATCH(Table2[[#This Row],[Athlete Name]],listNames,0),2)</f>
        <v>Athlete 7</v>
      </c>
      <c r="D1286" s="1" t="s">
        <v>130</v>
      </c>
      <c r="E1286" s="1">
        <v>8</v>
      </c>
      <c r="F1286" s="1">
        <v>7</v>
      </c>
      <c r="G1286" s="1">
        <v>7</v>
      </c>
      <c r="H1286" s="1" t="s">
        <v>69</v>
      </c>
      <c r="I1286" s="1">
        <v>7</v>
      </c>
      <c r="J1286" s="1">
        <v>10</v>
      </c>
      <c r="K1286" s="1">
        <v>10</v>
      </c>
      <c r="L1286" s="1">
        <v>60</v>
      </c>
      <c r="M1286" s="1" t="e">
        <f t="shared" ref="M1286" ca="1" si="84">_xludf.concat($B1286,$P1286)</f>
        <v>#NAME?</v>
      </c>
      <c r="N1286" s="1" t="e">
        <f t="shared" si="18"/>
        <v>#VALUE!</v>
      </c>
      <c r="O1286" s="1" t="e">
        <f ca="1">IF($N1286=_xludf.MINIFS($N$2:$N2536,$R$2:$R2536,$R1286),1,
($N1286-_xludf.MINIFS($N$2:$N2536,$R$2:$R2536,$R1286))+1)</f>
        <v>#VALUE!</v>
      </c>
      <c r="P1286" s="13" t="e">
        <f t="shared" si="19"/>
        <v>#VALUE!</v>
      </c>
      <c r="Q1286" s="1" t="str">
        <f>RIGHT(YEAR($A1286),2)-(MONTH($A1286)&lt;=[1]Roster!$K$25)
 &amp;"-"&amp;
 RIGHT(YEAR($A1286),2)+(MONTH($A1286)&gt;=[1]Roster!$K$26)</f>
        <v>22-23</v>
      </c>
      <c r="R1286" s="1" t="e">
        <f>CHOOSE(MONTH($P1286),[1]Roster!$K$9,[1]Roster!$K$10,[1]Roster!$K$11,[1]Roster!$K$12,[1]Roster!$K$13,[1]Roster!$K$14,[1]Roster!$K$15,[1]Roster!$K$16,[1]Roster!$K$17,[1]Roster!$K$18,[1]Roster!$K$19,[1]Roster!$K$20)&amp;" "&amp;$Q1286</f>
        <v>#VALUE!</v>
      </c>
      <c r="S1286" s="1">
        <f t="shared" si="20"/>
        <v>1</v>
      </c>
      <c r="T1286" s="1" t="str">
        <f t="array" ref="T1286">IFERROR(INDEX([1]Roster!$D$3:$D$42,MATCH($B1286,[1]Roster!$C$3:$C$42,0)),"")</f>
        <v>MID/D</v>
      </c>
      <c r="U1286" s="1" t="str">
        <f t="array" ref="U1286">IFERROR(INDEX([1]Roster!$E$3:$E$42,MATCH($B1286,[1]Roster!$C$3:$C$42,0)),"")</f>
        <v>MID/D</v>
      </c>
      <c r="V1286" s="76">
        <f t="array" ref="V1286">AVERAGEIFS($E$2:$E2309,$B$2:$B2309,$B1286,$P$2:$P2309,"&lt;="&amp;$P1286,$P$2:$P2309,"&gt;"&amp;$P1286-7)</f>
        <v>7.6857142857142859</v>
      </c>
      <c r="W1286" s="76">
        <f ca="1">IFERROR(__xludf.DUMMYFUNCTION("iferror(stdevp(filter($D$2:$D2314,$B$2:$B2314=$B1289,$O$2:$O2314&lt;=$O1289,$O$2:$O2314&gt;$O1289-7)),0)"),2.16506350946109)</f>
        <v>2.1650635094610902</v>
      </c>
      <c r="X1286" s="77">
        <f t="shared" ca="1" si="21"/>
        <v>0.14516235339624908</v>
      </c>
      <c r="Y1286" s="77">
        <f t="shared" ca="1" si="22"/>
        <v>3</v>
      </c>
      <c r="Z1286" s="76">
        <f t="array" ref="Z1286">AVERAGEIFS($F$2:$F2309,$B$2:$B2309,$B1286,$P$2:$P2309,"&lt;="&amp;$P1286,$P$2:$P2309,"&gt;"&amp;$P1286-7)</f>
        <v>7.0857142857142854</v>
      </c>
      <c r="AA1286" s="76">
        <f ca="1">IFERROR(__xludf.DUMMYFUNCTION("iferror(stdevp(filter($E$2:$E2314,$B$2:$B2314=$B1289,$O$2:$O2314&lt;=$O1289,$O$2:$O2314&gt;$O1289-7)),0)"),0.5)</f>
        <v>0.5</v>
      </c>
      <c r="AB1286" s="77">
        <f t="shared" ca="1" si="23"/>
        <v>-0.17142857142857082</v>
      </c>
      <c r="AC1286" s="77">
        <f t="shared" ca="1" si="24"/>
        <v>2</v>
      </c>
      <c r="AD1286" s="76">
        <f t="array" ref="AD1286">AVERAGEIFS($G$2:$G2309,$B$2:$B2309,$B1286,$P$2:$P2309,"&lt;="&amp;$P1286,$P$2:$P2309,"&gt;"&amp;$P1286-7)</f>
        <v>7.1428571428571432</v>
      </c>
      <c r="AE1286" s="76">
        <f ca="1">IFERROR(__xludf.DUMMYFUNCTION("iferror(stdevp(filter($F$2:$F2314,$B$2:$B2314=$B1289,$O$2:$O2314&lt;=$O1289,$O$2:$O2314&gt;$O1289-7)),0)"),0.433012701892219)</f>
        <v>0.43301270189221902</v>
      </c>
      <c r="AF1286" s="77">
        <f t="shared" ca="1" si="25"/>
        <v>-0.32991443953693012</v>
      </c>
      <c r="AG1286" s="77">
        <f t="shared" ca="1" si="26"/>
        <v>2</v>
      </c>
      <c r="AH1286" s="76">
        <f t="array" ref="AH1286">AVERAGEIFS($I$2:$I2309,$B$2:$B2309,$B1286,$P$2:$P2309,"&lt;="&amp;$P1286,$P$2:$P2309,"&gt;"&amp;$P1286-7)</f>
        <v>7.0285714285714285</v>
      </c>
      <c r="AI1286" s="76">
        <f ca="1">IFERROR(__xludf.DUMMYFUNCTION("iferror(stdevp(filter($H$2:$H2314,$B$2:$B2314=$B1289,$O$2:$O2314&lt;=$O1289,$O$2:$O2314&gt;$O1289-7)),0)"),0.707106781186547)</f>
        <v>0.70710678118654702</v>
      </c>
      <c r="AJ1286" s="77">
        <f t="shared" ca="1" si="27"/>
        <v>-4.0406101782088318E-2</v>
      </c>
      <c r="AK1286" s="77">
        <f t="shared" ca="1" si="28"/>
        <v>2</v>
      </c>
      <c r="AL1286" s="76">
        <f t="array" ref="AL1286">AVERAGEIFS($J$2:$J2309,$B$2:$B2309,$B1286,$P$2:$P2309,"&lt;="&amp;$P1286,$P$2:$P2309,"&gt;"&amp;$P1286-7)</f>
        <v>9.742857142857142</v>
      </c>
      <c r="AM1286" s="76">
        <f ca="1">IFERROR(__xludf.DUMMYFUNCTION("iferror(stdevp(filter($I$2:$I2314,$B$2:$B2314=$B1289,$O$2:$O2314&lt;=$O1289,$O$2:$O2314&gt;$O1289-7)),0)"),1.29903810567665)</f>
        <v>1.29903810567665</v>
      </c>
      <c r="AN1286" s="77">
        <f t="shared" ca="1" si="29"/>
        <v>0.19794866372215927</v>
      </c>
      <c r="AO1286" s="77">
        <f t="shared" ca="1" si="30"/>
        <v>3</v>
      </c>
      <c r="AP1286" s="76">
        <f t="array" ref="AP1286">AVERAGEIFS($K$2:$K2309,$B$2:$B2309,$B1286,$P$2:$P2309,"&lt;="&amp;$P1286,$P$2:$P2309,"&gt;"&amp;$P1286-7)</f>
        <v>9.4285714285714288</v>
      </c>
      <c r="AQ1286" s="76">
        <f ca="1">IFERROR(__xludf.DUMMYFUNCTION("iferror(stdevp(filter($J$2:$J2314,$B$2:$B2314=$B1289,$O$2:$O2314&lt;=$O1289,$O$2:$O2314&gt;$O1289-7)),0)"),0)</f>
        <v>0</v>
      </c>
      <c r="AR1286" s="77">
        <f t="shared" ca="1" si="31"/>
        <v>0</v>
      </c>
      <c r="AS1286" s="77">
        <f t="shared" ca="1" si="32"/>
        <v>3</v>
      </c>
      <c r="AT1286" s="78">
        <f t="shared" ca="1" si="33"/>
        <v>0.625</v>
      </c>
    </row>
    <row r="1287" spans="1:46" ht="12.5" x14ac:dyDescent="0.25">
      <c r="A1287" s="75">
        <v>44980.68789966435</v>
      </c>
      <c r="B1287" s="1" t="s">
        <v>10</v>
      </c>
      <c r="C1287" s="1" t="str">
        <f>INDEX(TBL_Name,MATCH(Table2[[#This Row],[Athlete Name]],listNames,0),2)</f>
        <v>Athlete 5</v>
      </c>
      <c r="D1287" s="1" t="s">
        <v>130</v>
      </c>
      <c r="E1287" s="1">
        <v>7</v>
      </c>
      <c r="F1287" s="1">
        <v>8</v>
      </c>
      <c r="G1287" s="1">
        <v>8</v>
      </c>
      <c r="H1287" s="1" t="s">
        <v>151</v>
      </c>
      <c r="I1287" s="1">
        <v>9</v>
      </c>
      <c r="J1287" s="1">
        <v>8</v>
      </c>
      <c r="K1287" s="1">
        <v>9</v>
      </c>
      <c r="L1287" s="1">
        <v>85</v>
      </c>
      <c r="M1287" s="1" t="e">
        <f t="shared" ref="M1287" ca="1" si="85">_xludf.concat($B1287,$P1287)</f>
        <v>#NAME?</v>
      </c>
      <c r="N1287" s="1" t="e">
        <f t="shared" si="18"/>
        <v>#VALUE!</v>
      </c>
      <c r="O1287" s="1" t="e">
        <f ca="1">IF($N1287=_xludf.MINIFS($N$2:$N2537,$R$2:$R2537,$R1287),1,
($N1287-_xludf.MINIFS($N$2:$N2537,$R$2:$R2537,$R1287))+1)</f>
        <v>#VALUE!</v>
      </c>
      <c r="P1287" s="13" t="e">
        <f t="shared" si="19"/>
        <v>#VALUE!</v>
      </c>
      <c r="Q1287" s="1" t="str">
        <f>RIGHT(YEAR($A1287),2)-(MONTH($A1287)&lt;=[1]Roster!$K$25)
 &amp;"-"&amp;
 RIGHT(YEAR($A1287),2)+(MONTH($A1287)&gt;=[1]Roster!$K$26)</f>
        <v>22-23</v>
      </c>
      <c r="R1287" s="1" t="e">
        <f>CHOOSE(MONTH($P1287),[1]Roster!$K$9,[1]Roster!$K$10,[1]Roster!$K$11,[1]Roster!$K$12,[1]Roster!$K$13,[1]Roster!$K$14,[1]Roster!$K$15,[1]Roster!$K$16,[1]Roster!$K$17,[1]Roster!$K$18,[1]Roster!$K$19,[1]Roster!$K$20)&amp;" "&amp;$Q1287</f>
        <v>#VALUE!</v>
      </c>
      <c r="S1287" s="1">
        <f t="shared" si="20"/>
        <v>1</v>
      </c>
      <c r="T1287" s="1" t="str">
        <f t="array" ref="T1287">IFERROR(INDEX([1]Roster!$D$3:$D$42,MATCH($B1287,[1]Roster!$C$3:$C$42,0)),"")</f>
        <v>MID</v>
      </c>
      <c r="U1287" s="1" t="str">
        <f t="array" ref="U1287">IFERROR(INDEX([1]Roster!$E$3:$E$42,MATCH($B1287,[1]Roster!$C$3:$C$42,0)),"")</f>
        <v>MID</v>
      </c>
      <c r="V1287" s="76">
        <f t="array" ref="V1287">AVERAGEIFS($E$2:$E2309,$B$2:$B2309,$B1287,$P$2:$P2309,"&lt;="&amp;$P1287,$P$2:$P2309,"&gt;"&amp;$P1287-7)</f>
        <v>8.4042553191489358</v>
      </c>
      <c r="W1287" s="76">
        <f ca="1">IFERROR(__xludf.DUMMYFUNCTION("iferror(stdevp(filter($D$2:$D2314,$B$2:$B2314=$B1290,$O$2:$O2314&lt;=$O1290,$O$2:$O2314&gt;$O1290-7)),0)"),1.38443731048634)</f>
        <v>1.3844373104863399</v>
      </c>
      <c r="X1287" s="77">
        <f t="shared" ca="1" si="21"/>
        <v>-1.0143148472758468</v>
      </c>
      <c r="Y1287" s="77">
        <f t="shared" ca="1" si="22"/>
        <v>1</v>
      </c>
      <c r="Z1287" s="76">
        <f t="array" ref="Z1287">AVERAGEIFS($F$2:$F2309,$B$2:$B2309,$B1287,$P$2:$P2309,"&lt;="&amp;$P1287,$P$2:$P2309,"&gt;"&amp;$P1287-7)</f>
        <v>8.085106382978724</v>
      </c>
      <c r="AA1287" s="76">
        <f ca="1">IFERROR(__xludf.DUMMYFUNCTION("iferror(stdevp(filter($E$2:$E2314,$B$2:$B2314=$B1290,$O$2:$O2314&lt;=$O1290,$O$2:$O2314&gt;$O1290-7)),0)"),0.471404520791031)</f>
        <v>0.47140452079103101</v>
      </c>
      <c r="AB1287" s="77">
        <f t="shared" ca="1" si="23"/>
        <v>-0.1805379015795455</v>
      </c>
      <c r="AC1287" s="77">
        <f t="shared" ca="1" si="24"/>
        <v>2</v>
      </c>
      <c r="AD1287" s="76">
        <f t="array" ref="AD1287">AVERAGEIFS($G$2:$G2309,$B$2:$B2309,$B1287,$P$2:$P2309,"&lt;="&amp;$P1287,$P$2:$P2309,"&gt;"&amp;$P1287-7)</f>
        <v>8.0638297872340434</v>
      </c>
      <c r="AE1287" s="76">
        <f ca="1">IFERROR(__xludf.DUMMYFUNCTION("iferror(stdevp(filter($F$2:$F2314,$B$2:$B2314=$B1290,$O$2:$O2314&lt;=$O1290,$O$2:$O2314&gt;$O1290-7)),0)"),0.471404520791031)</f>
        <v>0.47140452079103101</v>
      </c>
      <c r="AF1287" s="77">
        <f t="shared" ca="1" si="25"/>
        <v>-0.13540342618466009</v>
      </c>
      <c r="AG1287" s="77">
        <f t="shared" ca="1" si="26"/>
        <v>2</v>
      </c>
      <c r="AH1287" s="76">
        <f t="array" ref="AH1287">AVERAGEIFS($I$2:$I2309,$B$2:$B2309,$B1287,$P$2:$P2309,"&lt;="&amp;$P1287,$P$2:$P2309,"&gt;"&amp;$P1287-7)</f>
        <v>6.7446808510638299</v>
      </c>
      <c r="AI1287" s="76">
        <f ca="1">IFERROR(__xludf.DUMMYFUNCTION("iferror(stdevp(filter($H$2:$H2314,$B$2:$B2314=$B1290,$O$2:$O2314&lt;=$O1290,$O$2:$O2314&gt;$O1290-7)),0)"),2.33927814126969)</f>
        <v>2.3392781412696899</v>
      </c>
      <c r="AJ1287" s="77">
        <f t="shared" ca="1" si="27"/>
        <v>0.96410901685767503</v>
      </c>
      <c r="AK1287" s="77">
        <f t="shared" ca="1" si="28"/>
        <v>3</v>
      </c>
      <c r="AL1287" s="76">
        <f t="array" ref="AL1287">AVERAGEIFS($J$2:$J2309,$B$2:$B2309,$B1287,$P$2:$P2309,"&lt;="&amp;$P1287,$P$2:$P2309,"&gt;"&amp;$P1287-7)</f>
        <v>8.1063829787234045</v>
      </c>
      <c r="AM1287" s="76">
        <f ca="1">IFERROR(__xludf.DUMMYFUNCTION("iferror(stdevp(filter($I$2:$I2314,$B$2:$B2314=$B1290,$O$2:$O2314&lt;=$O1290,$O$2:$O2314&gt;$O1290-7)),0)"),0.372677996249965)</f>
        <v>0.372677996249965</v>
      </c>
      <c r="AN1287" s="77">
        <f t="shared" ca="1" si="29"/>
        <v>-0.2854554864893355</v>
      </c>
      <c r="AO1287" s="77">
        <f t="shared" ca="1" si="30"/>
        <v>2</v>
      </c>
      <c r="AP1287" s="76">
        <f t="array" ref="AP1287">AVERAGEIFS($K$2:$K2309,$B$2:$B2309,$B1287,$P$2:$P2309,"&lt;="&amp;$P1287,$P$2:$P2309,"&gt;"&amp;$P1287-7)</f>
        <v>8.2978723404255312</v>
      </c>
      <c r="AQ1287" s="76">
        <f ca="1">IFERROR(__xludf.DUMMYFUNCTION("iferror(stdevp(filter($J$2:$J2314,$B$2:$B2314=$B1290,$O$2:$O2314&lt;=$O1290,$O$2:$O2314&gt;$O1290-7)),0)"),1.06718737290547)</f>
        <v>1.0671873729054699</v>
      </c>
      <c r="AR1287" s="77">
        <f t="shared" ca="1" si="31"/>
        <v>0.65792350753072704</v>
      </c>
      <c r="AS1287" s="77">
        <f t="shared" ca="1" si="32"/>
        <v>3</v>
      </c>
      <c r="AT1287" s="78">
        <f t="shared" ca="1" si="33"/>
        <v>0.54166666666666663</v>
      </c>
    </row>
    <row r="1288" spans="1:46" ht="12.5" x14ac:dyDescent="0.25">
      <c r="A1288" s="75">
        <v>44981.345761504628</v>
      </c>
      <c r="B1288" s="1" t="s">
        <v>17</v>
      </c>
      <c r="C1288" s="1" t="str">
        <f>INDEX(TBL_Name,MATCH(Table2[[#This Row],[Athlete Name]],listNames,0),2)</f>
        <v>Athlete 10</v>
      </c>
      <c r="D1288" s="1" t="s">
        <v>130</v>
      </c>
      <c r="E1288" s="1">
        <v>9</v>
      </c>
      <c r="F1288" s="1">
        <v>5</v>
      </c>
      <c r="G1288" s="1">
        <v>6</v>
      </c>
      <c r="H1288" s="1" t="s">
        <v>508</v>
      </c>
      <c r="I1288" s="1">
        <v>5</v>
      </c>
      <c r="J1288" s="1">
        <v>8</v>
      </c>
      <c r="K1288" s="1">
        <v>9</v>
      </c>
      <c r="L1288" s="1">
        <v>75</v>
      </c>
      <c r="M1288" s="1" t="e">
        <f t="shared" ref="M1288" ca="1" si="86">_xludf.concat($B1288,$P1288)</f>
        <v>#NAME?</v>
      </c>
      <c r="N1288" s="1" t="e">
        <f t="shared" si="18"/>
        <v>#VALUE!</v>
      </c>
      <c r="O1288" s="1" t="e">
        <f ca="1">IF($N1288=_xludf.MINIFS($N$2:$N2538,$R$2:$R2538,$R1288),1,
($N1288-_xludf.MINIFS($N$2:$N2538,$R$2:$R2538,$R1288))+1)</f>
        <v>#VALUE!</v>
      </c>
      <c r="P1288" s="13" t="e">
        <f t="shared" si="19"/>
        <v>#VALUE!</v>
      </c>
      <c r="Q1288" s="1" t="str">
        <f>RIGHT(YEAR($A1288),2)-(MONTH($A1288)&lt;=[1]Roster!$K$25)
 &amp;"-"&amp;
 RIGHT(YEAR($A1288),2)+(MONTH($A1288)&gt;=[1]Roster!$K$26)</f>
        <v>22-23</v>
      </c>
      <c r="R1288" s="1" t="e">
        <f>CHOOSE(MONTH($P1288),[1]Roster!$K$9,[1]Roster!$K$10,[1]Roster!$K$11,[1]Roster!$K$12,[1]Roster!$K$13,[1]Roster!$K$14,[1]Roster!$K$15,[1]Roster!$K$16,[1]Roster!$K$17,[1]Roster!$K$18,[1]Roster!$K$19,[1]Roster!$K$20)&amp;" "&amp;$Q1288</f>
        <v>#VALUE!</v>
      </c>
      <c r="S1288" s="1">
        <f t="shared" si="20"/>
        <v>1</v>
      </c>
      <c r="T1288" s="1" t="str">
        <f t="array" ref="T1288">IFERROR(INDEX([1]Roster!$D$3:$D$42,MATCH($B1288,[1]Roster!$C$3:$C$42,0)),"")</f>
        <v>D</v>
      </c>
      <c r="U1288" s="1" t="str">
        <f t="array" ref="U1288">IFERROR(INDEX([1]Roster!$E$3:$E$42,MATCH($B1288,[1]Roster!$C$3:$C$42,0)),"")</f>
        <v>D</v>
      </c>
      <c r="V1288" s="76">
        <f t="array" ref="V1288">AVERAGEIFS($E$2:$E2309,$B$2:$B2309,$B1288,$P$2:$P2309,"&lt;="&amp;$P1288,$P$2:$P2309,"&gt;"&amp;$P1288-7)</f>
        <v>6.9024390243902438</v>
      </c>
      <c r="W1288" s="76">
        <f ca="1">IFERROR(__xludf.DUMMYFUNCTION("iferror(stdevp(filter($D$2:$D2314,$B$2:$B2314=$B1291,$O$2:$O2314&lt;=$O1291,$O$2:$O2314&gt;$O1291-7)),0)"),1.10554159678513)</f>
        <v>1.1055415967851301</v>
      </c>
      <c r="X1288" s="77">
        <f t="shared" ca="1" si="21"/>
        <v>1.8973152902698351</v>
      </c>
      <c r="Y1288" s="77">
        <f t="shared" ca="1" si="22"/>
        <v>4</v>
      </c>
      <c r="Z1288" s="76">
        <f t="array" ref="Z1288">AVERAGEIFS($F$2:$F2309,$B$2:$B2309,$B1288,$P$2:$P2309,"&lt;="&amp;$P1288,$P$2:$P2309,"&gt;"&amp;$P1288-7)</f>
        <v>7.2926829268292686</v>
      </c>
      <c r="AA1288" s="76">
        <f ca="1">IFERROR(__xludf.DUMMYFUNCTION("iferror(stdevp(filter($E$2:$E2314,$B$2:$B2314=$B1291,$O$2:$O2314&lt;=$O1291,$O$2:$O2314&gt;$O1291-7)),0)"),1.15470053837925)</f>
        <v>1.1547005383792499</v>
      </c>
      <c r="AB1288" s="77">
        <f t="shared" ca="1" si="23"/>
        <v>-1.9855216574570087</v>
      </c>
      <c r="AC1288" s="77">
        <f t="shared" ca="1" si="24"/>
        <v>1</v>
      </c>
      <c r="AD1288" s="76">
        <f t="array" ref="AD1288">AVERAGEIFS($G$2:$G2309,$B$2:$B2309,$B1288,$P$2:$P2309,"&lt;="&amp;$P1288,$P$2:$P2309,"&gt;"&amp;$P1288-7)</f>
        <v>7.8048780487804876</v>
      </c>
      <c r="AE1288" s="76">
        <f ca="1">IFERROR(__xludf.DUMMYFUNCTION("iferror(stdevp(filter($F$2:$F2314,$B$2:$B2314=$B1291,$O$2:$O2314&lt;=$O1291,$O$2:$O2314&gt;$O1291-7)),0)"),1.46249406456535)</f>
        <v>1.4624940645653499</v>
      </c>
      <c r="AF1288" s="77">
        <f t="shared" ca="1" si="25"/>
        <v>-1.2341096572702286</v>
      </c>
      <c r="AG1288" s="77">
        <f t="shared" ca="1" si="26"/>
        <v>1</v>
      </c>
      <c r="AH1288" s="76">
        <f t="array" ref="AH1288">AVERAGEIFS($I$2:$I2309,$B$2:$B2309,$B1288,$P$2:$P2309,"&lt;="&amp;$P1288,$P$2:$P2309,"&gt;"&amp;$P1288-7)</f>
        <v>6.3170731707317076</v>
      </c>
      <c r="AI1288" s="76">
        <f ca="1">IFERROR(__xludf.DUMMYFUNCTION("iferror(stdevp(filter($H$2:$H2314,$B$2:$B2314=$B1291,$O$2:$O2314&lt;=$O1291,$O$2:$O2314&gt;$O1291-7)),0)"),1.49071198499985)</f>
        <v>1.49071198499985</v>
      </c>
      <c r="AJ1288" s="77">
        <f t="shared" ca="1" si="27"/>
        <v>-0.88351954232919117</v>
      </c>
      <c r="AK1288" s="77">
        <f t="shared" ca="1" si="28"/>
        <v>2</v>
      </c>
      <c r="AL1288" s="76">
        <f t="array" ref="AL1288">AVERAGEIFS($J$2:$J2309,$B$2:$B2309,$B1288,$P$2:$P2309,"&lt;="&amp;$P1288,$P$2:$P2309,"&gt;"&amp;$P1288-7)</f>
        <v>6.9024390243902438</v>
      </c>
      <c r="AM1288" s="76">
        <f ca="1">IFERROR(__xludf.DUMMYFUNCTION("iferror(stdevp(filter($I$2:$I2314,$B$2:$B2314=$B1291,$O$2:$O2314&lt;=$O1291,$O$2:$O2314&gt;$O1291-7)),0)"),1.24721912892464)</f>
        <v>1.2472191289246399</v>
      </c>
      <c r="AN1288" s="77">
        <f t="shared" ca="1" si="29"/>
        <v>0.88000652824823178</v>
      </c>
      <c r="AO1288" s="77">
        <f t="shared" ca="1" si="30"/>
        <v>3</v>
      </c>
      <c r="AP1288" s="76">
        <f t="array" ref="AP1288">AVERAGEIFS($K$2:$K2309,$B$2:$B2309,$B1288,$P$2:$P2309,"&lt;="&amp;$P1288,$P$2:$P2309,"&gt;"&amp;$P1288-7)</f>
        <v>8</v>
      </c>
      <c r="AQ1288" s="76">
        <f ca="1">IFERROR(__xludf.DUMMYFUNCTION("iferror(stdevp(filter($J$2:$J2314,$B$2:$B2314=$B1291,$O$2:$O2314&lt;=$O1291,$O$2:$O2314&gt;$O1291-7)),0)"),1.06718737290547)</f>
        <v>1.0671873729054699</v>
      </c>
      <c r="AR1288" s="77">
        <f t="shared" ca="1" si="31"/>
        <v>0.93704257133164059</v>
      </c>
      <c r="AS1288" s="77">
        <f t="shared" ca="1" si="32"/>
        <v>3</v>
      </c>
      <c r="AT1288" s="78">
        <f t="shared" ca="1" si="33"/>
        <v>0.58333333333333337</v>
      </c>
    </row>
    <row r="1289" spans="1:46" ht="12.5" x14ac:dyDescent="0.25">
      <c r="A1289" s="75">
        <v>44981.42584512732</v>
      </c>
      <c r="B1289" s="1" t="s">
        <v>9</v>
      </c>
      <c r="C1289" s="1" t="str">
        <f>INDEX(TBL_Name,MATCH(Table2[[#This Row],[Athlete Name]],listNames,0),2)</f>
        <v>Athlete 4</v>
      </c>
      <c r="D1289" s="1" t="s">
        <v>130</v>
      </c>
      <c r="E1289" s="1">
        <v>9</v>
      </c>
      <c r="F1289" s="1">
        <v>8</v>
      </c>
      <c r="G1289" s="1">
        <v>8</v>
      </c>
      <c r="H1289" s="1" t="s">
        <v>739</v>
      </c>
      <c r="I1289" s="1">
        <v>3</v>
      </c>
      <c r="J1289" s="1">
        <v>8</v>
      </c>
      <c r="K1289" s="1">
        <v>8</v>
      </c>
      <c r="L1289" s="1">
        <v>80</v>
      </c>
      <c r="M1289" s="1" t="e">
        <f t="shared" ref="M1289" ca="1" si="87">_xludf.concat($B1289,$P1289)</f>
        <v>#NAME?</v>
      </c>
      <c r="N1289" s="1" t="e">
        <f t="shared" si="18"/>
        <v>#VALUE!</v>
      </c>
      <c r="O1289" s="1" t="e">
        <f ca="1">IF($N1289=_xludf.MINIFS($N$2:$N2539,$R$2:$R2539,$R1289),1,
($N1289-_xludf.MINIFS($N$2:$N2539,$R$2:$R2539,$R1289))+1)</f>
        <v>#VALUE!</v>
      </c>
      <c r="P1289" s="13" t="e">
        <f t="shared" si="19"/>
        <v>#VALUE!</v>
      </c>
      <c r="Q1289" s="1" t="str">
        <f>RIGHT(YEAR($A1289),2)-(MONTH($A1289)&lt;=[1]Roster!$K$25)
 &amp;"-"&amp;
 RIGHT(YEAR($A1289),2)+(MONTH($A1289)&gt;=[1]Roster!$K$26)</f>
        <v>22-23</v>
      </c>
      <c r="R1289" s="1" t="e">
        <f>CHOOSE(MONTH($P1289),[1]Roster!$K$9,[1]Roster!$K$10,[1]Roster!$K$11,[1]Roster!$K$12,[1]Roster!$K$13,[1]Roster!$K$14,[1]Roster!$K$15,[1]Roster!$K$16,[1]Roster!$K$17,[1]Roster!$K$18,[1]Roster!$K$19,[1]Roster!$K$20)&amp;" "&amp;$Q1289</f>
        <v>#VALUE!</v>
      </c>
      <c r="S1289" s="1">
        <f t="shared" si="20"/>
        <v>1</v>
      </c>
      <c r="T1289" s="1" t="str">
        <f t="array" ref="T1289">IFERROR(INDEX([1]Roster!$D$3:$D$42,MATCH($B1289,[1]Roster!$C$3:$C$42,0)),"")</f>
        <v>F/MID</v>
      </c>
      <c r="U1289" s="1" t="str">
        <f t="array" ref="U1289">IFERROR(INDEX([1]Roster!$E$3:$E$42,MATCH($B1289,[1]Roster!$C$3:$C$42,0)),"")</f>
        <v>F/MID</v>
      </c>
      <c r="V1289" s="76">
        <f t="array" ref="V1289">AVERAGEIFS($E$2:$E2309,$B$2:$B2309,$B1289,$P$2:$P2309,"&lt;="&amp;$P1289,$P$2:$P2309,"&gt;"&amp;$P1289-7)</f>
        <v>7.4230769230769234</v>
      </c>
      <c r="W1289" s="76">
        <f ca="1">IFERROR(__xludf.DUMMYFUNCTION("iferror(stdevp(filter($D$2:$D2314,$B$2:$B2314=$B1292,$O$2:$O2314&lt;=$O1292,$O$2:$O2314&gt;$O1292-7)),0)"),1.11803398874989)</f>
        <v>1.11803398874989</v>
      </c>
      <c r="X1289" s="77">
        <f t="shared" ca="1" si="21"/>
        <v>1.4104428781152578</v>
      </c>
      <c r="Y1289" s="77">
        <f t="shared" ca="1" si="22"/>
        <v>4</v>
      </c>
      <c r="Z1289" s="76">
        <f t="array" ref="Z1289">AVERAGEIFS($F$2:$F2309,$B$2:$B2309,$B1289,$P$2:$P2309,"&lt;="&amp;$P1289,$P$2:$P2309,"&gt;"&amp;$P1289-7)</f>
        <v>7.1538461538461542</v>
      </c>
      <c r="AA1289" s="76">
        <f ca="1">IFERROR(__xludf.DUMMYFUNCTION("iferror(stdevp(filter($E$2:$E2314,$B$2:$B2314=$B1292,$O$2:$O2314&lt;=$O1292,$O$2:$O2314&gt;$O1292-7)),0)"),0.433012701892219)</f>
        <v>0.43301270189221902</v>
      </c>
      <c r="AB1289" s="77">
        <f t="shared" ca="1" si="23"/>
        <v>1.9541086034110415</v>
      </c>
      <c r="AC1289" s="77">
        <f t="shared" ca="1" si="24"/>
        <v>4</v>
      </c>
      <c r="AD1289" s="76">
        <f t="array" ref="AD1289">AVERAGEIFS($G$2:$G2309,$B$2:$B2309,$B1289,$P$2:$P2309,"&lt;="&amp;$P1289,$P$2:$P2309,"&gt;"&amp;$P1289-7)</f>
        <v>7.615384615384615</v>
      </c>
      <c r="AE1289" s="76">
        <f ca="1">IFERROR(__xludf.DUMMYFUNCTION("iferror(stdevp(filter($F$2:$F2314,$B$2:$B2314=$B1292,$O$2:$O2314&lt;=$O1292,$O$2:$O2314&gt;$O1292-7)),0)"),0.433012701892219)</f>
        <v>0.43301270189221902</v>
      </c>
      <c r="AF1289" s="77">
        <f t="shared" ca="1" si="25"/>
        <v>0.88823118336865658</v>
      </c>
      <c r="AG1289" s="77">
        <f t="shared" ca="1" si="26"/>
        <v>3</v>
      </c>
      <c r="AH1289" s="76">
        <f t="array" ref="AH1289">AVERAGEIFS($I$2:$I2309,$B$2:$B2309,$B1289,$P$2:$P2309,"&lt;="&amp;$P1289,$P$2:$P2309,"&gt;"&amp;$P1289-7)</f>
        <v>5.1923076923076925</v>
      </c>
      <c r="AI1289" s="76">
        <f ca="1">IFERROR(__xludf.DUMMYFUNCTION("iferror(stdevp(filter($H$2:$H2314,$B$2:$B2314=$B1292,$O$2:$O2314&lt;=$O1292,$O$2:$O2314&gt;$O1292-7)),0)"),1.11803398874989)</f>
        <v>1.11803398874989</v>
      </c>
      <c r="AJ1289" s="77">
        <f t="shared" ca="1" si="27"/>
        <v>-1.9608596110382859</v>
      </c>
      <c r="AK1289" s="77">
        <f t="shared" ca="1" si="28"/>
        <v>1</v>
      </c>
      <c r="AL1289" s="76">
        <f t="array" ref="AL1289">AVERAGEIFS($J$2:$J2309,$B$2:$B2309,$B1289,$P$2:$P2309,"&lt;="&amp;$P1289,$P$2:$P2309,"&gt;"&amp;$P1289-7)</f>
        <v>7.6923076923076925</v>
      </c>
      <c r="AM1289" s="76">
        <f ca="1">IFERROR(__xludf.DUMMYFUNCTION("iferror(stdevp(filter($I$2:$I2314,$B$2:$B2314=$B1292,$O$2:$O2314&lt;=$O1292,$O$2:$O2314&gt;$O1292-7)),0)"),0)</f>
        <v>0</v>
      </c>
      <c r="AN1289" s="77">
        <f t="shared" ca="1" si="29"/>
        <v>0</v>
      </c>
      <c r="AO1289" s="77">
        <f t="shared" ca="1" si="30"/>
        <v>3</v>
      </c>
      <c r="AP1289" s="76">
        <f t="array" ref="AP1289">AVERAGEIFS($K$2:$K2309,$B$2:$B2309,$B1289,$P$2:$P2309,"&lt;="&amp;$P1289,$P$2:$P2309,"&gt;"&amp;$P1289-7)</f>
        <v>7.8461538461538458</v>
      </c>
      <c r="AQ1289" s="76">
        <f ca="1">IFERROR(__xludf.DUMMYFUNCTION("iferror(stdevp(filter($J$2:$J2314,$B$2:$B2314=$B1292,$O$2:$O2314&lt;=$O1292,$O$2:$O2314&gt;$O1292-7)),0)"),0)</f>
        <v>0</v>
      </c>
      <c r="AR1289" s="77">
        <f t="shared" ca="1" si="31"/>
        <v>0</v>
      </c>
      <c r="AS1289" s="77">
        <f t="shared" ca="1" si="32"/>
        <v>3</v>
      </c>
      <c r="AT1289" s="78">
        <f t="shared" ca="1" si="33"/>
        <v>0.75</v>
      </c>
    </row>
    <row r="1290" spans="1:46" ht="12.5" x14ac:dyDescent="0.25">
      <c r="A1290" s="75">
        <v>44981.678286678245</v>
      </c>
      <c r="B1290" s="1" t="s">
        <v>10</v>
      </c>
      <c r="C1290" s="1" t="str">
        <f>INDEX(TBL_Name,MATCH(Table2[[#This Row],[Athlete Name]],listNames,0),2)</f>
        <v>Athlete 5</v>
      </c>
      <c r="D1290" s="1" t="s">
        <v>130</v>
      </c>
      <c r="E1290" s="1">
        <v>10</v>
      </c>
      <c r="F1290" s="1">
        <v>9</v>
      </c>
      <c r="G1290" s="1">
        <v>9</v>
      </c>
      <c r="H1290" s="1" t="s">
        <v>362</v>
      </c>
      <c r="I1290" s="1">
        <v>5</v>
      </c>
      <c r="J1290" s="1">
        <v>7</v>
      </c>
      <c r="K1290" s="1">
        <v>9</v>
      </c>
      <c r="L1290" s="1">
        <v>88</v>
      </c>
      <c r="M1290" s="1" t="e">
        <f t="shared" ref="M1290" ca="1" si="88">_xludf.concat($B1290,$P1290)</f>
        <v>#NAME?</v>
      </c>
      <c r="N1290" s="1" t="e">
        <f t="shared" si="18"/>
        <v>#VALUE!</v>
      </c>
      <c r="O1290" s="1" t="e">
        <f ca="1">IF($N1290=_xludf.MINIFS($N$2:$N2540,$R$2:$R2540,$R1290),1,
($N1290-_xludf.MINIFS($N$2:$N2540,$R$2:$R2540,$R1290))+1)</f>
        <v>#VALUE!</v>
      </c>
      <c r="P1290" s="13" t="e">
        <f t="shared" si="19"/>
        <v>#VALUE!</v>
      </c>
      <c r="Q1290" s="1" t="str">
        <f>RIGHT(YEAR($A1290),2)-(MONTH($A1290)&lt;=[1]Roster!$K$25)
 &amp;"-"&amp;
 RIGHT(YEAR($A1290),2)+(MONTH($A1290)&gt;=[1]Roster!$K$26)</f>
        <v>22-23</v>
      </c>
      <c r="R1290" s="1" t="e">
        <f>CHOOSE(MONTH($P1290),[1]Roster!$K$9,[1]Roster!$K$10,[1]Roster!$K$11,[1]Roster!$K$12,[1]Roster!$K$13,[1]Roster!$K$14,[1]Roster!$K$15,[1]Roster!$K$16,[1]Roster!$K$17,[1]Roster!$K$18,[1]Roster!$K$19,[1]Roster!$K$20)&amp;" "&amp;$Q1290</f>
        <v>#VALUE!</v>
      </c>
      <c r="S1290" s="1">
        <f t="shared" si="20"/>
        <v>1</v>
      </c>
      <c r="T1290" s="1" t="str">
        <f t="array" ref="T1290">IFERROR(INDEX([1]Roster!$D$3:$D$42,MATCH($B1290,[1]Roster!$C$3:$C$42,0)),"")</f>
        <v>MID</v>
      </c>
      <c r="U1290" s="1" t="str">
        <f t="array" ref="U1290">IFERROR(INDEX([1]Roster!$E$3:$E$42,MATCH($B1290,[1]Roster!$C$3:$C$42,0)),"")</f>
        <v>MID</v>
      </c>
      <c r="V1290" s="76">
        <f t="array" ref="V1290">AVERAGEIFS($E$2:$E2309,$B$2:$B2309,$B1290,$P$2:$P2309,"&lt;="&amp;$P1290,$P$2:$P2309,"&gt;"&amp;$P1290-7)</f>
        <v>8.4042553191489358</v>
      </c>
      <c r="W1290" s="76">
        <f ca="1">IFERROR(__xludf.DUMMYFUNCTION("iferror(stdevp(filter($D$2:$D2314,$B$2:$B2314=$B1293,$O$2:$O2314&lt;=$O1293,$O$2:$O2314&gt;$O1293-7)),0)"),1.5986105077709)</f>
        <v>1.5986105077709001</v>
      </c>
      <c r="X1290" s="77">
        <f t="shared" ca="1" si="21"/>
        <v>0.99820730133706426</v>
      </c>
      <c r="Y1290" s="77">
        <f t="shared" ca="1" si="22"/>
        <v>3</v>
      </c>
      <c r="Z1290" s="76">
        <f t="array" ref="Z1290">AVERAGEIFS($F$2:$F2309,$B$2:$B2309,$B1290,$P$2:$P2309,"&lt;="&amp;$P1290,$P$2:$P2309,"&gt;"&amp;$P1290-7)</f>
        <v>8.085106382978724</v>
      </c>
      <c r="AA1290" s="76">
        <f ca="1">IFERROR(__xludf.DUMMYFUNCTION("iferror(stdevp(filter($E$2:$E2314,$B$2:$B2314=$B1293,$O$2:$O2314&lt;=$O1293,$O$2:$O2314&gt;$O1293-7)),0)"),0.687184270936276)</f>
        <v>0.68718427093627599</v>
      </c>
      <c r="AB1290" s="77">
        <f t="shared" ca="1" si="23"/>
        <v>1.3313657714760412</v>
      </c>
      <c r="AC1290" s="77">
        <f t="shared" ca="1" si="24"/>
        <v>4</v>
      </c>
      <c r="AD1290" s="76">
        <f t="array" ref="AD1290">AVERAGEIFS($G$2:$G2309,$B$2:$B2309,$B1290,$P$2:$P2309,"&lt;="&amp;$P1290,$P$2:$P2309,"&gt;"&amp;$P1290-7)</f>
        <v>8.0638297872340434</v>
      </c>
      <c r="AE1290" s="76">
        <f ca="1">IFERROR(__xludf.DUMMYFUNCTION("iferror(stdevp(filter($F$2:$F2314,$B$2:$B2314=$B1293,$O$2:$O2314&lt;=$O1293,$O$2:$O2314&gt;$O1293-7)),0)"),0.687184270936276)</f>
        <v>0.68718427093627599</v>
      </c>
      <c r="AF1290" s="77">
        <f t="shared" ca="1" si="25"/>
        <v>1.3623277661615301</v>
      </c>
      <c r="AG1290" s="77">
        <f t="shared" ca="1" si="26"/>
        <v>4</v>
      </c>
      <c r="AH1290" s="76">
        <f t="array" ref="AH1290">AVERAGEIFS($I$2:$I2309,$B$2:$B2309,$B1290,$P$2:$P2309,"&lt;="&amp;$P1290,$P$2:$P2309,"&gt;"&amp;$P1290-7)</f>
        <v>6.7446808510638299</v>
      </c>
      <c r="AI1290" s="76">
        <f ca="1">IFERROR(__xludf.DUMMYFUNCTION("iferror(stdevp(filter($H$2:$H2314,$B$2:$B2314=$B1293,$O$2:$O2314&lt;=$O1293,$O$2:$O2314&gt;$O1293-7)),0)"),1.97905701450631)</f>
        <v>1.97905701450631</v>
      </c>
      <c r="AJ1290" s="77">
        <f t="shared" ca="1" si="27"/>
        <v>-0.88157179822282838</v>
      </c>
      <c r="AK1290" s="77">
        <f t="shared" ca="1" si="28"/>
        <v>2</v>
      </c>
      <c r="AL1290" s="76">
        <f t="array" ref="AL1290">AVERAGEIFS($J$2:$J2309,$B$2:$B2309,$B1290,$P$2:$P2309,"&lt;="&amp;$P1290,$P$2:$P2309,"&gt;"&amp;$P1290-7)</f>
        <v>8.1063829787234045</v>
      </c>
      <c r="AM1290" s="76">
        <f ca="1">IFERROR(__xludf.DUMMYFUNCTION("iferror(stdevp(filter($I$2:$I2314,$B$2:$B2314=$B1293,$O$2:$O2314&lt;=$O1293,$O$2:$O2314&gt;$O1293-7)),0)"),0.577350269189625)</f>
        <v>0.57735026918962495</v>
      </c>
      <c r="AN1290" s="77">
        <f t="shared" ca="1" si="29"/>
        <v>-1.9163115317783355</v>
      </c>
      <c r="AO1290" s="77">
        <f t="shared" ca="1" si="30"/>
        <v>1</v>
      </c>
      <c r="AP1290" s="76">
        <f t="array" ref="AP1290">AVERAGEIFS($K$2:$K2309,$B$2:$B2309,$B1290,$P$2:$P2309,"&lt;="&amp;$P1290,$P$2:$P2309,"&gt;"&amp;$P1290-7)</f>
        <v>8.2978723404255312</v>
      </c>
      <c r="AQ1290" s="76">
        <f ca="1">IFERROR(__xludf.DUMMYFUNCTION("iferror(stdevp(filter($J$2:$J2314,$B$2:$B2314=$B1293,$O$2:$O2314&lt;=$O1293,$O$2:$O2314&gt;$O1293-7)),0)"),1.06718737290547)</f>
        <v>1.0671873729054699</v>
      </c>
      <c r="AR1290" s="77">
        <f t="shared" ca="1" si="31"/>
        <v>0.65792350753072704</v>
      </c>
      <c r="AS1290" s="77">
        <f t="shared" ca="1" si="32"/>
        <v>3</v>
      </c>
      <c r="AT1290" s="78">
        <f t="shared" ca="1" si="33"/>
        <v>0.70833333333333337</v>
      </c>
    </row>
    <row r="1291" spans="1:46" ht="12.5" x14ac:dyDescent="0.25">
      <c r="A1291" s="75">
        <v>44982.336404525464</v>
      </c>
      <c r="B1291" s="1" t="s">
        <v>17</v>
      </c>
      <c r="C1291" s="1" t="str">
        <f>INDEX(TBL_Name,MATCH(Table2[[#This Row],[Athlete Name]],listNames,0),2)</f>
        <v>Athlete 10</v>
      </c>
      <c r="D1291" s="1" t="s">
        <v>130</v>
      </c>
      <c r="E1291" s="1">
        <v>9</v>
      </c>
      <c r="F1291" s="1">
        <v>8</v>
      </c>
      <c r="G1291" s="1">
        <v>7</v>
      </c>
      <c r="H1291" s="1" t="s">
        <v>71</v>
      </c>
      <c r="I1291" s="1">
        <v>8</v>
      </c>
      <c r="J1291" s="1">
        <v>7</v>
      </c>
      <c r="K1291" s="1">
        <v>9</v>
      </c>
      <c r="L1291" s="1">
        <v>84</v>
      </c>
      <c r="M1291" s="1" t="e">
        <f t="shared" ref="M1291" ca="1" si="89">_xludf.concat($B1291,$P1291)</f>
        <v>#NAME?</v>
      </c>
      <c r="N1291" s="1" t="e">
        <f t="shared" si="18"/>
        <v>#VALUE!</v>
      </c>
      <c r="O1291" s="1" t="e">
        <f ca="1">IF($N1291=_xludf.MINIFS($N$2:$N2541,$R$2:$R2541,$R1291),1,
($N1291-_xludf.MINIFS($N$2:$N2541,$R$2:$R2541,$R1291))+1)</f>
        <v>#VALUE!</v>
      </c>
      <c r="P1291" s="13" t="e">
        <f t="shared" si="19"/>
        <v>#VALUE!</v>
      </c>
      <c r="Q1291" s="1" t="str">
        <f>RIGHT(YEAR($A1291),2)-(MONTH($A1291)&lt;=[1]Roster!$K$25)
 &amp;"-"&amp;
 RIGHT(YEAR($A1291),2)+(MONTH($A1291)&gt;=[1]Roster!$K$26)</f>
        <v>22-23</v>
      </c>
      <c r="R1291" s="1" t="e">
        <f>CHOOSE(MONTH($P1291),[1]Roster!$K$9,[1]Roster!$K$10,[1]Roster!$K$11,[1]Roster!$K$12,[1]Roster!$K$13,[1]Roster!$K$14,[1]Roster!$K$15,[1]Roster!$K$16,[1]Roster!$K$17,[1]Roster!$K$18,[1]Roster!$K$19,[1]Roster!$K$20)&amp;" "&amp;$Q1291</f>
        <v>#VALUE!</v>
      </c>
      <c r="S1291" s="1">
        <f t="shared" si="20"/>
        <v>1</v>
      </c>
      <c r="T1291" s="1" t="str">
        <f t="array" ref="T1291">IFERROR(INDEX([1]Roster!$D$3:$D$42,MATCH($B1291,[1]Roster!$C$3:$C$42,0)),"")</f>
        <v>D</v>
      </c>
      <c r="U1291" s="1" t="str">
        <f t="array" ref="U1291">IFERROR(INDEX([1]Roster!$E$3:$E$42,MATCH($B1291,[1]Roster!$C$3:$C$42,0)),"")</f>
        <v>D</v>
      </c>
      <c r="V1291" s="76">
        <f t="array" ref="V1291">AVERAGEIFS($E$2:$E2309,$B$2:$B2309,$B1291,$P$2:$P2309,"&lt;="&amp;$P1291,$P$2:$P2309,"&gt;"&amp;$P1291-7)</f>
        <v>6.9024390243902438</v>
      </c>
      <c r="W1291" s="76">
        <f ca="1">IFERROR(__xludf.DUMMYFUNCTION("iferror(stdevp(filter($D$2:$D2314,$B$2:$B2314=$B1294,$O$2:$O2314&lt;=$O1294,$O$2:$O2314&gt;$O1294-7)),0)"),1.10554159678513)</f>
        <v>1.1055415967851301</v>
      </c>
      <c r="X1291" s="77">
        <f t="shared" ca="1" si="21"/>
        <v>1.8973152902698351</v>
      </c>
      <c r="Y1291" s="77">
        <f t="shared" ca="1" si="22"/>
        <v>4</v>
      </c>
      <c r="Z1291" s="76">
        <f t="array" ref="Z1291">AVERAGEIFS($F$2:$F2309,$B$2:$B2309,$B1291,$P$2:$P2309,"&lt;="&amp;$P1291,$P$2:$P2309,"&gt;"&amp;$P1291-7)</f>
        <v>7.2926829268292686</v>
      </c>
      <c r="AA1291" s="76">
        <f ca="1">IFERROR(__xludf.DUMMYFUNCTION("iferror(stdevp(filter($E$2:$E2314,$B$2:$B2314=$B1294,$O$2:$O2314&lt;=$O1294,$O$2:$O2314&gt;$O1294-7)),0)"),1.21335164821341)</f>
        <v>1.2133516482134099</v>
      </c>
      <c r="AB1291" s="77">
        <f t="shared" ca="1" si="23"/>
        <v>0.58294483236761152</v>
      </c>
      <c r="AC1291" s="77">
        <f t="shared" ca="1" si="24"/>
        <v>3</v>
      </c>
      <c r="AD1291" s="76">
        <f t="array" ref="AD1291">AVERAGEIFS($G$2:$G2309,$B$2:$B2309,$B1291,$P$2:$P2309,"&lt;="&amp;$P1291,$P$2:$P2309,"&gt;"&amp;$P1291-7)</f>
        <v>7.8048780487804876</v>
      </c>
      <c r="AE1291" s="76">
        <f ca="1">IFERROR(__xludf.DUMMYFUNCTION("iferror(stdevp(filter($F$2:$F2314,$B$2:$B2314=$B1294,$O$2:$O2314&lt;=$O1294,$O$2:$O2314&gt;$O1294-7)),0)"),1.49071198499985)</f>
        <v>1.49071198499985</v>
      </c>
      <c r="AF1291" s="77">
        <f t="shared" ca="1" si="25"/>
        <v>-0.53992860920117214</v>
      </c>
      <c r="AG1291" s="77">
        <f t="shared" ca="1" si="26"/>
        <v>2</v>
      </c>
      <c r="AH1291" s="76">
        <f t="array" ref="AH1291">AVERAGEIFS($I$2:$I2309,$B$2:$B2309,$B1291,$P$2:$P2309,"&lt;="&amp;$P1291,$P$2:$P2309,"&gt;"&amp;$P1291-7)</f>
        <v>6.3170731707317076</v>
      </c>
      <c r="AI1291" s="76">
        <f ca="1">IFERROR(__xludf.DUMMYFUNCTION("iferror(stdevp(filter($H$2:$H2314,$B$2:$B2314=$B1294,$O$2:$O2314&lt;=$O1294,$O$2:$O2314&gt;$O1294-7)),0)"),1.15470053837925)</f>
        <v>1.1547005383792499</v>
      </c>
      <c r="AJ1291" s="77">
        <f t="shared" ca="1" si="27"/>
        <v>1.45745738685674</v>
      </c>
      <c r="AK1291" s="77">
        <f t="shared" ca="1" si="28"/>
        <v>4</v>
      </c>
      <c r="AL1291" s="76">
        <f t="array" ref="AL1291">AVERAGEIFS($J$2:$J2309,$B$2:$B2309,$B1291,$P$2:$P2309,"&lt;="&amp;$P1291,$P$2:$P2309,"&gt;"&amp;$P1291-7)</f>
        <v>6.9024390243902438</v>
      </c>
      <c r="AM1291" s="76">
        <f ca="1">IFERROR(__xludf.DUMMYFUNCTION("iferror(stdevp(filter($I$2:$I2314,$B$2:$B2314=$B1294,$O$2:$O2314&lt;=$O1294,$O$2:$O2314&gt;$O1294-7)),0)"),1.25830573921179)</f>
        <v>1.25830573921179</v>
      </c>
      <c r="AN1291" s="77">
        <f t="shared" ca="1" si="29"/>
        <v>7.7533601389173465E-2</v>
      </c>
      <c r="AO1291" s="77">
        <f t="shared" ca="1" si="30"/>
        <v>3</v>
      </c>
      <c r="AP1291" s="76">
        <f t="array" ref="AP1291">AVERAGEIFS($K$2:$K2309,$B$2:$B2309,$B1291,$P$2:$P2309,"&lt;="&amp;$P1291,$P$2:$P2309,"&gt;"&amp;$P1291-7)</f>
        <v>8</v>
      </c>
      <c r="AQ1291" s="76">
        <f ca="1">IFERROR(__xludf.DUMMYFUNCTION("iferror(stdevp(filter($J$2:$J2314,$B$2:$B2314=$B1294,$O$2:$O2314&lt;=$O1294,$O$2:$O2314&gt;$O1294-7)),0)"),1.10554159678513)</f>
        <v>1.1055415967851301</v>
      </c>
      <c r="AR1291" s="77">
        <f t="shared" ca="1" si="31"/>
        <v>0.90453403373329344</v>
      </c>
      <c r="AS1291" s="77">
        <f t="shared" ca="1" si="32"/>
        <v>3</v>
      </c>
      <c r="AT1291" s="78">
        <f t="shared" ca="1" si="33"/>
        <v>0.79166666666666663</v>
      </c>
    </row>
    <row r="1292" spans="1:46" ht="12.5" x14ac:dyDescent="0.25">
      <c r="A1292" s="75">
        <v>44983.79262537037</v>
      </c>
      <c r="B1292" s="1" t="s">
        <v>10</v>
      </c>
      <c r="C1292" s="1" t="str">
        <f>INDEX(TBL_Name,MATCH(Table2[[#This Row],[Athlete Name]],listNames,0),2)</f>
        <v>Athlete 5</v>
      </c>
      <c r="D1292" s="1" t="s">
        <v>130</v>
      </c>
      <c r="E1292" s="1">
        <v>9</v>
      </c>
      <c r="F1292" s="1">
        <v>10</v>
      </c>
      <c r="G1292" s="1">
        <v>10</v>
      </c>
      <c r="H1292" s="1" t="s">
        <v>362</v>
      </c>
      <c r="I1292" s="1">
        <v>8</v>
      </c>
      <c r="J1292" s="1">
        <v>9</v>
      </c>
      <c r="K1292" s="1">
        <v>9</v>
      </c>
      <c r="L1292" s="1">
        <v>92</v>
      </c>
      <c r="M1292" s="1" t="e">
        <f t="shared" ref="M1292" ca="1" si="90">_xludf.concat($B1292,$P1292)</f>
        <v>#NAME?</v>
      </c>
      <c r="N1292" s="1" t="e">
        <f t="shared" si="18"/>
        <v>#VALUE!</v>
      </c>
      <c r="O1292" s="1" t="e">
        <f ca="1">IF($N1292=_xludf.MINIFS($N$2:$N2542,$R$2:$R2542,$R1292),1,
($N1292-_xludf.MINIFS($N$2:$N2542,$R$2:$R2542,$R1292))+1)</f>
        <v>#VALUE!</v>
      </c>
      <c r="P1292" s="13" t="e">
        <f t="shared" si="19"/>
        <v>#VALUE!</v>
      </c>
      <c r="Q1292" s="1" t="str">
        <f>RIGHT(YEAR($A1292),2)-(MONTH($A1292)&lt;=[1]Roster!$K$25)
 &amp;"-"&amp;
 RIGHT(YEAR($A1292),2)+(MONTH($A1292)&gt;=[1]Roster!$K$26)</f>
        <v>22-23</v>
      </c>
      <c r="R1292" s="1" t="e">
        <f>CHOOSE(MONTH($P1292),[1]Roster!$K$9,[1]Roster!$K$10,[1]Roster!$K$11,[1]Roster!$K$12,[1]Roster!$K$13,[1]Roster!$K$14,[1]Roster!$K$15,[1]Roster!$K$16,[1]Roster!$K$17,[1]Roster!$K$18,[1]Roster!$K$19,[1]Roster!$K$20)&amp;" "&amp;$Q1292</f>
        <v>#VALUE!</v>
      </c>
      <c r="S1292" s="1">
        <f t="shared" si="20"/>
        <v>1</v>
      </c>
      <c r="T1292" s="1" t="str">
        <f t="array" ref="T1292">IFERROR(INDEX([1]Roster!$D$3:$D$42,MATCH($B1292,[1]Roster!$C$3:$C$42,0)),"")</f>
        <v>MID</v>
      </c>
      <c r="U1292" s="1" t="str">
        <f t="array" ref="U1292">IFERROR(INDEX([1]Roster!$E$3:$E$42,MATCH($B1292,[1]Roster!$C$3:$C$42,0)),"")</f>
        <v>MID</v>
      </c>
      <c r="V1292" s="76">
        <f t="array" ref="V1292">AVERAGEIFS($E$2:$E2309,$B$2:$B2309,$B1292,$P$2:$P2309,"&lt;="&amp;$P1292,$P$2:$P2309,"&gt;"&amp;$P1292-7)</f>
        <v>8.4042553191489358</v>
      </c>
      <c r="W1292" s="76">
        <f ca="1">IFERROR(__xludf.DUMMYFUNCTION("iferror(stdevp(filter($D$2:$D2314,$B$2:$B2314=$B1295,$O$2:$O2314&lt;=$O1295,$O$2:$O2314&gt;$O1295-7)),0)"),1.67497927018681)</f>
        <v>1.67497927018681</v>
      </c>
      <c r="X1292" s="77">
        <f t="shared" ca="1" si="21"/>
        <v>0.3556728679899549</v>
      </c>
      <c r="Y1292" s="77">
        <f t="shared" ca="1" si="22"/>
        <v>3</v>
      </c>
      <c r="Z1292" s="76">
        <f t="array" ref="Z1292">AVERAGEIFS($F$2:$F2309,$B$2:$B2309,$B1292,$P$2:$P2309,"&lt;="&amp;$P1292,$P$2:$P2309,"&gt;"&amp;$P1292-7)</f>
        <v>8.085106382978724</v>
      </c>
      <c r="AA1292" s="76">
        <f ca="1">IFERROR(__xludf.DUMMYFUNCTION("iferror(stdevp(filter($E$2:$E2314,$B$2:$B2314=$B1295,$O$2:$O2314&lt;=$O1295,$O$2:$O2314&gt;$O1295-7)),0)"),1.06718737290547)</f>
        <v>1.0671873729054699</v>
      </c>
      <c r="AB1292" s="77">
        <f t="shared" ca="1" si="23"/>
        <v>1.7943368387201624</v>
      </c>
      <c r="AC1292" s="77">
        <f t="shared" ca="1" si="24"/>
        <v>4</v>
      </c>
      <c r="AD1292" s="76">
        <f t="array" ref="AD1292">AVERAGEIFS($G$2:$G2309,$B$2:$B2309,$B1292,$P$2:$P2309,"&lt;="&amp;$P1292,$P$2:$P2309,"&gt;"&amp;$P1292-7)</f>
        <v>8.0638297872340434</v>
      </c>
      <c r="AE1292" s="76">
        <f ca="1">IFERROR(__xludf.DUMMYFUNCTION("iferror(stdevp(filter($F$2:$F2314,$B$2:$B2314=$B1295,$O$2:$O2314&lt;=$O1295,$O$2:$O2314&gt;$O1295-7)),0)"),1.06718737290547)</f>
        <v>1.0671873729054699</v>
      </c>
      <c r="AF1292" s="77">
        <f t="shared" ca="1" si="25"/>
        <v>1.8142739147059417</v>
      </c>
      <c r="AG1292" s="77">
        <f t="shared" ca="1" si="26"/>
        <v>4</v>
      </c>
      <c r="AH1292" s="76">
        <f t="array" ref="AH1292">AVERAGEIFS($I$2:$I2309,$B$2:$B2309,$B1292,$P$2:$P2309,"&lt;="&amp;$P1292,$P$2:$P2309,"&gt;"&amp;$P1292-7)</f>
        <v>6.7446808510638299</v>
      </c>
      <c r="AI1292" s="76">
        <f ca="1">IFERROR(__xludf.DUMMYFUNCTION("iferror(stdevp(filter($H$2:$H2314,$B$2:$B2314=$B1295,$O$2:$O2314&lt;=$O1295,$O$2:$O2314&gt;$O1295-7)),0)"),1.24721912892464)</f>
        <v>1.2472191289246399</v>
      </c>
      <c r="AJ1292" s="77">
        <f t="shared" ca="1" si="27"/>
        <v>1.0064944642233913</v>
      </c>
      <c r="AK1292" s="77">
        <f t="shared" ca="1" si="28"/>
        <v>4</v>
      </c>
      <c r="AL1292" s="76">
        <f t="array" ref="AL1292">AVERAGEIFS($J$2:$J2309,$B$2:$B2309,$B1292,$P$2:$P2309,"&lt;="&amp;$P1292,$P$2:$P2309,"&gt;"&amp;$P1292-7)</f>
        <v>8.1063829787234045</v>
      </c>
      <c r="AM1292" s="76">
        <f ca="1">IFERROR(__xludf.DUMMYFUNCTION("iferror(stdevp(filter($I$2:$I2314,$B$2:$B2314=$B1295,$O$2:$O2314&lt;=$O1295,$O$2:$O2314&gt;$O1295-7)),0)"),0.687184270936276)</f>
        <v>0.68718427093627599</v>
      </c>
      <c r="AN1292" s="77">
        <f t="shared" ca="1" si="29"/>
        <v>1.3004037767905523</v>
      </c>
      <c r="AO1292" s="77">
        <f t="shared" ca="1" si="30"/>
        <v>4</v>
      </c>
      <c r="AP1292" s="76">
        <f t="array" ref="AP1292">AVERAGEIFS($K$2:$K2309,$B$2:$B2309,$B1292,$P$2:$P2309,"&lt;="&amp;$P1292,$P$2:$P2309,"&gt;"&amp;$P1292-7)</f>
        <v>8.2978723404255312</v>
      </c>
      <c r="AQ1292" s="76">
        <f ca="1">IFERROR(__xludf.DUMMYFUNCTION("iferror(stdevp(filter($J$2:$J2314,$B$2:$B2314=$B1295,$O$2:$O2314&lt;=$O1295,$O$2:$O2314&gt;$O1295-7)),0)"),0.471404520791031)</f>
        <v>0.47140452079103101</v>
      </c>
      <c r="AR1292" s="77">
        <f t="shared" ca="1" si="31"/>
        <v>1.4894376880312419</v>
      </c>
      <c r="AS1292" s="77">
        <f t="shared" ca="1" si="32"/>
        <v>4</v>
      </c>
      <c r="AT1292" s="78">
        <f t="shared" ca="1" si="33"/>
        <v>0.95833333333333337</v>
      </c>
    </row>
    <row r="1293" spans="1:46" ht="12.5" x14ac:dyDescent="0.25">
      <c r="A1293" s="75">
        <v>44983.79301765046</v>
      </c>
      <c r="B1293" s="1" t="s">
        <v>17</v>
      </c>
      <c r="C1293" s="1" t="str">
        <f>INDEX(TBL_Name,MATCH(Table2[[#This Row],[Athlete Name]],listNames,0),2)</f>
        <v>Athlete 10</v>
      </c>
      <c r="D1293" s="1" t="s">
        <v>130</v>
      </c>
      <c r="E1293" s="1">
        <v>10</v>
      </c>
      <c r="F1293" s="1">
        <v>7</v>
      </c>
      <c r="G1293" s="1">
        <v>9</v>
      </c>
      <c r="H1293" s="1" t="s">
        <v>131</v>
      </c>
      <c r="I1293" s="1">
        <v>7</v>
      </c>
      <c r="J1293" s="1">
        <v>7</v>
      </c>
      <c r="K1293" s="1">
        <v>10</v>
      </c>
      <c r="L1293" s="1">
        <v>73</v>
      </c>
      <c r="M1293" s="1" t="e">
        <f t="shared" ref="M1293" ca="1" si="91">_xludf.concat($B1293,$P1293)</f>
        <v>#NAME?</v>
      </c>
      <c r="N1293" s="1" t="e">
        <f t="shared" si="18"/>
        <v>#VALUE!</v>
      </c>
      <c r="O1293" s="1" t="e">
        <f t="shared" ref="O1293" ca="1" si="92">IF($N1293=_xludf.MINIFS($N$2:$N2545,$R$2:$R2545,$R1293),1,
($N1293-_xludf.MINIFS($N$2:$N2545,$R$2:$R2545,$R1293))+1)</f>
        <v>#VALUE!</v>
      </c>
      <c r="P1293" s="13" t="e">
        <f t="shared" si="19"/>
        <v>#VALUE!</v>
      </c>
      <c r="Q1293" s="1" t="str">
        <f>RIGHT(YEAR($A1293),2)-(MONTH($A1293)&lt;=[1]Roster!$K$25)
 &amp;"-"&amp;
 RIGHT(YEAR($A1293),2)+(MONTH($A1293)&gt;=[1]Roster!$K$26)</f>
        <v>22-23</v>
      </c>
      <c r="R1293" s="1" t="e">
        <f>CHOOSE(MONTH($P1293),[1]Roster!$K$9,[1]Roster!$K$10,[1]Roster!$K$11,[1]Roster!$K$12,[1]Roster!$K$13,[1]Roster!$K$14,[1]Roster!$K$15,[1]Roster!$K$16,[1]Roster!$K$17,[1]Roster!$K$18,[1]Roster!$K$19,[1]Roster!$K$20)&amp;" "&amp;$Q1293</f>
        <v>#VALUE!</v>
      </c>
      <c r="S1293" s="1">
        <f t="shared" si="20"/>
        <v>1</v>
      </c>
      <c r="T1293" s="1" t="str">
        <f t="array" ref="T1293">IFERROR(INDEX([1]Roster!$D$3:$D$42,MATCH($B1293,[1]Roster!$C$3:$C$42,0)),"")</f>
        <v>D</v>
      </c>
      <c r="U1293" s="1" t="str">
        <f t="array" ref="U1293">IFERROR(INDEX([1]Roster!$E$3:$E$42,MATCH($B1293,[1]Roster!$C$3:$C$42,0)),"")</f>
        <v>D</v>
      </c>
      <c r="V1293" s="76">
        <f t="array" ref="V1293">AVERAGEIFS($E$2:$E2309,$B$2:$B2309,$B1293,$P$2:$P2309,"&lt;="&amp;$P1293,$P$2:$P2309,"&gt;"&amp;$P1293-7)</f>
        <v>6.9024390243902438</v>
      </c>
      <c r="W1293" s="76">
        <f ca="1">IFERROR(__xludf.DUMMYFUNCTION("iferror(stdevp(filter($D$2:$D2314,$B$2:$B2314=$B1296,$O$2:$O2314&lt;=$O1296,$O$2:$O2314&gt;$O1296-7)),0)"),1.30930734141595)</f>
        <v>1.30930734141595</v>
      </c>
      <c r="X1293" s="77">
        <f t="shared" ca="1" si="21"/>
        <v>2.3658012734121692</v>
      </c>
      <c r="Y1293" s="77">
        <f t="shared" ca="1" si="22"/>
        <v>4</v>
      </c>
      <c r="Z1293" s="76">
        <f t="array" ref="Z1293">AVERAGEIFS($F$2:$F2309,$B$2:$B2309,$B1293,$P$2:$P2309,"&lt;="&amp;$P1293,$P$2:$P2309,"&gt;"&amp;$P1293-7)</f>
        <v>7.2926829268292686</v>
      </c>
      <c r="AA1293" s="76">
        <f ca="1">IFERROR(__xludf.DUMMYFUNCTION("iferror(stdevp(filter($E$2:$E2314,$B$2:$B2314=$B1296,$O$2:$O2314&lt;=$O1296,$O$2:$O2314&gt;$O1296-7)),0)"),1.12485826771597)</f>
        <v>1.12485826771597</v>
      </c>
      <c r="AB1293" s="77">
        <f t="shared" ca="1" si="23"/>
        <v>-0.26019538214673271</v>
      </c>
      <c r="AC1293" s="77">
        <f t="shared" ca="1" si="24"/>
        <v>2</v>
      </c>
      <c r="AD1293" s="76">
        <f t="array" ref="AD1293">AVERAGEIFS($G$2:$G2309,$B$2:$B2309,$B1293,$P$2:$P2309,"&lt;="&amp;$P1293,$P$2:$P2309,"&gt;"&amp;$P1293-7)</f>
        <v>7.8048780487804876</v>
      </c>
      <c r="AE1293" s="76">
        <f ca="1">IFERROR(__xludf.DUMMYFUNCTION("iferror(stdevp(filter($F$2:$F2314,$B$2:$B2314=$B1296,$O$2:$O2314&lt;=$O1296,$O$2:$O2314&gt;$O1296-7)),0)"),1.45686271816936)</f>
        <v>1.4568627181693601</v>
      </c>
      <c r="AF1293" s="77">
        <f t="shared" ca="1" si="25"/>
        <v>0.82033944332192021</v>
      </c>
      <c r="AG1293" s="77">
        <f t="shared" ca="1" si="26"/>
        <v>3</v>
      </c>
      <c r="AH1293" s="76">
        <f t="array" ref="AH1293">AVERAGEIFS($I$2:$I2309,$B$2:$B2309,$B1293,$P$2:$P2309,"&lt;="&amp;$P1293,$P$2:$P2309,"&gt;"&amp;$P1293-7)</f>
        <v>6.3170731707317076</v>
      </c>
      <c r="AI1293" s="76">
        <f ca="1">IFERROR(__xludf.DUMMYFUNCTION("iferror(stdevp(filter($H$2:$H2314,$B$2:$B2314=$B1296,$O$2:$O2314&lt;=$O1296,$O$2:$O2314&gt;$O1296-7)),0)"),1.06904496764969)</f>
        <v>1.06904496764969</v>
      </c>
      <c r="AJ1293" s="77">
        <f t="shared" ca="1" si="27"/>
        <v>0.63881955383945765</v>
      </c>
      <c r="AK1293" s="77">
        <f t="shared" ca="1" si="28"/>
        <v>3</v>
      </c>
      <c r="AL1293" s="76">
        <f t="array" ref="AL1293">AVERAGEIFS($J$2:$J2309,$B$2:$B2309,$B1293,$P$2:$P2309,"&lt;="&amp;$P1293,$P$2:$P2309,"&gt;"&amp;$P1293-7)</f>
        <v>6.9024390243902438</v>
      </c>
      <c r="AM1293" s="76">
        <f ca="1">IFERROR(__xludf.DUMMYFUNCTION("iferror(stdevp(filter($I$2:$I2314,$B$2:$B2314=$B1296,$O$2:$O2314&lt;=$O1296,$O$2:$O2314&gt;$O1296-7)),0)"),1.1780301787479)</f>
        <v>1.1780301787478999</v>
      </c>
      <c r="AN1293" s="77">
        <f t="shared" ca="1" si="29"/>
        <v>8.2817042695333506E-2</v>
      </c>
      <c r="AO1293" s="77">
        <f t="shared" ca="1" si="30"/>
        <v>3</v>
      </c>
      <c r="AP1293" s="76">
        <f t="array" ref="AP1293">AVERAGEIFS($K$2:$K2309,$B$2:$B2309,$B1293,$P$2:$P2309,"&lt;="&amp;$P1293,$P$2:$P2309,"&gt;"&amp;$P1293-7)</f>
        <v>8</v>
      </c>
      <c r="AQ1293" s="76">
        <f ca="1">IFERROR(__xludf.DUMMYFUNCTION("iferror(stdevp(filter($J$2:$J2314,$B$2:$B2314=$B1296,$O$2:$O2314&lt;=$O1296,$O$2:$O2314&gt;$O1296-7)),0)"),1.1780301787479)</f>
        <v>1.1780301787478999</v>
      </c>
      <c r="AR1293" s="77">
        <f t="shared" ca="1" si="31"/>
        <v>1.6977493752543353</v>
      </c>
      <c r="AS1293" s="77">
        <f t="shared" ca="1" si="32"/>
        <v>4</v>
      </c>
      <c r="AT1293" s="78">
        <f t="shared" ca="1" si="33"/>
        <v>0.79166666666666663</v>
      </c>
    </row>
    <row r="1294" spans="1:46" ht="12.5" x14ac:dyDescent="0.25">
      <c r="A1294" s="75">
        <v>44984.359561886573</v>
      </c>
      <c r="B1294" s="1" t="s">
        <v>17</v>
      </c>
      <c r="C1294" s="1" t="str">
        <f>INDEX(TBL_Name,MATCH(Table2[[#This Row],[Athlete Name]],listNames,0),2)</f>
        <v>Athlete 10</v>
      </c>
      <c r="D1294" s="1" t="s">
        <v>130</v>
      </c>
      <c r="E1294" s="1">
        <v>9</v>
      </c>
      <c r="F1294" s="1">
        <v>8</v>
      </c>
      <c r="G1294" s="1">
        <v>8</v>
      </c>
      <c r="H1294" s="1" t="s">
        <v>131</v>
      </c>
      <c r="I1294" s="1">
        <v>7</v>
      </c>
      <c r="J1294" s="1">
        <v>6</v>
      </c>
      <c r="K1294" s="1">
        <v>8</v>
      </c>
      <c r="L1294" s="1">
        <v>83</v>
      </c>
      <c r="M1294" s="1" t="e">
        <f t="shared" ref="M1294" ca="1" si="93">_xludf.concat($B1294,$P1294)</f>
        <v>#NAME?</v>
      </c>
      <c r="N1294" s="1" t="e">
        <f t="shared" si="18"/>
        <v>#VALUE!</v>
      </c>
      <c r="O1294" s="1" t="e">
        <f t="shared" ref="O1294" ca="1" si="94">IF($N1294=_xludf.MINIFS($N$2:$N2562,$R$2:$R2562,$R1294),1,
($N1294-_xludf.MINIFS($N$2:$N2562,$R$2:$R2562,$R1294))+1)</f>
        <v>#VALUE!</v>
      </c>
      <c r="P1294" s="13" t="e">
        <f t="shared" si="19"/>
        <v>#VALUE!</v>
      </c>
      <c r="Q1294" s="1" t="str">
        <f>RIGHT(YEAR($A1294),2)-(MONTH($A1294)&lt;=[2]Roster!$K$25)
 &amp;"-"&amp;
 RIGHT(YEAR($A1294),2)+(MONTH($A1294)&gt;=[2]Roster!$K$26)</f>
        <v>22-23</v>
      </c>
      <c r="R1294" s="1" t="e">
        <f>CHOOSE(MONTH($P1294),[2]Roster!$K$9,[2]Roster!$K$10,[2]Roster!$K$11,[2]Roster!$K$12,[2]Roster!$K$13,[2]Roster!$K$14,[2]Roster!$K$15,[2]Roster!$K$16,[2]Roster!$K$17,[2]Roster!$K$18,[2]Roster!$K$19,[2]Roster!$K$20)&amp;" "&amp;$Q1294</f>
        <v>#VALUE!</v>
      </c>
      <c r="S1294" s="1">
        <f t="shared" si="20"/>
        <v>1</v>
      </c>
      <c r="T1294" s="1" t="str">
        <f t="array" ref="T1294">IFERROR(INDEX([2]Roster!$D$3:$D$42,MATCH($B1294,[2]Roster!$C$3:$C$42,0)),"")</f>
        <v>D</v>
      </c>
      <c r="U1294" s="1" t="str">
        <f t="array" ref="U1294">IFERROR(INDEX([2]Roster!$E$3:$E$42,MATCH($B1294,[2]Roster!$C$3:$C$42,0)),"")</f>
        <v>D</v>
      </c>
      <c r="V1294" s="76">
        <f t="array" ref="V1294">AVERAGEIFS($E$2:$E2327,$B$2:$B2327,$B1294,$P$2:$P2327,"&lt;="&amp;$P1294,$P$2:$P2327,"&gt;"&amp;$P1294-7)</f>
        <v>6.9024390243902438</v>
      </c>
      <c r="W1294" s="76">
        <f ca="1">IFERROR(__xludf.DUMMYFUNCTION("iferror(stdevp(filter($D$2:$D2330,$B$2:$B2330=$B1297,$O$2:$O2330&lt;=$O1297,$O$2:$O2330&gt;$O1297-7)),0)"),1.27775312999988)</f>
        <v>1.2777531299998801</v>
      </c>
      <c r="X1294" s="77">
        <f t="shared" ca="1" si="21"/>
        <v>1.6416011249449673</v>
      </c>
      <c r="Y1294" s="77">
        <f t="shared" ca="1" si="22"/>
        <v>4</v>
      </c>
      <c r="Z1294" s="76">
        <f t="array" ref="Z1294">AVERAGEIFS($F$2:$F2327,$B$2:$B2327,$B1294,$P$2:$P2327,"&lt;="&amp;$P1294,$P$2:$P2327,"&gt;"&amp;$P1294-7)</f>
        <v>7.2926829268292686</v>
      </c>
      <c r="AA1294" s="76">
        <f ca="1">IFERROR(__xludf.DUMMYFUNCTION("iferror(stdevp(filter($E$2:$E2330,$B$2:$B2330=$B1297,$O$2:$O2330&lt;=$O1297,$O$2:$O2330&gt;$O1297-7)),0)"),1.12485826771597)</f>
        <v>1.12485826771597</v>
      </c>
      <c r="AB1294" s="77">
        <f t="shared" ca="1" si="23"/>
        <v>0.62880550685460324</v>
      </c>
      <c r="AC1294" s="77">
        <f t="shared" ca="1" si="24"/>
        <v>3</v>
      </c>
      <c r="AD1294" s="76">
        <f t="array" ref="AD1294">AVERAGEIFS($G$2:$G2327,$B$2:$B2327,$B1294,$P$2:$P2327,"&lt;="&amp;$P1294,$P$2:$P2327,"&gt;"&amp;$P1294-7)</f>
        <v>7.8048780487804876</v>
      </c>
      <c r="AE1294" s="76">
        <f ca="1">IFERROR(__xludf.DUMMYFUNCTION("iferror(stdevp(filter($F$2:$F2330,$B$2:$B2330=$B1297,$O$2:$O2330&lt;=$O1297,$O$2:$O2330&gt;$O1297-7)),0)"),1.24539969815447)</f>
        <v>1.2453996981544699</v>
      </c>
      <c r="AF1294" s="77">
        <f t="shared" ca="1" si="25"/>
        <v>0.15667415971648238</v>
      </c>
      <c r="AG1294" s="77">
        <f t="shared" ca="1" si="26"/>
        <v>3</v>
      </c>
      <c r="AH1294" s="76">
        <f t="array" ref="AH1294">AVERAGEIFS($I$2:$I2327,$B$2:$B2327,$B1294,$P$2:$P2327,"&lt;="&amp;$P1294,$P$2:$P2327,"&gt;"&amp;$P1294-7)</f>
        <v>6.3170731707317076</v>
      </c>
      <c r="AI1294" s="76">
        <f ca="1">IFERROR(__xludf.DUMMYFUNCTION("iferror(stdevp(filter($H$2:$H2330,$B$2:$B2330=$B1297,$O$2:$O2330&lt;=$O1297,$O$2:$O2330&gt;$O1297-7)),0)"),1.06904496764969)</f>
        <v>1.06904496764969</v>
      </c>
      <c r="AJ1294" s="77">
        <f t="shared" ca="1" si="27"/>
        <v>0.63881955383945765</v>
      </c>
      <c r="AK1294" s="77">
        <f t="shared" ca="1" si="28"/>
        <v>3</v>
      </c>
      <c r="AL1294" s="76">
        <f t="array" ref="AL1294">AVERAGEIFS($J$2:$J2327,$B$2:$B2327,$B1294,$P$2:$P2327,"&lt;="&amp;$P1294,$P$2:$P2327,"&gt;"&amp;$P1294-7)</f>
        <v>6.9024390243902438</v>
      </c>
      <c r="AM1294" s="76">
        <f ca="1">IFERROR(__xludf.DUMMYFUNCTION("iferror(stdevp(filter($I$2:$I2330,$B$2:$B2330=$B1297,$O$2:$O2330&lt;=$O1297,$O$2:$O2330&gt;$O1297-7)),0)"),0.638876564999939)</f>
        <v>0.63887656499993895</v>
      </c>
      <c r="AN1294" s="77">
        <f t="shared" ca="1" si="29"/>
        <v>-1.4125405028596252</v>
      </c>
      <c r="AO1294" s="77">
        <f t="shared" ca="1" si="30"/>
        <v>1</v>
      </c>
      <c r="AP1294" s="76">
        <f t="array" ref="AP1294">AVERAGEIFS($K$2:$K2327,$B$2:$B2327,$B1294,$P$2:$P2327,"&lt;="&amp;$P1294,$P$2:$P2327,"&gt;"&amp;$P1294-7)</f>
        <v>8</v>
      </c>
      <c r="AQ1294" s="76">
        <f ca="1">IFERROR(__xludf.DUMMYFUNCTION("iferror(stdevp(filter($J$2:$J2330,$B$2:$B2330=$B1297,$O$2:$O2330&lt;=$O1297,$O$2:$O2330&gt;$O1297-7)),0)"),0.638876564999939)</f>
        <v>0.63887656499993895</v>
      </c>
      <c r="AR1294" s="77">
        <f t="shared" ca="1" si="31"/>
        <v>0</v>
      </c>
      <c r="AS1294" s="77">
        <f t="shared" ca="1" si="32"/>
        <v>3</v>
      </c>
      <c r="AT1294" s="78">
        <f t="shared" ca="1" si="33"/>
        <v>0.70833333333333337</v>
      </c>
    </row>
    <row r="1295" spans="1:46" ht="12.5" x14ac:dyDescent="0.25">
      <c r="A1295" s="75">
        <v>44984.373429976855</v>
      </c>
      <c r="B1295" s="1" t="s">
        <v>10</v>
      </c>
      <c r="C1295" s="1" t="str">
        <f>INDEX(TBL_Name,MATCH(Table2[[#This Row],[Athlete Name]],listNames,0),2)</f>
        <v>Athlete 5</v>
      </c>
      <c r="D1295" s="1" t="s">
        <v>130</v>
      </c>
      <c r="E1295" s="1">
        <v>10</v>
      </c>
      <c r="F1295" s="1">
        <v>9</v>
      </c>
      <c r="G1295" s="1">
        <v>9</v>
      </c>
      <c r="H1295" s="1" t="s">
        <v>326</v>
      </c>
      <c r="I1295" s="1">
        <v>8</v>
      </c>
      <c r="J1295" s="1">
        <v>8</v>
      </c>
      <c r="K1295" s="1">
        <v>8</v>
      </c>
      <c r="L1295" s="1">
        <v>87</v>
      </c>
      <c r="M1295" s="1" t="e">
        <f t="shared" ref="M1295" ca="1" si="95">_xludf.concat($B1295,$P1295)</f>
        <v>#NAME?</v>
      </c>
      <c r="N1295" s="1" t="e">
        <f t="shared" si="18"/>
        <v>#VALUE!</v>
      </c>
      <c r="O1295" s="1" t="e">
        <f t="shared" ref="O1295" ca="1" si="96">IF($N1295=_xludf.MINIFS($N$2:$N2563,$R$2:$R2563,$R1295),1,
($N1295-_xludf.MINIFS($N$2:$N2563,$R$2:$R2563,$R1295))+1)</f>
        <v>#VALUE!</v>
      </c>
      <c r="P1295" s="13" t="e">
        <f t="shared" si="19"/>
        <v>#VALUE!</v>
      </c>
      <c r="Q1295" s="1" t="str">
        <f>RIGHT(YEAR($A1295),2)-(MONTH($A1295)&lt;=[2]Roster!$K$25)
 &amp;"-"&amp;
 RIGHT(YEAR($A1295),2)+(MONTH($A1295)&gt;=[2]Roster!$K$26)</f>
        <v>22-23</v>
      </c>
      <c r="R1295" s="1" t="e">
        <f>CHOOSE(MONTH($P1295),[2]Roster!$K$9,[2]Roster!$K$10,[2]Roster!$K$11,[2]Roster!$K$12,[2]Roster!$K$13,[2]Roster!$K$14,[2]Roster!$K$15,[2]Roster!$K$16,[2]Roster!$K$17,[2]Roster!$K$18,[2]Roster!$K$19,[2]Roster!$K$20)&amp;" "&amp;$Q1295</f>
        <v>#VALUE!</v>
      </c>
      <c r="S1295" s="1">
        <f t="shared" si="20"/>
        <v>1</v>
      </c>
      <c r="T1295" s="1" t="str">
        <f t="array" ref="T1295">IFERROR(INDEX([2]Roster!$D$3:$D$42,MATCH($B1295,[2]Roster!$C$3:$C$42,0)),"")</f>
        <v>MID</v>
      </c>
      <c r="U1295" s="1" t="str">
        <f t="array" ref="U1295">IFERROR(INDEX([2]Roster!$E$3:$E$42,MATCH($B1295,[2]Roster!$C$3:$C$42,0)),"")</f>
        <v>MID</v>
      </c>
      <c r="V1295" s="76">
        <f t="array" ref="V1295">AVERAGEIFS($E$2:$E2327,$B$2:$B2327,$B1295,$P$2:$P2327,"&lt;="&amp;$P1295,$P$2:$P2327,"&gt;"&amp;$P1295-7)</f>
        <v>8.4042553191489358</v>
      </c>
      <c r="W1295" s="76">
        <f ca="1">IFERROR(__xludf.DUMMYFUNCTION("iferror(stdevp(filter($D$2:$D2330,$B$2:$B2330=$B1298,$O$2:$O2330&lt;=$O1298,$O$2:$O2330&gt;$O1298-7)),0)"),1.7950549357115)</f>
        <v>1.7950549357115</v>
      </c>
      <c r="X1295" s="77">
        <f t="shared" ca="1" si="21"/>
        <v>0.88896704446461083</v>
      </c>
      <c r="Y1295" s="77">
        <f t="shared" ca="1" si="22"/>
        <v>3</v>
      </c>
      <c r="Z1295" s="76">
        <f t="array" ref="Z1295">AVERAGEIFS($F$2:$F2327,$B$2:$B2327,$B1295,$P$2:$P2327,"&lt;="&amp;$P1295,$P$2:$P2327,"&gt;"&amp;$P1295-7)</f>
        <v>8.085106382978724</v>
      </c>
      <c r="AA1295" s="76">
        <f ca="1">IFERROR(__xludf.DUMMYFUNCTION("iferror(stdevp(filter($E$2:$E2330,$B$2:$B2330=$B1298,$O$2:$O2330&lt;=$O1298,$O$2:$O2330&gt;$O1298-7)),0)"),0.957427107756338)</f>
        <v>0.95742710775633799</v>
      </c>
      <c r="AB1295" s="77">
        <f t="shared" ca="1" si="23"/>
        <v>0.95557521779936216</v>
      </c>
      <c r="AC1295" s="77">
        <f t="shared" ca="1" si="24"/>
        <v>3</v>
      </c>
      <c r="AD1295" s="76">
        <f t="array" ref="AD1295">AVERAGEIFS($G$2:$G2327,$B$2:$B2327,$B1295,$P$2:$P2327,"&lt;="&amp;$P1295,$P$2:$P2327,"&gt;"&amp;$P1295-7)</f>
        <v>8.0638297872340434</v>
      </c>
      <c r="AE1295" s="76">
        <f ca="1">IFERROR(__xludf.DUMMYFUNCTION("iferror(stdevp(filter($F$2:$F2330,$B$2:$B2330=$B1298,$O$2:$O2330&lt;=$O1298,$O$2:$O2330&gt;$O1298-7)),0)"),0.957427107756338)</f>
        <v>0.95742710775633799</v>
      </c>
      <c r="AF1295" s="77">
        <f t="shared" ca="1" si="25"/>
        <v>0.97779789728306787</v>
      </c>
      <c r="AG1295" s="77">
        <f t="shared" ca="1" si="26"/>
        <v>3</v>
      </c>
      <c r="AH1295" s="76">
        <f t="array" ref="AH1295">AVERAGEIFS($I$2:$I2327,$B$2:$B2327,$B1295,$P$2:$P2327,"&lt;="&amp;$P1295,$P$2:$P2327,"&gt;"&amp;$P1295-7)</f>
        <v>6.7446808510638299</v>
      </c>
      <c r="AI1295" s="76">
        <f ca="1">IFERROR(__xludf.DUMMYFUNCTION("iferror(stdevp(filter($H$2:$H2330,$B$2:$B2330=$B1298,$O$2:$O2330&lt;=$O1298,$O$2:$O2330&gt;$O1298-7)),0)"),1.24721912892464)</f>
        <v>1.2472191289246399</v>
      </c>
      <c r="AJ1295" s="77">
        <f t="shared" ca="1" si="27"/>
        <v>1.0064944642233913</v>
      </c>
      <c r="AK1295" s="77">
        <f t="shared" ca="1" si="28"/>
        <v>4</v>
      </c>
      <c r="AL1295" s="76">
        <f t="array" ref="AL1295">AVERAGEIFS($J$2:$J2327,$B$2:$B2327,$B1295,$P$2:$P2327,"&lt;="&amp;$P1295,$P$2:$P2327,"&gt;"&amp;$P1295-7)</f>
        <v>8.1063829787234045</v>
      </c>
      <c r="AM1295" s="76">
        <f ca="1">IFERROR(__xludf.DUMMYFUNCTION("iferror(stdevp(filter($I$2:$I2330,$B$2:$B2330=$B1298,$O$2:$O2330&lt;=$O1298,$O$2:$O2330&gt;$O1298-7)),0)"),0.687184270936277)</f>
        <v>0.68718427093627699</v>
      </c>
      <c r="AN1295" s="77">
        <f t="shared" ca="1" si="29"/>
        <v>-0.1548099734274469</v>
      </c>
      <c r="AO1295" s="77">
        <f t="shared" ca="1" si="30"/>
        <v>2</v>
      </c>
      <c r="AP1295" s="76">
        <f t="array" ref="AP1295">AVERAGEIFS($K$2:$K2327,$B$2:$B2327,$B1295,$P$2:$P2327,"&lt;="&amp;$P1295,$P$2:$P2327,"&gt;"&amp;$P1295-7)</f>
        <v>8.2978723404255312</v>
      </c>
      <c r="AQ1295" s="76">
        <f ca="1">IFERROR(__xludf.DUMMYFUNCTION("iferror(stdevp(filter($J$2:$J2330,$B$2:$B2330=$B1298,$O$2:$O2330&lt;=$O1298,$O$2:$O2330&gt;$O1298-7)),0)"),0.471404520791032)</f>
        <v>0.47140452079103201</v>
      </c>
      <c r="AR1295" s="77">
        <f t="shared" ca="1" si="31"/>
        <v>-0.63188265552840228</v>
      </c>
      <c r="AS1295" s="77">
        <f t="shared" ca="1" si="32"/>
        <v>2</v>
      </c>
      <c r="AT1295" s="78">
        <f t="shared" ca="1" si="33"/>
        <v>0.70833333333333337</v>
      </c>
    </row>
    <row r="1296" spans="1:46" ht="12.5" x14ac:dyDescent="0.25">
      <c r="A1296" s="75">
        <v>44984.392735555557</v>
      </c>
      <c r="B1296" s="1" t="s">
        <v>19</v>
      </c>
      <c r="C1296" s="1" t="str">
        <f>INDEX(TBL_Name,MATCH(Table2[[#This Row],[Athlete Name]],listNames,0),2)</f>
        <v>Athlete 11</v>
      </c>
      <c r="D1296" s="1" t="s">
        <v>130</v>
      </c>
      <c r="E1296" s="1">
        <v>7</v>
      </c>
      <c r="F1296" s="1">
        <v>6</v>
      </c>
      <c r="G1296" s="1">
        <v>7</v>
      </c>
      <c r="H1296" s="1" t="s">
        <v>1601</v>
      </c>
      <c r="I1296" s="1">
        <v>5</v>
      </c>
      <c r="J1296" s="1">
        <v>8</v>
      </c>
      <c r="K1296" s="1">
        <v>8</v>
      </c>
      <c r="L1296" s="1">
        <v>59</v>
      </c>
      <c r="M1296" s="1" t="e">
        <f t="shared" ref="M1296" ca="1" si="97">_xludf.concat($B1296,$P1296)</f>
        <v>#NAME?</v>
      </c>
      <c r="N1296" s="1" t="e">
        <f t="shared" si="18"/>
        <v>#VALUE!</v>
      </c>
      <c r="O1296" s="1" t="e">
        <f t="shared" ref="O1296" ca="1" si="98">IF($N1296=_xludf.MINIFS($N$2:$N2564,$R$2:$R2564,$R1296),1,
($N1296-_xludf.MINIFS($N$2:$N2564,$R$2:$R2564,$R1296))+1)</f>
        <v>#VALUE!</v>
      </c>
      <c r="P1296" s="13" t="e">
        <f t="shared" si="19"/>
        <v>#VALUE!</v>
      </c>
      <c r="Q1296" s="1" t="str">
        <f>RIGHT(YEAR($A1296),2)-(MONTH($A1296)&lt;=[2]Roster!$K$25)
 &amp;"-"&amp;
 RIGHT(YEAR($A1296),2)+(MONTH($A1296)&gt;=[2]Roster!$K$26)</f>
        <v>22-23</v>
      </c>
      <c r="R1296" s="1" t="e">
        <f>CHOOSE(MONTH($P1296),[2]Roster!$K$9,[2]Roster!$K$10,[2]Roster!$K$11,[2]Roster!$K$12,[2]Roster!$K$13,[2]Roster!$K$14,[2]Roster!$K$15,[2]Roster!$K$16,[2]Roster!$K$17,[2]Roster!$K$18,[2]Roster!$K$19,[2]Roster!$K$20)&amp;" "&amp;$Q1296</f>
        <v>#VALUE!</v>
      </c>
      <c r="S1296" s="1">
        <f t="shared" si="20"/>
        <v>1</v>
      </c>
      <c r="T1296" s="1" t="str">
        <f t="array" ref="T1296">IFERROR(INDEX([2]Roster!$D$3:$D$42,MATCH($B1296,[2]Roster!$C$3:$C$42,0)),"")</f>
        <v>D</v>
      </c>
      <c r="U1296" s="1" t="str">
        <f t="array" ref="U1296">IFERROR(INDEX([2]Roster!$E$3:$E$42,MATCH($B1296,[2]Roster!$C$3:$C$42,0)),"")</f>
        <v>D</v>
      </c>
      <c r="V1296" s="76">
        <f t="array" ref="V1296">AVERAGEIFS($E$2:$E2327,$B$2:$B2327,$B1296,$P$2:$P2327,"&lt;="&amp;$P1296,$P$2:$P2327,"&gt;"&amp;$P1296-7)</f>
        <v>4.6538461538461542</v>
      </c>
      <c r="W1296" s="76">
        <f ca="1">IFERROR(__xludf.DUMMYFUNCTION("iferror(stdevp(filter($D$2:$D2330,$B$2:$B2330=$B1299,$O$2:$O2330&lt;=$O1299,$O$2:$O2330&gt;$O1299-7)),0)"),1.5)</f>
        <v>1.5</v>
      </c>
      <c r="X1296" s="77">
        <f t="shared" ca="1" si="21"/>
        <v>1.5641025641025639</v>
      </c>
      <c r="Y1296" s="77">
        <f t="shared" ca="1" si="22"/>
        <v>4</v>
      </c>
      <c r="Z1296" s="76">
        <f t="array" ref="Z1296">AVERAGEIFS($F$2:$F2327,$B$2:$B2327,$B1296,$P$2:$P2327,"&lt;="&amp;$P1296,$P$2:$P2327,"&gt;"&amp;$P1296-7)</f>
        <v>6.8461538461538458</v>
      </c>
      <c r="AA1296" s="76">
        <f ca="1">IFERROR(__xludf.DUMMYFUNCTION("iferror(stdevp(filter($E$2:$E2330,$B$2:$B2330=$B1299,$O$2:$O2330&lt;=$O1299,$O$2:$O2330&gt;$O1299-7)),0)"),1)</f>
        <v>1</v>
      </c>
      <c r="AB1296" s="77">
        <f t="shared" ca="1" si="23"/>
        <v>-0.84615384615384581</v>
      </c>
      <c r="AC1296" s="77">
        <f t="shared" ca="1" si="24"/>
        <v>2</v>
      </c>
      <c r="AD1296" s="76">
        <f t="array" ref="AD1296">AVERAGEIFS($G$2:$G2327,$B$2:$B2327,$B1296,$P$2:$P2327,"&lt;="&amp;$P1296,$P$2:$P2327,"&gt;"&amp;$P1296-7)</f>
        <v>7.2692307692307692</v>
      </c>
      <c r="AE1296" s="76">
        <f ca="1">IFERROR(__xludf.DUMMYFUNCTION("iferror(stdevp(filter($F$2:$F2330,$B$2:$B2330=$B1299,$O$2:$O2330&lt;=$O1299,$O$2:$O2330&gt;$O1299-7)),0)"),1)</f>
        <v>1</v>
      </c>
      <c r="AF1296" s="77">
        <f t="shared" ca="1" si="25"/>
        <v>-0.26923076923076916</v>
      </c>
      <c r="AG1296" s="77">
        <f t="shared" ca="1" si="26"/>
        <v>2</v>
      </c>
      <c r="AH1296" s="76">
        <f t="array" ref="AH1296">AVERAGEIFS($I$2:$I2327,$B$2:$B2327,$B1296,$P$2:$P2327,"&lt;="&amp;$P1296,$P$2:$P2327,"&gt;"&amp;$P1296-7)</f>
        <v>4.9230769230769234</v>
      </c>
      <c r="AI1296" s="76">
        <f ca="1">IFERROR(__xludf.DUMMYFUNCTION("iferror(stdevp(filter($H$2:$H2330,$B$2:$B2330=$B1299,$O$2:$O2330&lt;=$O1299,$O$2:$O2330&gt;$O1299-7)),0)"),0.5)</f>
        <v>0.5</v>
      </c>
      <c r="AJ1296" s="77">
        <f t="shared" ca="1" si="27"/>
        <v>0.1538461538461533</v>
      </c>
      <c r="AK1296" s="77">
        <f t="shared" ca="1" si="28"/>
        <v>3</v>
      </c>
      <c r="AL1296" s="76">
        <f t="array" ref="AL1296">AVERAGEIFS($J$2:$J2327,$B$2:$B2327,$B1296,$P$2:$P2327,"&lt;="&amp;$P1296,$P$2:$P2327,"&gt;"&amp;$P1296-7)</f>
        <v>7.5769230769230766</v>
      </c>
      <c r="AM1296" s="76">
        <f ca="1">IFERROR(__xludf.DUMMYFUNCTION("iferror(stdevp(filter($I$2:$I2330,$B$2:$B2330=$B1299,$O$2:$O2330&lt;=$O1299,$O$2:$O2330&gt;$O1299-7)),0)"),0)</f>
        <v>0</v>
      </c>
      <c r="AN1296" s="77">
        <f t="shared" ca="1" si="29"/>
        <v>0</v>
      </c>
      <c r="AO1296" s="77">
        <f t="shared" ca="1" si="30"/>
        <v>3</v>
      </c>
      <c r="AP1296" s="76">
        <f t="array" ref="AP1296">AVERAGEIFS($K$2:$K2327,$B$2:$B2327,$B1296,$P$2:$P2327,"&lt;="&amp;$P1296,$P$2:$P2327,"&gt;"&amp;$P1296-7)</f>
        <v>8</v>
      </c>
      <c r="AQ1296" s="76">
        <f ca="1">IFERROR(__xludf.DUMMYFUNCTION("iferror(stdevp(filter($J$2:$J2330,$B$2:$B2330=$B1299,$O$2:$O2330&lt;=$O1299,$O$2:$O2330&gt;$O1299-7)),0)"),0)</f>
        <v>0</v>
      </c>
      <c r="AR1296" s="77">
        <f t="shared" ca="1" si="31"/>
        <v>0</v>
      </c>
      <c r="AS1296" s="77">
        <f t="shared" ca="1" si="32"/>
        <v>3</v>
      </c>
      <c r="AT1296" s="78">
        <f t="shared" ca="1" si="33"/>
        <v>0.70833333333333337</v>
      </c>
    </row>
    <row r="1297" spans="1:46" ht="12.5" x14ac:dyDescent="0.25">
      <c r="A1297" s="75">
        <v>44984.567175648146</v>
      </c>
      <c r="B1297" s="1" t="s">
        <v>6</v>
      </c>
      <c r="C1297" s="1" t="str">
        <f>INDEX(TBL_Name,MATCH(Table2[[#This Row],[Athlete Name]],listNames,0),2)</f>
        <v>Athlete 2</v>
      </c>
      <c r="D1297" s="1" t="s">
        <v>130</v>
      </c>
      <c r="E1297" s="1">
        <v>10</v>
      </c>
      <c r="F1297" s="1">
        <v>10</v>
      </c>
      <c r="G1297" s="1">
        <v>9</v>
      </c>
      <c r="H1297" s="1" t="s">
        <v>71</v>
      </c>
      <c r="I1297" s="1">
        <v>9</v>
      </c>
      <c r="J1297" s="1">
        <v>9</v>
      </c>
      <c r="K1297" s="1">
        <v>10</v>
      </c>
      <c r="L1297" s="1">
        <v>99</v>
      </c>
      <c r="M1297" s="1" t="e">
        <f t="shared" ref="M1297" ca="1" si="99">_xludf.concat($B1297,$P1297)</f>
        <v>#NAME?</v>
      </c>
      <c r="N1297" s="1" t="e">
        <f t="shared" si="18"/>
        <v>#VALUE!</v>
      </c>
      <c r="O1297" s="1" t="e">
        <f t="shared" ref="O1297" ca="1" si="100">IF($N1297=_xludf.MINIFS($N$2:$N2565,$R$2:$R2565,$R1297),1,
($N1297-_xludf.MINIFS($N$2:$N2565,$R$2:$R2565,$R1297))+1)</f>
        <v>#VALUE!</v>
      </c>
      <c r="P1297" s="13" t="e">
        <f t="shared" si="19"/>
        <v>#VALUE!</v>
      </c>
      <c r="Q1297" s="1" t="str">
        <f>RIGHT(YEAR($A1297),2)-(MONTH($A1297)&lt;=[2]Roster!$K$25)
 &amp;"-"&amp;
 RIGHT(YEAR($A1297),2)+(MONTH($A1297)&gt;=[2]Roster!$K$26)</f>
        <v>22-23</v>
      </c>
      <c r="R1297" s="1" t="e">
        <f>CHOOSE(MONTH($P1297),[2]Roster!$K$9,[2]Roster!$K$10,[2]Roster!$K$11,[2]Roster!$K$12,[2]Roster!$K$13,[2]Roster!$K$14,[2]Roster!$K$15,[2]Roster!$K$16,[2]Roster!$K$17,[2]Roster!$K$18,[2]Roster!$K$19,[2]Roster!$K$20)&amp;" "&amp;$Q1297</f>
        <v>#VALUE!</v>
      </c>
      <c r="S1297" s="1">
        <f t="shared" si="20"/>
        <v>1</v>
      </c>
      <c r="T1297" s="1" t="str">
        <f t="array" ref="T1297">IFERROR(INDEX([2]Roster!$D$3:$D$42,MATCH($B1297,[2]Roster!$C$3:$C$42,0)),"")</f>
        <v>FWD</v>
      </c>
      <c r="U1297" s="1" t="str">
        <f t="array" ref="U1297">IFERROR(INDEX([2]Roster!$E$3:$E$42,MATCH($B1297,[2]Roster!$C$3:$C$42,0)),"")</f>
        <v>FWD</v>
      </c>
      <c r="V1297" s="76">
        <f t="array" ref="V1297">AVERAGEIFS($E$2:$E2327,$B$2:$B2327,$B1297,$P$2:$P2327,"&lt;="&amp;$P1297,$P$2:$P2327,"&gt;"&amp;$P1297-7)</f>
        <v>9.7441860465116275</v>
      </c>
      <c r="W1297" s="76">
        <f ca="1">IFERROR(__xludf.DUMMYFUNCTION("iferror(stdevp(filter($D$2:$D2330,$B$2:$B2330=$B1300,$O$2:$O2330&lt;=$O1300,$O$2:$O2330&gt;$O1300-7)),0)"),0.471404520791031)</f>
        <v>0.47140452079103101</v>
      </c>
      <c r="X1297" s="77">
        <f t="shared" ca="1" si="21"/>
        <v>0.54266334370130564</v>
      </c>
      <c r="Y1297" s="77">
        <f t="shared" ca="1" si="22"/>
        <v>3</v>
      </c>
      <c r="Z1297" s="76">
        <f t="array" ref="Z1297">AVERAGEIFS($F$2:$F2327,$B$2:$B2327,$B1297,$P$2:$P2327,"&lt;="&amp;$P1297,$P$2:$P2327,"&gt;"&amp;$P1297-7)</f>
        <v>8.279069767441861</v>
      </c>
      <c r="AA1297" s="76">
        <f ca="1">IFERROR(__xludf.DUMMYFUNCTION("iferror(stdevp(filter($E$2:$E2330,$B$2:$B2330=$B1300,$O$2:$O2330&lt;=$O1300,$O$2:$O2330&gt;$O1300-7)),0)"),0)</f>
        <v>0</v>
      </c>
      <c r="AB1297" s="77">
        <f t="shared" ca="1" si="23"/>
        <v>0</v>
      </c>
      <c r="AC1297" s="77">
        <f t="shared" ca="1" si="24"/>
        <v>3</v>
      </c>
      <c r="AD1297" s="76">
        <f t="array" ref="AD1297">AVERAGEIFS($G$2:$G2327,$B$2:$B2327,$B1297,$P$2:$P2327,"&lt;="&amp;$P1297,$P$2:$P2327,"&gt;"&amp;$P1297-7)</f>
        <v>8.604651162790697</v>
      </c>
      <c r="AE1297" s="76">
        <f ca="1">IFERROR(__xludf.DUMMYFUNCTION("iferror(stdevp(filter($F$2:$F2330,$B$2:$B2330=$B1300,$O$2:$O2330&lt;=$O1300,$O$2:$O2330&gt;$O1300-7)),0)"),0.471404520791031)</f>
        <v>0.47140452079103101</v>
      </c>
      <c r="AF1297" s="77">
        <f t="shared" ca="1" si="25"/>
        <v>0.83866153117474507</v>
      </c>
      <c r="AG1297" s="77">
        <f t="shared" ca="1" si="26"/>
        <v>3</v>
      </c>
      <c r="AH1297" s="76">
        <f t="array" ref="AH1297">AVERAGEIFS($I$2:$I2327,$B$2:$B2327,$B1297,$P$2:$P2327,"&lt;="&amp;$P1297,$P$2:$P2327,"&gt;"&amp;$P1297-7)</f>
        <v>8.3488372093023262</v>
      </c>
      <c r="AI1297" s="76">
        <f ca="1">IFERROR(__xludf.DUMMYFUNCTION("iferror(stdevp(filter($H$2:$H2330,$B$2:$B2330=$B1300,$O$2:$O2330&lt;=$O1300,$O$2:$O2330&gt;$O1300-7)),0)"),0.471404520791031)</f>
        <v>0.47140452079103101</v>
      </c>
      <c r="AJ1297" s="77">
        <f t="shared" ca="1" si="27"/>
        <v>1.3813248748760469</v>
      </c>
      <c r="AK1297" s="77">
        <f t="shared" ca="1" si="28"/>
        <v>4</v>
      </c>
      <c r="AL1297" s="76">
        <f t="array" ref="AL1297">AVERAGEIFS($J$2:$J2327,$B$2:$B2327,$B1297,$P$2:$P2327,"&lt;="&amp;$P1297,$P$2:$P2327,"&gt;"&amp;$P1297-7)</f>
        <v>8.3023255813953494</v>
      </c>
      <c r="AM1297" s="76">
        <f ca="1">IFERROR(__xludf.DUMMYFUNCTION("iferror(stdevp(filter($I$2:$I2330,$B$2:$B2330=$B1300,$O$2:$O2330&lt;=$O1300,$O$2:$O2330&gt;$O1300-7)),0)"),0)</f>
        <v>0</v>
      </c>
      <c r="AN1297" s="77">
        <f t="shared" ca="1" si="29"/>
        <v>0</v>
      </c>
      <c r="AO1297" s="77">
        <f t="shared" ca="1" si="30"/>
        <v>3</v>
      </c>
      <c r="AP1297" s="76">
        <f t="array" ref="AP1297">AVERAGEIFS($K$2:$K2327,$B$2:$B2327,$B1297,$P$2:$P2327,"&lt;="&amp;$P1297,$P$2:$P2327,"&gt;"&amp;$P1297-7)</f>
        <v>8.9069767441860463</v>
      </c>
      <c r="AQ1297" s="76">
        <f ca="1">IFERROR(__xludf.DUMMYFUNCTION("iferror(stdevp(filter($J$2:$J2330,$B$2:$B2330=$B1300,$O$2:$O2330&lt;=$O1300,$O$2:$O2330&gt;$O1300-7)),0)"),1.24721912892464)</f>
        <v>1.2472191289246399</v>
      </c>
      <c r="AR1297" s="77">
        <f t="shared" ca="1" si="31"/>
        <v>0.87636825836400145</v>
      </c>
      <c r="AS1297" s="77">
        <f t="shared" ca="1" si="32"/>
        <v>3</v>
      </c>
      <c r="AT1297" s="78">
        <f t="shared" ca="1" si="33"/>
        <v>0.79166666666666663</v>
      </c>
    </row>
    <row r="1298" spans="1:46" ht="12.5" x14ac:dyDescent="0.25">
      <c r="A1298" s="75">
        <v>44985.577598113421</v>
      </c>
      <c r="B1298" s="1" t="s">
        <v>6</v>
      </c>
      <c r="C1298" s="1" t="str">
        <f>INDEX(TBL_Name,MATCH(Table2[[#This Row],[Athlete Name]],listNames,0),2)</f>
        <v>Athlete 2</v>
      </c>
      <c r="D1298" s="1" t="s">
        <v>130</v>
      </c>
      <c r="E1298" s="1">
        <v>10</v>
      </c>
      <c r="F1298" s="1">
        <v>9</v>
      </c>
      <c r="G1298" s="1">
        <v>9</v>
      </c>
      <c r="H1298" s="1" t="s">
        <v>71</v>
      </c>
      <c r="I1298" s="1">
        <v>9</v>
      </c>
      <c r="J1298" s="1">
        <v>9</v>
      </c>
      <c r="K1298" s="1">
        <v>10</v>
      </c>
      <c r="L1298" s="1">
        <v>95</v>
      </c>
      <c r="M1298" s="1" t="e">
        <f t="shared" ref="M1298" ca="1" si="101">_xludf.concat($B1298,$P1298)</f>
        <v>#NAME?</v>
      </c>
      <c r="N1298" s="1" t="e">
        <f t="shared" si="18"/>
        <v>#VALUE!</v>
      </c>
      <c r="O1298" s="1" t="e">
        <f t="shared" ref="O1298" ca="1" si="102">IF($N1298=_xludf.MINIFS($N$2:$N2566,$R$2:$R2566,$R1298),1,
($N1298-_xludf.MINIFS($N$2:$N2566,$R$2:$R2566,$R1298))+1)</f>
        <v>#VALUE!</v>
      </c>
      <c r="P1298" s="13" t="e">
        <f t="shared" si="19"/>
        <v>#VALUE!</v>
      </c>
      <c r="Q1298" s="1" t="str">
        <f>RIGHT(YEAR($A1298),2)-(MONTH($A1298)&lt;=[2]Roster!$K$25)
 &amp;"-"&amp;
 RIGHT(YEAR($A1298),2)+(MONTH($A1298)&gt;=[2]Roster!$K$26)</f>
        <v>22-23</v>
      </c>
      <c r="R1298" s="1" t="e">
        <f>CHOOSE(MONTH($P1298),[2]Roster!$K$9,[2]Roster!$K$10,[2]Roster!$K$11,[2]Roster!$K$12,[2]Roster!$K$13,[2]Roster!$K$14,[2]Roster!$K$15,[2]Roster!$K$16,[2]Roster!$K$17,[2]Roster!$K$18,[2]Roster!$K$19,[2]Roster!$K$20)&amp;" "&amp;$Q1298</f>
        <v>#VALUE!</v>
      </c>
      <c r="S1298" s="1">
        <f t="shared" si="20"/>
        <v>1</v>
      </c>
      <c r="T1298" s="1" t="str">
        <f t="array" ref="T1298">IFERROR(INDEX([2]Roster!$D$3:$D$42,MATCH($B1298,[2]Roster!$C$3:$C$42,0)),"")</f>
        <v>FWD</v>
      </c>
      <c r="U1298" s="1" t="str">
        <f t="array" ref="U1298">IFERROR(INDEX([2]Roster!$E$3:$E$42,MATCH($B1298,[2]Roster!$C$3:$C$42,0)),"")</f>
        <v>FWD</v>
      </c>
      <c r="V1298" s="76">
        <f t="array" ref="V1298">AVERAGEIFS($E$2:$E2327,$B$2:$B2327,$B1298,$P$2:$P2327,"&lt;="&amp;$P1298,$P$2:$P2327,"&gt;"&amp;$P1298-7)</f>
        <v>9.7441860465116275</v>
      </c>
      <c r="W1298" s="76">
        <f ca="1">IFERROR(__xludf.DUMMYFUNCTION("iferror(stdevp(filter($D$2:$D2330,$B$2:$B2330=$B1301,$O$2:$O2330&lt;=$O1301,$O$2:$O2330&gt;$O1301-7)),0)"),0.471404520791031)</f>
        <v>0.47140452079103101</v>
      </c>
      <c r="X1298" s="77">
        <f t="shared" ca="1" si="21"/>
        <v>0.54266334370130564</v>
      </c>
      <c r="Y1298" s="77">
        <f t="shared" ca="1" si="22"/>
        <v>3</v>
      </c>
      <c r="Z1298" s="76">
        <f t="array" ref="Z1298">AVERAGEIFS($F$2:$F2327,$B$2:$B2327,$B1298,$P$2:$P2327,"&lt;="&amp;$P1298,$P$2:$P2327,"&gt;"&amp;$P1298-7)</f>
        <v>8.279069767441861</v>
      </c>
      <c r="AA1298" s="76">
        <f ca="1">IFERROR(__xludf.DUMMYFUNCTION("iferror(stdevp(filter($E$2:$E2330,$B$2:$B2330=$B1301,$O$2:$O2330&lt;=$O1301,$O$2:$O2330&gt;$O1301-7)),0)"),0.471404520791031)</f>
        <v>0.47140452079103101</v>
      </c>
      <c r="AB1298" s="77">
        <f t="shared" ca="1" si="23"/>
        <v>1.5293239686127666</v>
      </c>
      <c r="AC1298" s="77">
        <f t="shared" ca="1" si="24"/>
        <v>4</v>
      </c>
      <c r="AD1298" s="76">
        <f t="array" ref="AD1298">AVERAGEIFS($G$2:$G2327,$B$2:$B2327,$B1298,$P$2:$P2327,"&lt;="&amp;$P1298,$P$2:$P2327,"&gt;"&amp;$P1298-7)</f>
        <v>8.604651162790697</v>
      </c>
      <c r="AE1298" s="76">
        <f ca="1">IFERROR(__xludf.DUMMYFUNCTION("iferror(stdevp(filter($F$2:$F2330,$B$2:$B2330=$B1301,$O$2:$O2330&lt;=$O1301,$O$2:$O2330&gt;$O1301-7)),0)"),0.471404520791031)</f>
        <v>0.47140452079103101</v>
      </c>
      <c r="AF1298" s="77">
        <f t="shared" ca="1" si="25"/>
        <v>0.83866153117474507</v>
      </c>
      <c r="AG1298" s="77">
        <f t="shared" ca="1" si="26"/>
        <v>3</v>
      </c>
      <c r="AH1298" s="76">
        <f t="array" ref="AH1298">AVERAGEIFS($I$2:$I2327,$B$2:$B2327,$B1298,$P$2:$P2327,"&lt;="&amp;$P1298,$P$2:$P2327,"&gt;"&amp;$P1298-7)</f>
        <v>8.3488372093023262</v>
      </c>
      <c r="AI1298" s="76">
        <f ca="1">IFERROR(__xludf.DUMMYFUNCTION("iferror(stdevp(filter($H$2:$H2330,$B$2:$B2330=$B1301,$O$2:$O2330&lt;=$O1301,$O$2:$O2330&gt;$O1301-7)),0)"),0)</f>
        <v>0</v>
      </c>
      <c r="AJ1298" s="77">
        <f t="shared" ca="1" si="27"/>
        <v>0</v>
      </c>
      <c r="AK1298" s="77">
        <f t="shared" ca="1" si="28"/>
        <v>3</v>
      </c>
      <c r="AL1298" s="76">
        <f t="array" ref="AL1298">AVERAGEIFS($J$2:$J2327,$B$2:$B2327,$B1298,$P$2:$P2327,"&lt;="&amp;$P1298,$P$2:$P2327,"&gt;"&amp;$P1298-7)</f>
        <v>8.3023255813953494</v>
      </c>
      <c r="AM1298" s="76">
        <f ca="1">IFERROR(__xludf.DUMMYFUNCTION("iferror(stdevp(filter($I$2:$I2330,$B$2:$B2330=$B1301,$O$2:$O2330&lt;=$O1301,$O$2:$O2330&gt;$O1301-7)),0)"),0)</f>
        <v>0</v>
      </c>
      <c r="AN1298" s="77">
        <f t="shared" ca="1" si="29"/>
        <v>0</v>
      </c>
      <c r="AO1298" s="77">
        <f t="shared" ca="1" si="30"/>
        <v>3</v>
      </c>
      <c r="AP1298" s="76">
        <f t="array" ref="AP1298">AVERAGEIFS($K$2:$K2327,$B$2:$B2327,$B1298,$P$2:$P2327,"&lt;="&amp;$P1298,$P$2:$P2327,"&gt;"&amp;$P1298-7)</f>
        <v>8.9069767441860463</v>
      </c>
      <c r="AQ1298" s="76">
        <f ca="1">IFERROR(__xludf.DUMMYFUNCTION("iferror(stdevp(filter($J$2:$J2330,$B$2:$B2330=$B1301,$O$2:$O2330&lt;=$O1301,$O$2:$O2330&gt;$O1301-7)),0)"),0.942809041582063)</f>
        <v>0.94280904158206302</v>
      </c>
      <c r="AR1298" s="77">
        <f t="shared" ca="1" si="31"/>
        <v>1.159326234270968</v>
      </c>
      <c r="AS1298" s="77">
        <f t="shared" ca="1" si="32"/>
        <v>4</v>
      </c>
      <c r="AT1298" s="78">
        <f t="shared" ca="1" si="33"/>
        <v>0.83333333333333337</v>
      </c>
    </row>
    <row r="1299" spans="1:46" ht="12.5" x14ac:dyDescent="0.25">
      <c r="A1299" s="75">
        <v>44985.586196168981</v>
      </c>
      <c r="B1299" s="1" t="s">
        <v>17</v>
      </c>
      <c r="C1299" s="1" t="str">
        <f>INDEX(TBL_Name,MATCH(Table2[[#This Row],[Athlete Name]],listNames,0),2)</f>
        <v>Athlete 10</v>
      </c>
      <c r="D1299" s="1" t="s">
        <v>130</v>
      </c>
      <c r="E1299" s="1">
        <v>9</v>
      </c>
      <c r="F1299" s="1">
        <v>9</v>
      </c>
      <c r="G1299" s="1">
        <v>10</v>
      </c>
      <c r="H1299" s="1" t="s">
        <v>203</v>
      </c>
      <c r="I1299" s="1">
        <v>5</v>
      </c>
      <c r="J1299" s="1">
        <v>8</v>
      </c>
      <c r="K1299" s="1">
        <v>9</v>
      </c>
      <c r="L1299" s="1">
        <v>68</v>
      </c>
      <c r="M1299" s="1" t="e">
        <f t="shared" ref="M1299" ca="1" si="103">_xludf.concat($B1299,$P1299)</f>
        <v>#NAME?</v>
      </c>
      <c r="N1299" s="1" t="e">
        <f t="shared" ref="N1299:N1362" si="104">WEEKNUM($P1299)</f>
        <v>#VALUE!</v>
      </c>
      <c r="O1299" s="1" t="e">
        <f t="shared" ref="O1299" ca="1" si="105">IF($N1299=_xludf.MINIFS($N$2:$N2567,$R$2:$R2567,$R1299),1,
($N1299-_xludf.MINIFS($N$2:$N2567,$R$2:$R2567,$R1299))+1)</f>
        <v>#VALUE!</v>
      </c>
      <c r="P1299" s="13" t="e">
        <f t="shared" ref="P1299:P1362" si="106">DATEVALUE(A1299)</f>
        <v>#VALUE!</v>
      </c>
      <c r="Q1299" s="1" t="str">
        <f>RIGHT(YEAR($A1299),2)-(MONTH($A1299)&lt;=[2]Roster!$K$25)
 &amp;"-"&amp;
 RIGHT(YEAR($A1299),2)+(MONTH($A1299)&gt;=[2]Roster!$K$26)</f>
        <v>22-23</v>
      </c>
      <c r="R1299" s="1" t="e">
        <f>CHOOSE(MONTH($P1299),[2]Roster!$K$9,[2]Roster!$K$10,[2]Roster!$K$11,[2]Roster!$K$12,[2]Roster!$K$13,[2]Roster!$K$14,[2]Roster!$K$15,[2]Roster!$K$16,[2]Roster!$K$17,[2]Roster!$K$18,[2]Roster!$K$19,[2]Roster!$K$20)&amp;" "&amp;$Q1299</f>
        <v>#VALUE!</v>
      </c>
      <c r="S1299" s="1">
        <f t="shared" ref="S1299:S1362" si="107">IF($D1299="Full = I have no injury",1, IF($D1299="Limited = I need a modification during lift / practice",2,IF($D1299="Out = I have an injury",3,"")))</f>
        <v>1</v>
      </c>
      <c r="T1299" s="1" t="str">
        <f t="array" ref="T1299">IFERROR(INDEX([2]Roster!$D$3:$D$42,MATCH($B1299,[2]Roster!$C$3:$C$42,0)),"")</f>
        <v>D</v>
      </c>
      <c r="U1299" s="1" t="str">
        <f t="array" ref="U1299">IFERROR(INDEX([2]Roster!$E$3:$E$42,MATCH($B1299,[2]Roster!$C$3:$C$42,0)),"")</f>
        <v>D</v>
      </c>
      <c r="V1299" s="76">
        <f t="array" ref="V1299">AVERAGEIFS($E$2:$E2327,$B$2:$B2327,$B1299,$P$2:$P2327,"&lt;="&amp;$P1299,$P$2:$P2327,"&gt;"&amp;$P1299-7)</f>
        <v>6.9024390243902438</v>
      </c>
      <c r="W1299" s="76">
        <f ca="1">IFERROR(__xludf.DUMMYFUNCTION("iferror(stdevp(filter($D$2:$D2330,$B$2:$B2330=$B1302,$O$2:$O2330&lt;=$O1302,$O$2:$O2330&gt;$O1302-7)),0)"),1.29362644830534)</f>
        <v>1.2936264483053399</v>
      </c>
      <c r="X1299" s="77">
        <f t="shared" ref="X1299:X1362" ca="1" si="108">IFERROR(STANDARDIZE($E1299,$V1299,$W1299),0)</f>
        <v>1.6214580170014121</v>
      </c>
      <c r="Y1299" s="77">
        <f t="shared" ref="Y1299:Y1362" ca="1" si="109">IF($X1299&gt;=1,4,IF($X1299&gt;=0,3,IF($X1299&gt;-1,2,IF($X1299&lt;=-1,1))))</f>
        <v>4</v>
      </c>
      <c r="Z1299" s="76">
        <f t="array" ref="Z1299">AVERAGEIFS($F$2:$F2327,$B$2:$B2327,$B1299,$P$2:$P2327,"&lt;="&amp;$P1299,$P$2:$P2327,"&gt;"&amp;$P1299-7)</f>
        <v>7.2926829268292686</v>
      </c>
      <c r="AA1299" s="76">
        <f ca="1">IFERROR(__xludf.DUMMYFUNCTION("iferror(stdevp(filter($E$2:$E2330,$B$2:$B2330=$B1302,$O$2:$O2330&lt;=$O1302,$O$2:$O2330&gt;$O1302-7)),0)"),1.27775312999987)</f>
        <v>1.2777531299998699</v>
      </c>
      <c r="AB1299" s="77">
        <f t="shared" ref="AB1299:AB1362" ca="1" si="110">IFERROR(STANDARDIZE($F1299,$Z1299,$AA1299),0)</f>
        <v>1.3361869621645186</v>
      </c>
      <c r="AC1299" s="77">
        <f t="shared" ref="AC1299:AC1362" ca="1" si="111">IF($AB1299&gt;=1,4,IF($AB1299&gt;=0,3,IF($AB1299&gt;-1,2,IF($AB1299&lt;=-1,1))))</f>
        <v>4</v>
      </c>
      <c r="AD1299" s="76">
        <f t="array" ref="AD1299">AVERAGEIFS($G$2:$G2327,$B$2:$B2327,$B1299,$P$2:$P2327,"&lt;="&amp;$P1299,$P$2:$P2327,"&gt;"&amp;$P1299-7)</f>
        <v>7.8048780487804876</v>
      </c>
      <c r="AE1299" s="76">
        <f ca="1">IFERROR(__xludf.DUMMYFUNCTION("iferror(stdevp(filter($F$2:$F2330,$B$2:$B2330=$B1302,$O$2:$O2330&lt;=$O1302,$O$2:$O2330&gt;$O1302-7)),0)"),1.39970842444753)</f>
        <v>1.39970842444753</v>
      </c>
      <c r="AF1299" s="77">
        <f t="shared" ref="AF1299:AF1362" ca="1" si="112">IFERROR(STANDARDIZE($G1299,$AD1299,$AE1299),0)</f>
        <v>1.5682708719038645</v>
      </c>
      <c r="AG1299" s="77">
        <f t="shared" ref="AG1299:AG1362" ca="1" si="113">IF($AF1299&gt;=1,4,IF($AF1299&gt;=0,3,IF($AF1299&gt;-1,2,IF($AF1299&lt;=-1,1))))</f>
        <v>4</v>
      </c>
      <c r="AH1299" s="76">
        <f t="array" ref="AH1299">AVERAGEIFS($I$2:$I2327,$B$2:$B2327,$B1299,$P$2:$P2327,"&lt;="&amp;$P1299,$P$2:$P2327,"&gt;"&amp;$P1299-7)</f>
        <v>6.3170731707317076</v>
      </c>
      <c r="AI1299" s="76">
        <f ca="1">IFERROR(__xludf.DUMMYFUNCTION("iferror(stdevp(filter($H$2:$H2330,$B$2:$B2330=$B1302,$O$2:$O2330&lt;=$O1302,$O$2:$O2330&gt;$O1302-7)),0)"),1.24539969815447)</f>
        <v>1.2453996981544699</v>
      </c>
      <c r="AJ1299" s="77">
        <f t="shared" ref="AJ1299:AJ1362" ca="1" si="114">IFERROR(STANDARDIZE($I1299,$AH1299,$AI1299),0)</f>
        <v>-1.0575505780862553</v>
      </c>
      <c r="AK1299" s="77">
        <f t="shared" ref="AK1299:AK1362" ca="1" si="115">IF($AJ1299&gt;=1,4,IF($AJ1299&gt;=0,3,IF($AJ1299&gt;-1,2,IF($AJ1299&lt;=-1,1))))</f>
        <v>1</v>
      </c>
      <c r="AL1299" s="76">
        <f t="array" ref="AL1299">AVERAGEIFS($J$2:$J2327,$B$2:$B2327,$B1299,$P$2:$P2327,"&lt;="&amp;$P1299,$P$2:$P2327,"&gt;"&amp;$P1299-7)</f>
        <v>6.9024390243902438</v>
      </c>
      <c r="AM1299" s="76">
        <f ca="1">IFERROR(__xludf.DUMMYFUNCTION("iferror(stdevp(filter($I$2:$I2330,$B$2:$B2330=$B1302,$O$2:$O2330&lt;=$O1302,$O$2:$O2330&gt;$O1302-7)),0)"),0.755928946018454)</f>
        <v>0.75592894601845395</v>
      </c>
      <c r="AN1299" s="77">
        <f t="shared" ref="AN1299:AN1362" ca="1" si="116">IFERROR(STANDARDIZE($J1299,$AL1299,$AM1299),0)</f>
        <v>1.4519366950964228</v>
      </c>
      <c r="AO1299" s="77">
        <f t="shared" ref="AO1299:AO1362" ca="1" si="117">IF($AN1299&gt;=1,4,IF($AN1299&gt;=0,3,IF($AN1299&gt;-1,2,IF($AN1299&lt;=-1,1))))</f>
        <v>4</v>
      </c>
      <c r="AP1299" s="76">
        <f t="array" ref="AP1299">AVERAGEIFS($K$2:$K2327,$B$2:$B2327,$B1299,$P$2:$P2327,"&lt;="&amp;$P1299,$P$2:$P2327,"&gt;"&amp;$P1299-7)</f>
        <v>8</v>
      </c>
      <c r="AQ1299" s="76">
        <f ca="1">IFERROR(__xludf.DUMMYFUNCTION("iferror(stdevp(filter($J$2:$J2330,$B$2:$B2330=$B1302,$O$2:$O2330&lt;=$O1302,$O$2:$O2330&gt;$O1302-7)),0)"),0.534522483824848)</f>
        <v>0.53452248382484802</v>
      </c>
      <c r="AR1299" s="77">
        <f t="shared" ref="AR1299:AR1362" ca="1" si="118">IFERROR(STANDARDIZE($K1299,$AP1299,$AQ1299),0)</f>
        <v>1.8708286933869733</v>
      </c>
      <c r="AS1299" s="77">
        <f t="shared" ref="AS1299:AS1362" ca="1" si="119">IF($AR1299&gt;=1,4,IF($AR1299&gt;=0,3,IF($AR1299&gt;-1,2,IF($AR1299&lt;=-1,1))))</f>
        <v>4</v>
      </c>
      <c r="AT1299" s="78">
        <f t="shared" ref="AT1299:AT1362" ca="1" si="120">SUM($AK1299,$AG1299,$AC1299,$Y1299,$AO1299,$AS1299)/24</f>
        <v>0.875</v>
      </c>
    </row>
    <row r="1300" spans="1:46" ht="12.5" x14ac:dyDescent="0.25">
      <c r="A1300" s="75">
        <v>44985.938679664352</v>
      </c>
      <c r="B1300" s="1" t="s">
        <v>10</v>
      </c>
      <c r="C1300" s="1" t="str">
        <f>INDEX(TBL_Name,MATCH(Table2[[#This Row],[Athlete Name]],listNames,0),2)</f>
        <v>Athlete 5</v>
      </c>
      <c r="D1300" s="1" t="s">
        <v>130</v>
      </c>
      <c r="E1300" s="1">
        <v>10</v>
      </c>
      <c r="F1300" s="1">
        <v>9</v>
      </c>
      <c r="G1300" s="1">
        <v>9</v>
      </c>
      <c r="H1300" s="1" t="s">
        <v>342</v>
      </c>
      <c r="I1300" s="1">
        <v>7</v>
      </c>
      <c r="J1300" s="1">
        <v>9</v>
      </c>
      <c r="K1300" s="1">
        <v>8</v>
      </c>
      <c r="L1300" s="1">
        <v>84</v>
      </c>
      <c r="M1300" s="1" t="e">
        <f t="shared" ref="M1300" ca="1" si="121">_xludf.concat($B1300,$P1300)</f>
        <v>#NAME?</v>
      </c>
      <c r="N1300" s="1" t="e">
        <f t="shared" si="104"/>
        <v>#VALUE!</v>
      </c>
      <c r="O1300" s="1" t="e">
        <f t="shared" ref="O1300" ca="1" si="122">IF($N1300=_xludf.MINIFS($N$2:$N2568,$R$2:$R2568,$R1300),1,
($N1300-_xludf.MINIFS($N$2:$N2568,$R$2:$R2568,$R1300))+1)</f>
        <v>#VALUE!</v>
      </c>
      <c r="P1300" s="13" t="e">
        <f t="shared" si="106"/>
        <v>#VALUE!</v>
      </c>
      <c r="Q1300" s="1" t="str">
        <f>RIGHT(YEAR($A1300),2)-(MONTH($A1300)&lt;=[2]Roster!$K$25)
 &amp;"-"&amp;
 RIGHT(YEAR($A1300),2)+(MONTH($A1300)&gt;=[2]Roster!$K$26)</f>
        <v>22-23</v>
      </c>
      <c r="R1300" s="1" t="e">
        <f>CHOOSE(MONTH($P1300),[2]Roster!$K$9,[2]Roster!$K$10,[2]Roster!$K$11,[2]Roster!$K$12,[2]Roster!$K$13,[2]Roster!$K$14,[2]Roster!$K$15,[2]Roster!$K$16,[2]Roster!$K$17,[2]Roster!$K$18,[2]Roster!$K$19,[2]Roster!$K$20)&amp;" "&amp;$Q1300</f>
        <v>#VALUE!</v>
      </c>
      <c r="S1300" s="1">
        <f t="shared" si="107"/>
        <v>1</v>
      </c>
      <c r="T1300" s="1" t="str">
        <f t="array" ref="T1300">IFERROR(INDEX([2]Roster!$D$3:$D$42,MATCH($B1300,[2]Roster!$C$3:$C$42,0)),"")</f>
        <v>MID</v>
      </c>
      <c r="U1300" s="1" t="str">
        <f t="array" ref="U1300">IFERROR(INDEX([2]Roster!$E$3:$E$42,MATCH($B1300,[2]Roster!$C$3:$C$42,0)),"")</f>
        <v>MID</v>
      </c>
      <c r="V1300" s="76">
        <f t="array" ref="V1300">AVERAGEIFS($E$2:$E2327,$B$2:$B2327,$B1300,$P$2:$P2327,"&lt;="&amp;$P1300,$P$2:$P2327,"&gt;"&amp;$P1300-7)</f>
        <v>8.4042553191489358</v>
      </c>
      <c r="W1300" s="76">
        <f ca="1">IFERROR(__xludf.DUMMYFUNCTION("iferror(stdevp(filter($D$2:$D2330,$B$2:$B2330=$B1303,$O$2:$O2330&lt;=$O1303,$O$2:$O2330&gt;$O1303-7)),0)"),1.89296944860009)</f>
        <v>1.8929694486000901</v>
      </c>
      <c r="X1300" s="77">
        <f t="shared" ca="1" si="108"/>
        <v>0.84298491031176825</v>
      </c>
      <c r="Y1300" s="77">
        <f t="shared" ca="1" si="109"/>
        <v>3</v>
      </c>
      <c r="Z1300" s="76">
        <f t="array" ref="Z1300">AVERAGEIFS($F$2:$F2327,$B$2:$B2327,$B1300,$P$2:$P2327,"&lt;="&amp;$P1300,$P$2:$P2327,"&gt;"&amp;$P1300-7)</f>
        <v>8.085106382978724</v>
      </c>
      <c r="AA1300" s="76">
        <f ca="1">IFERROR(__xludf.DUMMYFUNCTION("iferror(stdevp(filter($E$2:$E2330,$B$2:$B2330=$B1303,$O$2:$O2330&lt;=$O1303,$O$2:$O2330&gt;$O1303-7)),0)"),0.942809041582063)</f>
        <v>0.94280904158206302</v>
      </c>
      <c r="AB1300" s="77">
        <f t="shared" ca="1" si="110"/>
        <v>0.97039122099004904</v>
      </c>
      <c r="AC1300" s="77">
        <f t="shared" ca="1" si="111"/>
        <v>3</v>
      </c>
      <c r="AD1300" s="76">
        <f t="array" ref="AD1300">AVERAGEIFS($G$2:$G2327,$B$2:$B2327,$B1300,$P$2:$P2327,"&lt;="&amp;$P1300,$P$2:$P2327,"&gt;"&amp;$P1300-7)</f>
        <v>8.0638297872340434</v>
      </c>
      <c r="AE1300" s="76">
        <f ca="1">IFERROR(__xludf.DUMMYFUNCTION("iferror(stdevp(filter($F$2:$F2330,$B$2:$B2330=$B1303,$O$2:$O2330&lt;=$O1303,$O$2:$O2330&gt;$O1303-7)),0)"),0.942809041582063)</f>
        <v>0.94280904158206302</v>
      </c>
      <c r="AF1300" s="77">
        <f t="shared" ca="1" si="112"/>
        <v>0.99295845868749166</v>
      </c>
      <c r="AG1300" s="77">
        <f t="shared" ca="1" si="113"/>
        <v>3</v>
      </c>
      <c r="AH1300" s="76">
        <f t="array" ref="AH1300">AVERAGEIFS($I$2:$I2327,$B$2:$B2327,$B1300,$P$2:$P2327,"&lt;="&amp;$P1300,$P$2:$P2327,"&gt;"&amp;$P1300-7)</f>
        <v>6.7446808510638299</v>
      </c>
      <c r="AI1300" s="76">
        <f ca="1">IFERROR(__xludf.DUMMYFUNCTION("iferror(stdevp(filter($H$2:$H2330,$B$2:$B2330=$B1303,$O$2:$O2330&lt;=$O1303,$O$2:$O2330&gt;$O1303-7)),0)"),1.24721912892464)</f>
        <v>1.2472191289246399</v>
      </c>
      <c r="AJ1300" s="77">
        <f t="shared" ca="1" si="114"/>
        <v>0.2047107384861134</v>
      </c>
      <c r="AK1300" s="77">
        <f t="shared" ca="1" si="115"/>
        <v>3</v>
      </c>
      <c r="AL1300" s="76">
        <f t="array" ref="AL1300">AVERAGEIFS($J$2:$J2327,$B$2:$B2327,$B1300,$P$2:$P2327,"&lt;="&amp;$P1300,$P$2:$P2327,"&gt;"&amp;$P1300-7)</f>
        <v>8.1063829787234045</v>
      </c>
      <c r="AM1300" s="76">
        <f ca="1">IFERROR(__xludf.DUMMYFUNCTION("iferror(stdevp(filter($I$2:$I2330,$B$2:$B2330=$B1303,$O$2:$O2330&lt;=$O1303,$O$2:$O2330&gt;$O1303-7)),0)"),0.74535599249993)</f>
        <v>0.74535599249993001</v>
      </c>
      <c r="AN1300" s="77">
        <f t="shared" ca="1" si="116"/>
        <v>1.1989130432552058</v>
      </c>
      <c r="AO1300" s="77">
        <f t="shared" ca="1" si="117"/>
        <v>4</v>
      </c>
      <c r="AP1300" s="76">
        <f t="array" ref="AP1300">AVERAGEIFS($K$2:$K2327,$B$2:$B2327,$B1300,$P$2:$P2327,"&lt;="&amp;$P1300,$P$2:$P2327,"&gt;"&amp;$P1300-7)</f>
        <v>8.2978723404255312</v>
      </c>
      <c r="AQ1300" s="76">
        <f ca="1">IFERROR(__xludf.DUMMYFUNCTION("iferror(stdevp(filter($J$2:$J2330,$B$2:$B2330=$B1303,$O$2:$O2330&lt;=$O1303,$O$2:$O2330&gt;$O1303-7)),0)"),0.471404520791032)</f>
        <v>0.47140452079103201</v>
      </c>
      <c r="AR1300" s="77">
        <f t="shared" ca="1" si="118"/>
        <v>-0.63188265552840228</v>
      </c>
      <c r="AS1300" s="77">
        <f t="shared" ca="1" si="119"/>
        <v>2</v>
      </c>
      <c r="AT1300" s="78">
        <f t="shared" ca="1" si="120"/>
        <v>0.75</v>
      </c>
    </row>
    <row r="1301" spans="1:46" ht="12.5" x14ac:dyDescent="0.25">
      <c r="A1301" s="75">
        <v>44986.365429710648</v>
      </c>
      <c r="B1301" s="1" t="s">
        <v>6</v>
      </c>
      <c r="C1301" s="1" t="str">
        <f>INDEX(TBL_Name,MATCH(Table2[[#This Row],[Athlete Name]],listNames,0),2)</f>
        <v>Athlete 2</v>
      </c>
      <c r="D1301" s="1" t="s">
        <v>130</v>
      </c>
      <c r="E1301" s="1">
        <v>10</v>
      </c>
      <c r="F1301" s="1">
        <v>9</v>
      </c>
      <c r="G1301" s="1">
        <v>9</v>
      </c>
      <c r="H1301" s="1" t="s">
        <v>71</v>
      </c>
      <c r="I1301" s="1">
        <v>9</v>
      </c>
      <c r="J1301" s="1">
        <v>7</v>
      </c>
      <c r="K1301" s="1">
        <v>10</v>
      </c>
      <c r="L1301" s="1">
        <v>95</v>
      </c>
      <c r="M1301" s="1" t="e">
        <f t="shared" ref="M1301" ca="1" si="123">_xludf.concat($B1301,$P1301)</f>
        <v>#NAME?</v>
      </c>
      <c r="N1301" s="1" t="e">
        <f t="shared" si="104"/>
        <v>#VALUE!</v>
      </c>
      <c r="O1301" s="1" t="e">
        <f t="shared" ref="O1301" ca="1" si="124">IF($N1301=_xludf.MINIFS($N$2:$N2569,$R$2:$R2569,$R1301),1,
($N1301-_xludf.MINIFS($N$2:$N2569,$R$2:$R2569,$R1301))+1)</f>
        <v>#VALUE!</v>
      </c>
      <c r="P1301" s="13" t="e">
        <f t="shared" si="106"/>
        <v>#VALUE!</v>
      </c>
      <c r="Q1301" s="1" t="str">
        <f>RIGHT(YEAR($A1301),2)-(MONTH($A1301)&lt;=[2]Roster!$K$25)
 &amp;"-"&amp;
 RIGHT(YEAR($A1301),2)+(MONTH($A1301)&gt;=[2]Roster!$K$26)</f>
        <v>22-23</v>
      </c>
      <c r="R1301" s="1" t="e">
        <f>CHOOSE(MONTH($P1301),[2]Roster!$K$9,[2]Roster!$K$10,[2]Roster!$K$11,[2]Roster!$K$12,[2]Roster!$K$13,[2]Roster!$K$14,[2]Roster!$K$15,[2]Roster!$K$16,[2]Roster!$K$17,[2]Roster!$K$18,[2]Roster!$K$19,[2]Roster!$K$20)&amp;" "&amp;$Q1301</f>
        <v>#VALUE!</v>
      </c>
      <c r="S1301" s="1">
        <f t="shared" si="107"/>
        <v>1</v>
      </c>
      <c r="T1301" s="1" t="str">
        <f t="array" ref="T1301">IFERROR(INDEX([2]Roster!$D$3:$D$42,MATCH($B1301,[2]Roster!$C$3:$C$42,0)),"")</f>
        <v>FWD</v>
      </c>
      <c r="U1301" s="1" t="str">
        <f t="array" ref="U1301">IFERROR(INDEX([2]Roster!$E$3:$E$42,MATCH($B1301,[2]Roster!$C$3:$C$42,0)),"")</f>
        <v>FWD</v>
      </c>
      <c r="V1301" s="76">
        <f t="array" ref="V1301">AVERAGEIFS($E$2:$E2327,$B$2:$B2327,$B1301,$P$2:$P2327,"&lt;="&amp;$P1301,$P$2:$P2327,"&gt;"&amp;$P1301-7)</f>
        <v>9.7441860465116275</v>
      </c>
      <c r="W1301" s="76">
        <f ca="1">IFERROR(__xludf.DUMMYFUNCTION("iferror(stdevp(filter($D$2:$D2330,$B$2:$B2330=$B1304,$O$2:$O2330&lt;=$O1304,$O$2:$O2330&gt;$O1304-7)),0)"),0)</f>
        <v>0</v>
      </c>
      <c r="X1301" s="77">
        <f t="shared" ca="1" si="108"/>
        <v>0</v>
      </c>
      <c r="Y1301" s="77">
        <f t="shared" ca="1" si="109"/>
        <v>3</v>
      </c>
      <c r="Z1301" s="76">
        <f t="array" ref="Z1301">AVERAGEIFS($F$2:$F2327,$B$2:$B2327,$B1301,$P$2:$P2327,"&lt;="&amp;$P1301,$P$2:$P2327,"&gt;"&amp;$P1301-7)</f>
        <v>8.279069767441861</v>
      </c>
      <c r="AA1301" s="76">
        <f ca="1">IFERROR(__xludf.DUMMYFUNCTION("iferror(stdevp(filter($E$2:$E2330,$B$2:$B2330=$B1304,$O$2:$O2330&lt;=$O1304,$O$2:$O2330&gt;$O1304-7)),0)"),0.471404520791031)</f>
        <v>0.47140452079103101</v>
      </c>
      <c r="AB1301" s="77">
        <f t="shared" ca="1" si="110"/>
        <v>1.5293239686127666</v>
      </c>
      <c r="AC1301" s="77">
        <f t="shared" ca="1" si="111"/>
        <v>4</v>
      </c>
      <c r="AD1301" s="76">
        <f t="array" ref="AD1301">AVERAGEIFS($G$2:$G2327,$B$2:$B2327,$B1301,$P$2:$P2327,"&lt;="&amp;$P1301,$P$2:$P2327,"&gt;"&amp;$P1301-7)</f>
        <v>8.604651162790697</v>
      </c>
      <c r="AE1301" s="76">
        <f ca="1">IFERROR(__xludf.DUMMYFUNCTION("iferror(stdevp(filter($F$2:$F2330,$B$2:$B2330=$B1304,$O$2:$O2330&lt;=$O1304,$O$2:$O2330&gt;$O1304-7)),0)"),0)</f>
        <v>0</v>
      </c>
      <c r="AF1301" s="77">
        <f t="shared" ca="1" si="112"/>
        <v>0</v>
      </c>
      <c r="AG1301" s="77">
        <f t="shared" ca="1" si="113"/>
        <v>3</v>
      </c>
      <c r="AH1301" s="76">
        <f t="array" ref="AH1301">AVERAGEIFS($I$2:$I2327,$B$2:$B2327,$B1301,$P$2:$P2327,"&lt;="&amp;$P1301,$P$2:$P2327,"&gt;"&amp;$P1301-7)</f>
        <v>8.3488372093023262</v>
      </c>
      <c r="AI1301" s="76">
        <f ca="1">IFERROR(__xludf.DUMMYFUNCTION("iferror(stdevp(filter($H$2:$H2330,$B$2:$B2330=$B1304,$O$2:$O2330&lt;=$O1304,$O$2:$O2330&gt;$O1304-7)),0)"),0)</f>
        <v>0</v>
      </c>
      <c r="AJ1301" s="77">
        <f t="shared" ca="1" si="114"/>
        <v>0</v>
      </c>
      <c r="AK1301" s="77">
        <f t="shared" ca="1" si="115"/>
        <v>3</v>
      </c>
      <c r="AL1301" s="76">
        <f t="array" ref="AL1301">AVERAGEIFS($J$2:$J2327,$B$2:$B2327,$B1301,$P$2:$P2327,"&lt;="&amp;$P1301,$P$2:$P2327,"&gt;"&amp;$P1301-7)</f>
        <v>8.3023255813953494</v>
      </c>
      <c r="AM1301" s="76">
        <f ca="1">IFERROR(__xludf.DUMMYFUNCTION("iferror(stdevp(filter($I$2:$I2330,$B$2:$B2330=$B1304,$O$2:$O2330&lt;=$O1304,$O$2:$O2330&gt;$O1304-7)),0)"),0.942809041582063)</f>
        <v>0.94280904158206302</v>
      </c>
      <c r="AN1301" s="77">
        <f t="shared" ca="1" si="116"/>
        <v>-1.3813248748760474</v>
      </c>
      <c r="AO1301" s="77">
        <f t="shared" ca="1" si="117"/>
        <v>1</v>
      </c>
      <c r="AP1301" s="76">
        <f t="array" ref="AP1301">AVERAGEIFS($K$2:$K2327,$B$2:$B2327,$B1301,$P$2:$P2327,"&lt;="&amp;$P1301,$P$2:$P2327,"&gt;"&amp;$P1301-7)</f>
        <v>8.9069767441860463</v>
      </c>
      <c r="AQ1301" s="76">
        <f ca="1">IFERROR(__xludf.DUMMYFUNCTION("iferror(stdevp(filter($J$2:$J2330,$B$2:$B2330=$B1304,$O$2:$O2330&lt;=$O1304,$O$2:$O2330&gt;$O1304-7)),0)"),0)</f>
        <v>0</v>
      </c>
      <c r="AR1301" s="77">
        <f t="shared" ca="1" si="118"/>
        <v>0</v>
      </c>
      <c r="AS1301" s="77">
        <f t="shared" ca="1" si="119"/>
        <v>3</v>
      </c>
      <c r="AT1301" s="78">
        <f t="shared" ca="1" si="120"/>
        <v>0.70833333333333337</v>
      </c>
    </row>
    <row r="1302" spans="1:46" ht="12.5" x14ac:dyDescent="0.25">
      <c r="A1302" s="75">
        <v>44986.399805277775</v>
      </c>
      <c r="B1302" s="1" t="s">
        <v>21</v>
      </c>
      <c r="C1302" s="1" t="str">
        <f>INDEX(TBL_Name,MATCH(Table2[[#This Row],[Athlete Name]],listNames,0),2)</f>
        <v>Athlete 13</v>
      </c>
      <c r="D1302" s="1" t="s">
        <v>130</v>
      </c>
      <c r="E1302" s="1">
        <v>8</v>
      </c>
      <c r="F1302" s="1">
        <v>8</v>
      </c>
      <c r="G1302" s="1">
        <v>9</v>
      </c>
      <c r="H1302" s="1" t="s">
        <v>1271</v>
      </c>
      <c r="I1302" s="1">
        <v>8</v>
      </c>
      <c r="J1302" s="1">
        <v>7</v>
      </c>
      <c r="K1302" s="1">
        <v>7</v>
      </c>
      <c r="L1302" s="1">
        <v>80</v>
      </c>
      <c r="M1302" s="1" t="e">
        <f t="shared" ref="M1302" ca="1" si="125">_xludf.concat($B1302,$P1302)</f>
        <v>#NAME?</v>
      </c>
      <c r="N1302" s="1" t="e">
        <f t="shared" si="104"/>
        <v>#VALUE!</v>
      </c>
      <c r="O1302" s="1" t="e">
        <f t="shared" ref="O1302" ca="1" si="126">IF($N1302=_xludf.MINIFS($N$2:$N2570,$R$2:$R2570,$R1302),1,
($N1302-_xludf.MINIFS($N$2:$N2570,$R$2:$R2570,$R1302))+1)</f>
        <v>#VALUE!</v>
      </c>
      <c r="P1302" s="13" t="e">
        <f t="shared" si="106"/>
        <v>#VALUE!</v>
      </c>
      <c r="Q1302" s="1" t="str">
        <f>RIGHT(YEAR($A1302),2)-(MONTH($A1302)&lt;=[2]Roster!$K$25)
 &amp;"-"&amp;
 RIGHT(YEAR($A1302),2)+(MONTH($A1302)&gt;=[2]Roster!$K$26)</f>
        <v>22-23</v>
      </c>
      <c r="R1302" s="1" t="e">
        <f>CHOOSE(MONTH($P1302),[2]Roster!$K$9,[2]Roster!$K$10,[2]Roster!$K$11,[2]Roster!$K$12,[2]Roster!$K$13,[2]Roster!$K$14,[2]Roster!$K$15,[2]Roster!$K$16,[2]Roster!$K$17,[2]Roster!$K$18,[2]Roster!$K$19,[2]Roster!$K$20)&amp;" "&amp;$Q1302</f>
        <v>#VALUE!</v>
      </c>
      <c r="S1302" s="1">
        <f t="shared" si="107"/>
        <v>1</v>
      </c>
      <c r="T1302" s="1" t="str">
        <f t="array" ref="T1302">IFERROR(INDEX([2]Roster!$D$3:$D$42,MATCH($B1302,[2]Roster!$C$3:$C$42,0)),"")</f>
        <v>D</v>
      </c>
      <c r="U1302" s="1" t="str">
        <f t="array" ref="U1302">IFERROR(INDEX([2]Roster!$E$3:$E$42,MATCH($B1302,[2]Roster!$C$3:$C$42,0)),"")</f>
        <v>D</v>
      </c>
      <c r="V1302" s="76">
        <f t="array" ref="V1302">AVERAGEIFS($E$2:$E2327,$B$2:$B2327,$B1302,$P$2:$P2327,"&lt;="&amp;$P1302,$P$2:$P2327,"&gt;"&amp;$P1302-7)</f>
        <v>6.6304347826086953</v>
      </c>
      <c r="W1302" s="76">
        <f ca="1">IFERROR(__xludf.DUMMYFUNCTION("iferror(stdevp(filter($D$2:$D2330,$B$2:$B2330=$B1305,$O$2:$O2330&lt;=$O1305,$O$2:$O2330&gt;$O1305-7)),0)"),1)</f>
        <v>1</v>
      </c>
      <c r="X1302" s="77">
        <f t="shared" ca="1" si="108"/>
        <v>1.3695652173913047</v>
      </c>
      <c r="Y1302" s="77">
        <f t="shared" ca="1" si="109"/>
        <v>4</v>
      </c>
      <c r="Z1302" s="76">
        <f t="array" ref="Z1302">AVERAGEIFS($F$2:$F2327,$B$2:$B2327,$B1302,$P$2:$P2327,"&lt;="&amp;$P1302,$P$2:$P2327,"&gt;"&amp;$P1302-7)</f>
        <v>7.6956521739130439</v>
      </c>
      <c r="AA1302" s="76">
        <f ca="1">IFERROR(__xludf.DUMMYFUNCTION("iferror(stdevp(filter($E$2:$E2330,$B$2:$B2330=$B1305,$O$2:$O2330&lt;=$O1305,$O$2:$O2330&gt;$O1305-7)),0)"),0)</f>
        <v>0</v>
      </c>
      <c r="AB1302" s="77">
        <f t="shared" ca="1" si="110"/>
        <v>0</v>
      </c>
      <c r="AC1302" s="77">
        <f t="shared" ca="1" si="111"/>
        <v>3</v>
      </c>
      <c r="AD1302" s="76">
        <f t="array" ref="AD1302">AVERAGEIFS($G$2:$G2327,$B$2:$B2327,$B1302,$P$2:$P2327,"&lt;="&amp;$P1302,$P$2:$P2327,"&gt;"&amp;$P1302-7)</f>
        <v>8.2608695652173907</v>
      </c>
      <c r="AE1302" s="76">
        <f ca="1">IFERROR(__xludf.DUMMYFUNCTION("iferror(stdevp(filter($F$2:$F2330,$B$2:$B2330=$B1305,$O$2:$O2330&lt;=$O1305,$O$2:$O2330&gt;$O1305-7)),0)"),0.5)</f>
        <v>0.5</v>
      </c>
      <c r="AF1302" s="77">
        <f t="shared" ca="1" si="112"/>
        <v>1.4782608695652186</v>
      </c>
      <c r="AG1302" s="77">
        <f t="shared" ca="1" si="113"/>
        <v>4</v>
      </c>
      <c r="AH1302" s="76">
        <f t="array" ref="AH1302">AVERAGEIFS($I$2:$I2327,$B$2:$B2327,$B1302,$P$2:$P2327,"&lt;="&amp;$P1302,$P$2:$P2327,"&gt;"&amp;$P1302-7)</f>
        <v>5.7391304347826084</v>
      </c>
      <c r="AI1302" s="76">
        <f ca="1">IFERROR(__xludf.DUMMYFUNCTION("iferror(stdevp(filter($H$2:$H2330,$B$2:$B2330=$B1305,$O$2:$O2330&lt;=$O1305,$O$2:$O2330&gt;$O1305-7)),0)"),0.5)</f>
        <v>0.5</v>
      </c>
      <c r="AJ1302" s="77">
        <f t="shared" ca="1" si="114"/>
        <v>4.5217391304347831</v>
      </c>
      <c r="AK1302" s="77">
        <f t="shared" ca="1" si="115"/>
        <v>4</v>
      </c>
      <c r="AL1302" s="76">
        <f t="array" ref="AL1302">AVERAGEIFS($J$2:$J2327,$B$2:$B2327,$B1302,$P$2:$P2327,"&lt;="&amp;$P1302,$P$2:$P2327,"&gt;"&amp;$P1302-7)</f>
        <v>6.5434782608695654</v>
      </c>
      <c r="AM1302" s="76">
        <f ca="1">IFERROR(__xludf.DUMMYFUNCTION("iferror(stdevp(filter($I$2:$I2330,$B$2:$B2330=$B1305,$O$2:$O2330&lt;=$O1305,$O$2:$O2330&gt;$O1305-7)),0)"),0.5)</f>
        <v>0.5</v>
      </c>
      <c r="AN1302" s="77">
        <f t="shared" ca="1" si="116"/>
        <v>0.91304347826086918</v>
      </c>
      <c r="AO1302" s="77">
        <f t="shared" ca="1" si="117"/>
        <v>3</v>
      </c>
      <c r="AP1302" s="76">
        <f t="array" ref="AP1302">AVERAGEIFS($K$2:$K2327,$B$2:$B2327,$B1302,$P$2:$P2327,"&lt;="&amp;$P1302,$P$2:$P2327,"&gt;"&amp;$P1302-7)</f>
        <v>6.6086956521739131</v>
      </c>
      <c r="AQ1302" s="76">
        <f ca="1">IFERROR(__xludf.DUMMYFUNCTION("iferror(stdevp(filter($J$2:$J2330,$B$2:$B2330=$B1305,$O$2:$O2330&lt;=$O1305,$O$2:$O2330&gt;$O1305-7)),0)"),0.5)</f>
        <v>0.5</v>
      </c>
      <c r="AR1302" s="77">
        <f t="shared" ca="1" si="118"/>
        <v>0.78260869565217384</v>
      </c>
      <c r="AS1302" s="77">
        <f t="shared" ca="1" si="119"/>
        <v>3</v>
      </c>
      <c r="AT1302" s="78">
        <f t="shared" ca="1" si="120"/>
        <v>0.875</v>
      </c>
    </row>
    <row r="1303" spans="1:46" ht="12.5" x14ac:dyDescent="0.25">
      <c r="A1303" s="75">
        <v>44987.39098434028</v>
      </c>
      <c r="B1303" s="1" t="s">
        <v>21</v>
      </c>
      <c r="C1303" s="1" t="str">
        <f>INDEX(TBL_Name,MATCH(Table2[[#This Row],[Athlete Name]],listNames,0),2)</f>
        <v>Athlete 13</v>
      </c>
      <c r="D1303" s="1" t="s">
        <v>130</v>
      </c>
      <c r="E1303" s="1">
        <v>8</v>
      </c>
      <c r="F1303" s="1">
        <v>8</v>
      </c>
      <c r="G1303" s="1">
        <v>8</v>
      </c>
      <c r="H1303" s="1" t="s">
        <v>1418</v>
      </c>
      <c r="I1303" s="1">
        <v>8</v>
      </c>
      <c r="J1303" s="1">
        <v>8</v>
      </c>
      <c r="K1303" s="1">
        <v>7</v>
      </c>
      <c r="L1303" s="1">
        <v>85</v>
      </c>
      <c r="M1303" s="1" t="e">
        <f t="shared" ref="M1303" ca="1" si="127">_xludf.concat($B1303,$P1303)</f>
        <v>#NAME?</v>
      </c>
      <c r="N1303" s="1" t="e">
        <f t="shared" si="104"/>
        <v>#VALUE!</v>
      </c>
      <c r="O1303" s="1" t="e">
        <f t="shared" ref="O1303" ca="1" si="128">IF($N1303=_xludf.MINIFS($N$2:$N2571,$R$2:$R2571,$R1303),1,
($N1303-_xludf.MINIFS($N$2:$N2571,$R$2:$R2571,$R1303))+1)</f>
        <v>#VALUE!</v>
      </c>
      <c r="P1303" s="13" t="e">
        <f t="shared" si="106"/>
        <v>#VALUE!</v>
      </c>
      <c r="Q1303" s="1" t="str">
        <f>RIGHT(YEAR($A1303),2)-(MONTH($A1303)&lt;=[2]Roster!$K$25)
 &amp;"-"&amp;
 RIGHT(YEAR($A1303),2)+(MONTH($A1303)&gt;=[2]Roster!$K$26)</f>
        <v>22-23</v>
      </c>
      <c r="R1303" s="1" t="e">
        <f>CHOOSE(MONTH($P1303),[2]Roster!$K$9,[2]Roster!$K$10,[2]Roster!$K$11,[2]Roster!$K$12,[2]Roster!$K$13,[2]Roster!$K$14,[2]Roster!$K$15,[2]Roster!$K$16,[2]Roster!$K$17,[2]Roster!$K$18,[2]Roster!$K$19,[2]Roster!$K$20)&amp;" "&amp;$Q1303</f>
        <v>#VALUE!</v>
      </c>
      <c r="S1303" s="1">
        <f t="shared" si="107"/>
        <v>1</v>
      </c>
      <c r="T1303" s="1" t="str">
        <f t="array" ref="T1303">IFERROR(INDEX([2]Roster!$D$3:$D$42,MATCH($B1303,[2]Roster!$C$3:$C$42,0)),"")</f>
        <v>D</v>
      </c>
      <c r="U1303" s="1" t="str">
        <f t="array" ref="U1303">IFERROR(INDEX([2]Roster!$E$3:$E$42,MATCH($B1303,[2]Roster!$C$3:$C$42,0)),"")</f>
        <v>D</v>
      </c>
      <c r="V1303" s="76">
        <f t="array" ref="V1303">AVERAGEIFS($E$2:$E2327,$B$2:$B2327,$B1303,$P$2:$P2327,"&lt;="&amp;$P1303,$P$2:$P2327,"&gt;"&amp;$P1303-7)</f>
        <v>6.6304347826086953</v>
      </c>
      <c r="W1303" s="76">
        <f ca="1">IFERROR(__xludf.DUMMYFUNCTION("iferror(stdevp(filter($D$2:$D2330,$B$2:$B2330=$B1306,$O$2:$O2330&lt;=$O1306,$O$2:$O2330&gt;$O1306-7)),0)"),0)</f>
        <v>0</v>
      </c>
      <c r="X1303" s="77">
        <f t="shared" ca="1" si="108"/>
        <v>0</v>
      </c>
      <c r="Y1303" s="77">
        <f t="shared" ca="1" si="109"/>
        <v>3</v>
      </c>
      <c r="Z1303" s="76">
        <f t="array" ref="Z1303">AVERAGEIFS($F$2:$F2327,$B$2:$B2327,$B1303,$P$2:$P2327,"&lt;="&amp;$P1303,$P$2:$P2327,"&gt;"&amp;$P1303-7)</f>
        <v>7.6956521739130439</v>
      </c>
      <c r="AA1303" s="76">
        <f ca="1">IFERROR(__xludf.DUMMYFUNCTION("iferror(stdevp(filter($E$2:$E2330,$B$2:$B2330=$B1306,$O$2:$O2330&lt;=$O1306,$O$2:$O2330&gt;$O1306-7)),0)"),0)</f>
        <v>0</v>
      </c>
      <c r="AB1303" s="77">
        <f t="shared" ca="1" si="110"/>
        <v>0</v>
      </c>
      <c r="AC1303" s="77">
        <f t="shared" ca="1" si="111"/>
        <v>3</v>
      </c>
      <c r="AD1303" s="76">
        <f t="array" ref="AD1303">AVERAGEIFS($G$2:$G2327,$B$2:$B2327,$B1303,$P$2:$P2327,"&lt;="&amp;$P1303,$P$2:$P2327,"&gt;"&amp;$P1303-7)</f>
        <v>8.2608695652173907</v>
      </c>
      <c r="AE1303" s="76">
        <f ca="1">IFERROR(__xludf.DUMMYFUNCTION("iferror(stdevp(filter($F$2:$F2330,$B$2:$B2330=$B1306,$O$2:$O2330&lt;=$O1306,$O$2:$O2330&gt;$O1306-7)),0)"),0.5)</f>
        <v>0.5</v>
      </c>
      <c r="AF1303" s="77">
        <f t="shared" ca="1" si="112"/>
        <v>-0.52173913043478137</v>
      </c>
      <c r="AG1303" s="77">
        <f t="shared" ca="1" si="113"/>
        <v>2</v>
      </c>
      <c r="AH1303" s="76">
        <f t="array" ref="AH1303">AVERAGEIFS($I$2:$I2327,$B$2:$B2327,$B1303,$P$2:$P2327,"&lt;="&amp;$P1303,$P$2:$P2327,"&gt;"&amp;$P1303-7)</f>
        <v>5.7391304347826084</v>
      </c>
      <c r="AI1303" s="76">
        <f ca="1">IFERROR(__xludf.DUMMYFUNCTION("iferror(stdevp(filter($H$2:$H2330,$B$2:$B2330=$B1306,$O$2:$O2330&lt;=$O1306,$O$2:$O2330&gt;$O1306-7)),0)"),0)</f>
        <v>0</v>
      </c>
      <c r="AJ1303" s="77">
        <f t="shared" ca="1" si="114"/>
        <v>0</v>
      </c>
      <c r="AK1303" s="77">
        <f t="shared" ca="1" si="115"/>
        <v>3</v>
      </c>
      <c r="AL1303" s="76">
        <f t="array" ref="AL1303">AVERAGEIFS($J$2:$J2327,$B$2:$B2327,$B1303,$P$2:$P2327,"&lt;="&amp;$P1303,$P$2:$P2327,"&gt;"&amp;$P1303-7)</f>
        <v>6.5434782608695654</v>
      </c>
      <c r="AM1303" s="76">
        <f ca="1">IFERROR(__xludf.DUMMYFUNCTION("iferror(stdevp(filter($I$2:$I2330,$B$2:$B2330=$B1306,$O$2:$O2330&lt;=$O1306,$O$2:$O2330&gt;$O1306-7)),0)"),0.5)</f>
        <v>0.5</v>
      </c>
      <c r="AN1303" s="77">
        <f t="shared" ca="1" si="116"/>
        <v>2.9130434782608692</v>
      </c>
      <c r="AO1303" s="77">
        <f t="shared" ca="1" si="117"/>
        <v>4</v>
      </c>
      <c r="AP1303" s="76">
        <f t="array" ref="AP1303">AVERAGEIFS($K$2:$K2327,$B$2:$B2327,$B1303,$P$2:$P2327,"&lt;="&amp;$P1303,$P$2:$P2327,"&gt;"&amp;$P1303-7)</f>
        <v>6.6086956521739131</v>
      </c>
      <c r="AQ1303" s="76">
        <f ca="1">IFERROR(__xludf.DUMMYFUNCTION("iferror(stdevp(filter($J$2:$J2330,$B$2:$B2330=$B1306,$O$2:$O2330&lt;=$O1306,$O$2:$O2330&gt;$O1306-7)),0)"),0)</f>
        <v>0</v>
      </c>
      <c r="AR1303" s="77">
        <f t="shared" ca="1" si="118"/>
        <v>0</v>
      </c>
      <c r="AS1303" s="77">
        <f t="shared" ca="1" si="119"/>
        <v>3</v>
      </c>
      <c r="AT1303" s="78">
        <f t="shared" ca="1" si="120"/>
        <v>0.75</v>
      </c>
    </row>
    <row r="1304" spans="1:46" ht="12.5" x14ac:dyDescent="0.25">
      <c r="A1304" s="75">
        <v>44987.522458912033</v>
      </c>
      <c r="B1304" s="1" t="s">
        <v>10</v>
      </c>
      <c r="C1304" s="1" t="str">
        <f>INDEX(TBL_Name,MATCH(Table2[[#This Row],[Athlete Name]],listNames,0),2)</f>
        <v>Athlete 5</v>
      </c>
      <c r="D1304" s="1" t="s">
        <v>130</v>
      </c>
      <c r="E1304" s="1">
        <v>10</v>
      </c>
      <c r="F1304" s="1">
        <v>9</v>
      </c>
      <c r="G1304" s="1">
        <v>9</v>
      </c>
      <c r="H1304" s="1" t="s">
        <v>415</v>
      </c>
      <c r="I1304" s="1">
        <v>7</v>
      </c>
      <c r="J1304" s="1">
        <v>10</v>
      </c>
      <c r="K1304" s="1">
        <v>9</v>
      </c>
      <c r="L1304" s="1">
        <v>91</v>
      </c>
      <c r="M1304" s="1" t="e">
        <f t="shared" ref="M1304" ca="1" si="129">_xludf.concat($B1304,$P1304)</f>
        <v>#NAME?</v>
      </c>
      <c r="N1304" s="1" t="e">
        <f t="shared" si="104"/>
        <v>#VALUE!</v>
      </c>
      <c r="O1304" s="1" t="e">
        <f t="shared" ref="O1304" ca="1" si="130">IF($N1304=_xludf.MINIFS($N$2:$N2572,$R$2:$R2572,$R1304),1,
($N1304-_xludf.MINIFS($N$2:$N2572,$R$2:$R2572,$R1304))+1)</f>
        <v>#VALUE!</v>
      </c>
      <c r="P1304" s="13" t="e">
        <f t="shared" si="106"/>
        <v>#VALUE!</v>
      </c>
      <c r="Q1304" s="1" t="str">
        <f>RIGHT(YEAR($A1304),2)-(MONTH($A1304)&lt;=[2]Roster!$K$25)
 &amp;"-"&amp;
 RIGHT(YEAR($A1304),2)+(MONTH($A1304)&gt;=[2]Roster!$K$26)</f>
        <v>22-23</v>
      </c>
      <c r="R1304" s="1" t="e">
        <f>CHOOSE(MONTH($P1304),[2]Roster!$K$9,[2]Roster!$K$10,[2]Roster!$K$11,[2]Roster!$K$12,[2]Roster!$K$13,[2]Roster!$K$14,[2]Roster!$K$15,[2]Roster!$K$16,[2]Roster!$K$17,[2]Roster!$K$18,[2]Roster!$K$19,[2]Roster!$K$20)&amp;" "&amp;$Q1304</f>
        <v>#VALUE!</v>
      </c>
      <c r="S1304" s="1">
        <f t="shared" si="107"/>
        <v>1</v>
      </c>
      <c r="T1304" s="1" t="str">
        <f t="array" ref="T1304">IFERROR(INDEX([2]Roster!$D$3:$D$42,MATCH($B1304,[2]Roster!$C$3:$C$42,0)),"")</f>
        <v>MID</v>
      </c>
      <c r="U1304" s="1" t="str">
        <f t="array" ref="U1304">IFERROR(INDEX([2]Roster!$E$3:$E$42,MATCH($B1304,[2]Roster!$C$3:$C$42,0)),"")</f>
        <v>MID</v>
      </c>
      <c r="V1304" s="76">
        <f t="array" ref="V1304">AVERAGEIFS($E$2:$E2327,$B$2:$B2327,$B1304,$P$2:$P2327,"&lt;="&amp;$P1304,$P$2:$P2327,"&gt;"&amp;$P1304-7)</f>
        <v>8.4042553191489358</v>
      </c>
      <c r="W1304" s="76">
        <f ca="1">IFERROR(__xludf.DUMMYFUNCTION("iferror(stdevp(filter($D$2:$D2330,$B$2:$B2330=$B1307,$O$2:$O2330&lt;=$O1307,$O$2:$O2330&gt;$O1307-7)),0)"),0.4)</f>
        <v>0.4</v>
      </c>
      <c r="X1304" s="77">
        <f t="shared" ca="1" si="108"/>
        <v>3.9893617021276606</v>
      </c>
      <c r="Y1304" s="77">
        <f t="shared" ca="1" si="109"/>
        <v>4</v>
      </c>
      <c r="Z1304" s="76">
        <f t="array" ref="Z1304">AVERAGEIFS($F$2:$F2327,$B$2:$B2327,$B1304,$P$2:$P2327,"&lt;="&amp;$P1304,$P$2:$P2327,"&gt;"&amp;$P1304-7)</f>
        <v>8.085106382978724</v>
      </c>
      <c r="AA1304" s="76">
        <f ca="1">IFERROR(__xludf.DUMMYFUNCTION("iferror(stdevp(filter($E$2:$E2330,$B$2:$B2330=$B1307,$O$2:$O2330&lt;=$O1307,$O$2:$O2330&gt;$O1307-7)),0)"),0.4)</f>
        <v>0.4</v>
      </c>
      <c r="AB1304" s="77">
        <f t="shared" ca="1" si="110"/>
        <v>2.2872340425531901</v>
      </c>
      <c r="AC1304" s="77">
        <f t="shared" ca="1" si="111"/>
        <v>4</v>
      </c>
      <c r="AD1304" s="76">
        <f t="array" ref="AD1304">AVERAGEIFS($G$2:$G2327,$B$2:$B2327,$B1304,$P$2:$P2327,"&lt;="&amp;$P1304,$P$2:$P2327,"&gt;"&amp;$P1304-7)</f>
        <v>8.0638297872340434</v>
      </c>
      <c r="AE1304" s="76">
        <f ca="1">IFERROR(__xludf.DUMMYFUNCTION("iferror(stdevp(filter($F$2:$F2330,$B$2:$B2330=$B1307,$O$2:$O2330&lt;=$O1307,$O$2:$O2330&gt;$O1307-7)),0)"),0.4)</f>
        <v>0.4</v>
      </c>
      <c r="AF1304" s="77">
        <f t="shared" ca="1" si="112"/>
        <v>2.3404255319148914</v>
      </c>
      <c r="AG1304" s="77">
        <f t="shared" ca="1" si="113"/>
        <v>4</v>
      </c>
      <c r="AH1304" s="76">
        <f t="array" ref="AH1304">AVERAGEIFS($I$2:$I2327,$B$2:$B2327,$B1304,$P$2:$P2327,"&lt;="&amp;$P1304,$P$2:$P2327,"&gt;"&amp;$P1304-7)</f>
        <v>6.7446808510638299</v>
      </c>
      <c r="AI1304" s="76">
        <f ca="1">IFERROR(__xludf.DUMMYFUNCTION("iferror(stdevp(filter($H$2:$H2330,$B$2:$B2330=$B1307,$O$2:$O2330&lt;=$O1307,$O$2:$O2330&gt;$O1307-7)),0)"),1.09544511501033)</f>
        <v>1.0954451150103299</v>
      </c>
      <c r="AJ1304" s="77">
        <f t="shared" ca="1" si="114"/>
        <v>0.23307342872560302</v>
      </c>
      <c r="AK1304" s="77">
        <f t="shared" ca="1" si="115"/>
        <v>3</v>
      </c>
      <c r="AL1304" s="76">
        <f t="array" ref="AL1304">AVERAGEIFS($J$2:$J2327,$B$2:$B2327,$B1304,$P$2:$P2327,"&lt;="&amp;$P1304,$P$2:$P2327,"&gt;"&amp;$P1304-7)</f>
        <v>8.1063829787234045</v>
      </c>
      <c r="AM1304" s="76">
        <f ca="1">IFERROR(__xludf.DUMMYFUNCTION("iferror(stdevp(filter($I$2:$I2330,$B$2:$B2330=$B1307,$O$2:$O2330&lt;=$O1307,$O$2:$O2330&gt;$O1307-7)),0)"),1.01980390271855)</f>
        <v>1.0198039027185499</v>
      </c>
      <c r="AN1304" s="77">
        <f t="shared" ca="1" si="116"/>
        <v>1.8568442582232443</v>
      </c>
      <c r="AO1304" s="77">
        <f t="shared" ca="1" si="117"/>
        <v>4</v>
      </c>
      <c r="AP1304" s="76">
        <f t="array" ref="AP1304">AVERAGEIFS($K$2:$K2327,$B$2:$B2327,$B1304,$P$2:$P2327,"&lt;="&amp;$P1304,$P$2:$P2327,"&gt;"&amp;$P1304-7)</f>
        <v>8.2978723404255312</v>
      </c>
      <c r="AQ1304" s="76">
        <f ca="1">IFERROR(__xludf.DUMMYFUNCTION("iferror(stdevp(filter($J$2:$J2330,$B$2:$B2330=$B1307,$O$2:$O2330&lt;=$O1307,$O$2:$O2330&gt;$O1307-7)),0)"),0.489897948556635)</f>
        <v>0.48989794855663499</v>
      </c>
      <c r="AR1304" s="77">
        <f t="shared" ca="1" si="118"/>
        <v>1.4332120835433522</v>
      </c>
      <c r="AS1304" s="77">
        <f t="shared" ca="1" si="119"/>
        <v>4</v>
      </c>
      <c r="AT1304" s="78">
        <f t="shared" ca="1" si="120"/>
        <v>0.95833333333333337</v>
      </c>
    </row>
    <row r="1305" spans="1:46" ht="12.5" x14ac:dyDescent="0.25">
      <c r="A1305" s="75">
        <v>44988.417885856485</v>
      </c>
      <c r="B1305" s="1" t="s">
        <v>21</v>
      </c>
      <c r="C1305" s="1" t="str">
        <f>INDEX(TBL_Name,MATCH(Table2[[#This Row],[Athlete Name]],listNames,0),2)</f>
        <v>Athlete 13</v>
      </c>
      <c r="D1305" s="1" t="s">
        <v>130</v>
      </c>
      <c r="E1305" s="1">
        <v>8</v>
      </c>
      <c r="F1305" s="1">
        <v>8</v>
      </c>
      <c r="G1305" s="1">
        <v>8</v>
      </c>
      <c r="H1305" s="1" t="s">
        <v>1271</v>
      </c>
      <c r="I1305" s="1">
        <v>8</v>
      </c>
      <c r="J1305" s="1">
        <v>8</v>
      </c>
      <c r="K1305" s="1">
        <v>8</v>
      </c>
      <c r="L1305" s="1">
        <v>80</v>
      </c>
      <c r="M1305" s="1" t="e">
        <f t="shared" ref="M1305" ca="1" si="131">_xludf.concat($B1305,$P1305)</f>
        <v>#NAME?</v>
      </c>
      <c r="N1305" s="1" t="e">
        <f t="shared" si="104"/>
        <v>#VALUE!</v>
      </c>
      <c r="O1305" s="1" t="e">
        <f t="shared" ref="O1305" ca="1" si="132">IF($N1305=_xludf.MINIFS($N$2:$N2573,$R$2:$R2573,$R1305),1,
($N1305-_xludf.MINIFS($N$2:$N2573,$R$2:$R2573,$R1305))+1)</f>
        <v>#VALUE!</v>
      </c>
      <c r="P1305" s="13" t="e">
        <f t="shared" si="106"/>
        <v>#VALUE!</v>
      </c>
      <c r="Q1305" s="1" t="str">
        <f>RIGHT(YEAR($A1305),2)-(MONTH($A1305)&lt;=[2]Roster!$K$25)
 &amp;"-"&amp;
 RIGHT(YEAR($A1305),2)+(MONTH($A1305)&gt;=[2]Roster!$K$26)</f>
        <v>22-23</v>
      </c>
      <c r="R1305" s="1" t="e">
        <f>CHOOSE(MONTH($P1305),[2]Roster!$K$9,[2]Roster!$K$10,[2]Roster!$K$11,[2]Roster!$K$12,[2]Roster!$K$13,[2]Roster!$K$14,[2]Roster!$K$15,[2]Roster!$K$16,[2]Roster!$K$17,[2]Roster!$K$18,[2]Roster!$K$19,[2]Roster!$K$20)&amp;" "&amp;$Q1305</f>
        <v>#VALUE!</v>
      </c>
      <c r="S1305" s="1">
        <f t="shared" si="107"/>
        <v>1</v>
      </c>
      <c r="T1305" s="1" t="str">
        <f t="array" ref="T1305">IFERROR(INDEX([2]Roster!$D$3:$D$42,MATCH($B1305,[2]Roster!$C$3:$C$42,0)),"")</f>
        <v>D</v>
      </c>
      <c r="U1305" s="1" t="str">
        <f t="array" ref="U1305">IFERROR(INDEX([2]Roster!$E$3:$E$42,MATCH($B1305,[2]Roster!$C$3:$C$42,0)),"")</f>
        <v>D</v>
      </c>
      <c r="V1305" s="76">
        <f t="array" ref="V1305">AVERAGEIFS($E$2:$E2327,$B$2:$B2327,$B1305,$P$2:$P2327,"&lt;="&amp;$P1305,$P$2:$P2327,"&gt;"&amp;$P1305-7)</f>
        <v>6.6304347826086953</v>
      </c>
      <c r="W1305" s="76">
        <f ca="1">IFERROR(__xludf.DUMMYFUNCTION("iferror(stdevp(filter($D$2:$D2330,$B$2:$B2330=$B1308,$O$2:$O2330&lt;=$O1308,$O$2:$O2330&gt;$O1308-7)),0)"),0)</f>
        <v>0</v>
      </c>
      <c r="X1305" s="77">
        <f t="shared" ca="1" si="108"/>
        <v>0</v>
      </c>
      <c r="Y1305" s="77">
        <f t="shared" ca="1" si="109"/>
        <v>3</v>
      </c>
      <c r="Z1305" s="76">
        <f t="array" ref="Z1305">AVERAGEIFS($F$2:$F2327,$B$2:$B2327,$B1305,$P$2:$P2327,"&lt;="&amp;$P1305,$P$2:$P2327,"&gt;"&amp;$P1305-7)</f>
        <v>7.6956521739130439</v>
      </c>
      <c r="AA1305" s="76">
        <f ca="1">IFERROR(__xludf.DUMMYFUNCTION("iferror(stdevp(filter($E$2:$E2330,$B$2:$B2330=$B1308,$O$2:$O2330&lt;=$O1308,$O$2:$O2330&gt;$O1308-7)),0)"),0)</f>
        <v>0</v>
      </c>
      <c r="AB1305" s="77">
        <f t="shared" ca="1" si="110"/>
        <v>0</v>
      </c>
      <c r="AC1305" s="77">
        <f t="shared" ca="1" si="111"/>
        <v>3</v>
      </c>
      <c r="AD1305" s="76">
        <f t="array" ref="AD1305">AVERAGEIFS($G$2:$G2327,$B$2:$B2327,$B1305,$P$2:$P2327,"&lt;="&amp;$P1305,$P$2:$P2327,"&gt;"&amp;$P1305-7)</f>
        <v>8.2608695652173907</v>
      </c>
      <c r="AE1305" s="76">
        <f ca="1">IFERROR(__xludf.DUMMYFUNCTION("iferror(stdevp(filter($F$2:$F2330,$B$2:$B2330=$B1308,$O$2:$O2330&lt;=$O1308,$O$2:$O2330&gt;$O1308-7)),0)"),0.471404520791031)</f>
        <v>0.47140452079103101</v>
      </c>
      <c r="AF1305" s="77">
        <f t="shared" ca="1" si="112"/>
        <v>-0.5533879157112106</v>
      </c>
      <c r="AG1305" s="77">
        <f t="shared" ca="1" si="113"/>
        <v>2</v>
      </c>
      <c r="AH1305" s="76">
        <f t="array" ref="AH1305">AVERAGEIFS($I$2:$I2327,$B$2:$B2327,$B1305,$P$2:$P2327,"&lt;="&amp;$P1305,$P$2:$P2327,"&gt;"&amp;$P1305-7)</f>
        <v>5.7391304347826084</v>
      </c>
      <c r="AI1305" s="76">
        <f ca="1">IFERROR(__xludf.DUMMYFUNCTION("iferror(stdevp(filter($H$2:$H2330,$B$2:$B2330=$B1308,$O$2:$O2330&lt;=$O1308,$O$2:$O2330&gt;$O1308-7)),0)"),0)</f>
        <v>0</v>
      </c>
      <c r="AJ1305" s="77">
        <f t="shared" ca="1" si="114"/>
        <v>0</v>
      </c>
      <c r="AK1305" s="77">
        <f t="shared" ca="1" si="115"/>
        <v>3</v>
      </c>
      <c r="AL1305" s="76">
        <f t="array" ref="AL1305">AVERAGEIFS($J$2:$J2327,$B$2:$B2327,$B1305,$P$2:$P2327,"&lt;="&amp;$P1305,$P$2:$P2327,"&gt;"&amp;$P1305-7)</f>
        <v>6.5434782608695654</v>
      </c>
      <c r="AM1305" s="76">
        <f ca="1">IFERROR(__xludf.DUMMYFUNCTION("iferror(stdevp(filter($I$2:$I2330,$B$2:$B2330=$B1308,$O$2:$O2330&lt;=$O1308,$O$2:$O2330&gt;$O1308-7)),0)"),0.471404520791031)</f>
        <v>0.47140452079103101</v>
      </c>
      <c r="AN1305" s="77">
        <f t="shared" ca="1" si="116"/>
        <v>3.089749196054266</v>
      </c>
      <c r="AO1305" s="77">
        <f t="shared" ca="1" si="117"/>
        <v>4</v>
      </c>
      <c r="AP1305" s="76">
        <f t="array" ref="AP1305">AVERAGEIFS($K$2:$K2327,$B$2:$B2327,$B1305,$P$2:$P2327,"&lt;="&amp;$P1305,$P$2:$P2327,"&gt;"&amp;$P1305-7)</f>
        <v>6.6086956521739131</v>
      </c>
      <c r="AQ1305" s="76">
        <f ca="1">IFERROR(__xludf.DUMMYFUNCTION("iferror(stdevp(filter($J$2:$J2330,$B$2:$B2330=$B1308,$O$2:$O2330&lt;=$O1308,$O$2:$O2330&gt;$O1308-7)),0)"),0.471404520791031)</f>
        <v>0.47140452079103101</v>
      </c>
      <c r="AR1305" s="77">
        <f t="shared" ca="1" si="118"/>
        <v>2.9514022171264633</v>
      </c>
      <c r="AS1305" s="77">
        <f t="shared" ca="1" si="119"/>
        <v>4</v>
      </c>
      <c r="AT1305" s="78">
        <f t="shared" ca="1" si="120"/>
        <v>0.79166666666666663</v>
      </c>
    </row>
    <row r="1306" spans="1:46" ht="12.5" x14ac:dyDescent="0.25">
      <c r="A1306" s="75">
        <v>44988.445704432874</v>
      </c>
      <c r="B1306" s="1" t="s">
        <v>10</v>
      </c>
      <c r="C1306" s="1" t="str">
        <f>INDEX(TBL_Name,MATCH(Table2[[#This Row],[Athlete Name]],listNames,0),2)</f>
        <v>Athlete 5</v>
      </c>
      <c r="D1306" s="1" t="s">
        <v>130</v>
      </c>
      <c r="E1306" s="1">
        <v>9</v>
      </c>
      <c r="F1306" s="1">
        <v>9</v>
      </c>
      <c r="G1306" s="1">
        <v>9</v>
      </c>
      <c r="H1306" s="1" t="s">
        <v>69</v>
      </c>
      <c r="I1306" s="1">
        <v>9</v>
      </c>
      <c r="J1306" s="1">
        <v>10</v>
      </c>
      <c r="K1306" s="1">
        <v>9</v>
      </c>
      <c r="L1306" s="1">
        <v>91</v>
      </c>
      <c r="M1306" s="1" t="e">
        <f t="shared" ref="M1306" ca="1" si="133">_xludf.concat($B1306,$P1306)</f>
        <v>#NAME?</v>
      </c>
      <c r="N1306" s="1" t="e">
        <f t="shared" si="104"/>
        <v>#VALUE!</v>
      </c>
      <c r="O1306" s="1" t="e">
        <f t="shared" ref="O1306" ca="1" si="134">IF($N1306=_xludf.MINIFS($N$2:$N2574,$R$2:$R2574,$R1306),1,
($N1306-_xludf.MINIFS($N$2:$N2574,$R$2:$R2574,$R1306))+1)</f>
        <v>#VALUE!</v>
      </c>
      <c r="P1306" s="13" t="e">
        <f t="shared" si="106"/>
        <v>#VALUE!</v>
      </c>
      <c r="Q1306" s="1" t="str">
        <f>RIGHT(YEAR($A1306),2)-(MONTH($A1306)&lt;=[2]Roster!$K$25)
 &amp;"-"&amp;
 RIGHT(YEAR($A1306),2)+(MONTH($A1306)&gt;=[2]Roster!$K$26)</f>
        <v>22-23</v>
      </c>
      <c r="R1306" s="1" t="e">
        <f>CHOOSE(MONTH($P1306),[2]Roster!$K$9,[2]Roster!$K$10,[2]Roster!$K$11,[2]Roster!$K$12,[2]Roster!$K$13,[2]Roster!$K$14,[2]Roster!$K$15,[2]Roster!$K$16,[2]Roster!$K$17,[2]Roster!$K$18,[2]Roster!$K$19,[2]Roster!$K$20)&amp;" "&amp;$Q1306</f>
        <v>#VALUE!</v>
      </c>
      <c r="S1306" s="1">
        <f t="shared" si="107"/>
        <v>1</v>
      </c>
      <c r="T1306" s="1" t="str">
        <f t="array" ref="T1306">IFERROR(INDEX([2]Roster!$D$3:$D$42,MATCH($B1306,[2]Roster!$C$3:$C$42,0)),"")</f>
        <v>MID</v>
      </c>
      <c r="U1306" s="1" t="str">
        <f t="array" ref="U1306">IFERROR(INDEX([2]Roster!$E$3:$E$42,MATCH($B1306,[2]Roster!$C$3:$C$42,0)),"")</f>
        <v>MID</v>
      </c>
      <c r="V1306" s="76">
        <f t="array" ref="V1306">AVERAGEIFS($E$2:$E2327,$B$2:$B2327,$B1306,$P$2:$P2327,"&lt;="&amp;$P1306,$P$2:$P2327,"&gt;"&amp;$P1306-7)</f>
        <v>8.4042553191489358</v>
      </c>
      <c r="W1306" s="76">
        <f ca="1">IFERROR(__xludf.DUMMYFUNCTION("iferror(stdevp(filter($D$2:$D2330,$B$2:$B2330=$B1309,$O$2:$O2330&lt;=$O1309,$O$2:$O2330&gt;$O1309-7)),0)"),0.489897948556635)</f>
        <v>0.48989794855663499</v>
      </c>
      <c r="X1306" s="77">
        <f t="shared" ca="1" si="108"/>
        <v>1.2160587375519347</v>
      </c>
      <c r="Y1306" s="77">
        <f t="shared" ca="1" si="109"/>
        <v>4</v>
      </c>
      <c r="Z1306" s="76">
        <f t="array" ref="Z1306">AVERAGEIFS($F$2:$F2327,$B$2:$B2327,$B1306,$P$2:$P2327,"&lt;="&amp;$P1306,$P$2:$P2327,"&gt;"&amp;$P1306-7)</f>
        <v>8.085106382978724</v>
      </c>
      <c r="AA1306" s="76">
        <f ca="1">IFERROR(__xludf.DUMMYFUNCTION("iferror(stdevp(filter($E$2:$E2330,$B$2:$B2330=$B1309,$O$2:$O2330&lt;=$O1309,$O$2:$O2330&gt;$O1309-7)),0)"),0.4)</f>
        <v>0.4</v>
      </c>
      <c r="AB1306" s="77">
        <f t="shared" ca="1" si="110"/>
        <v>2.2872340425531901</v>
      </c>
      <c r="AC1306" s="77">
        <f t="shared" ca="1" si="111"/>
        <v>4</v>
      </c>
      <c r="AD1306" s="76">
        <f t="array" ref="AD1306">AVERAGEIFS($G$2:$G2327,$B$2:$B2327,$B1306,$P$2:$P2327,"&lt;="&amp;$P1306,$P$2:$P2327,"&gt;"&amp;$P1306-7)</f>
        <v>8.0638297872340434</v>
      </c>
      <c r="AE1306" s="76">
        <f ca="1">IFERROR(__xludf.DUMMYFUNCTION("iferror(stdevp(filter($F$2:$F2330,$B$2:$B2330=$B1309,$O$2:$O2330&lt;=$O1309,$O$2:$O2330&gt;$O1309-7)),0)"),0.4)</f>
        <v>0.4</v>
      </c>
      <c r="AF1306" s="77">
        <f t="shared" ca="1" si="112"/>
        <v>2.3404255319148914</v>
      </c>
      <c r="AG1306" s="77">
        <f t="shared" ca="1" si="113"/>
        <v>4</v>
      </c>
      <c r="AH1306" s="76">
        <f t="array" ref="AH1306">AVERAGEIFS($I$2:$I2327,$B$2:$B2327,$B1306,$P$2:$P2327,"&lt;="&amp;$P1306,$P$2:$P2327,"&gt;"&amp;$P1306-7)</f>
        <v>6.7446808510638299</v>
      </c>
      <c r="AI1306" s="76">
        <f ca="1">IFERROR(__xludf.DUMMYFUNCTION("iferror(stdevp(filter($H$2:$H2330,$B$2:$B2330=$B1309,$O$2:$O2330&lt;=$O1309,$O$2:$O2330&gt;$O1309-7)),0)"),0.748331477354788)</f>
        <v>0.748331477354788</v>
      </c>
      <c r="AJ1306" s="77">
        <f t="shared" ca="1" si="114"/>
        <v>3.0137969832677656</v>
      </c>
      <c r="AK1306" s="77">
        <f t="shared" ca="1" si="115"/>
        <v>4</v>
      </c>
      <c r="AL1306" s="76">
        <f t="array" ref="AL1306">AVERAGEIFS($J$2:$J2327,$B$2:$B2327,$B1306,$P$2:$P2327,"&lt;="&amp;$P1306,$P$2:$P2327,"&gt;"&amp;$P1306-7)</f>
        <v>8.1063829787234045</v>
      </c>
      <c r="AM1306" s="76">
        <f ca="1">IFERROR(__xludf.DUMMYFUNCTION("iferror(stdevp(filter($I$2:$I2330,$B$2:$B2330=$B1309,$O$2:$O2330&lt;=$O1309,$O$2:$O2330&gt;$O1309-7)),0)"),0.748331477354788)</f>
        <v>0.748331477354788</v>
      </c>
      <c r="AN1306" s="77">
        <f t="shared" ca="1" si="116"/>
        <v>2.5304521840644441</v>
      </c>
      <c r="AO1306" s="77">
        <f t="shared" ca="1" si="117"/>
        <v>4</v>
      </c>
      <c r="AP1306" s="76">
        <f t="array" ref="AP1306">AVERAGEIFS($K$2:$K2327,$B$2:$B2327,$B1306,$P$2:$P2327,"&lt;="&amp;$P1306,$P$2:$P2327,"&gt;"&amp;$P1306-7)</f>
        <v>8.2978723404255312</v>
      </c>
      <c r="AQ1306" s="76">
        <f ca="1">IFERROR(__xludf.DUMMYFUNCTION("iferror(stdevp(filter($J$2:$J2330,$B$2:$B2330=$B1309,$O$2:$O2330&lt;=$O1309,$O$2:$O2330&gt;$O1309-7)),0)"),0.489897948556635)</f>
        <v>0.48989794855663499</v>
      </c>
      <c r="AR1306" s="77">
        <f t="shared" ca="1" si="118"/>
        <v>1.4332120835433522</v>
      </c>
      <c r="AS1306" s="77">
        <f t="shared" ca="1" si="119"/>
        <v>4</v>
      </c>
      <c r="AT1306" s="78">
        <f t="shared" ca="1" si="120"/>
        <v>1</v>
      </c>
    </row>
    <row r="1307" spans="1:46" ht="12.5" x14ac:dyDescent="0.25">
      <c r="A1307" s="75">
        <v>44988.445720520831</v>
      </c>
      <c r="B1307" s="1" t="s">
        <v>17</v>
      </c>
      <c r="C1307" s="1" t="str">
        <f>INDEX(TBL_Name,MATCH(Table2[[#This Row],[Athlete Name]],listNames,0),2)</f>
        <v>Athlete 10</v>
      </c>
      <c r="D1307" s="1" t="s">
        <v>130</v>
      </c>
      <c r="E1307" s="1">
        <v>7</v>
      </c>
      <c r="F1307" s="1">
        <v>9</v>
      </c>
      <c r="G1307" s="1">
        <v>8</v>
      </c>
      <c r="H1307" s="1" t="s">
        <v>228</v>
      </c>
      <c r="I1307" s="1">
        <v>7</v>
      </c>
      <c r="J1307" s="1">
        <v>7</v>
      </c>
      <c r="K1307" s="1">
        <v>9</v>
      </c>
      <c r="L1307" s="1">
        <v>86</v>
      </c>
      <c r="M1307" s="1" t="e">
        <f t="shared" ref="M1307" ca="1" si="135">_xludf.concat($B1307,$P1307)</f>
        <v>#NAME?</v>
      </c>
      <c r="N1307" s="1" t="e">
        <f t="shared" si="104"/>
        <v>#VALUE!</v>
      </c>
      <c r="O1307" s="1" t="e">
        <f t="shared" ref="O1307" ca="1" si="136">IF($N1307=_xludf.MINIFS($N$2:$N2575,$R$2:$R2575,$R1307),1,
($N1307-_xludf.MINIFS($N$2:$N2575,$R$2:$R2575,$R1307))+1)</f>
        <v>#VALUE!</v>
      </c>
      <c r="P1307" s="13" t="e">
        <f t="shared" si="106"/>
        <v>#VALUE!</v>
      </c>
      <c r="Q1307" s="1" t="str">
        <f>RIGHT(YEAR($A1307),2)-(MONTH($A1307)&lt;=[2]Roster!$K$25)
 &amp;"-"&amp;
 RIGHT(YEAR($A1307),2)+(MONTH($A1307)&gt;=[2]Roster!$K$26)</f>
        <v>22-23</v>
      </c>
      <c r="R1307" s="1" t="e">
        <f>CHOOSE(MONTH($P1307),[2]Roster!$K$9,[2]Roster!$K$10,[2]Roster!$K$11,[2]Roster!$K$12,[2]Roster!$K$13,[2]Roster!$K$14,[2]Roster!$K$15,[2]Roster!$K$16,[2]Roster!$K$17,[2]Roster!$K$18,[2]Roster!$K$19,[2]Roster!$K$20)&amp;" "&amp;$Q1307</f>
        <v>#VALUE!</v>
      </c>
      <c r="S1307" s="1">
        <f t="shared" si="107"/>
        <v>1</v>
      </c>
      <c r="T1307" s="1" t="str">
        <f t="array" ref="T1307">IFERROR(INDEX([2]Roster!$D$3:$D$42,MATCH($B1307,[2]Roster!$C$3:$C$42,0)),"")</f>
        <v>D</v>
      </c>
      <c r="U1307" s="1" t="str">
        <f t="array" ref="U1307">IFERROR(INDEX([2]Roster!$E$3:$E$42,MATCH($B1307,[2]Roster!$C$3:$C$42,0)),"")</f>
        <v>D</v>
      </c>
      <c r="V1307" s="76">
        <f t="array" ref="V1307">AVERAGEIFS($E$2:$E2327,$B$2:$B2327,$B1307,$P$2:$P2327,"&lt;="&amp;$P1307,$P$2:$P2327,"&gt;"&amp;$P1307-7)</f>
        <v>6.9024390243902438</v>
      </c>
      <c r="W1307" s="76">
        <f ca="1">IFERROR(__xludf.DUMMYFUNCTION("iferror(stdevp(filter($D$2:$D2330,$B$2:$B2330=$B1310,$O$2:$O2330&lt;=$O1310,$O$2:$O2330&gt;$O1310-7)),0)"),0.979795897113271)</f>
        <v>0.97979589711327097</v>
      </c>
      <c r="X1307" s="77">
        <f t="shared" ca="1" si="108"/>
        <v>9.9572753771674016E-2</v>
      </c>
      <c r="Y1307" s="77">
        <f t="shared" ca="1" si="109"/>
        <v>3</v>
      </c>
      <c r="Z1307" s="76">
        <f t="array" ref="Z1307">AVERAGEIFS($F$2:$F2327,$B$2:$B2327,$B1307,$P$2:$P2327,"&lt;="&amp;$P1307,$P$2:$P2327,"&gt;"&amp;$P1307-7)</f>
        <v>7.2926829268292686</v>
      </c>
      <c r="AA1307" s="76">
        <f ca="1">IFERROR(__xludf.DUMMYFUNCTION("iferror(stdevp(filter($E$2:$E2330,$B$2:$B2330=$B1310,$O$2:$O2330&lt;=$O1310,$O$2:$O2330&gt;$O1310-7)),0)"),0.748331477354788)</f>
        <v>0.748331477354788</v>
      </c>
      <c r="AB1307" s="77">
        <f t="shared" ca="1" si="110"/>
        <v>2.2814984065694768</v>
      </c>
      <c r="AC1307" s="77">
        <f t="shared" ca="1" si="111"/>
        <v>4</v>
      </c>
      <c r="AD1307" s="76">
        <f t="array" ref="AD1307">AVERAGEIFS($G$2:$G2327,$B$2:$B2327,$B1307,$P$2:$P2327,"&lt;="&amp;$P1307,$P$2:$P2327,"&gt;"&amp;$P1307-7)</f>
        <v>7.8048780487804876</v>
      </c>
      <c r="AE1307" s="76">
        <f ca="1">IFERROR(__xludf.DUMMYFUNCTION("iferror(stdevp(filter($F$2:$F2330,$B$2:$B2330=$B1310,$O$2:$O2330&lt;=$O1310,$O$2:$O2330&gt;$O1310-7)),0)"),1.01980390271855)</f>
        <v>1.0198039027185499</v>
      </c>
      <c r="AF1307" s="77">
        <f t="shared" ca="1" si="112"/>
        <v>0.19133281476896152</v>
      </c>
      <c r="AG1307" s="77">
        <f t="shared" ca="1" si="113"/>
        <v>3</v>
      </c>
      <c r="AH1307" s="76">
        <f t="array" ref="AH1307">AVERAGEIFS($I$2:$I2327,$B$2:$B2327,$B1307,$P$2:$P2327,"&lt;="&amp;$P1307,$P$2:$P2327,"&gt;"&amp;$P1307-7)</f>
        <v>6.3170731707317076</v>
      </c>
      <c r="AI1307" s="76">
        <f ca="1">IFERROR(__xludf.DUMMYFUNCTION("iferror(stdevp(filter($H$2:$H2330,$B$2:$B2330=$B1310,$O$2:$O2330&lt;=$O1310,$O$2:$O2330&gt;$O1310-7)),0)"),0.979795897113271)</f>
        <v>0.97979589711327097</v>
      </c>
      <c r="AJ1307" s="77">
        <f t="shared" ca="1" si="114"/>
        <v>0.69700927640171728</v>
      </c>
      <c r="AK1307" s="77">
        <f t="shared" ca="1" si="115"/>
        <v>3</v>
      </c>
      <c r="AL1307" s="76">
        <f t="array" ref="AL1307">AVERAGEIFS($J$2:$J2327,$B$2:$B2327,$B1307,$P$2:$P2327,"&lt;="&amp;$P1307,$P$2:$P2327,"&gt;"&amp;$P1307-7)</f>
        <v>6.9024390243902438</v>
      </c>
      <c r="AM1307" s="76">
        <f ca="1">IFERROR(__xludf.DUMMYFUNCTION("iferror(stdevp(filter($I$2:$I2330,$B$2:$B2330=$B1310,$O$2:$O2330&lt;=$O1310,$O$2:$O2330&gt;$O1310-7)),0)"),0.632455532033675)</f>
        <v>0.63245553203367499</v>
      </c>
      <c r="AN1307" s="77">
        <f t="shared" ca="1" si="116"/>
        <v>0.15425744683748227</v>
      </c>
      <c r="AO1307" s="77">
        <f t="shared" ca="1" si="117"/>
        <v>3</v>
      </c>
      <c r="AP1307" s="76">
        <f t="array" ref="AP1307">AVERAGEIFS($K$2:$K2327,$B$2:$B2327,$B1307,$P$2:$P2327,"&lt;="&amp;$P1307,$P$2:$P2327,"&gt;"&amp;$P1307-7)</f>
        <v>8</v>
      </c>
      <c r="AQ1307" s="76">
        <f ca="1">IFERROR(__xludf.DUMMYFUNCTION("iferror(stdevp(filter($J$2:$J2330,$B$2:$B2330=$B1310,$O$2:$O2330&lt;=$O1310,$O$2:$O2330&gt;$O1310-7)),0)"),0.632455532033675)</f>
        <v>0.63245553203367499</v>
      </c>
      <c r="AR1307" s="77">
        <f t="shared" ca="1" si="118"/>
        <v>1.5811388300841918</v>
      </c>
      <c r="AS1307" s="77">
        <f t="shared" ca="1" si="119"/>
        <v>4</v>
      </c>
      <c r="AT1307" s="78">
        <f t="shared" ca="1" si="120"/>
        <v>0.83333333333333337</v>
      </c>
    </row>
    <row r="1308" spans="1:46" ht="12.5" x14ac:dyDescent="0.25">
      <c r="A1308" s="75">
        <v>44989.49281030093</v>
      </c>
      <c r="B1308" s="1" t="s">
        <v>21</v>
      </c>
      <c r="C1308" s="1" t="str">
        <f>INDEX(TBL_Name,MATCH(Table2[[#This Row],[Athlete Name]],listNames,0),2)</f>
        <v>Athlete 13</v>
      </c>
      <c r="D1308" s="1" t="s">
        <v>130</v>
      </c>
      <c r="E1308" s="1">
        <v>8</v>
      </c>
      <c r="F1308" s="1">
        <v>8</v>
      </c>
      <c r="G1308" s="1">
        <v>9</v>
      </c>
      <c r="H1308" s="1" t="s">
        <v>164</v>
      </c>
      <c r="I1308" s="1">
        <v>8</v>
      </c>
      <c r="J1308" s="1">
        <v>7</v>
      </c>
      <c r="K1308" s="1">
        <v>7</v>
      </c>
      <c r="L1308" s="1">
        <v>85</v>
      </c>
      <c r="M1308" s="1" t="e">
        <f t="shared" ref="M1308" ca="1" si="137">_xludf.concat($B1308,$P1308)</f>
        <v>#NAME?</v>
      </c>
      <c r="N1308" s="1" t="e">
        <f t="shared" si="104"/>
        <v>#VALUE!</v>
      </c>
      <c r="O1308" s="1" t="e">
        <f t="shared" ref="O1308" ca="1" si="138">IF($N1308=_xludf.MINIFS($N$2:$N2576,$R$2:$R2576,$R1308),1,
($N1308-_xludf.MINIFS($N$2:$N2576,$R$2:$R2576,$R1308))+1)</f>
        <v>#VALUE!</v>
      </c>
      <c r="P1308" s="13" t="e">
        <f t="shared" si="106"/>
        <v>#VALUE!</v>
      </c>
      <c r="Q1308" s="1" t="str">
        <f>RIGHT(YEAR($A1308),2)-(MONTH($A1308)&lt;=[2]Roster!$K$25)
 &amp;"-"&amp;
 RIGHT(YEAR($A1308),2)+(MONTH($A1308)&gt;=[2]Roster!$K$26)</f>
        <v>22-23</v>
      </c>
      <c r="R1308" s="1" t="e">
        <f>CHOOSE(MONTH($P1308),[2]Roster!$K$9,[2]Roster!$K$10,[2]Roster!$K$11,[2]Roster!$K$12,[2]Roster!$K$13,[2]Roster!$K$14,[2]Roster!$K$15,[2]Roster!$K$16,[2]Roster!$K$17,[2]Roster!$K$18,[2]Roster!$K$19,[2]Roster!$K$20)&amp;" "&amp;$Q1308</f>
        <v>#VALUE!</v>
      </c>
      <c r="S1308" s="1">
        <f t="shared" si="107"/>
        <v>1</v>
      </c>
      <c r="T1308" s="1" t="str">
        <f t="array" ref="T1308">IFERROR(INDEX([2]Roster!$D$3:$D$42,MATCH($B1308,[2]Roster!$C$3:$C$42,0)),"")</f>
        <v>D</v>
      </c>
      <c r="U1308" s="1" t="str">
        <f t="array" ref="U1308">IFERROR(INDEX([2]Roster!$E$3:$E$42,MATCH($B1308,[2]Roster!$C$3:$C$42,0)),"")</f>
        <v>D</v>
      </c>
      <c r="V1308" s="76">
        <f t="array" ref="V1308">AVERAGEIFS($E$2:$E2327,$B$2:$B2327,$B1308,$P$2:$P2327,"&lt;="&amp;$P1308,$P$2:$P2327,"&gt;"&amp;$P1308-7)</f>
        <v>6.6304347826086953</v>
      </c>
      <c r="W1308" s="76">
        <f ca="1">IFERROR(__xludf.DUMMYFUNCTION("iferror(stdevp(filter($D$2:$D2330,$B$2:$B2330=$B1311,$O$2:$O2330&lt;=$O1311,$O$2:$O2330&gt;$O1311-7)),0)"),0)</f>
        <v>0</v>
      </c>
      <c r="X1308" s="77">
        <f t="shared" ca="1" si="108"/>
        <v>0</v>
      </c>
      <c r="Y1308" s="77">
        <f t="shared" ca="1" si="109"/>
        <v>3</v>
      </c>
      <c r="Z1308" s="76">
        <f t="array" ref="Z1308">AVERAGEIFS($F$2:$F2327,$B$2:$B2327,$B1308,$P$2:$P2327,"&lt;="&amp;$P1308,$P$2:$P2327,"&gt;"&amp;$P1308-7)</f>
        <v>7.6956521739130439</v>
      </c>
      <c r="AA1308" s="76">
        <f ca="1">IFERROR(__xludf.DUMMYFUNCTION("iferror(stdevp(filter($E$2:$E2330,$B$2:$B2330=$B1311,$O$2:$O2330&lt;=$O1311,$O$2:$O2330&gt;$O1311-7)),0)"),0)</f>
        <v>0</v>
      </c>
      <c r="AB1308" s="77">
        <f t="shared" ca="1" si="110"/>
        <v>0</v>
      </c>
      <c r="AC1308" s="77">
        <f t="shared" ca="1" si="111"/>
        <v>3</v>
      </c>
      <c r="AD1308" s="76">
        <f t="array" ref="AD1308">AVERAGEIFS($G$2:$G2327,$B$2:$B2327,$B1308,$P$2:$P2327,"&lt;="&amp;$P1308,$P$2:$P2327,"&gt;"&amp;$P1308-7)</f>
        <v>8.2608695652173907</v>
      </c>
      <c r="AE1308" s="76">
        <f ca="1">IFERROR(__xludf.DUMMYFUNCTION("iferror(stdevp(filter($F$2:$F2330,$B$2:$B2330=$B1311,$O$2:$O2330&lt;=$O1311,$O$2:$O2330&gt;$O1311-7)),0)"),0.5)</f>
        <v>0.5</v>
      </c>
      <c r="AF1308" s="77">
        <f t="shared" ca="1" si="112"/>
        <v>1.4782608695652186</v>
      </c>
      <c r="AG1308" s="77">
        <f t="shared" ca="1" si="113"/>
        <v>4</v>
      </c>
      <c r="AH1308" s="76">
        <f t="array" ref="AH1308">AVERAGEIFS($I$2:$I2327,$B$2:$B2327,$B1308,$P$2:$P2327,"&lt;="&amp;$P1308,$P$2:$P2327,"&gt;"&amp;$P1308-7)</f>
        <v>5.7391304347826084</v>
      </c>
      <c r="AI1308" s="76">
        <f ca="1">IFERROR(__xludf.DUMMYFUNCTION("iferror(stdevp(filter($H$2:$H2330,$B$2:$B2330=$B1311,$O$2:$O2330&lt;=$O1311,$O$2:$O2330&gt;$O1311-7)),0)"),0)</f>
        <v>0</v>
      </c>
      <c r="AJ1308" s="77">
        <f t="shared" ca="1" si="114"/>
        <v>0</v>
      </c>
      <c r="AK1308" s="77">
        <f t="shared" ca="1" si="115"/>
        <v>3</v>
      </c>
      <c r="AL1308" s="76">
        <f t="array" ref="AL1308">AVERAGEIFS($J$2:$J2327,$B$2:$B2327,$B1308,$P$2:$P2327,"&lt;="&amp;$P1308,$P$2:$P2327,"&gt;"&amp;$P1308-7)</f>
        <v>6.5434782608695654</v>
      </c>
      <c r="AM1308" s="76">
        <f ca="1">IFERROR(__xludf.DUMMYFUNCTION("iferror(stdevp(filter($I$2:$I2330,$B$2:$B2330=$B1311,$O$2:$O2330&lt;=$O1311,$O$2:$O2330&gt;$O1311-7)),0)"),0.5)</f>
        <v>0.5</v>
      </c>
      <c r="AN1308" s="77">
        <f t="shared" ca="1" si="116"/>
        <v>0.91304347826086918</v>
      </c>
      <c r="AO1308" s="77">
        <f t="shared" ca="1" si="117"/>
        <v>3</v>
      </c>
      <c r="AP1308" s="76">
        <f t="array" ref="AP1308">AVERAGEIFS($K$2:$K2327,$B$2:$B2327,$B1308,$P$2:$P2327,"&lt;="&amp;$P1308,$P$2:$P2327,"&gt;"&amp;$P1308-7)</f>
        <v>6.6086956521739131</v>
      </c>
      <c r="AQ1308" s="76">
        <f ca="1">IFERROR(__xludf.DUMMYFUNCTION("iferror(stdevp(filter($J$2:$J2330,$B$2:$B2330=$B1311,$O$2:$O2330&lt;=$O1311,$O$2:$O2330&gt;$O1311-7)),0)"),0.433012701892219)</f>
        <v>0.43301270189221902</v>
      </c>
      <c r="AR1308" s="77">
        <f t="shared" ca="1" si="118"/>
        <v>0.90367868220984959</v>
      </c>
      <c r="AS1308" s="77">
        <f t="shared" ca="1" si="119"/>
        <v>3</v>
      </c>
      <c r="AT1308" s="78">
        <f t="shared" ca="1" si="120"/>
        <v>0.79166666666666663</v>
      </c>
    </row>
    <row r="1309" spans="1:46" ht="12.5" x14ac:dyDescent="0.25">
      <c r="A1309" s="75">
        <v>44990.53668005787</v>
      </c>
      <c r="B1309" s="1" t="s">
        <v>10</v>
      </c>
      <c r="C1309" s="1" t="str">
        <f>INDEX(TBL_Name,MATCH(Table2[[#This Row],[Athlete Name]],listNames,0),2)</f>
        <v>Athlete 5</v>
      </c>
      <c r="D1309" s="1" t="s">
        <v>130</v>
      </c>
      <c r="E1309" s="1">
        <v>9</v>
      </c>
      <c r="F1309" s="1">
        <v>8</v>
      </c>
      <c r="G1309" s="1">
        <v>8</v>
      </c>
      <c r="H1309" s="1" t="s">
        <v>69</v>
      </c>
      <c r="I1309" s="1">
        <v>8</v>
      </c>
      <c r="J1309" s="1">
        <v>9</v>
      </c>
      <c r="K1309" s="1">
        <v>9</v>
      </c>
      <c r="L1309" s="1">
        <v>88</v>
      </c>
      <c r="M1309" s="1" t="e">
        <f t="shared" ref="M1309" ca="1" si="139">_xludf.concat($B1309,$P1309)</f>
        <v>#NAME?</v>
      </c>
      <c r="N1309" s="1" t="e">
        <f t="shared" si="104"/>
        <v>#VALUE!</v>
      </c>
      <c r="O1309" s="1" t="e">
        <f t="shared" ref="O1309" ca="1" si="140">IF($N1309=_xludf.MINIFS($N$2:$N2577,$R$2:$R2577,$R1309),1,
($N1309-_xludf.MINIFS($N$2:$N2577,$R$2:$R2577,$R1309))+1)</f>
        <v>#VALUE!</v>
      </c>
      <c r="P1309" s="13" t="e">
        <f t="shared" si="106"/>
        <v>#VALUE!</v>
      </c>
      <c r="Q1309" s="1" t="str">
        <f>RIGHT(YEAR($A1309),2)-(MONTH($A1309)&lt;=[2]Roster!$K$25)
 &amp;"-"&amp;
 RIGHT(YEAR($A1309),2)+(MONTH($A1309)&gt;=[2]Roster!$K$26)</f>
        <v>22-23</v>
      </c>
      <c r="R1309" s="1" t="e">
        <f>CHOOSE(MONTH($P1309),[2]Roster!$K$9,[2]Roster!$K$10,[2]Roster!$K$11,[2]Roster!$K$12,[2]Roster!$K$13,[2]Roster!$K$14,[2]Roster!$K$15,[2]Roster!$K$16,[2]Roster!$K$17,[2]Roster!$K$18,[2]Roster!$K$19,[2]Roster!$K$20)&amp;" "&amp;$Q1309</f>
        <v>#VALUE!</v>
      </c>
      <c r="S1309" s="1">
        <f t="shared" si="107"/>
        <v>1</v>
      </c>
      <c r="T1309" s="1" t="str">
        <f t="array" ref="T1309">IFERROR(INDEX([2]Roster!$D$3:$D$42,MATCH($B1309,[2]Roster!$C$3:$C$42,0)),"")</f>
        <v>MID</v>
      </c>
      <c r="U1309" s="1" t="str">
        <f t="array" ref="U1309">IFERROR(INDEX([2]Roster!$E$3:$E$42,MATCH($B1309,[2]Roster!$C$3:$C$42,0)),"")</f>
        <v>MID</v>
      </c>
      <c r="V1309" s="76">
        <f t="array" ref="V1309">AVERAGEIFS($E$2:$E2327,$B$2:$B2327,$B1309,$P$2:$P2327,"&lt;="&amp;$P1309,$P$2:$P2327,"&gt;"&amp;$P1309-7)</f>
        <v>8.4042553191489358</v>
      </c>
      <c r="W1309" s="76">
        <f ca="1">IFERROR(__xludf.DUMMYFUNCTION("iferror(stdevp(filter($D$2:$D2330,$B$2:$B2330=$B1312,$O$2:$O2330&lt;=$O1312,$O$2:$O2330&gt;$O1312-7)),0)"),0.489897948556635)</f>
        <v>0.48989794855663499</v>
      </c>
      <c r="X1309" s="77">
        <f t="shared" ca="1" si="108"/>
        <v>1.2160587375519347</v>
      </c>
      <c r="Y1309" s="77">
        <f t="shared" ca="1" si="109"/>
        <v>4</v>
      </c>
      <c r="Z1309" s="76">
        <f t="array" ref="Z1309">AVERAGEIFS($F$2:$F2327,$B$2:$B2327,$B1309,$P$2:$P2327,"&lt;="&amp;$P1309,$P$2:$P2327,"&gt;"&amp;$P1309-7)</f>
        <v>8.085106382978724</v>
      </c>
      <c r="AA1309" s="76">
        <f ca="1">IFERROR(__xludf.DUMMYFUNCTION("iferror(stdevp(filter($E$2:$E2330,$B$2:$B2330=$B1312,$O$2:$O2330&lt;=$O1312,$O$2:$O2330&gt;$O1312-7)),0)"),0.4)</f>
        <v>0.4</v>
      </c>
      <c r="AB1309" s="77">
        <f t="shared" ca="1" si="110"/>
        <v>-0.21276595744680993</v>
      </c>
      <c r="AC1309" s="77">
        <f t="shared" ca="1" si="111"/>
        <v>2</v>
      </c>
      <c r="AD1309" s="76">
        <f t="array" ref="AD1309">AVERAGEIFS($G$2:$G2327,$B$2:$B2327,$B1309,$P$2:$P2327,"&lt;="&amp;$P1309,$P$2:$P2327,"&gt;"&amp;$P1309-7)</f>
        <v>8.0638297872340434</v>
      </c>
      <c r="AE1309" s="76">
        <f ca="1">IFERROR(__xludf.DUMMYFUNCTION("iferror(stdevp(filter($F$2:$F2330,$B$2:$B2330=$B1312,$O$2:$O2330&lt;=$O1312,$O$2:$O2330&gt;$O1312-7)),0)"),0.4)</f>
        <v>0.4</v>
      </c>
      <c r="AF1309" s="77">
        <f t="shared" ca="1" si="112"/>
        <v>-0.15957446808510856</v>
      </c>
      <c r="AG1309" s="77">
        <f t="shared" ca="1" si="113"/>
        <v>2</v>
      </c>
      <c r="AH1309" s="76">
        <f t="array" ref="AH1309">AVERAGEIFS($I$2:$I2327,$B$2:$B2327,$B1309,$P$2:$P2327,"&lt;="&amp;$P1309,$P$2:$P2327,"&gt;"&amp;$P1309-7)</f>
        <v>6.7446808510638299</v>
      </c>
      <c r="AI1309" s="76">
        <f ca="1">IFERROR(__xludf.DUMMYFUNCTION("iferror(stdevp(filter($H$2:$H2330,$B$2:$B2330=$B1312,$O$2:$O2330&lt;=$O1312,$O$2:$O2330&gt;$O1312-7)),0)"),0.748331477354788)</f>
        <v>0.748331477354788</v>
      </c>
      <c r="AJ1309" s="77">
        <f t="shared" ca="1" si="114"/>
        <v>1.677490773705643</v>
      </c>
      <c r="AK1309" s="77">
        <f t="shared" ca="1" si="115"/>
        <v>4</v>
      </c>
      <c r="AL1309" s="76">
        <f t="array" ref="AL1309">AVERAGEIFS($J$2:$J2327,$B$2:$B2327,$B1309,$P$2:$P2327,"&lt;="&amp;$P1309,$P$2:$P2327,"&gt;"&amp;$P1309-7)</f>
        <v>8.1063829787234045</v>
      </c>
      <c r="AM1309" s="76">
        <f ca="1">IFERROR(__xludf.DUMMYFUNCTION("iferror(stdevp(filter($I$2:$I2330,$B$2:$B2330=$B1312,$O$2:$O2330&lt;=$O1312,$O$2:$O2330&gt;$O1312-7)),0)"),0.748331477354788)</f>
        <v>0.748331477354788</v>
      </c>
      <c r="AN1309" s="77">
        <f t="shared" ca="1" si="116"/>
        <v>1.1941459745023217</v>
      </c>
      <c r="AO1309" s="77">
        <f t="shared" ca="1" si="117"/>
        <v>4</v>
      </c>
      <c r="AP1309" s="76">
        <f t="array" ref="AP1309">AVERAGEIFS($K$2:$K2327,$B$2:$B2327,$B1309,$P$2:$P2327,"&lt;="&amp;$P1309,$P$2:$P2327,"&gt;"&amp;$P1309-7)</f>
        <v>8.2978723404255312</v>
      </c>
      <c r="AQ1309" s="76">
        <f ca="1">IFERROR(__xludf.DUMMYFUNCTION("iferror(stdevp(filter($J$2:$J2330,$B$2:$B2330=$B1312,$O$2:$O2330&lt;=$O1312,$O$2:$O2330&gt;$O1312-7)),0)"),0.489897948556635)</f>
        <v>0.48989794855663499</v>
      </c>
      <c r="AR1309" s="77">
        <f t="shared" ca="1" si="118"/>
        <v>1.4332120835433522</v>
      </c>
      <c r="AS1309" s="77">
        <f t="shared" ca="1" si="119"/>
        <v>4</v>
      </c>
      <c r="AT1309" s="78">
        <f t="shared" ca="1" si="120"/>
        <v>0.83333333333333337</v>
      </c>
    </row>
    <row r="1310" spans="1:46" ht="12.5" x14ac:dyDescent="0.25">
      <c r="A1310" s="75">
        <v>44991.281832106484</v>
      </c>
      <c r="B1310" s="1" t="s">
        <v>29</v>
      </c>
      <c r="C1310" s="1" t="str">
        <f>INDEX(TBL_Name,MATCH(Table2[[#This Row],[Athlete Name]],listNames,0),2)</f>
        <v>Athlete 18</v>
      </c>
      <c r="D1310" s="1" t="s">
        <v>130</v>
      </c>
      <c r="E1310" s="1">
        <v>8</v>
      </c>
      <c r="F1310" s="1">
        <v>8</v>
      </c>
      <c r="G1310" s="1">
        <v>8</v>
      </c>
      <c r="H1310" s="1" t="s">
        <v>1602</v>
      </c>
      <c r="I1310" s="1">
        <v>8</v>
      </c>
      <c r="J1310" s="1">
        <v>9</v>
      </c>
      <c r="K1310" s="1">
        <v>8</v>
      </c>
      <c r="L1310" s="1">
        <v>96</v>
      </c>
      <c r="M1310" s="1" t="e">
        <f t="shared" ref="M1310" ca="1" si="141">_xludf.concat($B1310,$P1310)</f>
        <v>#NAME?</v>
      </c>
      <c r="N1310" s="1" t="e">
        <f t="shared" si="104"/>
        <v>#VALUE!</v>
      </c>
      <c r="O1310" s="1" t="e">
        <f t="shared" ref="O1310" ca="1" si="142">IF($N1310=_xludf.MINIFS($N$2:$N2578,$R$2:$R2578,$R1310),1,
($N1310-_xludf.MINIFS($N$2:$N2578,$R$2:$R2578,$R1310))+1)</f>
        <v>#VALUE!</v>
      </c>
      <c r="P1310" s="13" t="e">
        <f t="shared" si="106"/>
        <v>#VALUE!</v>
      </c>
      <c r="Q1310" s="1" t="str">
        <f>RIGHT(YEAR($A1310),2)-(MONTH($A1310)&lt;=[2]Roster!$K$25)
 &amp;"-"&amp;
 RIGHT(YEAR($A1310),2)+(MONTH($A1310)&gt;=[2]Roster!$K$26)</f>
        <v>22-23</v>
      </c>
      <c r="R1310" s="1" t="e">
        <f>CHOOSE(MONTH($P1310),[2]Roster!$K$9,[2]Roster!$K$10,[2]Roster!$K$11,[2]Roster!$K$12,[2]Roster!$K$13,[2]Roster!$K$14,[2]Roster!$K$15,[2]Roster!$K$16,[2]Roster!$K$17,[2]Roster!$K$18,[2]Roster!$K$19,[2]Roster!$K$20)&amp;" "&amp;$Q1310</f>
        <v>#VALUE!</v>
      </c>
      <c r="S1310" s="1">
        <f t="shared" si="107"/>
        <v>1</v>
      </c>
      <c r="T1310" s="1" t="str">
        <f t="array" ref="T1310">IFERROR(INDEX([2]Roster!$D$3:$D$42,MATCH($B1310,[2]Roster!$C$3:$C$42,0)),"")</f>
        <v>GK</v>
      </c>
      <c r="U1310" s="1" t="str">
        <f t="array" ref="U1310">IFERROR(INDEX([2]Roster!$E$3:$E$42,MATCH($B1310,[2]Roster!$C$3:$C$42,0)),"")</f>
        <v>GK</v>
      </c>
      <c r="V1310" s="76">
        <f t="array" ref="V1310">AVERAGEIFS($E$2:$E2327,$B$2:$B2327,$B1310,$P$2:$P2327,"&lt;="&amp;$P1310,$P$2:$P2327,"&gt;"&amp;$P1310-7)</f>
        <v>8.53125</v>
      </c>
      <c r="W1310" s="76">
        <f ca="1">IFERROR(__xludf.DUMMYFUNCTION("iferror(stdevp(filter($D$2:$D2330,$B$2:$B2330=$B1313,$O$2:$O2330&lt;=$O1313,$O$2:$O2330&gt;$O1313-7)),0)"),0)</f>
        <v>0</v>
      </c>
      <c r="X1310" s="77">
        <f t="shared" ca="1" si="108"/>
        <v>0</v>
      </c>
      <c r="Y1310" s="77">
        <f t="shared" ca="1" si="109"/>
        <v>3</v>
      </c>
      <c r="Z1310" s="76">
        <f t="array" ref="Z1310">AVERAGEIFS($F$2:$F2327,$B$2:$B2327,$B1310,$P$2:$P2327,"&lt;="&amp;$P1310,$P$2:$P2327,"&gt;"&amp;$P1310-7)</f>
        <v>8.125</v>
      </c>
      <c r="AA1310" s="76">
        <f ca="1">IFERROR(__xludf.DUMMYFUNCTION("iferror(stdevp(filter($E$2:$E2330,$B$2:$B2330=$B1313,$O$2:$O2330&lt;=$O1313,$O$2:$O2330&gt;$O1313-7)),0)"),0)</f>
        <v>0</v>
      </c>
      <c r="AB1310" s="77">
        <f t="shared" ca="1" si="110"/>
        <v>0</v>
      </c>
      <c r="AC1310" s="77">
        <f t="shared" ca="1" si="111"/>
        <v>3</v>
      </c>
      <c r="AD1310" s="76">
        <f t="array" ref="AD1310">AVERAGEIFS($G$2:$G2327,$B$2:$B2327,$B1310,$P$2:$P2327,"&lt;="&amp;$P1310,$P$2:$P2327,"&gt;"&amp;$P1310-7)</f>
        <v>8.09375</v>
      </c>
      <c r="AE1310" s="76">
        <f ca="1">IFERROR(__xludf.DUMMYFUNCTION("iferror(stdevp(filter($F$2:$F2330,$B$2:$B2330=$B1313,$O$2:$O2330&lt;=$O1313,$O$2:$O2330&gt;$O1313-7)),0)"),0)</f>
        <v>0</v>
      </c>
      <c r="AF1310" s="77">
        <f t="shared" ca="1" si="112"/>
        <v>0</v>
      </c>
      <c r="AG1310" s="77">
        <f t="shared" ca="1" si="113"/>
        <v>3</v>
      </c>
      <c r="AH1310" s="76">
        <f t="array" ref="AH1310">AVERAGEIFS($I$2:$I2327,$B$2:$B2327,$B1310,$P$2:$P2327,"&lt;="&amp;$P1310,$P$2:$P2327,"&gt;"&amp;$P1310-7)</f>
        <v>7.875</v>
      </c>
      <c r="AI1310" s="76">
        <f ca="1">IFERROR(__xludf.DUMMYFUNCTION("iferror(stdevp(filter($H$2:$H2330,$B$2:$B2330=$B1313,$O$2:$O2330&lt;=$O1313,$O$2:$O2330&gt;$O1313-7)),0)"),0)</f>
        <v>0</v>
      </c>
      <c r="AJ1310" s="77">
        <f t="shared" ca="1" si="114"/>
        <v>0</v>
      </c>
      <c r="AK1310" s="77">
        <f t="shared" ca="1" si="115"/>
        <v>3</v>
      </c>
      <c r="AL1310" s="76">
        <f t="array" ref="AL1310">AVERAGEIFS($J$2:$J2327,$B$2:$B2327,$B1310,$P$2:$P2327,"&lt;="&amp;$P1310,$P$2:$P2327,"&gt;"&amp;$P1310-7)</f>
        <v>8.34375</v>
      </c>
      <c r="AM1310" s="76">
        <f ca="1">IFERROR(__xludf.DUMMYFUNCTION("iferror(stdevp(filter($I$2:$I2330,$B$2:$B2330=$B1313,$O$2:$O2330&lt;=$O1313,$O$2:$O2330&gt;$O1313-7)),0)"),0)</f>
        <v>0</v>
      </c>
      <c r="AN1310" s="77">
        <f t="shared" ca="1" si="116"/>
        <v>0</v>
      </c>
      <c r="AO1310" s="77">
        <f t="shared" ca="1" si="117"/>
        <v>3</v>
      </c>
      <c r="AP1310" s="76">
        <f t="array" ref="AP1310">AVERAGEIFS($K$2:$K2327,$B$2:$B2327,$B1310,$P$2:$P2327,"&lt;="&amp;$P1310,$P$2:$P2327,"&gt;"&amp;$P1310-7)</f>
        <v>8.46875</v>
      </c>
      <c r="AQ1310" s="76">
        <f ca="1">IFERROR(__xludf.DUMMYFUNCTION("iferror(stdevp(filter($J$2:$J2330,$B$2:$B2330=$B1313,$O$2:$O2330&lt;=$O1313,$O$2:$O2330&gt;$O1313-7)),0)"),0)</f>
        <v>0</v>
      </c>
      <c r="AR1310" s="77">
        <f t="shared" ca="1" si="118"/>
        <v>0</v>
      </c>
      <c r="AS1310" s="77">
        <f t="shared" ca="1" si="119"/>
        <v>3</v>
      </c>
      <c r="AT1310" s="78">
        <f t="shared" ca="1" si="120"/>
        <v>0.75</v>
      </c>
    </row>
    <row r="1311" spans="1:46" ht="12.5" x14ac:dyDescent="0.25">
      <c r="A1311" s="75">
        <v>44991.342746099537</v>
      </c>
      <c r="B1311" s="1" t="s">
        <v>9</v>
      </c>
      <c r="C1311" s="1" t="str">
        <f>INDEX(TBL_Name,MATCH(Table2[[#This Row],[Athlete Name]],listNames,0),2)</f>
        <v>Athlete 4</v>
      </c>
      <c r="D1311" s="1" t="s">
        <v>130</v>
      </c>
      <c r="E1311" s="1">
        <v>8</v>
      </c>
      <c r="F1311" s="1">
        <v>6</v>
      </c>
      <c r="G1311" s="1">
        <v>8</v>
      </c>
      <c r="H1311" s="1" t="s">
        <v>1603</v>
      </c>
      <c r="I1311" s="1">
        <v>5</v>
      </c>
      <c r="J1311" s="1">
        <v>7</v>
      </c>
      <c r="K1311" s="1">
        <v>7</v>
      </c>
      <c r="L1311" s="1">
        <v>90</v>
      </c>
      <c r="M1311" s="1" t="e">
        <f t="shared" ref="M1311" ca="1" si="143">_xludf.concat($B1311,$P1311)</f>
        <v>#NAME?</v>
      </c>
      <c r="N1311" s="1" t="e">
        <f t="shared" si="104"/>
        <v>#VALUE!</v>
      </c>
      <c r="O1311" s="1" t="e">
        <f t="shared" ref="O1311" ca="1" si="144">IF($N1311=_xludf.MINIFS($N$2:$N2579,$R$2:$R2579,$R1311),1,
($N1311-_xludf.MINIFS($N$2:$N2579,$R$2:$R2579,$R1311))+1)</f>
        <v>#VALUE!</v>
      </c>
      <c r="P1311" s="13" t="e">
        <f t="shared" si="106"/>
        <v>#VALUE!</v>
      </c>
      <c r="Q1311" s="1" t="str">
        <f>RIGHT(YEAR($A1311),2)-(MONTH($A1311)&lt;=[2]Roster!$K$25)
 &amp;"-"&amp;
 RIGHT(YEAR($A1311),2)+(MONTH($A1311)&gt;=[2]Roster!$K$26)</f>
        <v>22-23</v>
      </c>
      <c r="R1311" s="1" t="e">
        <f>CHOOSE(MONTH($P1311),[2]Roster!$K$9,[2]Roster!$K$10,[2]Roster!$K$11,[2]Roster!$K$12,[2]Roster!$K$13,[2]Roster!$K$14,[2]Roster!$K$15,[2]Roster!$K$16,[2]Roster!$K$17,[2]Roster!$K$18,[2]Roster!$K$19,[2]Roster!$K$20)&amp;" "&amp;$Q1311</f>
        <v>#VALUE!</v>
      </c>
      <c r="S1311" s="1">
        <f t="shared" si="107"/>
        <v>1</v>
      </c>
      <c r="T1311" s="1" t="str">
        <f t="array" ref="T1311">IFERROR(INDEX([2]Roster!$D$3:$D$42,MATCH($B1311,[2]Roster!$C$3:$C$42,0)),"")</f>
        <v>F/MID</v>
      </c>
      <c r="U1311" s="1" t="str">
        <f t="array" ref="U1311">IFERROR(INDEX([2]Roster!$E$3:$E$42,MATCH($B1311,[2]Roster!$C$3:$C$42,0)),"")</f>
        <v>F/MID</v>
      </c>
      <c r="V1311" s="76">
        <f t="array" ref="V1311">AVERAGEIFS($E$2:$E2327,$B$2:$B2327,$B1311,$P$2:$P2327,"&lt;="&amp;$P1311,$P$2:$P2327,"&gt;"&amp;$P1311-7)</f>
        <v>7.4230769230769234</v>
      </c>
      <c r="W1311" s="76">
        <f ca="1">IFERROR(__xludf.DUMMYFUNCTION("iferror(stdevp(filter($D$2:$D2330,$B$2:$B2330=$B1314,$O$2:$O2330&lt;=$O1314,$O$2:$O2330&gt;$O1314-7)),0)"),0)</f>
        <v>0</v>
      </c>
      <c r="X1311" s="77">
        <f t="shared" ca="1" si="108"/>
        <v>0</v>
      </c>
      <c r="Y1311" s="77">
        <f t="shared" ca="1" si="109"/>
        <v>3</v>
      </c>
      <c r="Z1311" s="76">
        <f t="array" ref="Z1311">AVERAGEIFS($F$2:$F2327,$B$2:$B2327,$B1311,$P$2:$P2327,"&lt;="&amp;$P1311,$P$2:$P2327,"&gt;"&amp;$P1311-7)</f>
        <v>7.1538461538461542</v>
      </c>
      <c r="AA1311" s="76">
        <f ca="1">IFERROR(__xludf.DUMMYFUNCTION("iferror(stdevp(filter($E$2:$E2330,$B$2:$B2330=$B1314,$O$2:$O2330&lt;=$O1314,$O$2:$O2330&gt;$O1314-7)),0)"),0)</f>
        <v>0</v>
      </c>
      <c r="AB1311" s="77">
        <f t="shared" ca="1" si="110"/>
        <v>0</v>
      </c>
      <c r="AC1311" s="77">
        <f t="shared" ca="1" si="111"/>
        <v>3</v>
      </c>
      <c r="AD1311" s="76">
        <f t="array" ref="AD1311">AVERAGEIFS($G$2:$G2327,$B$2:$B2327,$B1311,$P$2:$P2327,"&lt;="&amp;$P1311,$P$2:$P2327,"&gt;"&amp;$P1311-7)</f>
        <v>7.615384615384615</v>
      </c>
      <c r="AE1311" s="76">
        <f ca="1">IFERROR(__xludf.DUMMYFUNCTION("iferror(stdevp(filter($F$2:$F2330,$B$2:$B2330=$B1314,$O$2:$O2330&lt;=$O1314,$O$2:$O2330&gt;$O1314-7)),0)"),0)</f>
        <v>0</v>
      </c>
      <c r="AF1311" s="77">
        <f t="shared" ca="1" si="112"/>
        <v>0</v>
      </c>
      <c r="AG1311" s="77">
        <f t="shared" ca="1" si="113"/>
        <v>3</v>
      </c>
      <c r="AH1311" s="76">
        <f t="array" ref="AH1311">AVERAGEIFS($I$2:$I2327,$B$2:$B2327,$B1311,$P$2:$P2327,"&lt;="&amp;$P1311,$P$2:$P2327,"&gt;"&amp;$P1311-7)</f>
        <v>5.1923076923076925</v>
      </c>
      <c r="AI1311" s="76">
        <f ca="1">IFERROR(__xludf.DUMMYFUNCTION("iferror(stdevp(filter($H$2:$H2330,$B$2:$B2330=$B1314,$O$2:$O2330&lt;=$O1314,$O$2:$O2330&gt;$O1314-7)),0)"),0)</f>
        <v>0</v>
      </c>
      <c r="AJ1311" s="77">
        <f t="shared" ca="1" si="114"/>
        <v>0</v>
      </c>
      <c r="AK1311" s="77">
        <f t="shared" ca="1" si="115"/>
        <v>3</v>
      </c>
      <c r="AL1311" s="76">
        <f t="array" ref="AL1311">AVERAGEIFS($J$2:$J2327,$B$2:$B2327,$B1311,$P$2:$P2327,"&lt;="&amp;$P1311,$P$2:$P2327,"&gt;"&amp;$P1311-7)</f>
        <v>7.6923076923076925</v>
      </c>
      <c r="AM1311" s="76">
        <f ca="1">IFERROR(__xludf.DUMMYFUNCTION("iferror(stdevp(filter($I$2:$I2330,$B$2:$B2330=$B1314,$O$2:$O2330&lt;=$O1314,$O$2:$O2330&gt;$O1314-7)),0)"),0)</f>
        <v>0</v>
      </c>
      <c r="AN1311" s="77">
        <f t="shared" ca="1" si="116"/>
        <v>0</v>
      </c>
      <c r="AO1311" s="77">
        <f t="shared" ca="1" si="117"/>
        <v>3</v>
      </c>
      <c r="AP1311" s="76">
        <f t="array" ref="AP1311">AVERAGEIFS($K$2:$K2327,$B$2:$B2327,$B1311,$P$2:$P2327,"&lt;="&amp;$P1311,$P$2:$P2327,"&gt;"&amp;$P1311-7)</f>
        <v>7.8461538461538458</v>
      </c>
      <c r="AQ1311" s="76">
        <f ca="1">IFERROR(__xludf.DUMMYFUNCTION("iferror(stdevp(filter($J$2:$J2330,$B$2:$B2330=$B1314,$O$2:$O2330&lt;=$O1314,$O$2:$O2330&gt;$O1314-7)),0)"),0)</f>
        <v>0</v>
      </c>
      <c r="AR1311" s="77">
        <f t="shared" ca="1" si="118"/>
        <v>0</v>
      </c>
      <c r="AS1311" s="77">
        <f t="shared" ca="1" si="119"/>
        <v>3</v>
      </c>
      <c r="AT1311" s="78">
        <f t="shared" ca="1" si="120"/>
        <v>0.75</v>
      </c>
    </row>
    <row r="1312" spans="1:46" ht="12.5" x14ac:dyDescent="0.25">
      <c r="A1312" s="75">
        <v>44991.421223831014</v>
      </c>
      <c r="B1312" s="1" t="s">
        <v>4</v>
      </c>
      <c r="C1312" s="1" t="str">
        <f>INDEX(TBL_Name,MATCH(Table2[[#This Row],[Athlete Name]],listNames,0),2)</f>
        <v>Athlete 1</v>
      </c>
      <c r="D1312" s="1" t="s">
        <v>130</v>
      </c>
      <c r="E1312" s="1">
        <v>9</v>
      </c>
      <c r="F1312" s="1">
        <v>8</v>
      </c>
      <c r="G1312" s="1">
        <v>6</v>
      </c>
      <c r="H1312" s="1" t="s">
        <v>1604</v>
      </c>
      <c r="I1312" s="1">
        <v>8</v>
      </c>
      <c r="J1312" s="1">
        <v>4</v>
      </c>
      <c r="K1312" s="1">
        <v>4</v>
      </c>
      <c r="L1312" s="1">
        <v>90</v>
      </c>
      <c r="M1312" s="1" t="e">
        <f t="shared" ref="M1312" ca="1" si="145">_xludf.concat($B1312,$P1312)</f>
        <v>#NAME?</v>
      </c>
      <c r="N1312" s="1" t="e">
        <f t="shared" si="104"/>
        <v>#VALUE!</v>
      </c>
      <c r="O1312" s="1" t="e">
        <f t="shared" ref="O1312" ca="1" si="146">IF($N1312=_xludf.MINIFS($N$2:$N2818,$R$2:$R2818,$R1312),1,
($N1312-_xludf.MINIFS($N$2:$N2818,$R$2:$R2818,$R1312))+1)</f>
        <v>#VALUE!</v>
      </c>
      <c r="P1312" s="13" t="e">
        <f t="shared" si="106"/>
        <v>#VALUE!</v>
      </c>
      <c r="Q1312" s="1" t="str">
        <f>RIGHT(YEAR($A1312),2)-(MONTH($A1312)&lt;=[3]Roster!$K$25)
 &amp;"-"&amp;
 RIGHT(YEAR($A1312),2)+(MONTH($A1312)&gt;=[3]Roster!$K$26)</f>
        <v>22-23</v>
      </c>
      <c r="R1312" s="1" t="e">
        <f>CHOOSE(MONTH($P1312),[3]Roster!$K$9,[3]Roster!$K$10,[3]Roster!$K$11,[3]Roster!$K$12,[3]Roster!$K$13,[3]Roster!$K$14,[3]Roster!$K$15,[3]Roster!$K$16,[3]Roster!$K$17,[3]Roster!$K$18,[3]Roster!$K$19,[3]Roster!$K$20)&amp;" "&amp;$Q1312</f>
        <v>#VALUE!</v>
      </c>
      <c r="S1312" s="1">
        <f t="shared" si="107"/>
        <v>1</v>
      </c>
      <c r="T1312" s="1" t="str">
        <f t="array" ref="T1312">IFERROR(INDEX([3]Roster!$D$3:$D$42,MATCH($B1312,[3]Roster!$C$3:$C$42,0)),"")</f>
        <v>FWD</v>
      </c>
      <c r="U1312" s="1" t="str">
        <f t="array" ref="U1312">IFERROR(INDEX([3]Roster!$E$3:$E$42,MATCH($B1312,[3]Roster!$C$3:$C$42,0)),"")</f>
        <v>FWD</v>
      </c>
      <c r="V1312" s="76">
        <f t="array" ref="V1312">AVERAGEIFS($E$2:$E2565,$B$2:$B2565,$B1312,$P$2:$P2565,"&lt;="&amp;$P1312,$P$2:$P2565,"&gt;"&amp;$P1312-7)</f>
        <v>8.3809523809523814</v>
      </c>
      <c r="W1312" s="76">
        <f ca="1">IFERROR(__xludf.DUMMYFUNCTION("iferror(stdevp(filter($D$2:$D2568,$B$2:$B2568=$B1315,$O$2:$O2568&lt;=$O1315,$O$2:$O2568&gt;$O1315-7)),0)"),0)</f>
        <v>0</v>
      </c>
      <c r="X1312" s="77">
        <f t="shared" ca="1" si="108"/>
        <v>0</v>
      </c>
      <c r="Y1312" s="77">
        <f t="shared" ca="1" si="109"/>
        <v>3</v>
      </c>
      <c r="Z1312" s="76">
        <f t="array" ref="Z1312">AVERAGEIFS($F$2:$F2565,$B$2:$B2565,$B1312,$P$2:$P2565,"&lt;="&amp;$P1312,$P$2:$P2565,"&gt;"&amp;$P1312-7)</f>
        <v>6.8571428571428568</v>
      </c>
      <c r="AA1312" s="76">
        <f ca="1">IFERROR(__xludf.DUMMYFUNCTION("iferror(stdevp(filter($E$2:$E2568,$B$2:$B2568=$B1315,$O$2:$O2568&lt;=$O1315,$O$2:$O2568&gt;$O1315-7)),0)"),0)</f>
        <v>0</v>
      </c>
      <c r="AB1312" s="77">
        <f t="shared" ca="1" si="110"/>
        <v>0</v>
      </c>
      <c r="AC1312" s="77">
        <f t="shared" ca="1" si="111"/>
        <v>3</v>
      </c>
      <c r="AD1312" s="76">
        <f t="array" ref="AD1312">AVERAGEIFS($G$2:$G2565,$B$2:$B2565,$B1312,$P$2:$P2565,"&lt;="&amp;$P1312,$P$2:$P2565,"&gt;"&amp;$P1312-7)</f>
        <v>5.7619047619047619</v>
      </c>
      <c r="AE1312" s="76">
        <f ca="1">IFERROR(__xludf.DUMMYFUNCTION("iferror(stdevp(filter($F$2:$F2568,$B$2:$B2568=$B1315,$O$2:$O2568&lt;=$O1315,$O$2:$O2568&gt;$O1315-7)),0)"),0)</f>
        <v>0</v>
      </c>
      <c r="AF1312" s="77">
        <f t="shared" ca="1" si="112"/>
        <v>0</v>
      </c>
      <c r="AG1312" s="77">
        <f t="shared" ca="1" si="113"/>
        <v>3</v>
      </c>
      <c r="AH1312" s="76">
        <f t="array" ref="AH1312">AVERAGEIFS($I$2:$I2565,$B$2:$B2565,$B1312,$P$2:$P2565,"&lt;="&amp;$P1312,$P$2:$P2565,"&gt;"&amp;$P1312-7)</f>
        <v>6.8571428571428568</v>
      </c>
      <c r="AI1312" s="76">
        <f ca="1">IFERROR(__xludf.DUMMYFUNCTION("iferror(stdevp(filter($H$2:$H2568,$B$2:$B2568=$B1315,$O$2:$O2568&lt;=$O1315,$O$2:$O2568&gt;$O1315-7)),0)"),0)</f>
        <v>0</v>
      </c>
      <c r="AJ1312" s="77">
        <f t="shared" ca="1" si="114"/>
        <v>0</v>
      </c>
      <c r="AK1312" s="77">
        <f t="shared" ca="1" si="115"/>
        <v>3</v>
      </c>
      <c r="AL1312" s="76">
        <f t="array" ref="AL1312">AVERAGEIFS($J$2:$J2565,$B$2:$B2565,$B1312,$P$2:$P2565,"&lt;="&amp;$P1312,$P$2:$P2565,"&gt;"&amp;$P1312-7)</f>
        <v>5.0952380952380949</v>
      </c>
      <c r="AM1312" s="76">
        <f ca="1">IFERROR(__xludf.DUMMYFUNCTION("iferror(stdevp(filter($I$2:$I2568,$B$2:$B2568=$B1315,$O$2:$O2568&lt;=$O1315,$O$2:$O2568&gt;$O1315-7)),0)"),0)</f>
        <v>0</v>
      </c>
      <c r="AN1312" s="77">
        <f t="shared" ca="1" si="116"/>
        <v>0</v>
      </c>
      <c r="AO1312" s="77">
        <f t="shared" ca="1" si="117"/>
        <v>3</v>
      </c>
      <c r="AP1312" s="76">
        <f t="array" ref="AP1312">AVERAGEIFS($K$2:$K2565,$B$2:$B2565,$B1312,$P$2:$P2565,"&lt;="&amp;$P1312,$P$2:$P2565,"&gt;"&amp;$P1312-7)</f>
        <v>5.3809523809523814</v>
      </c>
      <c r="AQ1312" s="76">
        <f ca="1">IFERROR(__xludf.DUMMYFUNCTION("iferror(stdevp(filter($J$2:$J2568,$B$2:$B2568=$B1315,$O$2:$O2568&lt;=$O1315,$O$2:$O2568&gt;$O1315-7)),0)"),0)</f>
        <v>0</v>
      </c>
      <c r="AR1312" s="77">
        <f t="shared" ca="1" si="118"/>
        <v>0</v>
      </c>
      <c r="AS1312" s="77">
        <f t="shared" ca="1" si="119"/>
        <v>3</v>
      </c>
      <c r="AT1312" s="78">
        <f t="shared" ca="1" si="120"/>
        <v>0.75</v>
      </c>
    </row>
    <row r="1313" spans="1:46" ht="12.5" x14ac:dyDescent="0.25">
      <c r="A1313" s="75">
        <v>44991.421252939814</v>
      </c>
      <c r="B1313" s="1" t="s">
        <v>10</v>
      </c>
      <c r="C1313" s="1" t="str">
        <f>INDEX(TBL_Name,MATCH(Table2[[#This Row],[Athlete Name]],listNames,0),2)</f>
        <v>Athlete 5</v>
      </c>
      <c r="D1313" s="1" t="s">
        <v>130</v>
      </c>
      <c r="E1313" s="1">
        <v>9</v>
      </c>
      <c r="F1313" s="1">
        <v>8</v>
      </c>
      <c r="G1313" s="1">
        <v>8</v>
      </c>
      <c r="H1313" s="1" t="s">
        <v>69</v>
      </c>
      <c r="I1313" s="1">
        <v>9</v>
      </c>
      <c r="J1313" s="1">
        <v>9</v>
      </c>
      <c r="K1313" s="1">
        <v>9</v>
      </c>
      <c r="L1313" s="1">
        <v>85</v>
      </c>
      <c r="M1313" s="1" t="e">
        <f t="shared" ref="M1313" ca="1" si="147">_xludf.concat($B1313,$P1313)</f>
        <v>#NAME?</v>
      </c>
      <c r="N1313" s="1" t="e">
        <f t="shared" si="104"/>
        <v>#VALUE!</v>
      </c>
      <c r="O1313" s="1" t="e">
        <f t="shared" ref="O1313" ca="1" si="148">IF($N1313=_xludf.MINIFS($N$2:$N2819,$R$2:$R2819,$R1313),1,
($N1313-_xludf.MINIFS($N$2:$N2819,$R$2:$R2819,$R1313))+1)</f>
        <v>#VALUE!</v>
      </c>
      <c r="P1313" s="13" t="e">
        <f t="shared" si="106"/>
        <v>#VALUE!</v>
      </c>
      <c r="Q1313" s="1" t="str">
        <f>RIGHT(YEAR($A1313),2)-(MONTH($A1313)&lt;=[3]Roster!$K$25)
 &amp;"-"&amp;
 RIGHT(YEAR($A1313),2)+(MONTH($A1313)&gt;=[3]Roster!$K$26)</f>
        <v>22-23</v>
      </c>
      <c r="R1313" s="1" t="e">
        <f>CHOOSE(MONTH($P1313),[3]Roster!$K$9,[3]Roster!$K$10,[3]Roster!$K$11,[3]Roster!$K$12,[3]Roster!$K$13,[3]Roster!$K$14,[3]Roster!$K$15,[3]Roster!$K$16,[3]Roster!$K$17,[3]Roster!$K$18,[3]Roster!$K$19,[3]Roster!$K$20)&amp;" "&amp;$Q1313</f>
        <v>#VALUE!</v>
      </c>
      <c r="S1313" s="1">
        <f t="shared" si="107"/>
        <v>1</v>
      </c>
      <c r="T1313" s="1" t="str">
        <f t="array" ref="T1313">IFERROR(INDEX([3]Roster!$D$3:$D$42,MATCH($B1313,[3]Roster!$C$3:$C$42,0)),"")</f>
        <v>MID</v>
      </c>
      <c r="U1313" s="1" t="str">
        <f t="array" ref="U1313">IFERROR(INDEX([3]Roster!$E$3:$E$42,MATCH($B1313,[3]Roster!$C$3:$C$42,0)),"")</f>
        <v>MID</v>
      </c>
      <c r="V1313" s="76">
        <f t="array" ref="V1313">AVERAGEIFS($E$2:$E2565,$B$2:$B2565,$B1313,$P$2:$P2565,"&lt;="&amp;$P1313,$P$2:$P2565,"&gt;"&amp;$P1313-7)</f>
        <v>8.4042553191489358</v>
      </c>
      <c r="W1313" s="76">
        <f ca="1">IFERROR(__xludf.DUMMYFUNCTION("iferror(stdevp(filter($D$2:$D2568,$B$2:$B2568=$B1316,$O$2:$O2568&lt;=$O1316,$O$2:$O2568&gt;$O1316-7)),0)"),0.489897948556635)</f>
        <v>0.48989794855663499</v>
      </c>
      <c r="X1313" s="77">
        <f t="shared" ca="1" si="108"/>
        <v>1.2160587375519347</v>
      </c>
      <c r="Y1313" s="77">
        <f t="shared" ca="1" si="109"/>
        <v>4</v>
      </c>
      <c r="Z1313" s="76">
        <f t="array" ref="Z1313">AVERAGEIFS($F$2:$F2565,$B$2:$B2565,$B1313,$P$2:$P2565,"&lt;="&amp;$P1313,$P$2:$P2565,"&gt;"&amp;$P1313-7)</f>
        <v>8.085106382978724</v>
      </c>
      <c r="AA1313" s="76">
        <f ca="1">IFERROR(__xludf.DUMMYFUNCTION("iferror(stdevp(filter($E$2:$E2568,$B$2:$B2568=$B1316,$O$2:$O2568&lt;=$O1316,$O$2:$O2568&gt;$O1316-7)),0)"),0.489897948556635)</f>
        <v>0.48989794855663499</v>
      </c>
      <c r="AB1313" s="77">
        <f t="shared" ca="1" si="110"/>
        <v>-0.17372267679313458</v>
      </c>
      <c r="AC1313" s="77">
        <f t="shared" ca="1" si="111"/>
        <v>2</v>
      </c>
      <c r="AD1313" s="76">
        <f t="array" ref="AD1313">AVERAGEIFS($G$2:$G2565,$B$2:$B2565,$B1313,$P$2:$P2565,"&lt;="&amp;$P1313,$P$2:$P2565,"&gt;"&amp;$P1313-7)</f>
        <v>8.0638297872340434</v>
      </c>
      <c r="AE1313" s="76">
        <f ca="1">IFERROR(__xludf.DUMMYFUNCTION("iferror(stdevp(filter($F$2:$F2568,$B$2:$B2568=$B1316,$O$2:$O2568&lt;=$O1316,$O$2:$O2568&gt;$O1316-7)),0)"),0.489897948556635)</f>
        <v>0.48989794855663499</v>
      </c>
      <c r="AF1313" s="77">
        <f t="shared" ca="1" si="112"/>
        <v>-0.13029200759485185</v>
      </c>
      <c r="AG1313" s="77">
        <f t="shared" ca="1" si="113"/>
        <v>2</v>
      </c>
      <c r="AH1313" s="76">
        <f t="array" ref="AH1313">AVERAGEIFS($I$2:$I2565,$B$2:$B2565,$B1313,$P$2:$P2565,"&lt;="&amp;$P1313,$P$2:$P2565,"&gt;"&amp;$P1313-7)</f>
        <v>6.7446808510638299</v>
      </c>
      <c r="AI1313" s="76">
        <f ca="1">IFERROR(__xludf.DUMMYFUNCTION("iferror(stdevp(filter($H$2:$H2568,$B$2:$B2568=$B1316,$O$2:$O2568&lt;=$O1316,$O$2:$O2568&gt;$O1316-7)),0)"),0.894427190999915)</f>
        <v>0.89442719099991497</v>
      </c>
      <c r="AJ1313" s="77">
        <f t="shared" ca="1" si="114"/>
        <v>2.5215234639891269</v>
      </c>
      <c r="AK1313" s="77">
        <f t="shared" ca="1" si="115"/>
        <v>4</v>
      </c>
      <c r="AL1313" s="76">
        <f t="array" ref="AL1313">AVERAGEIFS($J$2:$J2565,$B$2:$B2565,$B1313,$P$2:$P2565,"&lt;="&amp;$P1313,$P$2:$P2565,"&gt;"&amp;$P1313-7)</f>
        <v>8.1063829787234045</v>
      </c>
      <c r="AM1313" s="76">
        <f ca="1">IFERROR(__xludf.DUMMYFUNCTION("iferror(stdevp(filter($I$2:$I2568,$B$2:$B2568=$B1316,$O$2:$O2568&lt;=$O1316,$O$2:$O2568&gt;$O1316-7)),0)"),0.489897948556635)</f>
        <v>0.48989794855663499</v>
      </c>
      <c r="AN1313" s="77">
        <f t="shared" ca="1" si="116"/>
        <v>1.8240881063279004</v>
      </c>
      <c r="AO1313" s="77">
        <f t="shared" ca="1" si="117"/>
        <v>4</v>
      </c>
      <c r="AP1313" s="76">
        <f t="array" ref="AP1313">AVERAGEIFS($K$2:$K2565,$B$2:$B2565,$B1313,$P$2:$P2565,"&lt;="&amp;$P1313,$P$2:$P2565,"&gt;"&amp;$P1313-7)</f>
        <v>8.2978723404255312</v>
      </c>
      <c r="AQ1313" s="76">
        <f ca="1">IFERROR(__xludf.DUMMYFUNCTION("iferror(stdevp(filter($J$2:$J2568,$B$2:$B2568=$B1316,$O$2:$O2568&lt;=$O1316,$O$2:$O2568&gt;$O1316-7)),0)"),0.4)</f>
        <v>0.4</v>
      </c>
      <c r="AR1313" s="77">
        <f t="shared" ca="1" si="118"/>
        <v>1.7553191489361719</v>
      </c>
      <c r="AS1313" s="77">
        <f t="shared" ca="1" si="119"/>
        <v>4</v>
      </c>
      <c r="AT1313" s="78">
        <f t="shared" ca="1" si="120"/>
        <v>0.83333333333333337</v>
      </c>
    </row>
    <row r="1314" spans="1:46" ht="12.5" x14ac:dyDescent="0.25">
      <c r="A1314" s="75">
        <v>44991.448336157409</v>
      </c>
      <c r="B1314" s="1" t="s">
        <v>7</v>
      </c>
      <c r="C1314" s="1" t="str">
        <f>INDEX(TBL_Name,MATCH(Table2[[#This Row],[Athlete Name]],listNames,0),2)</f>
        <v>Athlete 3</v>
      </c>
      <c r="D1314" s="1" t="s">
        <v>130</v>
      </c>
      <c r="E1314" s="1">
        <v>4</v>
      </c>
      <c r="F1314" s="1">
        <v>8</v>
      </c>
      <c r="G1314" s="1">
        <v>8</v>
      </c>
      <c r="H1314" s="1"/>
      <c r="I1314" s="1">
        <v>9</v>
      </c>
      <c r="J1314" s="1">
        <v>4</v>
      </c>
      <c r="K1314" s="1">
        <v>7</v>
      </c>
      <c r="L1314" s="1">
        <v>90</v>
      </c>
      <c r="M1314" s="1" t="e">
        <f t="shared" ref="M1314" ca="1" si="149">_xludf.concat($B1314,$P1314)</f>
        <v>#NAME?</v>
      </c>
      <c r="N1314" s="1" t="e">
        <f t="shared" si="104"/>
        <v>#VALUE!</v>
      </c>
      <c r="O1314" s="1" t="e">
        <f t="shared" ref="O1314" ca="1" si="150">IF($N1314=_xludf.MINIFS($N$2:$N2820,$R$2:$R2820,$R1314),1,
($N1314-_xludf.MINIFS($N$2:$N2820,$R$2:$R2820,$R1314))+1)</f>
        <v>#VALUE!</v>
      </c>
      <c r="P1314" s="13" t="e">
        <f t="shared" si="106"/>
        <v>#VALUE!</v>
      </c>
      <c r="Q1314" s="1" t="str">
        <f>RIGHT(YEAR($A1314),2)-(MONTH($A1314)&lt;=[3]Roster!$K$25)
 &amp;"-"&amp;
 RIGHT(YEAR($A1314),2)+(MONTH($A1314)&gt;=[3]Roster!$K$26)</f>
        <v>22-23</v>
      </c>
      <c r="R1314" s="1" t="e">
        <f>CHOOSE(MONTH($P1314),[3]Roster!$K$9,[3]Roster!$K$10,[3]Roster!$K$11,[3]Roster!$K$12,[3]Roster!$K$13,[3]Roster!$K$14,[3]Roster!$K$15,[3]Roster!$K$16,[3]Roster!$K$17,[3]Roster!$K$18,[3]Roster!$K$19,[3]Roster!$K$20)&amp;" "&amp;$Q1314</f>
        <v>#VALUE!</v>
      </c>
      <c r="S1314" s="1">
        <f t="shared" si="107"/>
        <v>1</v>
      </c>
      <c r="T1314" s="1" t="str">
        <f t="array" ref="T1314">IFERROR(INDEX([3]Roster!$D$3:$D$42,MATCH($B1314,[3]Roster!$C$3:$C$42,0)),"")</f>
        <v>F/MID</v>
      </c>
      <c r="U1314" s="1" t="str">
        <f t="array" ref="U1314">IFERROR(INDEX([3]Roster!$E$3:$E$42,MATCH($B1314,[3]Roster!$C$3:$C$42,0)),"")</f>
        <v>F/MID</v>
      </c>
      <c r="V1314" s="76">
        <f t="array" ref="V1314">AVERAGEIFS($E$2:$E2565,$B$2:$B2565,$B1314,$P$2:$P2565,"&lt;="&amp;$P1314,$P$2:$P2565,"&gt;"&amp;$P1314-7)</f>
        <v>6</v>
      </c>
      <c r="W1314" s="76">
        <f ca="1">IFERROR(__xludf.DUMMYFUNCTION("iferror(stdevp(filter($D$2:$D2568,$B$2:$B2568=$B1317,$O$2:$O2568&lt;=$O1317,$O$2:$O2568&gt;$O1317-7)),0)"),0)</f>
        <v>0</v>
      </c>
      <c r="X1314" s="77">
        <f t="shared" ca="1" si="108"/>
        <v>0</v>
      </c>
      <c r="Y1314" s="77">
        <f t="shared" ca="1" si="109"/>
        <v>3</v>
      </c>
      <c r="Z1314" s="76">
        <f t="array" ref="Z1314">AVERAGEIFS($F$2:$F2565,$B$2:$B2565,$B1314,$P$2:$P2565,"&lt;="&amp;$P1314,$P$2:$P2565,"&gt;"&amp;$P1314-7)</f>
        <v>7.3703703703703702</v>
      </c>
      <c r="AA1314" s="76">
        <f ca="1">IFERROR(__xludf.DUMMYFUNCTION("iferror(stdevp(filter($E$2:$E2568,$B$2:$B2568=$B1317,$O$2:$O2568&lt;=$O1317,$O$2:$O2568&gt;$O1317-7)),0)"),0)</f>
        <v>0</v>
      </c>
      <c r="AB1314" s="77">
        <f t="shared" ca="1" si="110"/>
        <v>0</v>
      </c>
      <c r="AC1314" s="77">
        <f t="shared" ca="1" si="111"/>
        <v>3</v>
      </c>
      <c r="AD1314" s="76">
        <f t="array" ref="AD1314">AVERAGEIFS($G$2:$G2565,$B$2:$B2565,$B1314,$P$2:$P2565,"&lt;="&amp;$P1314,$P$2:$P2565,"&gt;"&amp;$P1314-7)</f>
        <v>7.7777777777777777</v>
      </c>
      <c r="AE1314" s="76">
        <f ca="1">IFERROR(__xludf.DUMMYFUNCTION("iferror(stdevp(filter($F$2:$F2568,$B$2:$B2568=$B1317,$O$2:$O2568&lt;=$O1317,$O$2:$O2568&gt;$O1317-7)),0)"),0)</f>
        <v>0</v>
      </c>
      <c r="AF1314" s="77">
        <f t="shared" ca="1" si="112"/>
        <v>0</v>
      </c>
      <c r="AG1314" s="77">
        <f t="shared" ca="1" si="113"/>
        <v>3</v>
      </c>
      <c r="AH1314" s="76">
        <f t="array" ref="AH1314">AVERAGEIFS($I$2:$I2565,$B$2:$B2565,$B1314,$P$2:$P2565,"&lt;="&amp;$P1314,$P$2:$P2565,"&gt;"&amp;$P1314-7)</f>
        <v>6.333333333333333</v>
      </c>
      <c r="AI1314" s="76">
        <f ca="1">IFERROR(__xludf.DUMMYFUNCTION("iferror(stdevp(filter($H$2:$H2568,$B$2:$B2568=$B1317,$O$2:$O2568&lt;=$O1317,$O$2:$O2568&gt;$O1317-7)),0)"),0)</f>
        <v>0</v>
      </c>
      <c r="AJ1314" s="77">
        <f t="shared" ca="1" si="114"/>
        <v>0</v>
      </c>
      <c r="AK1314" s="77">
        <f t="shared" ca="1" si="115"/>
        <v>3</v>
      </c>
      <c r="AL1314" s="76">
        <f t="array" ref="AL1314">AVERAGEIFS($J$2:$J2565,$B$2:$B2565,$B1314,$P$2:$P2565,"&lt;="&amp;$P1314,$P$2:$P2565,"&gt;"&amp;$P1314-7)</f>
        <v>5.4230769230769234</v>
      </c>
      <c r="AM1314" s="76">
        <f ca="1">IFERROR(__xludf.DUMMYFUNCTION("iferror(stdevp(filter($I$2:$I2568,$B$2:$B2568=$B1317,$O$2:$O2568&lt;=$O1317,$O$2:$O2568&gt;$O1317-7)),0)"),0)</f>
        <v>0</v>
      </c>
      <c r="AN1314" s="77">
        <f t="shared" ca="1" si="116"/>
        <v>0</v>
      </c>
      <c r="AO1314" s="77">
        <f t="shared" ca="1" si="117"/>
        <v>3</v>
      </c>
      <c r="AP1314" s="76">
        <f t="array" ref="AP1314">AVERAGEIFS($K$2:$K2565,$B$2:$B2565,$B1314,$P$2:$P2565,"&lt;="&amp;$P1314,$P$2:$P2565,"&gt;"&amp;$P1314-7)</f>
        <v>7.5769230769230766</v>
      </c>
      <c r="AQ1314" s="76">
        <f ca="1">IFERROR(__xludf.DUMMYFUNCTION("iferror(stdevp(filter($J$2:$J2568,$B$2:$B2568=$B1317,$O$2:$O2568&lt;=$O1317,$O$2:$O2568&gt;$O1317-7)),0)"),0)</f>
        <v>0</v>
      </c>
      <c r="AR1314" s="77">
        <f t="shared" ca="1" si="118"/>
        <v>0</v>
      </c>
      <c r="AS1314" s="77">
        <f t="shared" ca="1" si="119"/>
        <v>3</v>
      </c>
      <c r="AT1314" s="78">
        <f t="shared" ca="1" si="120"/>
        <v>0.75</v>
      </c>
    </row>
    <row r="1315" spans="1:46" ht="12.5" x14ac:dyDescent="0.25">
      <c r="A1315" s="75">
        <v>44991.453588460645</v>
      </c>
      <c r="B1315" s="1" t="s">
        <v>20</v>
      </c>
      <c r="C1315" s="1" t="str">
        <f>INDEX(TBL_Name,MATCH(Table2[[#This Row],[Athlete Name]],listNames,0),2)</f>
        <v>Athlete 12</v>
      </c>
      <c r="D1315" s="1" t="s">
        <v>130</v>
      </c>
      <c r="E1315" s="1">
        <v>6</v>
      </c>
      <c r="F1315" s="1">
        <v>8</v>
      </c>
      <c r="G1315" s="1">
        <v>8</v>
      </c>
      <c r="H1315" s="1" t="s">
        <v>1605</v>
      </c>
      <c r="I1315" s="1">
        <v>9</v>
      </c>
      <c r="J1315" s="1">
        <v>5</v>
      </c>
      <c r="K1315" s="1">
        <v>8</v>
      </c>
      <c r="L1315" s="1">
        <v>92</v>
      </c>
      <c r="M1315" s="1" t="e">
        <f t="shared" ref="M1315" ca="1" si="151">_xludf.concat($B1315,$P1315)</f>
        <v>#NAME?</v>
      </c>
      <c r="N1315" s="1" t="e">
        <f t="shared" si="104"/>
        <v>#VALUE!</v>
      </c>
      <c r="O1315" s="1" t="e">
        <f t="shared" ref="O1315" ca="1" si="152">IF($N1315=_xludf.MINIFS($N$2:$N2821,$R$2:$R2821,$R1315),1,
($N1315-_xludf.MINIFS($N$2:$N2821,$R$2:$R2821,$R1315))+1)</f>
        <v>#VALUE!</v>
      </c>
      <c r="P1315" s="13" t="e">
        <f t="shared" si="106"/>
        <v>#VALUE!</v>
      </c>
      <c r="Q1315" s="1" t="str">
        <f>RIGHT(YEAR($A1315),2)-(MONTH($A1315)&lt;=[3]Roster!$K$25)
 &amp;"-"&amp;
 RIGHT(YEAR($A1315),2)+(MONTH($A1315)&gt;=[3]Roster!$K$26)</f>
        <v>22-23</v>
      </c>
      <c r="R1315" s="1" t="e">
        <f>CHOOSE(MONTH($P1315),[3]Roster!$K$9,[3]Roster!$K$10,[3]Roster!$K$11,[3]Roster!$K$12,[3]Roster!$K$13,[3]Roster!$K$14,[3]Roster!$K$15,[3]Roster!$K$16,[3]Roster!$K$17,[3]Roster!$K$18,[3]Roster!$K$19,[3]Roster!$K$20)&amp;" "&amp;$Q1315</f>
        <v>#VALUE!</v>
      </c>
      <c r="S1315" s="1">
        <f t="shared" si="107"/>
        <v>1</v>
      </c>
      <c r="T1315" s="1" t="str">
        <f t="array" ref="T1315">IFERROR(INDEX([3]Roster!$D$3:$D$42,MATCH($B1315,[3]Roster!$C$3:$C$42,0)),"")</f>
        <v>D</v>
      </c>
      <c r="U1315" s="1" t="str">
        <f t="array" ref="U1315">IFERROR(INDEX([3]Roster!$E$3:$E$42,MATCH($B1315,[3]Roster!$C$3:$C$42,0)),"")</f>
        <v>D</v>
      </c>
      <c r="V1315" s="76">
        <f t="array" ref="V1315">AVERAGEIFS($E$2:$E2565,$B$2:$B2565,$B1315,$P$2:$P2565,"&lt;="&amp;$P1315,$P$2:$P2565,"&gt;"&amp;$P1315-7)</f>
        <v>7.4761904761904763</v>
      </c>
      <c r="W1315" s="76">
        <f ca="1">IFERROR(__xludf.DUMMYFUNCTION("iferror(stdevp(filter($D$2:$D2568,$B$2:$B2568=$B1318,$O$2:$O2568&lt;=$O1318,$O$2:$O2568&gt;$O1318-7)),0)"),0)</f>
        <v>0</v>
      </c>
      <c r="X1315" s="77">
        <f t="shared" ca="1" si="108"/>
        <v>0</v>
      </c>
      <c r="Y1315" s="77">
        <f t="shared" ca="1" si="109"/>
        <v>3</v>
      </c>
      <c r="Z1315" s="76">
        <f t="array" ref="Z1315">AVERAGEIFS($F$2:$F2565,$B$2:$B2565,$B1315,$P$2:$P2565,"&lt;="&amp;$P1315,$P$2:$P2565,"&gt;"&amp;$P1315-7)</f>
        <v>8.1904761904761898</v>
      </c>
      <c r="AA1315" s="76">
        <f ca="1">IFERROR(__xludf.DUMMYFUNCTION("iferror(stdevp(filter($E$2:$E2568,$B$2:$B2568=$B1318,$O$2:$O2568&lt;=$O1318,$O$2:$O2568&gt;$O1318-7)),0)"),0)</f>
        <v>0</v>
      </c>
      <c r="AB1315" s="77">
        <f t="shared" ca="1" si="110"/>
        <v>0</v>
      </c>
      <c r="AC1315" s="77">
        <f t="shared" ca="1" si="111"/>
        <v>3</v>
      </c>
      <c r="AD1315" s="76">
        <f t="array" ref="AD1315">AVERAGEIFS($G$2:$G2565,$B$2:$B2565,$B1315,$P$2:$P2565,"&lt;="&amp;$P1315,$P$2:$P2565,"&gt;"&amp;$P1315-7)</f>
        <v>8.5714285714285712</v>
      </c>
      <c r="AE1315" s="76">
        <f ca="1">IFERROR(__xludf.DUMMYFUNCTION("iferror(stdevp(filter($F$2:$F2568,$B$2:$B2568=$B1318,$O$2:$O2568&lt;=$O1318,$O$2:$O2568&gt;$O1318-7)),0)"),0)</f>
        <v>0</v>
      </c>
      <c r="AF1315" s="77">
        <f t="shared" ca="1" si="112"/>
        <v>0</v>
      </c>
      <c r="AG1315" s="77">
        <f t="shared" ca="1" si="113"/>
        <v>3</v>
      </c>
      <c r="AH1315" s="76">
        <f t="array" ref="AH1315">AVERAGEIFS($I$2:$I2565,$B$2:$B2565,$B1315,$P$2:$P2565,"&lt;="&amp;$P1315,$P$2:$P2565,"&gt;"&amp;$P1315-7)</f>
        <v>5.6190476190476186</v>
      </c>
      <c r="AI1315" s="76">
        <f ca="1">IFERROR(__xludf.DUMMYFUNCTION("iferror(stdevp(filter($H$2:$H2568,$B$2:$B2568=$B1318,$O$2:$O2568&lt;=$O1318,$O$2:$O2568&gt;$O1318-7)),0)"),0)</f>
        <v>0</v>
      </c>
      <c r="AJ1315" s="77">
        <f t="shared" ca="1" si="114"/>
        <v>0</v>
      </c>
      <c r="AK1315" s="77">
        <f t="shared" ca="1" si="115"/>
        <v>3</v>
      </c>
      <c r="AL1315" s="76">
        <f t="array" ref="AL1315">AVERAGEIFS($J$2:$J2565,$B$2:$B2565,$B1315,$P$2:$P2565,"&lt;="&amp;$P1315,$P$2:$P2565,"&gt;"&amp;$P1315-7)</f>
        <v>7</v>
      </c>
      <c r="AM1315" s="76">
        <f ca="1">IFERROR(__xludf.DUMMYFUNCTION("iferror(stdevp(filter($I$2:$I2568,$B$2:$B2568=$B1318,$O$2:$O2568&lt;=$O1318,$O$2:$O2568&gt;$O1318-7)),0)"),0)</f>
        <v>0</v>
      </c>
      <c r="AN1315" s="77">
        <f t="shared" ca="1" si="116"/>
        <v>0</v>
      </c>
      <c r="AO1315" s="77">
        <f t="shared" ca="1" si="117"/>
        <v>3</v>
      </c>
      <c r="AP1315" s="76">
        <f t="array" ref="AP1315">AVERAGEIFS($K$2:$K2565,$B$2:$B2565,$B1315,$P$2:$P2565,"&lt;="&amp;$P1315,$P$2:$P2565,"&gt;"&amp;$P1315-7)</f>
        <v>7.4285714285714288</v>
      </c>
      <c r="AQ1315" s="76">
        <f ca="1">IFERROR(__xludf.DUMMYFUNCTION("iferror(stdevp(filter($J$2:$J2568,$B$2:$B2568=$B1318,$O$2:$O2568&lt;=$O1318,$O$2:$O2568&gt;$O1318-7)),0)"),0)</f>
        <v>0</v>
      </c>
      <c r="AR1315" s="77">
        <f t="shared" ca="1" si="118"/>
        <v>0</v>
      </c>
      <c r="AS1315" s="77">
        <f t="shared" ca="1" si="119"/>
        <v>3</v>
      </c>
      <c r="AT1315" s="78">
        <f t="shared" ca="1" si="120"/>
        <v>0.75</v>
      </c>
    </row>
    <row r="1316" spans="1:46" ht="12.5" x14ac:dyDescent="0.25">
      <c r="A1316" s="75">
        <v>44991.466569247685</v>
      </c>
      <c r="B1316" s="1" t="s">
        <v>6</v>
      </c>
      <c r="C1316" s="1" t="str">
        <f>INDEX(TBL_Name,MATCH(Table2[[#This Row],[Athlete Name]],listNames,0),2)</f>
        <v>Athlete 2</v>
      </c>
      <c r="D1316" s="1" t="s">
        <v>130</v>
      </c>
      <c r="E1316" s="1">
        <v>10</v>
      </c>
      <c r="F1316" s="1">
        <v>8</v>
      </c>
      <c r="G1316" s="1">
        <v>10</v>
      </c>
      <c r="H1316" s="1"/>
      <c r="I1316" s="1">
        <v>10</v>
      </c>
      <c r="J1316" s="1">
        <v>8</v>
      </c>
      <c r="K1316" s="1">
        <v>10</v>
      </c>
      <c r="L1316" s="1">
        <v>90</v>
      </c>
      <c r="M1316" s="1" t="e">
        <f t="shared" ref="M1316" ca="1" si="153">_xludf.concat($B1316,$P1316)</f>
        <v>#NAME?</v>
      </c>
      <c r="N1316" s="1" t="e">
        <f t="shared" si="104"/>
        <v>#VALUE!</v>
      </c>
      <c r="O1316" s="1" t="e">
        <f t="shared" ref="O1316" ca="1" si="154">IF($N1316=_xludf.MINIFS($N$2:$N2822,$R$2:$R2822,$R1316),1,
($N1316-_xludf.MINIFS($N$2:$N2822,$R$2:$R2822,$R1316))+1)</f>
        <v>#VALUE!</v>
      </c>
      <c r="P1316" s="13" t="e">
        <f t="shared" si="106"/>
        <v>#VALUE!</v>
      </c>
      <c r="Q1316" s="1" t="str">
        <f>RIGHT(YEAR($A1316),2)-(MONTH($A1316)&lt;=[3]Roster!$K$25)
 &amp;"-"&amp;
 RIGHT(YEAR($A1316),2)+(MONTH($A1316)&gt;=[3]Roster!$K$26)</f>
        <v>22-23</v>
      </c>
      <c r="R1316" s="1" t="e">
        <f>CHOOSE(MONTH($P1316),[3]Roster!$K$9,[3]Roster!$K$10,[3]Roster!$K$11,[3]Roster!$K$12,[3]Roster!$K$13,[3]Roster!$K$14,[3]Roster!$K$15,[3]Roster!$K$16,[3]Roster!$K$17,[3]Roster!$K$18,[3]Roster!$K$19,[3]Roster!$K$20)&amp;" "&amp;$Q1316</f>
        <v>#VALUE!</v>
      </c>
      <c r="S1316" s="1">
        <f t="shared" si="107"/>
        <v>1</v>
      </c>
      <c r="T1316" s="1" t="str">
        <f t="array" ref="T1316">IFERROR(INDEX([3]Roster!$D$3:$D$42,MATCH($B1316,[3]Roster!$C$3:$C$42,0)),"")</f>
        <v>FWD</v>
      </c>
      <c r="U1316" s="1" t="str">
        <f t="array" ref="U1316">IFERROR(INDEX([3]Roster!$E$3:$E$42,MATCH($B1316,[3]Roster!$C$3:$C$42,0)),"")</f>
        <v>FWD</v>
      </c>
      <c r="V1316" s="76">
        <f t="array" ref="V1316">AVERAGEIFS($E$2:$E2565,$B$2:$B2565,$B1316,$P$2:$P2565,"&lt;="&amp;$P1316,$P$2:$P2565,"&gt;"&amp;$P1316-7)</f>
        <v>9.7441860465116275</v>
      </c>
      <c r="W1316" s="76">
        <f ca="1">IFERROR(__xludf.DUMMYFUNCTION("iferror(stdevp(filter($D$2:$D2568,$B$2:$B2568=$B1319,$O$2:$O2568&lt;=$O1319,$O$2:$O2568&gt;$O1319-7)),0)"),0)</f>
        <v>0</v>
      </c>
      <c r="X1316" s="77">
        <f t="shared" ca="1" si="108"/>
        <v>0</v>
      </c>
      <c r="Y1316" s="77">
        <f t="shared" ca="1" si="109"/>
        <v>3</v>
      </c>
      <c r="Z1316" s="76">
        <f t="array" ref="Z1316">AVERAGEIFS($F$2:$F2565,$B$2:$B2565,$B1316,$P$2:$P2565,"&lt;="&amp;$P1316,$P$2:$P2565,"&gt;"&amp;$P1316-7)</f>
        <v>8.279069767441861</v>
      </c>
      <c r="AA1316" s="76">
        <f ca="1">IFERROR(__xludf.DUMMYFUNCTION("iferror(stdevp(filter($E$2:$E2568,$B$2:$B2568=$B1319,$O$2:$O2568&lt;=$O1319,$O$2:$O2568&gt;$O1319-7)),0)"),0.471404520791031)</f>
        <v>0.47140452079103101</v>
      </c>
      <c r="AB1316" s="77">
        <f t="shared" ca="1" si="110"/>
        <v>-0.59199637494687884</v>
      </c>
      <c r="AC1316" s="77">
        <f t="shared" ca="1" si="111"/>
        <v>2</v>
      </c>
      <c r="AD1316" s="76">
        <f t="array" ref="AD1316">AVERAGEIFS($G$2:$G2565,$B$2:$B2565,$B1316,$P$2:$P2565,"&lt;="&amp;$P1316,$P$2:$P2565,"&gt;"&amp;$P1316-7)</f>
        <v>8.604651162790697</v>
      </c>
      <c r="AE1316" s="76">
        <f ca="1">IFERROR(__xludf.DUMMYFUNCTION("iferror(stdevp(filter($F$2:$F2568,$B$2:$B2568=$B1319,$O$2:$O2568&lt;=$O1319,$O$2:$O2568&gt;$O1319-7)),0)"),0.471404520791031)</f>
        <v>0.47140452079103101</v>
      </c>
      <c r="AF1316" s="77">
        <f t="shared" ca="1" si="112"/>
        <v>2.9599818747343907</v>
      </c>
      <c r="AG1316" s="77">
        <f t="shared" ca="1" si="113"/>
        <v>4</v>
      </c>
      <c r="AH1316" s="76">
        <f t="array" ref="AH1316">AVERAGEIFS($I$2:$I2565,$B$2:$B2565,$B1316,$P$2:$P2565,"&lt;="&amp;$P1316,$P$2:$P2565,"&gt;"&amp;$P1316-7)</f>
        <v>8.3488372093023262</v>
      </c>
      <c r="AI1316" s="76">
        <f ca="1">IFERROR(__xludf.DUMMYFUNCTION("iferror(stdevp(filter($H$2:$H2568,$B$2:$B2568=$B1319,$O$2:$O2568&lt;=$O1319,$O$2:$O2568&gt;$O1319-7)),0)"),0.471404520791031)</f>
        <v>0.47140452079103101</v>
      </c>
      <c r="AJ1316" s="77">
        <f t="shared" ca="1" si="114"/>
        <v>3.5026452184356924</v>
      </c>
      <c r="AK1316" s="77">
        <f t="shared" ca="1" si="115"/>
        <v>4</v>
      </c>
      <c r="AL1316" s="76">
        <f t="array" ref="AL1316">AVERAGEIFS($J$2:$J2565,$B$2:$B2565,$B1316,$P$2:$P2565,"&lt;="&amp;$P1316,$P$2:$P2565,"&gt;"&amp;$P1316-7)</f>
        <v>8.3023255813953494</v>
      </c>
      <c r="AM1316" s="76">
        <f ca="1">IFERROR(__xludf.DUMMYFUNCTION("iferror(stdevp(filter($I$2:$I2568,$B$2:$B2568=$B1319,$O$2:$O2568&lt;=$O1319,$O$2:$O2568&gt;$O1319-7)),0)"),0.816496580927726)</f>
        <v>0.81649658092772603</v>
      </c>
      <c r="AN1316" s="77">
        <f t="shared" ca="1" si="116"/>
        <v>-0.37027170530443454</v>
      </c>
      <c r="AO1316" s="77">
        <f t="shared" ca="1" si="117"/>
        <v>2</v>
      </c>
      <c r="AP1316" s="76">
        <f t="array" ref="AP1316">AVERAGEIFS($K$2:$K2565,$B$2:$B2565,$B1316,$P$2:$P2565,"&lt;="&amp;$P1316,$P$2:$P2565,"&gt;"&amp;$P1316-7)</f>
        <v>8.9069767441860463</v>
      </c>
      <c r="AQ1316" s="76">
        <f ca="1">IFERROR(__xludf.DUMMYFUNCTION("iferror(stdevp(filter($J$2:$J2568,$B$2:$B2568=$B1319,$O$2:$O2568&lt;=$O1319,$O$2:$O2568&gt;$O1319-7)),0)"),0)</f>
        <v>0</v>
      </c>
      <c r="AR1316" s="77">
        <f t="shared" ca="1" si="118"/>
        <v>0</v>
      </c>
      <c r="AS1316" s="77">
        <f t="shared" ca="1" si="119"/>
        <v>3</v>
      </c>
      <c r="AT1316" s="78">
        <f t="shared" ca="1" si="120"/>
        <v>0.75</v>
      </c>
    </row>
    <row r="1317" spans="1:46" ht="12.5" x14ac:dyDescent="0.25">
      <c r="A1317" s="75">
        <v>44991.474736736112</v>
      </c>
      <c r="B1317" s="1" t="s">
        <v>19</v>
      </c>
      <c r="C1317" s="1" t="str">
        <f>INDEX(TBL_Name,MATCH(Table2[[#This Row],[Athlete Name]],listNames,0),2)</f>
        <v>Athlete 11</v>
      </c>
      <c r="D1317" s="1" t="s">
        <v>130</v>
      </c>
      <c r="E1317" s="1">
        <v>4</v>
      </c>
      <c r="F1317" s="1">
        <v>8</v>
      </c>
      <c r="G1317" s="1">
        <v>8</v>
      </c>
      <c r="H1317" s="1" t="s">
        <v>258</v>
      </c>
      <c r="I1317" s="1">
        <v>7</v>
      </c>
      <c r="J1317" s="1">
        <v>9</v>
      </c>
      <c r="K1317" s="1">
        <v>9</v>
      </c>
      <c r="L1317" s="1">
        <v>77</v>
      </c>
      <c r="M1317" s="1" t="e">
        <f t="shared" ref="M1317" ca="1" si="155">_xludf.concat($B1317,$P1317)</f>
        <v>#NAME?</v>
      </c>
      <c r="N1317" s="1" t="e">
        <f t="shared" si="104"/>
        <v>#VALUE!</v>
      </c>
      <c r="O1317" s="1" t="e">
        <f t="shared" ref="O1317" ca="1" si="156">IF($N1317=_xludf.MINIFS($N$2:$N2823,$R$2:$R2823,$R1317),1,
($N1317-_xludf.MINIFS($N$2:$N2823,$R$2:$R2823,$R1317))+1)</f>
        <v>#VALUE!</v>
      </c>
      <c r="P1317" s="13" t="e">
        <f t="shared" si="106"/>
        <v>#VALUE!</v>
      </c>
      <c r="Q1317" s="1" t="str">
        <f>RIGHT(YEAR($A1317),2)-(MONTH($A1317)&lt;=[3]Roster!$K$25)
 &amp;"-"&amp;
 RIGHT(YEAR($A1317),2)+(MONTH($A1317)&gt;=[3]Roster!$K$26)</f>
        <v>22-23</v>
      </c>
      <c r="R1317" s="1" t="e">
        <f>CHOOSE(MONTH($P1317),[3]Roster!$K$9,[3]Roster!$K$10,[3]Roster!$K$11,[3]Roster!$K$12,[3]Roster!$K$13,[3]Roster!$K$14,[3]Roster!$K$15,[3]Roster!$K$16,[3]Roster!$K$17,[3]Roster!$K$18,[3]Roster!$K$19,[3]Roster!$K$20)&amp;" "&amp;$Q1317</f>
        <v>#VALUE!</v>
      </c>
      <c r="S1317" s="1">
        <f t="shared" si="107"/>
        <v>1</v>
      </c>
      <c r="T1317" s="1" t="str">
        <f t="array" ref="T1317">IFERROR(INDEX([3]Roster!$D$3:$D$42,MATCH($B1317,[3]Roster!$C$3:$C$42,0)),"")</f>
        <v>D</v>
      </c>
      <c r="U1317" s="1" t="str">
        <f t="array" ref="U1317">IFERROR(INDEX([3]Roster!$E$3:$E$42,MATCH($B1317,[3]Roster!$C$3:$C$42,0)),"")</f>
        <v>D</v>
      </c>
      <c r="V1317" s="76">
        <f t="array" ref="V1317">AVERAGEIFS($E$2:$E2565,$B$2:$B2565,$B1317,$P$2:$P2565,"&lt;="&amp;$P1317,$P$2:$P2565,"&gt;"&amp;$P1317-7)</f>
        <v>4.6538461538461542</v>
      </c>
      <c r="W1317" s="76">
        <f ca="1">IFERROR(__xludf.DUMMYFUNCTION("iferror(stdevp(filter($D$2:$D2568,$B$2:$B2568=$B1320,$O$2:$O2568&lt;=$O1320,$O$2:$O2568&gt;$O1320-7)),0)"),0)</f>
        <v>0</v>
      </c>
      <c r="X1317" s="77">
        <f t="shared" ca="1" si="108"/>
        <v>0</v>
      </c>
      <c r="Y1317" s="77">
        <f t="shared" ca="1" si="109"/>
        <v>3</v>
      </c>
      <c r="Z1317" s="76">
        <f t="array" ref="Z1317">AVERAGEIFS($F$2:$F2565,$B$2:$B2565,$B1317,$P$2:$P2565,"&lt;="&amp;$P1317,$P$2:$P2565,"&gt;"&amp;$P1317-7)</f>
        <v>6.8461538461538458</v>
      </c>
      <c r="AA1317" s="76">
        <f ca="1">IFERROR(__xludf.DUMMYFUNCTION("iferror(stdevp(filter($E$2:$E2568,$B$2:$B2568=$B1320,$O$2:$O2568&lt;=$O1320,$O$2:$O2568&gt;$O1320-7)),0)"),0)</f>
        <v>0</v>
      </c>
      <c r="AB1317" s="77">
        <f t="shared" ca="1" si="110"/>
        <v>0</v>
      </c>
      <c r="AC1317" s="77">
        <f t="shared" ca="1" si="111"/>
        <v>3</v>
      </c>
      <c r="AD1317" s="76">
        <f t="array" ref="AD1317">AVERAGEIFS($G$2:$G2565,$B$2:$B2565,$B1317,$P$2:$P2565,"&lt;="&amp;$P1317,$P$2:$P2565,"&gt;"&amp;$P1317-7)</f>
        <v>7.2692307692307692</v>
      </c>
      <c r="AE1317" s="76">
        <f ca="1">IFERROR(__xludf.DUMMYFUNCTION("iferror(stdevp(filter($F$2:$F2568,$B$2:$B2568=$B1320,$O$2:$O2568&lt;=$O1320,$O$2:$O2568&gt;$O1320-7)),0)"),0)</f>
        <v>0</v>
      </c>
      <c r="AF1317" s="77">
        <f t="shared" ca="1" si="112"/>
        <v>0</v>
      </c>
      <c r="AG1317" s="77">
        <f t="shared" ca="1" si="113"/>
        <v>3</v>
      </c>
      <c r="AH1317" s="76">
        <f t="array" ref="AH1317">AVERAGEIFS($I$2:$I2565,$B$2:$B2565,$B1317,$P$2:$P2565,"&lt;="&amp;$P1317,$P$2:$P2565,"&gt;"&amp;$P1317-7)</f>
        <v>4.9230769230769234</v>
      </c>
      <c r="AI1317" s="76">
        <f ca="1">IFERROR(__xludf.DUMMYFUNCTION("iferror(stdevp(filter($H$2:$H2568,$B$2:$B2568=$B1320,$O$2:$O2568&lt;=$O1320,$O$2:$O2568&gt;$O1320-7)),0)"),0)</f>
        <v>0</v>
      </c>
      <c r="AJ1317" s="77">
        <f t="shared" ca="1" si="114"/>
        <v>0</v>
      </c>
      <c r="AK1317" s="77">
        <f t="shared" ca="1" si="115"/>
        <v>3</v>
      </c>
      <c r="AL1317" s="76">
        <f t="array" ref="AL1317">AVERAGEIFS($J$2:$J2565,$B$2:$B2565,$B1317,$P$2:$P2565,"&lt;="&amp;$P1317,$P$2:$P2565,"&gt;"&amp;$P1317-7)</f>
        <v>7.5769230769230766</v>
      </c>
      <c r="AM1317" s="76">
        <f ca="1">IFERROR(__xludf.DUMMYFUNCTION("iferror(stdevp(filter($I$2:$I2568,$B$2:$B2568=$B1320,$O$2:$O2568&lt;=$O1320,$O$2:$O2568&gt;$O1320-7)),0)"),0)</f>
        <v>0</v>
      </c>
      <c r="AN1317" s="77">
        <f t="shared" ca="1" si="116"/>
        <v>0</v>
      </c>
      <c r="AO1317" s="77">
        <f t="shared" ca="1" si="117"/>
        <v>3</v>
      </c>
      <c r="AP1317" s="76">
        <f t="array" ref="AP1317">AVERAGEIFS($K$2:$K2565,$B$2:$B2565,$B1317,$P$2:$P2565,"&lt;="&amp;$P1317,$P$2:$P2565,"&gt;"&amp;$P1317-7)</f>
        <v>8</v>
      </c>
      <c r="AQ1317" s="76">
        <f ca="1">IFERROR(__xludf.DUMMYFUNCTION("iferror(stdevp(filter($J$2:$J2568,$B$2:$B2568=$B1320,$O$2:$O2568&lt;=$O1320,$O$2:$O2568&gt;$O1320-7)),0)"),0)</f>
        <v>0</v>
      </c>
      <c r="AR1317" s="77">
        <f t="shared" ca="1" si="118"/>
        <v>0</v>
      </c>
      <c r="AS1317" s="77">
        <f t="shared" ca="1" si="119"/>
        <v>3</v>
      </c>
      <c r="AT1317" s="78">
        <f t="shared" ca="1" si="120"/>
        <v>0.75</v>
      </c>
    </row>
    <row r="1318" spans="1:46" ht="12.5" x14ac:dyDescent="0.25">
      <c r="A1318" s="75">
        <v>44991.483352557872</v>
      </c>
      <c r="B1318" s="1" t="s">
        <v>16</v>
      </c>
      <c r="C1318" s="1" t="str">
        <f>INDEX(TBL_Name,MATCH(Table2[[#This Row],[Athlete Name]],listNames,0),2)</f>
        <v>Athlete 9</v>
      </c>
      <c r="D1318" s="1" t="s">
        <v>130</v>
      </c>
      <c r="E1318" s="1">
        <v>10</v>
      </c>
      <c r="F1318" s="1">
        <v>5</v>
      </c>
      <c r="G1318" s="1">
        <v>6</v>
      </c>
      <c r="H1318" s="1" t="s">
        <v>415</v>
      </c>
      <c r="I1318" s="1">
        <v>7</v>
      </c>
      <c r="J1318" s="1">
        <v>8</v>
      </c>
      <c r="K1318" s="1">
        <v>8</v>
      </c>
      <c r="L1318" s="1">
        <v>80</v>
      </c>
      <c r="M1318" s="1" t="e">
        <f t="shared" ref="M1318" ca="1" si="157">_xludf.concat($B1318,$P1318)</f>
        <v>#NAME?</v>
      </c>
      <c r="N1318" s="1" t="e">
        <f t="shared" si="104"/>
        <v>#VALUE!</v>
      </c>
      <c r="O1318" s="1" t="e">
        <f t="shared" ref="O1318" ca="1" si="158">IF($N1318=_xludf.MINIFS($N$2:$N2824,$R$2:$R2824,$R1318),1,
($N1318-_xludf.MINIFS($N$2:$N2824,$R$2:$R2824,$R1318))+1)</f>
        <v>#VALUE!</v>
      </c>
      <c r="P1318" s="13" t="e">
        <f t="shared" si="106"/>
        <v>#VALUE!</v>
      </c>
      <c r="Q1318" s="1" t="str">
        <f>RIGHT(YEAR($A1318),2)-(MONTH($A1318)&lt;=[3]Roster!$K$25)
 &amp;"-"&amp;
 RIGHT(YEAR($A1318),2)+(MONTH($A1318)&gt;=[3]Roster!$K$26)</f>
        <v>22-23</v>
      </c>
      <c r="R1318" s="1" t="e">
        <f>CHOOSE(MONTH($P1318),[3]Roster!$K$9,[3]Roster!$K$10,[3]Roster!$K$11,[3]Roster!$K$12,[3]Roster!$K$13,[3]Roster!$K$14,[3]Roster!$K$15,[3]Roster!$K$16,[3]Roster!$K$17,[3]Roster!$K$18,[3]Roster!$K$19,[3]Roster!$K$20)&amp;" "&amp;$Q1318</f>
        <v>#VALUE!</v>
      </c>
      <c r="S1318" s="1">
        <f t="shared" si="107"/>
        <v>1</v>
      </c>
      <c r="T1318" s="1" t="str">
        <f t="array" ref="T1318">IFERROR(INDEX([3]Roster!$D$3:$D$42,MATCH($B1318,[3]Roster!$C$3:$C$42,0)),"")</f>
        <v>MID/D</v>
      </c>
      <c r="U1318" s="1" t="str">
        <f t="array" ref="U1318">IFERROR(INDEX([3]Roster!$E$3:$E$42,MATCH($B1318,[3]Roster!$C$3:$C$42,0)),"")</f>
        <v>MID/D</v>
      </c>
      <c r="V1318" s="76">
        <f t="array" ref="V1318">AVERAGEIFS($E$2:$E2565,$B$2:$B2565,$B1318,$P$2:$P2565,"&lt;="&amp;$P1318,$P$2:$P2565,"&gt;"&amp;$P1318-7)</f>
        <v>8.9600000000000009</v>
      </c>
      <c r="W1318" s="76">
        <f ca="1">IFERROR(__xludf.DUMMYFUNCTION("iferror(stdevp(filter($D$2:$D2568,$B$2:$B2568=$B1321,$O$2:$O2568&lt;=$O1321,$O$2:$O2568&gt;$O1321-7)),0)"),0)</f>
        <v>0</v>
      </c>
      <c r="X1318" s="77">
        <f t="shared" ca="1" si="108"/>
        <v>0</v>
      </c>
      <c r="Y1318" s="77">
        <f t="shared" ca="1" si="109"/>
        <v>3</v>
      </c>
      <c r="Z1318" s="76">
        <f t="array" ref="Z1318">AVERAGEIFS($F$2:$F2565,$B$2:$B2565,$B1318,$P$2:$P2565,"&lt;="&amp;$P1318,$P$2:$P2565,"&gt;"&amp;$P1318-7)</f>
        <v>7.48</v>
      </c>
      <c r="AA1318" s="76">
        <f ca="1">IFERROR(__xludf.DUMMYFUNCTION("iferror(stdevp(filter($E$2:$E2568,$B$2:$B2568=$B1321,$O$2:$O2568&lt;=$O1321,$O$2:$O2568&gt;$O1321-7)),0)"),0)</f>
        <v>0</v>
      </c>
      <c r="AB1318" s="77">
        <f t="shared" ca="1" si="110"/>
        <v>0</v>
      </c>
      <c r="AC1318" s="77">
        <f t="shared" ca="1" si="111"/>
        <v>3</v>
      </c>
      <c r="AD1318" s="76">
        <f t="array" ref="AD1318">AVERAGEIFS($G$2:$G2565,$B$2:$B2565,$B1318,$P$2:$P2565,"&lt;="&amp;$P1318,$P$2:$P2565,"&gt;"&amp;$P1318-7)</f>
        <v>7.56</v>
      </c>
      <c r="AE1318" s="76">
        <f ca="1">IFERROR(__xludf.DUMMYFUNCTION("iferror(stdevp(filter($F$2:$F2568,$B$2:$B2568=$B1321,$O$2:$O2568&lt;=$O1321,$O$2:$O2568&gt;$O1321-7)),0)"),0)</f>
        <v>0</v>
      </c>
      <c r="AF1318" s="77">
        <f t="shared" ca="1" si="112"/>
        <v>0</v>
      </c>
      <c r="AG1318" s="77">
        <f t="shared" ca="1" si="113"/>
        <v>3</v>
      </c>
      <c r="AH1318" s="76">
        <f t="array" ref="AH1318">AVERAGEIFS($I$2:$I2565,$B$2:$B2565,$B1318,$P$2:$P2565,"&lt;="&amp;$P1318,$P$2:$P2565,"&gt;"&amp;$P1318-7)</f>
        <v>5.8</v>
      </c>
      <c r="AI1318" s="76">
        <f ca="1">IFERROR(__xludf.DUMMYFUNCTION("iferror(stdevp(filter($H$2:$H2568,$B$2:$B2568=$B1321,$O$2:$O2568&lt;=$O1321,$O$2:$O2568&gt;$O1321-7)),0)"),0)</f>
        <v>0</v>
      </c>
      <c r="AJ1318" s="77">
        <f t="shared" ca="1" si="114"/>
        <v>0</v>
      </c>
      <c r="AK1318" s="77">
        <f t="shared" ca="1" si="115"/>
        <v>3</v>
      </c>
      <c r="AL1318" s="76">
        <f t="array" ref="AL1318">AVERAGEIFS($J$2:$J2565,$B$2:$B2565,$B1318,$P$2:$P2565,"&lt;="&amp;$P1318,$P$2:$P2565,"&gt;"&amp;$P1318-7)</f>
        <v>7.8</v>
      </c>
      <c r="AM1318" s="76">
        <f ca="1">IFERROR(__xludf.DUMMYFUNCTION("iferror(stdevp(filter($I$2:$I2568,$B$2:$B2568=$B1321,$O$2:$O2568&lt;=$O1321,$O$2:$O2568&gt;$O1321-7)),0)"),0)</f>
        <v>0</v>
      </c>
      <c r="AN1318" s="77">
        <f t="shared" ca="1" si="116"/>
        <v>0</v>
      </c>
      <c r="AO1318" s="77">
        <f t="shared" ca="1" si="117"/>
        <v>3</v>
      </c>
      <c r="AP1318" s="76">
        <f t="array" ref="AP1318">AVERAGEIFS($K$2:$K2565,$B$2:$B2565,$B1318,$P$2:$P2565,"&lt;="&amp;$P1318,$P$2:$P2565,"&gt;"&amp;$P1318-7)</f>
        <v>8.6</v>
      </c>
      <c r="AQ1318" s="76">
        <f ca="1">IFERROR(__xludf.DUMMYFUNCTION("iferror(stdevp(filter($J$2:$J2568,$B$2:$B2568=$B1321,$O$2:$O2568&lt;=$O1321,$O$2:$O2568&gt;$O1321-7)),0)"),0)</f>
        <v>0</v>
      </c>
      <c r="AR1318" s="77">
        <f t="shared" ca="1" si="118"/>
        <v>0</v>
      </c>
      <c r="AS1318" s="77">
        <f t="shared" ca="1" si="119"/>
        <v>3</v>
      </c>
      <c r="AT1318" s="78">
        <f t="shared" ca="1" si="120"/>
        <v>0.75</v>
      </c>
    </row>
    <row r="1319" spans="1:46" ht="12.5" x14ac:dyDescent="0.25">
      <c r="A1319" s="75">
        <v>44991.501493553238</v>
      </c>
      <c r="B1319" s="1" t="s">
        <v>21</v>
      </c>
      <c r="C1319" s="1" t="str">
        <f>INDEX(TBL_Name,MATCH(Table2[[#This Row],[Athlete Name]],listNames,0),2)</f>
        <v>Athlete 13</v>
      </c>
      <c r="D1319" s="1" t="s">
        <v>143</v>
      </c>
      <c r="E1319" s="1">
        <v>8</v>
      </c>
      <c r="F1319" s="1">
        <v>8</v>
      </c>
      <c r="G1319" s="1">
        <v>8</v>
      </c>
      <c r="H1319" s="1" t="s">
        <v>586</v>
      </c>
      <c r="I1319" s="1">
        <v>8</v>
      </c>
      <c r="J1319" s="1">
        <v>7</v>
      </c>
      <c r="K1319" s="1">
        <v>7</v>
      </c>
      <c r="L1319" s="1">
        <v>70</v>
      </c>
      <c r="M1319" s="1" t="e">
        <f t="shared" ref="M1319" ca="1" si="159">_xludf.concat($B1319,$P1319)</f>
        <v>#NAME?</v>
      </c>
      <c r="N1319" s="1" t="e">
        <f t="shared" si="104"/>
        <v>#VALUE!</v>
      </c>
      <c r="O1319" s="1" t="e">
        <f t="shared" ref="O1319" ca="1" si="160">IF($N1319=_xludf.MINIFS($N$2:$N2825,$R$2:$R2825,$R1319),1,
($N1319-_xludf.MINIFS($N$2:$N2825,$R$2:$R2825,$R1319))+1)</f>
        <v>#VALUE!</v>
      </c>
      <c r="P1319" s="13" t="e">
        <f t="shared" si="106"/>
        <v>#VALUE!</v>
      </c>
      <c r="Q1319" s="1" t="str">
        <f>RIGHT(YEAR($A1319),2)-(MONTH($A1319)&lt;=[3]Roster!$K$25)
 &amp;"-"&amp;
 RIGHT(YEAR($A1319),2)+(MONTH($A1319)&gt;=[3]Roster!$K$26)</f>
        <v>22-23</v>
      </c>
      <c r="R1319" s="1" t="e">
        <f>CHOOSE(MONTH($P1319),[3]Roster!$K$9,[3]Roster!$K$10,[3]Roster!$K$11,[3]Roster!$K$12,[3]Roster!$K$13,[3]Roster!$K$14,[3]Roster!$K$15,[3]Roster!$K$16,[3]Roster!$K$17,[3]Roster!$K$18,[3]Roster!$K$19,[3]Roster!$K$20)&amp;" "&amp;$Q1319</f>
        <v>#VALUE!</v>
      </c>
      <c r="S1319" s="1">
        <f t="shared" si="107"/>
        <v>2</v>
      </c>
      <c r="T1319" s="1" t="str">
        <f t="array" ref="T1319">IFERROR(INDEX([3]Roster!$D$3:$D$42,MATCH($B1319,[3]Roster!$C$3:$C$42,0)),"")</f>
        <v>D</v>
      </c>
      <c r="U1319" s="1" t="str">
        <f t="array" ref="U1319">IFERROR(INDEX([3]Roster!$E$3:$E$42,MATCH($B1319,[3]Roster!$C$3:$C$42,0)),"")</f>
        <v>D</v>
      </c>
      <c r="V1319" s="76">
        <f t="array" ref="V1319">AVERAGEIFS($E$2:$E2565,$B$2:$B2565,$B1319,$P$2:$P2565,"&lt;="&amp;$P1319,$P$2:$P2565,"&gt;"&amp;$P1319-7)</f>
        <v>6.6304347826086953</v>
      </c>
      <c r="W1319" s="76">
        <f ca="1">IFERROR(__xludf.DUMMYFUNCTION("iferror(stdevp(filter($D$2:$D2568,$B$2:$B2568=$B1322,$O$2:$O2568&lt;=$O1322,$O$2:$O2568&gt;$O1322-7)),0)"),0)</f>
        <v>0</v>
      </c>
      <c r="X1319" s="77">
        <f t="shared" ca="1" si="108"/>
        <v>0</v>
      </c>
      <c r="Y1319" s="77">
        <f t="shared" ca="1" si="109"/>
        <v>3</v>
      </c>
      <c r="Z1319" s="76">
        <f t="array" ref="Z1319">AVERAGEIFS($F$2:$F2565,$B$2:$B2565,$B1319,$P$2:$P2565,"&lt;="&amp;$P1319,$P$2:$P2565,"&gt;"&amp;$P1319-7)</f>
        <v>7.6956521739130439</v>
      </c>
      <c r="AA1319" s="76">
        <f ca="1">IFERROR(__xludf.DUMMYFUNCTION("iferror(stdevp(filter($E$2:$E2568,$B$2:$B2568=$B1322,$O$2:$O2568&lt;=$O1322,$O$2:$O2568&gt;$O1322-7)),0)"),0)</f>
        <v>0</v>
      </c>
      <c r="AB1319" s="77">
        <f t="shared" ca="1" si="110"/>
        <v>0</v>
      </c>
      <c r="AC1319" s="77">
        <f t="shared" ca="1" si="111"/>
        <v>3</v>
      </c>
      <c r="AD1319" s="76">
        <f t="array" ref="AD1319">AVERAGEIFS($G$2:$G2565,$B$2:$B2565,$B1319,$P$2:$P2565,"&lt;="&amp;$P1319,$P$2:$P2565,"&gt;"&amp;$P1319-7)</f>
        <v>8.2608695652173907</v>
      </c>
      <c r="AE1319" s="76">
        <f ca="1">IFERROR(__xludf.DUMMYFUNCTION("iferror(stdevp(filter($F$2:$F2568,$B$2:$B2568=$B1322,$O$2:$O2568&lt;=$O1322,$O$2:$O2568&gt;$O1322-7)),0)"),0.489897948556635)</f>
        <v>0.48989794855663499</v>
      </c>
      <c r="AF1319" s="77">
        <f t="shared" ca="1" si="112"/>
        <v>-0.53249777017025557</v>
      </c>
      <c r="AG1319" s="77">
        <f t="shared" ca="1" si="113"/>
        <v>2</v>
      </c>
      <c r="AH1319" s="76">
        <f t="array" ref="AH1319">AVERAGEIFS($I$2:$I2565,$B$2:$B2565,$B1319,$P$2:$P2565,"&lt;="&amp;$P1319,$P$2:$P2565,"&gt;"&amp;$P1319-7)</f>
        <v>5.7391304347826084</v>
      </c>
      <c r="AI1319" s="76">
        <f ca="1">IFERROR(__xludf.DUMMYFUNCTION("iferror(stdevp(filter($H$2:$H2568,$B$2:$B2568=$B1322,$O$2:$O2568&lt;=$O1322,$O$2:$O2568&gt;$O1322-7)),0)"),0)</f>
        <v>0</v>
      </c>
      <c r="AJ1319" s="77">
        <f t="shared" ca="1" si="114"/>
        <v>0</v>
      </c>
      <c r="AK1319" s="77">
        <f t="shared" ca="1" si="115"/>
        <v>3</v>
      </c>
      <c r="AL1319" s="76">
        <f t="array" ref="AL1319">AVERAGEIFS($J$2:$J2565,$B$2:$B2565,$B1319,$P$2:$P2565,"&lt;="&amp;$P1319,$P$2:$P2565,"&gt;"&amp;$P1319-7)</f>
        <v>6.5434782608695654</v>
      </c>
      <c r="AM1319" s="76">
        <f ca="1">IFERROR(__xludf.DUMMYFUNCTION("iferror(stdevp(filter($I$2:$I2568,$B$2:$B2568=$B1322,$O$2:$O2568&lt;=$O1322,$O$2:$O2568&gt;$O1322-7)),0)"),0.489897948556635)</f>
        <v>0.48989794855663499</v>
      </c>
      <c r="AN1319" s="77">
        <f t="shared" ca="1" si="116"/>
        <v>0.93187109779794897</v>
      </c>
      <c r="AO1319" s="77">
        <f t="shared" ca="1" si="117"/>
        <v>3</v>
      </c>
      <c r="AP1319" s="76">
        <f t="array" ref="AP1319">AVERAGEIFS($K$2:$K2565,$B$2:$B2565,$B1319,$P$2:$P2565,"&lt;="&amp;$P1319,$P$2:$P2565,"&gt;"&amp;$P1319-7)</f>
        <v>6.6086956521739131</v>
      </c>
      <c r="AQ1319" s="76">
        <f ca="1">IFERROR(__xludf.DUMMYFUNCTION("iferror(stdevp(filter($J$2:$J2568,$B$2:$B2568=$B1322,$O$2:$O2568&lt;=$O1322,$O$2:$O2568&gt;$O1322-7)),0)"),0.4)</f>
        <v>0.4</v>
      </c>
      <c r="AR1319" s="77">
        <f t="shared" ca="1" si="118"/>
        <v>0.97826086956521729</v>
      </c>
      <c r="AS1319" s="77">
        <f t="shared" ca="1" si="119"/>
        <v>3</v>
      </c>
      <c r="AT1319" s="78">
        <f t="shared" ca="1" si="120"/>
        <v>0.70833333333333337</v>
      </c>
    </row>
    <row r="1320" spans="1:46" ht="12.5" x14ac:dyDescent="0.25">
      <c r="A1320" s="75">
        <v>44991.501819837962</v>
      </c>
      <c r="B1320" s="1" t="s">
        <v>17</v>
      </c>
      <c r="C1320" s="1" t="str">
        <f>INDEX(TBL_Name,MATCH(Table2[[#This Row],[Athlete Name]],listNames,0),2)</f>
        <v>Athlete 10</v>
      </c>
      <c r="D1320" s="1" t="s">
        <v>130</v>
      </c>
      <c r="E1320" s="1">
        <v>6</v>
      </c>
      <c r="F1320" s="1">
        <v>7</v>
      </c>
      <c r="G1320" s="1">
        <v>8</v>
      </c>
      <c r="H1320" s="1" t="s">
        <v>175</v>
      </c>
      <c r="I1320" s="1">
        <v>7</v>
      </c>
      <c r="J1320" s="1">
        <v>7</v>
      </c>
      <c r="K1320" s="1">
        <v>8</v>
      </c>
      <c r="L1320" s="1">
        <v>84</v>
      </c>
      <c r="M1320" s="1" t="e">
        <f t="shared" ref="M1320" ca="1" si="161">_xludf.concat($B1320,$P1320)</f>
        <v>#NAME?</v>
      </c>
      <c r="N1320" s="1" t="e">
        <f t="shared" si="104"/>
        <v>#VALUE!</v>
      </c>
      <c r="O1320" s="1" t="e">
        <f t="shared" ref="O1320" ca="1" si="162">IF($N1320=_xludf.MINIFS($N$2:$N2826,$R$2:$R2826,$R1320),1,
($N1320-_xludf.MINIFS($N$2:$N2826,$R$2:$R2826,$R1320))+1)</f>
        <v>#VALUE!</v>
      </c>
      <c r="P1320" s="13" t="e">
        <f t="shared" si="106"/>
        <v>#VALUE!</v>
      </c>
      <c r="Q1320" s="1" t="str">
        <f>RIGHT(YEAR($A1320),2)-(MONTH($A1320)&lt;=[3]Roster!$K$25)
 &amp;"-"&amp;
 RIGHT(YEAR($A1320),2)+(MONTH($A1320)&gt;=[3]Roster!$K$26)</f>
        <v>22-23</v>
      </c>
      <c r="R1320" s="1" t="e">
        <f>CHOOSE(MONTH($P1320),[3]Roster!$K$9,[3]Roster!$K$10,[3]Roster!$K$11,[3]Roster!$K$12,[3]Roster!$K$13,[3]Roster!$K$14,[3]Roster!$K$15,[3]Roster!$K$16,[3]Roster!$K$17,[3]Roster!$K$18,[3]Roster!$K$19,[3]Roster!$K$20)&amp;" "&amp;$Q1320</f>
        <v>#VALUE!</v>
      </c>
      <c r="S1320" s="1">
        <f t="shared" si="107"/>
        <v>1</v>
      </c>
      <c r="T1320" s="1" t="str">
        <f t="array" ref="T1320">IFERROR(INDEX([3]Roster!$D$3:$D$42,MATCH($B1320,[3]Roster!$C$3:$C$42,0)),"")</f>
        <v>D</v>
      </c>
      <c r="U1320" s="1" t="str">
        <f t="array" ref="U1320">IFERROR(INDEX([3]Roster!$E$3:$E$42,MATCH($B1320,[3]Roster!$C$3:$C$42,0)),"")</f>
        <v>D</v>
      </c>
      <c r="V1320" s="76">
        <f t="array" ref="V1320">AVERAGEIFS($E$2:$E2565,$B$2:$B2565,$B1320,$P$2:$P2565,"&lt;="&amp;$P1320,$P$2:$P2565,"&gt;"&amp;$P1320-7)</f>
        <v>6.9024390243902438</v>
      </c>
      <c r="W1320" s="76">
        <f ca="1">IFERROR(__xludf.DUMMYFUNCTION("iferror(stdevp(filter($D$2:$D2568,$B$2:$B2568=$B1323,$O$2:$O2568&lt;=$O1323,$O$2:$O2568&gt;$O1323-7)),0)"),1.24721912892464)</f>
        <v>1.2472191289246399</v>
      </c>
      <c r="X1320" s="77">
        <f t="shared" ca="1" si="108"/>
        <v>-0.72356092322632382</v>
      </c>
      <c r="Y1320" s="77">
        <f t="shared" ca="1" si="109"/>
        <v>2</v>
      </c>
      <c r="Z1320" s="76">
        <f t="array" ref="Z1320">AVERAGEIFS($F$2:$F2565,$B$2:$B2565,$B1320,$P$2:$P2565,"&lt;="&amp;$P1320,$P$2:$P2565,"&gt;"&amp;$P1320-7)</f>
        <v>7.2926829268292686</v>
      </c>
      <c r="AA1320" s="76">
        <f ca="1">IFERROR(__xludf.DUMMYFUNCTION("iferror(stdevp(filter($E$2:$E2568,$B$2:$B2568=$B1323,$O$2:$O2568&lt;=$O1323,$O$2:$O2568&gt;$O1323-7)),0)"),0.942809041582063)</f>
        <v>0.94280904158206302</v>
      </c>
      <c r="AB1320" s="77">
        <f t="shared" ca="1" si="110"/>
        <v>-0.31043712344775298</v>
      </c>
      <c r="AC1320" s="77">
        <f t="shared" ca="1" si="111"/>
        <v>2</v>
      </c>
      <c r="AD1320" s="76">
        <f t="array" ref="AD1320">AVERAGEIFS($G$2:$G2565,$B$2:$B2565,$B1320,$P$2:$P2565,"&lt;="&amp;$P1320,$P$2:$P2565,"&gt;"&amp;$P1320-7)</f>
        <v>7.8048780487804876</v>
      </c>
      <c r="AE1320" s="76">
        <f ca="1">IFERROR(__xludf.DUMMYFUNCTION("iferror(stdevp(filter($F$2:$F2568,$B$2:$B2568=$B1323,$O$2:$O2568&lt;=$O1323,$O$2:$O2568&gt;$O1323-7)),0)"),0.942809041582063)</f>
        <v>0.94280904158206302</v>
      </c>
      <c r="AF1320" s="77">
        <f t="shared" ca="1" si="112"/>
        <v>0.20695808229850196</v>
      </c>
      <c r="AG1320" s="77">
        <f t="shared" ca="1" si="113"/>
        <v>3</v>
      </c>
      <c r="AH1320" s="76">
        <f t="array" ref="AH1320">AVERAGEIFS($I$2:$I2565,$B$2:$B2565,$B1320,$P$2:$P2565,"&lt;="&amp;$P1320,$P$2:$P2565,"&gt;"&amp;$P1320-7)</f>
        <v>6.3170731707317076</v>
      </c>
      <c r="AI1320" s="76">
        <f ca="1">IFERROR(__xludf.DUMMYFUNCTION("iferror(stdevp(filter($H$2:$H2568,$B$2:$B2568=$B1323,$O$2:$O2568&lt;=$O1323,$O$2:$O2568&gt;$O1323-7)),0)"),0.942809041582063)</f>
        <v>0.94280904158206302</v>
      </c>
      <c r="AJ1320" s="77">
        <f t="shared" ca="1" si="114"/>
        <v>0.72435328804475596</v>
      </c>
      <c r="AK1320" s="77">
        <f t="shared" ca="1" si="115"/>
        <v>3</v>
      </c>
      <c r="AL1320" s="76">
        <f t="array" ref="AL1320">AVERAGEIFS($J$2:$J2565,$B$2:$B2565,$B1320,$P$2:$P2565,"&lt;="&amp;$P1320,$P$2:$P2565,"&gt;"&amp;$P1320-7)</f>
        <v>6.9024390243902438</v>
      </c>
      <c r="AM1320" s="76">
        <f ca="1">IFERROR(__xludf.DUMMYFUNCTION("iferror(stdevp(filter($I$2:$I2568,$B$2:$B2568=$B1323,$O$2:$O2568&lt;=$O1323,$O$2:$O2568&gt;$O1323-7)),0)"),0.471404520791031)</f>
        <v>0.47140452079103101</v>
      </c>
      <c r="AN1320" s="77">
        <f t="shared" ca="1" si="116"/>
        <v>0.20695808229850218</v>
      </c>
      <c r="AO1320" s="77">
        <f t="shared" ca="1" si="117"/>
        <v>3</v>
      </c>
      <c r="AP1320" s="76">
        <f t="array" ref="AP1320">AVERAGEIFS($K$2:$K2565,$B$2:$B2565,$B1320,$P$2:$P2565,"&lt;="&amp;$P1320,$P$2:$P2565,"&gt;"&amp;$P1320-7)</f>
        <v>8</v>
      </c>
      <c r="AQ1320" s="76">
        <f ca="1">IFERROR(__xludf.DUMMYFUNCTION("iferror(stdevp(filter($J$2:$J2568,$B$2:$B2568=$B1323,$O$2:$O2568&lt;=$O1323,$O$2:$O2568&gt;$O1323-7)),0)"),0.471404520791031)</f>
        <v>0.47140452079103101</v>
      </c>
      <c r="AR1320" s="77">
        <f t="shared" ca="1" si="118"/>
        <v>0</v>
      </c>
      <c r="AS1320" s="77">
        <f t="shared" ca="1" si="119"/>
        <v>3</v>
      </c>
      <c r="AT1320" s="78">
        <f t="shared" ca="1" si="120"/>
        <v>0.66666666666666663</v>
      </c>
    </row>
    <row r="1321" spans="1:46" ht="12.5" x14ac:dyDescent="0.25">
      <c r="A1321" s="75">
        <v>44991.580820335643</v>
      </c>
      <c r="B1321" s="1" t="s">
        <v>12</v>
      </c>
      <c r="C1321" s="1" t="str">
        <f>INDEX(TBL_Name,MATCH(Table2[[#This Row],[Athlete Name]],listNames,0),2)</f>
        <v>Athlete 6</v>
      </c>
      <c r="D1321" s="1" t="s">
        <v>130</v>
      </c>
      <c r="E1321" s="1">
        <v>10</v>
      </c>
      <c r="F1321" s="1">
        <v>4</v>
      </c>
      <c r="G1321" s="1">
        <v>5</v>
      </c>
      <c r="H1321" s="1" t="s">
        <v>226</v>
      </c>
      <c r="I1321" s="1">
        <v>9</v>
      </c>
      <c r="J1321" s="1">
        <v>5</v>
      </c>
      <c r="K1321" s="1">
        <v>5</v>
      </c>
      <c r="L1321" s="1">
        <v>90</v>
      </c>
      <c r="M1321" s="1" t="e">
        <f t="shared" ref="M1321" ca="1" si="163">_xludf.concat($B1321,$P1321)</f>
        <v>#NAME?</v>
      </c>
      <c r="N1321" s="1" t="e">
        <f t="shared" si="104"/>
        <v>#VALUE!</v>
      </c>
      <c r="O1321" s="1" t="e">
        <f t="shared" ref="O1321" ca="1" si="164">IF($N1321=_xludf.MINIFS($N$2:$N2827,$R$2:$R2827,$R1321),1,
($N1321-_xludf.MINIFS($N$2:$N2827,$R$2:$R2827,$R1321))+1)</f>
        <v>#VALUE!</v>
      </c>
      <c r="P1321" s="13" t="e">
        <f t="shared" si="106"/>
        <v>#VALUE!</v>
      </c>
      <c r="Q1321" s="1" t="str">
        <f>RIGHT(YEAR($A1321),2)-(MONTH($A1321)&lt;=[3]Roster!$K$25)
 &amp;"-"&amp;
 RIGHT(YEAR($A1321),2)+(MONTH($A1321)&gt;=[3]Roster!$K$26)</f>
        <v>22-23</v>
      </c>
      <c r="R1321" s="1" t="e">
        <f>CHOOSE(MONTH($P1321),[3]Roster!$K$9,[3]Roster!$K$10,[3]Roster!$K$11,[3]Roster!$K$12,[3]Roster!$K$13,[3]Roster!$K$14,[3]Roster!$K$15,[3]Roster!$K$16,[3]Roster!$K$17,[3]Roster!$K$18,[3]Roster!$K$19,[3]Roster!$K$20)&amp;" "&amp;$Q1321</f>
        <v>#VALUE!</v>
      </c>
      <c r="S1321" s="1">
        <f t="shared" si="107"/>
        <v>1</v>
      </c>
      <c r="T1321" s="1" t="str">
        <f t="array" ref="T1321">IFERROR(INDEX([3]Roster!$D$3:$D$42,MATCH($B1321,[3]Roster!$C$3:$C$42,0)),"")</f>
        <v>MID</v>
      </c>
      <c r="U1321" s="1" t="str">
        <f t="array" ref="U1321">IFERROR(INDEX([3]Roster!$E$3:$E$42,MATCH($B1321,[3]Roster!$C$3:$C$42,0)),"")</f>
        <v>MID</v>
      </c>
      <c r="V1321" s="76">
        <f t="array" ref="V1321">AVERAGEIFS($E$2:$E2565,$B$2:$B2565,$B1321,$P$2:$P2565,"&lt;="&amp;$P1321,$P$2:$P2565,"&gt;"&amp;$P1321-7)</f>
        <v>9.75</v>
      </c>
      <c r="W1321" s="76">
        <f ca="1">IFERROR(__xludf.DUMMYFUNCTION("iferror(stdevp(filter($D$2:$D2568,$B$2:$B2568=$B1324,$O$2:$O2568&lt;=$O1324,$O$2:$O2568&gt;$O1324-7)),0)"),0)</f>
        <v>0</v>
      </c>
      <c r="X1321" s="77">
        <f t="shared" ca="1" si="108"/>
        <v>0</v>
      </c>
      <c r="Y1321" s="77">
        <f t="shared" ca="1" si="109"/>
        <v>3</v>
      </c>
      <c r="Z1321" s="76">
        <f t="array" ref="Z1321">AVERAGEIFS($F$2:$F2565,$B$2:$B2565,$B1321,$P$2:$P2565,"&lt;="&amp;$P1321,$P$2:$P2565,"&gt;"&amp;$P1321-7)</f>
        <v>7.083333333333333</v>
      </c>
      <c r="AA1321" s="76">
        <f ca="1">IFERROR(__xludf.DUMMYFUNCTION("iferror(stdevp(filter($E$2:$E2568,$B$2:$B2568=$B1324,$O$2:$O2568&lt;=$O1324,$O$2:$O2568&gt;$O1324-7)),0)"),0)</f>
        <v>0</v>
      </c>
      <c r="AB1321" s="77">
        <f t="shared" ca="1" si="110"/>
        <v>0</v>
      </c>
      <c r="AC1321" s="77">
        <f t="shared" ca="1" si="111"/>
        <v>3</v>
      </c>
      <c r="AD1321" s="76">
        <f t="array" ref="AD1321">AVERAGEIFS($G$2:$G2565,$B$2:$B2565,$B1321,$P$2:$P2565,"&lt;="&amp;$P1321,$P$2:$P2565,"&gt;"&amp;$P1321-7)</f>
        <v>7.083333333333333</v>
      </c>
      <c r="AE1321" s="76">
        <f ca="1">IFERROR(__xludf.DUMMYFUNCTION("iferror(stdevp(filter($F$2:$F2568,$B$2:$B2568=$B1324,$O$2:$O2568&lt;=$O1324,$O$2:$O2568&gt;$O1324-7)),0)"),0)</f>
        <v>0</v>
      </c>
      <c r="AF1321" s="77">
        <f t="shared" ca="1" si="112"/>
        <v>0</v>
      </c>
      <c r="AG1321" s="77">
        <f t="shared" ca="1" si="113"/>
        <v>3</v>
      </c>
      <c r="AH1321" s="76">
        <f t="array" ref="AH1321">AVERAGEIFS($I$2:$I2565,$B$2:$B2565,$B1321,$P$2:$P2565,"&lt;="&amp;$P1321,$P$2:$P2565,"&gt;"&amp;$P1321-7)</f>
        <v>6.583333333333333</v>
      </c>
      <c r="AI1321" s="76">
        <f ca="1">IFERROR(__xludf.DUMMYFUNCTION("iferror(stdevp(filter($H$2:$H2568,$B$2:$B2568=$B1324,$O$2:$O2568&lt;=$O1324,$O$2:$O2568&gt;$O1324-7)),0)"),0)</f>
        <v>0</v>
      </c>
      <c r="AJ1321" s="77">
        <f t="shared" ca="1" si="114"/>
        <v>0</v>
      </c>
      <c r="AK1321" s="77">
        <f t="shared" ca="1" si="115"/>
        <v>3</v>
      </c>
      <c r="AL1321" s="76">
        <f t="array" ref="AL1321">AVERAGEIFS($J$2:$J2565,$B$2:$B2565,$B1321,$P$2:$P2565,"&lt;="&amp;$P1321,$P$2:$P2565,"&gt;"&amp;$P1321-7)</f>
        <v>6.666666666666667</v>
      </c>
      <c r="AM1321" s="76">
        <f ca="1">IFERROR(__xludf.DUMMYFUNCTION("iferror(stdevp(filter($I$2:$I2568,$B$2:$B2568=$B1324,$O$2:$O2568&lt;=$O1324,$O$2:$O2568&gt;$O1324-7)),0)"),0)</f>
        <v>0</v>
      </c>
      <c r="AN1321" s="77">
        <f t="shared" ca="1" si="116"/>
        <v>0</v>
      </c>
      <c r="AO1321" s="77">
        <f t="shared" ca="1" si="117"/>
        <v>3</v>
      </c>
      <c r="AP1321" s="76">
        <f t="array" ref="AP1321">AVERAGEIFS($K$2:$K2565,$B$2:$B2565,$B1321,$P$2:$P2565,"&lt;="&amp;$P1321,$P$2:$P2565,"&gt;"&amp;$P1321-7)</f>
        <v>8.25</v>
      </c>
      <c r="AQ1321" s="76">
        <f ca="1">IFERROR(__xludf.DUMMYFUNCTION("iferror(stdevp(filter($J$2:$J2568,$B$2:$B2568=$B1324,$O$2:$O2568&lt;=$O1324,$O$2:$O2568&gt;$O1324-7)),0)"),0)</f>
        <v>0</v>
      </c>
      <c r="AR1321" s="77">
        <f t="shared" ca="1" si="118"/>
        <v>0</v>
      </c>
      <c r="AS1321" s="77">
        <f t="shared" ca="1" si="119"/>
        <v>3</v>
      </c>
      <c r="AT1321" s="78">
        <f t="shared" ca="1" si="120"/>
        <v>0.75</v>
      </c>
    </row>
    <row r="1322" spans="1:46" ht="12.5" x14ac:dyDescent="0.25">
      <c r="A1322" s="75">
        <v>44991.58150601852</v>
      </c>
      <c r="B1322" s="1" t="s">
        <v>22</v>
      </c>
      <c r="C1322" s="1" t="str">
        <f>INDEX(TBL_Name,MATCH(Table2[[#This Row],[Athlete Name]],listNames,0),2)</f>
        <v>Athlete 14</v>
      </c>
      <c r="D1322" s="1" t="s">
        <v>130</v>
      </c>
      <c r="E1322" s="1">
        <v>8</v>
      </c>
      <c r="F1322" s="1">
        <v>2</v>
      </c>
      <c r="G1322" s="1">
        <v>5</v>
      </c>
      <c r="H1322" s="1" t="s">
        <v>228</v>
      </c>
      <c r="I1322" s="1">
        <v>8</v>
      </c>
      <c r="J1322" s="1">
        <v>6</v>
      </c>
      <c r="K1322" s="1">
        <v>7</v>
      </c>
      <c r="L1322" s="1">
        <v>90</v>
      </c>
      <c r="M1322" s="1" t="e">
        <f t="shared" ref="M1322" ca="1" si="165">_xludf.concat($B1322,$P1322)</f>
        <v>#NAME?</v>
      </c>
      <c r="N1322" s="1" t="e">
        <f t="shared" si="104"/>
        <v>#VALUE!</v>
      </c>
      <c r="O1322" s="1" t="e">
        <f t="shared" ref="O1322" ca="1" si="166">IF($N1322=_xludf.MINIFS($N$2:$N2828,$R$2:$R2828,$R1322),1,
($N1322-_xludf.MINIFS($N$2:$N2828,$R$2:$R2828,$R1322))+1)</f>
        <v>#VALUE!</v>
      </c>
      <c r="P1322" s="13" t="e">
        <f t="shared" si="106"/>
        <v>#VALUE!</v>
      </c>
      <c r="Q1322" s="1" t="str">
        <f>RIGHT(YEAR($A1322),2)-(MONTH($A1322)&lt;=[3]Roster!$K$25)
 &amp;"-"&amp;
 RIGHT(YEAR($A1322),2)+(MONTH($A1322)&gt;=[3]Roster!$K$26)</f>
        <v>22-23</v>
      </c>
      <c r="R1322" s="1" t="e">
        <f>CHOOSE(MONTH($P1322),[3]Roster!$K$9,[3]Roster!$K$10,[3]Roster!$K$11,[3]Roster!$K$12,[3]Roster!$K$13,[3]Roster!$K$14,[3]Roster!$K$15,[3]Roster!$K$16,[3]Roster!$K$17,[3]Roster!$K$18,[3]Roster!$K$19,[3]Roster!$K$20)&amp;" "&amp;$Q1322</f>
        <v>#VALUE!</v>
      </c>
      <c r="S1322" s="1">
        <f t="shared" si="107"/>
        <v>1</v>
      </c>
      <c r="T1322" s="1" t="str">
        <f t="array" ref="T1322">IFERROR(INDEX([3]Roster!$D$3:$D$42,MATCH($B1322,[3]Roster!$C$3:$C$42,0)),"")</f>
        <v>D</v>
      </c>
      <c r="U1322" s="1" t="str">
        <f t="array" ref="U1322">IFERROR(INDEX([3]Roster!$E$3:$E$42,MATCH($B1322,[3]Roster!$C$3:$C$42,0)),"")</f>
        <v>D</v>
      </c>
      <c r="V1322" s="76">
        <f t="array" ref="V1322">AVERAGEIFS($E$2:$E2565,$B$2:$B2565,$B1322,$P$2:$P2565,"&lt;="&amp;$P1322,$P$2:$P2565,"&gt;"&amp;$P1322-7)</f>
        <v>5.791666666666667</v>
      </c>
      <c r="W1322" s="76">
        <f ca="1">IFERROR(__xludf.DUMMYFUNCTION("iferror(stdevp(filter($D$2:$D2568,$B$2:$B2568=$B1325,$O$2:$O2568&lt;=$O1325,$O$2:$O2568&gt;$O1325-7)),0)"),0)</f>
        <v>0</v>
      </c>
      <c r="X1322" s="77">
        <f t="shared" ca="1" si="108"/>
        <v>0</v>
      </c>
      <c r="Y1322" s="77">
        <f t="shared" ca="1" si="109"/>
        <v>3</v>
      </c>
      <c r="Z1322" s="76">
        <f t="array" ref="Z1322">AVERAGEIFS($F$2:$F2565,$B$2:$B2565,$B1322,$P$2:$P2565,"&lt;="&amp;$P1322,$P$2:$P2565,"&gt;"&amp;$P1322-7)</f>
        <v>5.458333333333333</v>
      </c>
      <c r="AA1322" s="76">
        <f ca="1">IFERROR(__xludf.DUMMYFUNCTION("iferror(stdevp(filter($E$2:$E2568,$B$2:$B2568=$B1325,$O$2:$O2568&lt;=$O1325,$O$2:$O2568&gt;$O1325-7)),0)"),0)</f>
        <v>0</v>
      </c>
      <c r="AB1322" s="77">
        <f t="shared" ca="1" si="110"/>
        <v>0</v>
      </c>
      <c r="AC1322" s="77">
        <f t="shared" ca="1" si="111"/>
        <v>3</v>
      </c>
      <c r="AD1322" s="76">
        <f t="array" ref="AD1322">AVERAGEIFS($G$2:$G2565,$B$2:$B2565,$B1322,$P$2:$P2565,"&lt;="&amp;$P1322,$P$2:$P2565,"&gt;"&amp;$P1322-7)</f>
        <v>6.833333333333333</v>
      </c>
      <c r="AE1322" s="76">
        <f ca="1">IFERROR(__xludf.DUMMYFUNCTION("iferror(stdevp(filter($F$2:$F2568,$B$2:$B2568=$B1325,$O$2:$O2568&lt;=$O1325,$O$2:$O2568&gt;$O1325-7)),0)"),0)</f>
        <v>0</v>
      </c>
      <c r="AF1322" s="77">
        <f t="shared" ca="1" si="112"/>
        <v>0</v>
      </c>
      <c r="AG1322" s="77">
        <f t="shared" ca="1" si="113"/>
        <v>3</v>
      </c>
      <c r="AH1322" s="76">
        <f t="array" ref="AH1322">AVERAGEIFS($I$2:$I2565,$B$2:$B2565,$B1322,$P$2:$P2565,"&lt;="&amp;$P1322,$P$2:$P2565,"&gt;"&amp;$P1322-7)</f>
        <v>5.125</v>
      </c>
      <c r="AI1322" s="76">
        <f ca="1">IFERROR(__xludf.DUMMYFUNCTION("iferror(stdevp(filter($H$2:$H2568,$B$2:$B2568=$B1325,$O$2:$O2568&lt;=$O1325,$O$2:$O2568&gt;$O1325-7)),0)"),0)</f>
        <v>0</v>
      </c>
      <c r="AJ1322" s="77">
        <f t="shared" ca="1" si="114"/>
        <v>0</v>
      </c>
      <c r="AK1322" s="77">
        <f t="shared" ca="1" si="115"/>
        <v>3</v>
      </c>
      <c r="AL1322" s="76">
        <f t="array" ref="AL1322">AVERAGEIFS($J$2:$J2565,$B$2:$B2565,$B1322,$P$2:$P2565,"&lt;="&amp;$P1322,$P$2:$P2565,"&gt;"&amp;$P1322-7)</f>
        <v>7.125</v>
      </c>
      <c r="AM1322" s="76">
        <f ca="1">IFERROR(__xludf.DUMMYFUNCTION("iferror(stdevp(filter($I$2:$I2568,$B$2:$B2568=$B1325,$O$2:$O2568&lt;=$O1325,$O$2:$O2568&gt;$O1325-7)),0)"),0)</f>
        <v>0</v>
      </c>
      <c r="AN1322" s="77">
        <f t="shared" ca="1" si="116"/>
        <v>0</v>
      </c>
      <c r="AO1322" s="77">
        <f t="shared" ca="1" si="117"/>
        <v>3</v>
      </c>
      <c r="AP1322" s="76">
        <f t="array" ref="AP1322">AVERAGEIFS($K$2:$K2565,$B$2:$B2565,$B1322,$P$2:$P2565,"&lt;="&amp;$P1322,$P$2:$P2565,"&gt;"&amp;$P1322-7)</f>
        <v>7.083333333333333</v>
      </c>
      <c r="AQ1322" s="76">
        <f ca="1">IFERROR(__xludf.DUMMYFUNCTION("iferror(stdevp(filter($J$2:$J2568,$B$2:$B2568=$B1325,$O$2:$O2568&lt;=$O1325,$O$2:$O2568&gt;$O1325-7)),0)"),0)</f>
        <v>0</v>
      </c>
      <c r="AR1322" s="77">
        <f t="shared" ca="1" si="118"/>
        <v>0</v>
      </c>
      <c r="AS1322" s="77">
        <f t="shared" ca="1" si="119"/>
        <v>3</v>
      </c>
      <c r="AT1322" s="78">
        <f t="shared" ca="1" si="120"/>
        <v>0.75</v>
      </c>
    </row>
    <row r="1323" spans="1:46" ht="12.5" x14ac:dyDescent="0.25">
      <c r="A1323" s="75">
        <v>44991.582073182872</v>
      </c>
      <c r="B1323" s="1" t="s">
        <v>24</v>
      </c>
      <c r="C1323" s="1" t="str">
        <f>INDEX(TBL_Name,MATCH(Table2[[#This Row],[Athlete Name]],listNames,0),2)</f>
        <v>Athlete 16</v>
      </c>
      <c r="D1323" s="1" t="s">
        <v>130</v>
      </c>
      <c r="E1323" s="1">
        <v>8</v>
      </c>
      <c r="F1323" s="1">
        <v>9</v>
      </c>
      <c r="G1323" s="1">
        <v>7</v>
      </c>
      <c r="H1323" s="1" t="s">
        <v>1330</v>
      </c>
      <c r="I1323" s="1">
        <v>5</v>
      </c>
      <c r="J1323" s="1">
        <v>4</v>
      </c>
      <c r="K1323" s="1">
        <v>7</v>
      </c>
      <c r="L1323" s="1">
        <v>95</v>
      </c>
      <c r="M1323" s="1" t="e">
        <f t="shared" ref="M1323" ca="1" si="167">_xludf.concat($B1323,$P1323)</f>
        <v>#NAME?</v>
      </c>
      <c r="N1323" s="1" t="e">
        <f t="shared" si="104"/>
        <v>#VALUE!</v>
      </c>
      <c r="O1323" s="1" t="e">
        <f t="shared" ref="O1323" ca="1" si="168">IF($N1323=_xludf.MINIFS($N$2:$N2829,$R$2:$R2829,$R1323),1,
($N1323-_xludf.MINIFS($N$2:$N2829,$R$2:$R2829,$R1323))+1)</f>
        <v>#VALUE!</v>
      </c>
      <c r="P1323" s="13" t="e">
        <f t="shared" si="106"/>
        <v>#VALUE!</v>
      </c>
      <c r="Q1323" s="1" t="str">
        <f>RIGHT(YEAR($A1323),2)-(MONTH($A1323)&lt;=[3]Roster!$K$25)
 &amp;"-"&amp;
 RIGHT(YEAR($A1323),2)+(MONTH($A1323)&gt;=[3]Roster!$K$26)</f>
        <v>22-23</v>
      </c>
      <c r="R1323" s="1" t="e">
        <f>CHOOSE(MONTH($P1323),[3]Roster!$K$9,[3]Roster!$K$10,[3]Roster!$K$11,[3]Roster!$K$12,[3]Roster!$K$13,[3]Roster!$K$14,[3]Roster!$K$15,[3]Roster!$K$16,[3]Roster!$K$17,[3]Roster!$K$18,[3]Roster!$K$19,[3]Roster!$K$20)&amp;" "&amp;$Q1323</f>
        <v>#VALUE!</v>
      </c>
      <c r="S1323" s="1">
        <f t="shared" si="107"/>
        <v>1</v>
      </c>
      <c r="T1323" s="1" t="str">
        <f t="array" ref="T1323">IFERROR(INDEX([3]Roster!$D$3:$D$42,MATCH($B1323,[3]Roster!$C$3:$C$42,0)),"")</f>
        <v>D</v>
      </c>
      <c r="U1323" s="1" t="str">
        <f t="array" ref="U1323">IFERROR(INDEX([3]Roster!$E$3:$E$42,MATCH($B1323,[3]Roster!$C$3:$C$42,0)),"")</f>
        <v>D</v>
      </c>
      <c r="V1323" s="76">
        <f t="array" ref="V1323">AVERAGEIFS($E$2:$E2565,$B$2:$B2565,$B1323,$P$2:$P2565,"&lt;="&amp;$P1323,$P$2:$P2565,"&gt;"&amp;$P1323-7)</f>
        <v>4.1818181818181817</v>
      </c>
      <c r="W1323" s="76">
        <f ca="1">IFERROR(__xludf.DUMMYFUNCTION("iferror(stdevp(filter($D$2:$D2568,$B$2:$B2568=$B1326,$O$2:$O2568&lt;=$O1326,$O$2:$O2568&gt;$O1326-7)),0)"),0)</f>
        <v>0</v>
      </c>
      <c r="X1323" s="77">
        <f t="shared" ca="1" si="108"/>
        <v>0</v>
      </c>
      <c r="Y1323" s="77">
        <f t="shared" ca="1" si="109"/>
        <v>3</v>
      </c>
      <c r="Z1323" s="76">
        <f t="array" ref="Z1323">AVERAGEIFS($F$2:$F2565,$B$2:$B2565,$B1323,$P$2:$P2565,"&lt;="&amp;$P1323,$P$2:$P2565,"&gt;"&amp;$P1323-7)</f>
        <v>6</v>
      </c>
      <c r="AA1323" s="76">
        <f ca="1">IFERROR(__xludf.DUMMYFUNCTION("iferror(stdevp(filter($E$2:$E2568,$B$2:$B2568=$B1326,$O$2:$O2568&lt;=$O1326,$O$2:$O2568&gt;$O1326-7)),0)"),0)</f>
        <v>0</v>
      </c>
      <c r="AB1323" s="77">
        <f t="shared" ca="1" si="110"/>
        <v>0</v>
      </c>
      <c r="AC1323" s="77">
        <f t="shared" ca="1" si="111"/>
        <v>3</v>
      </c>
      <c r="AD1323" s="76">
        <f t="array" ref="AD1323">AVERAGEIFS($G$2:$G2565,$B$2:$B2565,$B1323,$P$2:$P2565,"&lt;="&amp;$P1323,$P$2:$P2565,"&gt;"&amp;$P1323-7)</f>
        <v>5.9090909090909092</v>
      </c>
      <c r="AE1323" s="76">
        <f ca="1">IFERROR(__xludf.DUMMYFUNCTION("iferror(stdevp(filter($F$2:$F2568,$B$2:$B2568=$B1326,$O$2:$O2568&lt;=$O1326,$O$2:$O2568&gt;$O1326-7)),0)"),0)</f>
        <v>0</v>
      </c>
      <c r="AF1323" s="77">
        <f t="shared" ca="1" si="112"/>
        <v>0</v>
      </c>
      <c r="AG1323" s="77">
        <f t="shared" ca="1" si="113"/>
        <v>3</v>
      </c>
      <c r="AH1323" s="76">
        <f t="array" ref="AH1323">AVERAGEIFS($I$2:$I2565,$B$2:$B2565,$B1323,$P$2:$P2565,"&lt;="&amp;$P1323,$P$2:$P2565,"&gt;"&amp;$P1323-7)</f>
        <v>4.9545454545454541</v>
      </c>
      <c r="AI1323" s="76">
        <f ca="1">IFERROR(__xludf.DUMMYFUNCTION("iferror(stdevp(filter($H$2:$H2568,$B$2:$B2568=$B1326,$O$2:$O2568&lt;=$O1326,$O$2:$O2568&gt;$O1326-7)),0)"),0)</f>
        <v>0</v>
      </c>
      <c r="AJ1323" s="77">
        <f t="shared" ca="1" si="114"/>
        <v>0</v>
      </c>
      <c r="AK1323" s="77">
        <f t="shared" ca="1" si="115"/>
        <v>3</v>
      </c>
      <c r="AL1323" s="76">
        <f t="array" ref="AL1323">AVERAGEIFS($J$2:$J2565,$B$2:$B2565,$B1323,$P$2:$P2565,"&lt;="&amp;$P1323,$P$2:$P2565,"&gt;"&amp;$P1323-7)</f>
        <v>6.9090909090909092</v>
      </c>
      <c r="AM1323" s="76">
        <f ca="1">IFERROR(__xludf.DUMMYFUNCTION("iferror(stdevp(filter($I$2:$I2568,$B$2:$B2568=$B1326,$O$2:$O2568&lt;=$O1326,$O$2:$O2568&gt;$O1326-7)),0)"),0)</f>
        <v>0</v>
      </c>
      <c r="AN1323" s="77">
        <f t="shared" ca="1" si="116"/>
        <v>0</v>
      </c>
      <c r="AO1323" s="77">
        <f t="shared" ca="1" si="117"/>
        <v>3</v>
      </c>
      <c r="AP1323" s="76">
        <f t="array" ref="AP1323">AVERAGEIFS($K$2:$K2565,$B$2:$B2565,$B1323,$P$2:$P2565,"&lt;="&amp;$P1323,$P$2:$P2565,"&gt;"&amp;$P1323-7)</f>
        <v>6.7272727272727275</v>
      </c>
      <c r="AQ1323" s="76">
        <f ca="1">IFERROR(__xludf.DUMMYFUNCTION("iferror(stdevp(filter($J$2:$J2568,$B$2:$B2568=$B1326,$O$2:$O2568&lt;=$O1326,$O$2:$O2568&gt;$O1326-7)),0)"),0)</f>
        <v>0</v>
      </c>
      <c r="AR1323" s="77">
        <f t="shared" ca="1" si="118"/>
        <v>0</v>
      </c>
      <c r="AS1323" s="77">
        <f t="shared" ca="1" si="119"/>
        <v>3</v>
      </c>
      <c r="AT1323" s="78">
        <f t="shared" ca="1" si="120"/>
        <v>0.75</v>
      </c>
    </row>
    <row r="1324" spans="1:46" ht="12.5" x14ac:dyDescent="0.25">
      <c r="A1324" s="75">
        <v>44991.597477071758</v>
      </c>
      <c r="B1324" s="1" t="s">
        <v>23</v>
      </c>
      <c r="C1324" s="1" t="str">
        <f>INDEX(TBL_Name,MATCH(Table2[[#This Row],[Athlete Name]],listNames,0),2)</f>
        <v>Athlete 15</v>
      </c>
      <c r="D1324" s="1" t="s">
        <v>150</v>
      </c>
      <c r="E1324" s="1">
        <v>5</v>
      </c>
      <c r="F1324" s="1">
        <v>8</v>
      </c>
      <c r="G1324" s="1">
        <v>9</v>
      </c>
      <c r="H1324" s="1" t="s">
        <v>1606</v>
      </c>
      <c r="I1324" s="1">
        <v>8</v>
      </c>
      <c r="J1324" s="1">
        <v>7</v>
      </c>
      <c r="K1324" s="1">
        <v>10</v>
      </c>
      <c r="L1324" s="1">
        <v>70</v>
      </c>
      <c r="M1324" s="1" t="e">
        <f t="shared" ref="M1324" ca="1" si="169">_xludf.concat($B1324,$P1324)</f>
        <v>#NAME?</v>
      </c>
      <c r="N1324" s="1" t="e">
        <f t="shared" si="104"/>
        <v>#VALUE!</v>
      </c>
      <c r="O1324" s="1" t="e">
        <f t="shared" ref="O1324" ca="1" si="170">IF($N1324=_xludf.MINIFS($N$2:$N2830,$R$2:$R2830,$R1324),1,
($N1324-_xludf.MINIFS($N$2:$N2830,$R$2:$R2830,$R1324))+1)</f>
        <v>#VALUE!</v>
      </c>
      <c r="P1324" s="13" t="e">
        <f t="shared" si="106"/>
        <v>#VALUE!</v>
      </c>
      <c r="Q1324" s="1" t="str">
        <f>RIGHT(YEAR($A1324),2)-(MONTH($A1324)&lt;=[3]Roster!$K$25)
 &amp;"-"&amp;
 RIGHT(YEAR($A1324),2)+(MONTH($A1324)&gt;=[3]Roster!$K$26)</f>
        <v>22-23</v>
      </c>
      <c r="R1324" s="1" t="e">
        <f>CHOOSE(MONTH($P1324),[3]Roster!$K$9,[3]Roster!$K$10,[3]Roster!$K$11,[3]Roster!$K$12,[3]Roster!$K$13,[3]Roster!$K$14,[3]Roster!$K$15,[3]Roster!$K$16,[3]Roster!$K$17,[3]Roster!$K$18,[3]Roster!$K$19,[3]Roster!$K$20)&amp;" "&amp;$Q1324</f>
        <v>#VALUE!</v>
      </c>
      <c r="S1324" s="1">
        <f t="shared" si="107"/>
        <v>3</v>
      </c>
      <c r="T1324" s="1" t="str">
        <f t="array" ref="T1324">IFERROR(INDEX([3]Roster!$D$3:$D$42,MATCH($B1324,[3]Roster!$C$3:$C$42,0)),"")</f>
        <v>D</v>
      </c>
      <c r="U1324" s="1" t="str">
        <f t="array" ref="U1324">IFERROR(INDEX([3]Roster!$E$3:$E$42,MATCH($B1324,[3]Roster!$C$3:$C$42,0)),"")</f>
        <v>D</v>
      </c>
      <c r="V1324" s="76">
        <f t="array" ref="V1324">AVERAGEIFS($E$2:$E2565,$B$2:$B2565,$B1324,$P$2:$P2565,"&lt;="&amp;$P1324,$P$2:$P2565,"&gt;"&amp;$P1324-7)</f>
        <v>4.7777777777777777</v>
      </c>
      <c r="W1324" s="76">
        <f ca="1">IFERROR(__xludf.DUMMYFUNCTION("iferror(stdevp(filter($D$2:$D2568,$B$2:$B2568=$B1327,$O$2:$O2568&lt;=$O1327,$O$2:$O2568&gt;$O1327-7)),0)"),0)</f>
        <v>0</v>
      </c>
      <c r="X1324" s="77">
        <f t="shared" ca="1" si="108"/>
        <v>0</v>
      </c>
      <c r="Y1324" s="77">
        <f t="shared" ca="1" si="109"/>
        <v>3</v>
      </c>
      <c r="Z1324" s="76">
        <f t="array" ref="Z1324">AVERAGEIFS($F$2:$F2565,$B$2:$B2565,$B1324,$P$2:$P2565,"&lt;="&amp;$P1324,$P$2:$P2565,"&gt;"&amp;$P1324-7)</f>
        <v>6.4444444444444446</v>
      </c>
      <c r="AA1324" s="76">
        <f ca="1">IFERROR(__xludf.DUMMYFUNCTION("iferror(stdevp(filter($E$2:$E2568,$B$2:$B2568=$B1327,$O$2:$O2568&lt;=$O1327,$O$2:$O2568&gt;$O1327-7)),0)"),0)</f>
        <v>0</v>
      </c>
      <c r="AB1324" s="77">
        <f t="shared" ca="1" si="110"/>
        <v>0</v>
      </c>
      <c r="AC1324" s="77">
        <f t="shared" ca="1" si="111"/>
        <v>3</v>
      </c>
      <c r="AD1324" s="76">
        <f t="array" ref="AD1324">AVERAGEIFS($G$2:$G2565,$B$2:$B2565,$B1324,$P$2:$P2565,"&lt;="&amp;$P1324,$P$2:$P2565,"&gt;"&amp;$P1324-7)</f>
        <v>7.4444444444444446</v>
      </c>
      <c r="AE1324" s="76">
        <f ca="1">IFERROR(__xludf.DUMMYFUNCTION("iferror(stdevp(filter($F$2:$F2568,$B$2:$B2568=$B1327,$O$2:$O2568&lt;=$O1327,$O$2:$O2568&gt;$O1327-7)),0)"),0)</f>
        <v>0</v>
      </c>
      <c r="AF1324" s="77">
        <f t="shared" ca="1" si="112"/>
        <v>0</v>
      </c>
      <c r="AG1324" s="77">
        <f t="shared" ca="1" si="113"/>
        <v>3</v>
      </c>
      <c r="AH1324" s="76">
        <f t="array" ref="AH1324">AVERAGEIFS($I$2:$I2565,$B$2:$B2565,$B1324,$P$2:$P2565,"&lt;="&amp;$P1324,$P$2:$P2565,"&gt;"&amp;$P1324-7)</f>
        <v>6.7777777777777777</v>
      </c>
      <c r="AI1324" s="76">
        <f ca="1">IFERROR(__xludf.DUMMYFUNCTION("iferror(stdevp(filter($H$2:$H2568,$B$2:$B2568=$B1327,$O$2:$O2568&lt;=$O1327,$O$2:$O2568&gt;$O1327-7)),0)"),0)</f>
        <v>0</v>
      </c>
      <c r="AJ1324" s="77">
        <f t="shared" ca="1" si="114"/>
        <v>0</v>
      </c>
      <c r="AK1324" s="77">
        <f t="shared" ca="1" si="115"/>
        <v>3</v>
      </c>
      <c r="AL1324" s="76">
        <f t="array" ref="AL1324">AVERAGEIFS($J$2:$J2565,$B$2:$B2565,$B1324,$P$2:$P2565,"&lt;="&amp;$P1324,$P$2:$P2565,"&gt;"&amp;$P1324-7)</f>
        <v>8.2222222222222214</v>
      </c>
      <c r="AM1324" s="76">
        <f ca="1">IFERROR(__xludf.DUMMYFUNCTION("iferror(stdevp(filter($I$2:$I2568,$B$2:$B2568=$B1327,$O$2:$O2568&lt;=$O1327,$O$2:$O2568&gt;$O1327-7)),0)"),0)</f>
        <v>0</v>
      </c>
      <c r="AN1324" s="77">
        <f t="shared" ca="1" si="116"/>
        <v>0</v>
      </c>
      <c r="AO1324" s="77">
        <f t="shared" ca="1" si="117"/>
        <v>3</v>
      </c>
      <c r="AP1324" s="76">
        <f t="array" ref="AP1324">AVERAGEIFS($K$2:$K2565,$B$2:$B2565,$B1324,$P$2:$P2565,"&lt;="&amp;$P1324,$P$2:$P2565,"&gt;"&amp;$P1324-7)</f>
        <v>8.1111111111111107</v>
      </c>
      <c r="AQ1324" s="76">
        <f ca="1">IFERROR(__xludf.DUMMYFUNCTION("iferror(stdevp(filter($J$2:$J2568,$B$2:$B2568=$B1327,$O$2:$O2568&lt;=$O1327,$O$2:$O2568&gt;$O1327-7)),0)"),0)</f>
        <v>0</v>
      </c>
      <c r="AR1324" s="77">
        <f t="shared" ca="1" si="118"/>
        <v>0</v>
      </c>
      <c r="AS1324" s="77">
        <f t="shared" ca="1" si="119"/>
        <v>3</v>
      </c>
      <c r="AT1324" s="78">
        <f t="shared" ca="1" si="120"/>
        <v>0.75</v>
      </c>
    </row>
    <row r="1325" spans="1:46" ht="12.5" x14ac:dyDescent="0.25">
      <c r="A1325" s="75">
        <v>44991.599083506946</v>
      </c>
      <c r="B1325" s="1" t="s">
        <v>15</v>
      </c>
      <c r="C1325" s="1" t="str">
        <f>INDEX(TBL_Name,MATCH(Table2[[#This Row],[Athlete Name]],listNames,0),2)</f>
        <v>Athlete 8</v>
      </c>
      <c r="D1325" s="1" t="s">
        <v>130</v>
      </c>
      <c r="E1325" s="1">
        <v>4</v>
      </c>
      <c r="F1325" s="1">
        <v>10</v>
      </c>
      <c r="G1325" s="1">
        <v>7</v>
      </c>
      <c r="H1325" s="1" t="s">
        <v>71</v>
      </c>
      <c r="I1325" s="1">
        <v>9</v>
      </c>
      <c r="J1325" s="1">
        <v>10</v>
      </c>
      <c r="K1325" s="1">
        <v>10</v>
      </c>
      <c r="L1325" s="1">
        <v>79</v>
      </c>
      <c r="M1325" s="1" t="e">
        <f t="shared" ref="M1325" ca="1" si="171">_xludf.concat($B1325,$P1325)</f>
        <v>#NAME?</v>
      </c>
      <c r="N1325" s="1" t="e">
        <f t="shared" si="104"/>
        <v>#VALUE!</v>
      </c>
      <c r="O1325" s="1" t="e">
        <f t="shared" ref="O1325" ca="1" si="172">IF($N1325=_xludf.MINIFS($N$2:$N2831,$R$2:$R2831,$R1325),1,
($N1325-_xludf.MINIFS($N$2:$N2831,$R$2:$R2831,$R1325))+1)</f>
        <v>#VALUE!</v>
      </c>
      <c r="P1325" s="13" t="e">
        <f t="shared" si="106"/>
        <v>#VALUE!</v>
      </c>
      <c r="Q1325" s="1" t="str">
        <f>RIGHT(YEAR($A1325),2)-(MONTH($A1325)&lt;=[3]Roster!$K$25)
 &amp;"-"&amp;
 RIGHT(YEAR($A1325),2)+(MONTH($A1325)&gt;=[3]Roster!$K$26)</f>
        <v>22-23</v>
      </c>
      <c r="R1325" s="1" t="e">
        <f>CHOOSE(MONTH($P1325),[3]Roster!$K$9,[3]Roster!$K$10,[3]Roster!$K$11,[3]Roster!$K$12,[3]Roster!$K$13,[3]Roster!$K$14,[3]Roster!$K$15,[3]Roster!$K$16,[3]Roster!$K$17,[3]Roster!$K$18,[3]Roster!$K$19,[3]Roster!$K$20)&amp;" "&amp;$Q1325</f>
        <v>#VALUE!</v>
      </c>
      <c r="S1325" s="1">
        <f t="shared" si="107"/>
        <v>1</v>
      </c>
      <c r="T1325" s="1" t="str">
        <f t="array" ref="T1325">IFERROR(INDEX([3]Roster!$D$3:$D$42,MATCH($B1325,[3]Roster!$C$3:$C$42,0)),"")</f>
        <v>MID/D</v>
      </c>
      <c r="U1325" s="1" t="str">
        <f t="array" ref="U1325">IFERROR(INDEX([3]Roster!$E$3:$E$42,MATCH($B1325,[3]Roster!$C$3:$C$42,0)),"")</f>
        <v>MID/D</v>
      </c>
      <c r="V1325" s="76">
        <f t="array" ref="V1325">AVERAGEIFS($E$2:$E2565,$B$2:$B2565,$B1325,$P$2:$P2565,"&lt;="&amp;$P1325,$P$2:$P2565,"&gt;"&amp;$P1325-7)</f>
        <v>8.935483870967742</v>
      </c>
      <c r="W1325" s="76">
        <f ca="1">IFERROR(__xludf.DUMMYFUNCTION("iferror(stdevp(filter($D$2:$D2568,$B$2:$B2568=$B1328,$O$2:$O2568&lt;=$O1328,$O$2:$O2568&gt;$O1328-7)),0)"),0)</f>
        <v>0</v>
      </c>
      <c r="X1325" s="77">
        <f t="shared" ca="1" si="108"/>
        <v>0</v>
      </c>
      <c r="Y1325" s="77">
        <f t="shared" ca="1" si="109"/>
        <v>3</v>
      </c>
      <c r="Z1325" s="76">
        <f t="array" ref="Z1325">AVERAGEIFS($F$2:$F2565,$B$2:$B2565,$B1325,$P$2:$P2565,"&lt;="&amp;$P1325,$P$2:$P2565,"&gt;"&amp;$P1325-7)</f>
        <v>8.741935483870968</v>
      </c>
      <c r="AA1325" s="76">
        <f ca="1">IFERROR(__xludf.DUMMYFUNCTION("iferror(stdevp(filter($E$2:$E2568,$B$2:$B2568=$B1328,$O$2:$O2568&lt;=$O1328,$O$2:$O2568&gt;$O1328-7)),0)"),0)</f>
        <v>0</v>
      </c>
      <c r="AB1325" s="77">
        <f t="shared" ca="1" si="110"/>
        <v>0</v>
      </c>
      <c r="AC1325" s="77">
        <f t="shared" ca="1" si="111"/>
        <v>3</v>
      </c>
      <c r="AD1325" s="76">
        <f t="array" ref="AD1325">AVERAGEIFS($G$2:$G2565,$B$2:$B2565,$B1325,$P$2:$P2565,"&lt;="&amp;$P1325,$P$2:$P2565,"&gt;"&amp;$P1325-7)</f>
        <v>7.32258064516129</v>
      </c>
      <c r="AE1325" s="76">
        <f ca="1">IFERROR(__xludf.DUMMYFUNCTION("iferror(stdevp(filter($F$2:$F2568,$B$2:$B2568=$B1328,$O$2:$O2568&lt;=$O1328,$O$2:$O2568&gt;$O1328-7)),0)"),0)</f>
        <v>0</v>
      </c>
      <c r="AF1325" s="77">
        <f t="shared" ca="1" si="112"/>
        <v>0</v>
      </c>
      <c r="AG1325" s="77">
        <f t="shared" ca="1" si="113"/>
        <v>3</v>
      </c>
      <c r="AH1325" s="76">
        <f t="array" ref="AH1325">AVERAGEIFS($I$2:$I2565,$B$2:$B2565,$B1325,$P$2:$P2565,"&lt;="&amp;$P1325,$P$2:$P2565,"&gt;"&amp;$P1325-7)</f>
        <v>6.419354838709677</v>
      </c>
      <c r="AI1325" s="76">
        <f ca="1">IFERROR(__xludf.DUMMYFUNCTION("iferror(stdevp(filter($H$2:$H2568,$B$2:$B2568=$B1328,$O$2:$O2568&lt;=$O1328,$O$2:$O2568&gt;$O1328-7)),0)"),0)</f>
        <v>0</v>
      </c>
      <c r="AJ1325" s="77">
        <f t="shared" ca="1" si="114"/>
        <v>0</v>
      </c>
      <c r="AK1325" s="77">
        <f t="shared" ca="1" si="115"/>
        <v>3</v>
      </c>
      <c r="AL1325" s="76">
        <f t="array" ref="AL1325">AVERAGEIFS($J$2:$J2565,$B$2:$B2565,$B1325,$P$2:$P2565,"&lt;="&amp;$P1325,$P$2:$P2565,"&gt;"&amp;$P1325-7)</f>
        <v>9.612903225806452</v>
      </c>
      <c r="AM1325" s="76">
        <f ca="1">IFERROR(__xludf.DUMMYFUNCTION("iferror(stdevp(filter($I$2:$I2568,$B$2:$B2568=$B1328,$O$2:$O2568&lt;=$O1328,$O$2:$O2568&gt;$O1328-7)),0)"),0)</f>
        <v>0</v>
      </c>
      <c r="AN1325" s="77">
        <f t="shared" ca="1" si="116"/>
        <v>0</v>
      </c>
      <c r="AO1325" s="77">
        <f t="shared" ca="1" si="117"/>
        <v>3</v>
      </c>
      <c r="AP1325" s="76">
        <f t="array" ref="AP1325">AVERAGEIFS($K$2:$K2565,$B$2:$B2565,$B1325,$P$2:$P2565,"&lt;="&amp;$P1325,$P$2:$P2565,"&gt;"&amp;$P1325-7)</f>
        <v>10</v>
      </c>
      <c r="AQ1325" s="76">
        <f ca="1">IFERROR(__xludf.DUMMYFUNCTION("iferror(stdevp(filter($J$2:$J2568,$B$2:$B2568=$B1328,$O$2:$O2568&lt;=$O1328,$O$2:$O2568&gt;$O1328-7)),0)"),0)</f>
        <v>0</v>
      </c>
      <c r="AR1325" s="77">
        <f t="shared" ca="1" si="118"/>
        <v>0</v>
      </c>
      <c r="AS1325" s="77">
        <f t="shared" ca="1" si="119"/>
        <v>3</v>
      </c>
      <c r="AT1325" s="78">
        <f t="shared" ca="1" si="120"/>
        <v>0.75</v>
      </c>
    </row>
    <row r="1326" spans="1:46" ht="12.5" x14ac:dyDescent="0.25">
      <c r="A1326" s="75">
        <v>44991.601788599539</v>
      </c>
      <c r="B1326" s="1" t="s">
        <v>13</v>
      </c>
      <c r="C1326" s="1" t="str">
        <f>INDEX(TBL_Name,MATCH(Table2[[#This Row],[Athlete Name]],listNames,0),2)</f>
        <v>Athlete 7</v>
      </c>
      <c r="D1326" s="1" t="s">
        <v>130</v>
      </c>
      <c r="E1326" s="1">
        <v>10</v>
      </c>
      <c r="F1326" s="1">
        <v>7</v>
      </c>
      <c r="G1326" s="1">
        <v>7</v>
      </c>
      <c r="H1326" s="1"/>
      <c r="I1326" s="1">
        <v>8</v>
      </c>
      <c r="J1326" s="1">
        <v>10</v>
      </c>
      <c r="K1326" s="1">
        <v>10</v>
      </c>
      <c r="L1326" s="1">
        <v>77</v>
      </c>
      <c r="M1326" s="1" t="e">
        <f t="shared" ref="M1326" ca="1" si="173">_xludf.concat($B1326,$P1326)</f>
        <v>#NAME?</v>
      </c>
      <c r="N1326" s="1" t="e">
        <f t="shared" si="104"/>
        <v>#VALUE!</v>
      </c>
      <c r="O1326" s="1" t="e">
        <f t="shared" ref="O1326" ca="1" si="174">IF($N1326=_xludf.MINIFS($N$2:$N2832,$R$2:$R2832,$R1326),1,
($N1326-_xludf.MINIFS($N$2:$N2832,$R$2:$R2832,$R1326))+1)</f>
        <v>#VALUE!</v>
      </c>
      <c r="P1326" s="13" t="e">
        <f t="shared" si="106"/>
        <v>#VALUE!</v>
      </c>
      <c r="Q1326" s="1" t="str">
        <f>RIGHT(YEAR($A1326),2)-(MONTH($A1326)&lt;=[3]Roster!$K$25)
 &amp;"-"&amp;
 RIGHT(YEAR($A1326),2)+(MONTH($A1326)&gt;=[3]Roster!$K$26)</f>
        <v>22-23</v>
      </c>
      <c r="R1326" s="1" t="e">
        <f>CHOOSE(MONTH($P1326),[3]Roster!$K$9,[3]Roster!$K$10,[3]Roster!$K$11,[3]Roster!$K$12,[3]Roster!$K$13,[3]Roster!$K$14,[3]Roster!$K$15,[3]Roster!$K$16,[3]Roster!$K$17,[3]Roster!$K$18,[3]Roster!$K$19,[3]Roster!$K$20)&amp;" "&amp;$Q1326</f>
        <v>#VALUE!</v>
      </c>
      <c r="S1326" s="1">
        <f t="shared" si="107"/>
        <v>1</v>
      </c>
      <c r="T1326" s="1" t="str">
        <f t="array" ref="T1326">IFERROR(INDEX([3]Roster!$D$3:$D$42,MATCH($B1326,[3]Roster!$C$3:$C$42,0)),"")</f>
        <v>MID/D</v>
      </c>
      <c r="U1326" s="1" t="str">
        <f t="array" ref="U1326">IFERROR(INDEX([3]Roster!$E$3:$E$42,MATCH($B1326,[3]Roster!$C$3:$C$42,0)),"")</f>
        <v>MID/D</v>
      </c>
      <c r="V1326" s="76">
        <f t="array" ref="V1326">AVERAGEIFS($E$2:$E2565,$B$2:$B2565,$B1326,$P$2:$P2565,"&lt;="&amp;$P1326,$P$2:$P2565,"&gt;"&amp;$P1326-7)</f>
        <v>7.6857142857142859</v>
      </c>
      <c r="W1326" s="76">
        <f ca="1">IFERROR(__xludf.DUMMYFUNCTION("iferror(stdevp(filter($D$2:$D2568,$B$2:$B2568=$B1329,$O$2:$O2568&lt;=$O1329,$O$2:$O2568&gt;$O1329-7)),0)"),0)</f>
        <v>0</v>
      </c>
      <c r="X1326" s="77">
        <f t="shared" ca="1" si="108"/>
        <v>0</v>
      </c>
      <c r="Y1326" s="77">
        <f t="shared" ca="1" si="109"/>
        <v>3</v>
      </c>
      <c r="Z1326" s="76">
        <f t="array" ref="Z1326">AVERAGEIFS($F$2:$F2565,$B$2:$B2565,$B1326,$P$2:$P2565,"&lt;="&amp;$P1326,$P$2:$P2565,"&gt;"&amp;$P1326-7)</f>
        <v>7.0857142857142854</v>
      </c>
      <c r="AA1326" s="76">
        <f ca="1">IFERROR(__xludf.DUMMYFUNCTION("iferror(stdevp(filter($E$2:$E2568,$B$2:$B2568=$B1329,$O$2:$O2568&lt;=$O1329,$O$2:$O2568&gt;$O1329-7)),0)"),0)</f>
        <v>0</v>
      </c>
      <c r="AB1326" s="77">
        <f t="shared" ca="1" si="110"/>
        <v>0</v>
      </c>
      <c r="AC1326" s="77">
        <f t="shared" ca="1" si="111"/>
        <v>3</v>
      </c>
      <c r="AD1326" s="76">
        <f t="array" ref="AD1326">AVERAGEIFS($G$2:$G2565,$B$2:$B2565,$B1326,$P$2:$P2565,"&lt;="&amp;$P1326,$P$2:$P2565,"&gt;"&amp;$P1326-7)</f>
        <v>7.1428571428571432</v>
      </c>
      <c r="AE1326" s="76">
        <f ca="1">IFERROR(__xludf.DUMMYFUNCTION("iferror(stdevp(filter($F$2:$F2568,$B$2:$B2568=$B1329,$O$2:$O2568&lt;=$O1329,$O$2:$O2568&gt;$O1329-7)),0)"),0)</f>
        <v>0</v>
      </c>
      <c r="AF1326" s="77">
        <f t="shared" ca="1" si="112"/>
        <v>0</v>
      </c>
      <c r="AG1326" s="77">
        <f t="shared" ca="1" si="113"/>
        <v>3</v>
      </c>
      <c r="AH1326" s="76">
        <f t="array" ref="AH1326">AVERAGEIFS($I$2:$I2565,$B$2:$B2565,$B1326,$P$2:$P2565,"&lt;="&amp;$P1326,$P$2:$P2565,"&gt;"&amp;$P1326-7)</f>
        <v>7.0285714285714285</v>
      </c>
      <c r="AI1326" s="76">
        <f ca="1">IFERROR(__xludf.DUMMYFUNCTION("iferror(stdevp(filter($H$2:$H2568,$B$2:$B2568=$B1329,$O$2:$O2568&lt;=$O1329,$O$2:$O2568&gt;$O1329-7)),0)"),0)</f>
        <v>0</v>
      </c>
      <c r="AJ1326" s="77">
        <f t="shared" ca="1" si="114"/>
        <v>0</v>
      </c>
      <c r="AK1326" s="77">
        <f t="shared" ca="1" si="115"/>
        <v>3</v>
      </c>
      <c r="AL1326" s="76">
        <f t="array" ref="AL1326">AVERAGEIFS($J$2:$J2565,$B$2:$B2565,$B1326,$P$2:$P2565,"&lt;="&amp;$P1326,$P$2:$P2565,"&gt;"&amp;$P1326-7)</f>
        <v>9.742857142857142</v>
      </c>
      <c r="AM1326" s="76">
        <f ca="1">IFERROR(__xludf.DUMMYFUNCTION("iferror(stdevp(filter($I$2:$I2568,$B$2:$B2568=$B1329,$O$2:$O2568&lt;=$O1329,$O$2:$O2568&gt;$O1329-7)),0)"),0)</f>
        <v>0</v>
      </c>
      <c r="AN1326" s="77">
        <f t="shared" ca="1" si="116"/>
        <v>0</v>
      </c>
      <c r="AO1326" s="77">
        <f t="shared" ca="1" si="117"/>
        <v>3</v>
      </c>
      <c r="AP1326" s="76">
        <f t="array" ref="AP1326">AVERAGEIFS($K$2:$K2565,$B$2:$B2565,$B1326,$P$2:$P2565,"&lt;="&amp;$P1326,$P$2:$P2565,"&gt;"&amp;$P1326-7)</f>
        <v>9.4285714285714288</v>
      </c>
      <c r="AQ1326" s="76">
        <f ca="1">IFERROR(__xludf.DUMMYFUNCTION("iferror(stdevp(filter($J$2:$J2568,$B$2:$B2568=$B1329,$O$2:$O2568&lt;=$O1329,$O$2:$O2568&gt;$O1329-7)),0)"),0)</f>
        <v>0</v>
      </c>
      <c r="AR1326" s="77">
        <f t="shared" ca="1" si="118"/>
        <v>0</v>
      </c>
      <c r="AS1326" s="77">
        <f t="shared" ca="1" si="119"/>
        <v>3</v>
      </c>
      <c r="AT1326" s="78">
        <f t="shared" ca="1" si="120"/>
        <v>0.75</v>
      </c>
    </row>
    <row r="1327" spans="1:46" ht="12.5" x14ac:dyDescent="0.25">
      <c r="A1327" s="75">
        <v>44992.297148252313</v>
      </c>
      <c r="B1327" s="1" t="s">
        <v>29</v>
      </c>
      <c r="C1327" s="1" t="str">
        <f>INDEX(TBL_Name,MATCH(Table2[[#This Row],[Athlete Name]],listNames,0),2)</f>
        <v>Athlete 18</v>
      </c>
      <c r="D1327" s="1" t="s">
        <v>130</v>
      </c>
      <c r="E1327" s="1">
        <v>9</v>
      </c>
      <c r="F1327" s="1">
        <v>9</v>
      </c>
      <c r="G1327" s="1">
        <v>8</v>
      </c>
      <c r="H1327" s="1" t="s">
        <v>1545</v>
      </c>
      <c r="I1327" s="1">
        <v>9</v>
      </c>
      <c r="J1327" s="1">
        <v>8</v>
      </c>
      <c r="K1327" s="1">
        <v>8</v>
      </c>
      <c r="L1327" s="1">
        <v>98</v>
      </c>
      <c r="M1327" s="1" t="e">
        <f t="shared" ref="M1327" ca="1" si="175">_xludf.concat($B1327,$P1327)</f>
        <v>#NAME?</v>
      </c>
      <c r="N1327" s="1" t="e">
        <f t="shared" si="104"/>
        <v>#VALUE!</v>
      </c>
      <c r="O1327" s="1" t="e">
        <f t="shared" ref="O1327" ca="1" si="176">IF($N1327=_xludf.MINIFS($N$2:$N2833,$R$2:$R2833,$R1327),1,
($N1327-_xludf.MINIFS($N$2:$N2833,$R$2:$R2833,$R1327))+1)</f>
        <v>#VALUE!</v>
      </c>
      <c r="P1327" s="13" t="e">
        <f t="shared" si="106"/>
        <v>#VALUE!</v>
      </c>
      <c r="Q1327" s="1" t="str">
        <f>RIGHT(YEAR($A1327),2)-(MONTH($A1327)&lt;=[3]Roster!$K$25)
 &amp;"-"&amp;
 RIGHT(YEAR($A1327),2)+(MONTH($A1327)&gt;=[3]Roster!$K$26)</f>
        <v>22-23</v>
      </c>
      <c r="R1327" s="1" t="e">
        <f>CHOOSE(MONTH($P1327),[3]Roster!$K$9,[3]Roster!$K$10,[3]Roster!$K$11,[3]Roster!$K$12,[3]Roster!$K$13,[3]Roster!$K$14,[3]Roster!$K$15,[3]Roster!$K$16,[3]Roster!$K$17,[3]Roster!$K$18,[3]Roster!$K$19,[3]Roster!$K$20)&amp;" "&amp;$Q1327</f>
        <v>#VALUE!</v>
      </c>
      <c r="S1327" s="1">
        <f t="shared" si="107"/>
        <v>1</v>
      </c>
      <c r="T1327" s="1" t="str">
        <f t="array" ref="T1327">IFERROR(INDEX([3]Roster!$D$3:$D$42,MATCH($B1327,[3]Roster!$C$3:$C$42,0)),"")</f>
        <v>GK</v>
      </c>
      <c r="U1327" s="1" t="str">
        <f t="array" ref="U1327">IFERROR(INDEX([3]Roster!$E$3:$E$42,MATCH($B1327,[3]Roster!$C$3:$C$42,0)),"")</f>
        <v>GK</v>
      </c>
      <c r="V1327" s="76">
        <f t="array" ref="V1327">AVERAGEIFS($E$2:$E2565,$B$2:$B2565,$B1327,$P$2:$P2565,"&lt;="&amp;$P1327,$P$2:$P2565,"&gt;"&amp;$P1327-7)</f>
        <v>8.53125</v>
      </c>
      <c r="W1327" s="76">
        <f ca="1">IFERROR(__xludf.DUMMYFUNCTION("iferror(stdevp(filter($D$2:$D2568,$B$2:$B2568=$B1330,$O$2:$O2568&lt;=$O1330,$O$2:$O2568&gt;$O1330-7)),0)"),0.5)</f>
        <v>0.5</v>
      </c>
      <c r="X1327" s="77">
        <f t="shared" ca="1" si="108"/>
        <v>0.9375</v>
      </c>
      <c r="Y1327" s="77">
        <f t="shared" ca="1" si="109"/>
        <v>3</v>
      </c>
      <c r="Z1327" s="76">
        <f t="array" ref="Z1327">AVERAGEIFS($F$2:$F2565,$B$2:$B2565,$B1327,$P$2:$P2565,"&lt;="&amp;$P1327,$P$2:$P2565,"&gt;"&amp;$P1327-7)</f>
        <v>8.125</v>
      </c>
      <c r="AA1327" s="76">
        <f ca="1">IFERROR(__xludf.DUMMYFUNCTION("iferror(stdevp(filter($E$2:$E2568,$B$2:$B2568=$B1330,$O$2:$O2568&lt;=$O1330,$O$2:$O2568&gt;$O1330-7)),0)"),0.5)</f>
        <v>0.5</v>
      </c>
      <c r="AB1327" s="77">
        <f t="shared" ca="1" si="110"/>
        <v>1.75</v>
      </c>
      <c r="AC1327" s="77">
        <f t="shared" ca="1" si="111"/>
        <v>4</v>
      </c>
      <c r="AD1327" s="76">
        <f t="array" ref="AD1327">AVERAGEIFS($G$2:$G2565,$B$2:$B2565,$B1327,$P$2:$P2565,"&lt;="&amp;$P1327,$P$2:$P2565,"&gt;"&amp;$P1327-7)</f>
        <v>8.09375</v>
      </c>
      <c r="AE1327" s="76">
        <f ca="1">IFERROR(__xludf.DUMMYFUNCTION("iferror(stdevp(filter($F$2:$F2568,$B$2:$B2568=$B1330,$O$2:$O2568&lt;=$O1330,$O$2:$O2568&gt;$O1330-7)),0)"),0)</f>
        <v>0</v>
      </c>
      <c r="AF1327" s="77">
        <f t="shared" ca="1" si="112"/>
        <v>0</v>
      </c>
      <c r="AG1327" s="77">
        <f t="shared" ca="1" si="113"/>
        <v>3</v>
      </c>
      <c r="AH1327" s="76">
        <f t="array" ref="AH1327">AVERAGEIFS($I$2:$I2565,$B$2:$B2565,$B1327,$P$2:$P2565,"&lt;="&amp;$P1327,$P$2:$P2565,"&gt;"&amp;$P1327-7)</f>
        <v>7.875</v>
      </c>
      <c r="AI1327" s="76">
        <f ca="1">IFERROR(__xludf.DUMMYFUNCTION("iferror(stdevp(filter($H$2:$H2568,$B$2:$B2568=$B1330,$O$2:$O2568&lt;=$O1330,$O$2:$O2568&gt;$O1330-7)),0)"),0.5)</f>
        <v>0.5</v>
      </c>
      <c r="AJ1327" s="77">
        <f t="shared" ca="1" si="114"/>
        <v>2.25</v>
      </c>
      <c r="AK1327" s="77">
        <f t="shared" ca="1" si="115"/>
        <v>4</v>
      </c>
      <c r="AL1327" s="76">
        <f t="array" ref="AL1327">AVERAGEIFS($J$2:$J2565,$B$2:$B2565,$B1327,$P$2:$P2565,"&lt;="&amp;$P1327,$P$2:$P2565,"&gt;"&amp;$P1327-7)</f>
        <v>8.34375</v>
      </c>
      <c r="AM1327" s="76">
        <f ca="1">IFERROR(__xludf.DUMMYFUNCTION("iferror(stdevp(filter($I$2:$I2568,$B$2:$B2568=$B1330,$O$2:$O2568&lt;=$O1330,$O$2:$O2568&gt;$O1330-7)),0)"),0.5)</f>
        <v>0.5</v>
      </c>
      <c r="AN1327" s="77">
        <f t="shared" ca="1" si="116"/>
        <v>-0.6875</v>
      </c>
      <c r="AO1327" s="77">
        <f t="shared" ca="1" si="117"/>
        <v>2</v>
      </c>
      <c r="AP1327" s="76">
        <f t="array" ref="AP1327">AVERAGEIFS($K$2:$K2565,$B$2:$B2565,$B1327,$P$2:$P2565,"&lt;="&amp;$P1327,$P$2:$P2565,"&gt;"&amp;$P1327-7)</f>
        <v>8.46875</v>
      </c>
      <c r="AQ1327" s="76">
        <f ca="1">IFERROR(__xludf.DUMMYFUNCTION("iferror(stdevp(filter($J$2:$J2568,$B$2:$B2568=$B1330,$O$2:$O2568&lt;=$O1330,$O$2:$O2568&gt;$O1330-7)),0)"),0)</f>
        <v>0</v>
      </c>
      <c r="AR1327" s="77">
        <f t="shared" ca="1" si="118"/>
        <v>0</v>
      </c>
      <c r="AS1327" s="77">
        <f t="shared" ca="1" si="119"/>
        <v>3</v>
      </c>
      <c r="AT1327" s="78">
        <f t="shared" ca="1" si="120"/>
        <v>0.79166666666666663</v>
      </c>
    </row>
    <row r="1328" spans="1:46" ht="12.5" x14ac:dyDescent="0.25">
      <c r="A1328" s="75">
        <v>44992.298513055561</v>
      </c>
      <c r="B1328" s="1" t="s">
        <v>21</v>
      </c>
      <c r="C1328" s="1" t="str">
        <f>INDEX(TBL_Name,MATCH(Table2[[#This Row],[Athlete Name]],listNames,0),2)</f>
        <v>Athlete 13</v>
      </c>
      <c r="D1328" s="1" t="s">
        <v>130</v>
      </c>
      <c r="E1328" s="1">
        <v>8</v>
      </c>
      <c r="F1328" s="1">
        <v>7</v>
      </c>
      <c r="G1328" s="1">
        <v>8</v>
      </c>
      <c r="H1328" s="1" t="s">
        <v>166</v>
      </c>
      <c r="I1328" s="1">
        <v>5</v>
      </c>
      <c r="J1328" s="1">
        <v>7</v>
      </c>
      <c r="K1328" s="1">
        <v>7</v>
      </c>
      <c r="L1328" s="1">
        <v>75</v>
      </c>
      <c r="M1328" s="1" t="e">
        <f t="shared" ref="M1328" ca="1" si="177">_xludf.concat($B1328,$P1328)</f>
        <v>#NAME?</v>
      </c>
      <c r="N1328" s="1" t="e">
        <f t="shared" si="104"/>
        <v>#VALUE!</v>
      </c>
      <c r="O1328" s="1" t="e">
        <f t="shared" ref="O1328" ca="1" si="178">IF($N1328=_xludf.MINIFS($N$2:$N2834,$R$2:$R2834,$R1328),1,
($N1328-_xludf.MINIFS($N$2:$N2834,$R$2:$R2834,$R1328))+1)</f>
        <v>#VALUE!</v>
      </c>
      <c r="P1328" s="13" t="e">
        <f t="shared" si="106"/>
        <v>#VALUE!</v>
      </c>
      <c r="Q1328" s="1" t="str">
        <f>RIGHT(YEAR($A1328),2)-(MONTH($A1328)&lt;=[3]Roster!$K$25)
 &amp;"-"&amp;
 RIGHT(YEAR($A1328),2)+(MONTH($A1328)&gt;=[3]Roster!$K$26)</f>
        <v>22-23</v>
      </c>
      <c r="R1328" s="1" t="e">
        <f>CHOOSE(MONTH($P1328),[3]Roster!$K$9,[3]Roster!$K$10,[3]Roster!$K$11,[3]Roster!$K$12,[3]Roster!$K$13,[3]Roster!$K$14,[3]Roster!$K$15,[3]Roster!$K$16,[3]Roster!$K$17,[3]Roster!$K$18,[3]Roster!$K$19,[3]Roster!$K$20)&amp;" "&amp;$Q1328</f>
        <v>#VALUE!</v>
      </c>
      <c r="S1328" s="1">
        <f t="shared" si="107"/>
        <v>1</v>
      </c>
      <c r="T1328" s="1" t="str">
        <f t="array" ref="T1328">IFERROR(INDEX([3]Roster!$D$3:$D$42,MATCH($B1328,[3]Roster!$C$3:$C$42,0)),"")</f>
        <v>D</v>
      </c>
      <c r="U1328" s="1" t="str">
        <f t="array" ref="U1328">IFERROR(INDEX([3]Roster!$E$3:$E$42,MATCH($B1328,[3]Roster!$C$3:$C$42,0)),"")</f>
        <v>D</v>
      </c>
      <c r="V1328" s="76">
        <f t="array" ref="V1328">AVERAGEIFS($E$2:$E2565,$B$2:$B2565,$B1328,$P$2:$P2565,"&lt;="&amp;$P1328,$P$2:$P2565,"&gt;"&amp;$P1328-7)</f>
        <v>6.6304347826086953</v>
      </c>
      <c r="W1328" s="76">
        <f ca="1">IFERROR(__xludf.DUMMYFUNCTION("iferror(stdevp(filter($D$2:$D2568,$B$2:$B2568=$B1331,$O$2:$O2568&lt;=$O1331,$O$2:$O2568&gt;$O1331-7)),0)"),0)</f>
        <v>0</v>
      </c>
      <c r="X1328" s="77">
        <f t="shared" ca="1" si="108"/>
        <v>0</v>
      </c>
      <c r="Y1328" s="77">
        <f t="shared" ca="1" si="109"/>
        <v>3</v>
      </c>
      <c r="Z1328" s="76">
        <f t="array" ref="Z1328">AVERAGEIFS($F$2:$F2565,$B$2:$B2565,$B1328,$P$2:$P2565,"&lt;="&amp;$P1328,$P$2:$P2565,"&gt;"&amp;$P1328-7)</f>
        <v>7.6956521739130439</v>
      </c>
      <c r="AA1328" s="76">
        <f ca="1">IFERROR(__xludf.DUMMYFUNCTION("iferror(stdevp(filter($E$2:$E2568,$B$2:$B2568=$B1331,$O$2:$O2568&lt;=$O1331,$O$2:$O2568&gt;$O1331-7)),0)"),0.372677996249964)</f>
        <v>0.37267799624996401</v>
      </c>
      <c r="AB1328" s="77">
        <f t="shared" ca="1" si="110"/>
        <v>-1.8666306594780913</v>
      </c>
      <c r="AC1328" s="77">
        <f t="shared" ca="1" si="111"/>
        <v>1</v>
      </c>
      <c r="AD1328" s="76">
        <f t="array" ref="AD1328">AVERAGEIFS($G$2:$G2565,$B$2:$B2565,$B1328,$P$2:$P2565,"&lt;="&amp;$P1328,$P$2:$P2565,"&gt;"&amp;$P1328-7)</f>
        <v>8.2608695652173907</v>
      </c>
      <c r="AE1328" s="76">
        <f ca="1">IFERROR(__xludf.DUMMYFUNCTION("iferror(stdevp(filter($F$2:$F2568,$B$2:$B2568=$B1331,$O$2:$O2568&lt;=$O1331,$O$2:$O2568&gt;$O1331-7)),0)"),0.471404520791031)</f>
        <v>0.47140452079103101</v>
      </c>
      <c r="AF1328" s="77">
        <f t="shared" ca="1" si="112"/>
        <v>-0.5533879157112106</v>
      </c>
      <c r="AG1328" s="77">
        <f t="shared" ca="1" si="113"/>
        <v>2</v>
      </c>
      <c r="AH1328" s="76">
        <f t="array" ref="AH1328">AVERAGEIFS($I$2:$I2565,$B$2:$B2565,$B1328,$P$2:$P2565,"&lt;="&amp;$P1328,$P$2:$P2565,"&gt;"&amp;$P1328-7)</f>
        <v>5.7391304347826084</v>
      </c>
      <c r="AI1328" s="76">
        <f ca="1">IFERROR(__xludf.DUMMYFUNCTION("iferror(stdevp(filter($H$2:$H2568,$B$2:$B2568=$B1331,$O$2:$O2568&lt;=$O1331,$O$2:$O2568&gt;$O1331-7)),0)"),1.11803398874989)</f>
        <v>1.11803398874989</v>
      </c>
      <c r="AJ1328" s="77">
        <f t="shared" ca="1" si="114"/>
        <v>-0.66109835856515786</v>
      </c>
      <c r="AK1328" s="77">
        <f t="shared" ca="1" si="115"/>
        <v>2</v>
      </c>
      <c r="AL1328" s="76">
        <f t="array" ref="AL1328">AVERAGEIFS($J$2:$J2565,$B$2:$B2565,$B1328,$P$2:$P2565,"&lt;="&amp;$P1328,$P$2:$P2565,"&gt;"&amp;$P1328-7)</f>
        <v>6.5434782608695654</v>
      </c>
      <c r="AM1328" s="76">
        <f ca="1">IFERROR(__xludf.DUMMYFUNCTION("iferror(stdevp(filter($I$2:$I2568,$B$2:$B2568=$B1331,$O$2:$O2568&lt;=$O1331,$O$2:$O2568&gt;$O1331-7)),0)"),0.471404520791031)</f>
        <v>0.47140452079103101</v>
      </c>
      <c r="AN1328" s="77">
        <f t="shared" ca="1" si="116"/>
        <v>0.96842885249462041</v>
      </c>
      <c r="AO1328" s="77">
        <f t="shared" ca="1" si="117"/>
        <v>3</v>
      </c>
      <c r="AP1328" s="76">
        <f t="array" ref="AP1328">AVERAGEIFS($K$2:$K2565,$B$2:$B2565,$B1328,$P$2:$P2565,"&lt;="&amp;$P1328,$P$2:$P2565,"&gt;"&amp;$P1328-7)</f>
        <v>6.6086956521739131</v>
      </c>
      <c r="AQ1328" s="76">
        <f ca="1">IFERROR(__xludf.DUMMYFUNCTION("iferror(stdevp(filter($J$2:$J2568,$B$2:$B2568=$B1331,$O$2:$O2568&lt;=$O1331,$O$2:$O2568&gt;$O1331-7)),0)"),0.372677996249965)</f>
        <v>0.372677996249965</v>
      </c>
      <c r="AR1328" s="77">
        <f t="shared" ca="1" si="118"/>
        <v>1.0499797459564226</v>
      </c>
      <c r="AS1328" s="77">
        <f t="shared" ca="1" si="119"/>
        <v>4</v>
      </c>
      <c r="AT1328" s="78">
        <f t="shared" ca="1" si="120"/>
        <v>0.625</v>
      </c>
    </row>
    <row r="1329" spans="1:46" ht="12.5" x14ac:dyDescent="0.25">
      <c r="A1329" s="75">
        <v>44992.311737962962</v>
      </c>
      <c r="B1329" s="1" t="s">
        <v>13</v>
      </c>
      <c r="C1329" s="1" t="str">
        <f>INDEX(TBL_Name,MATCH(Table2[[#This Row],[Athlete Name]],listNames,0),2)</f>
        <v>Athlete 7</v>
      </c>
      <c r="D1329" s="1" t="s">
        <v>130</v>
      </c>
      <c r="E1329" s="1">
        <v>7</v>
      </c>
      <c r="F1329" s="1">
        <v>7</v>
      </c>
      <c r="G1329" s="1">
        <v>7</v>
      </c>
      <c r="H1329" s="1"/>
      <c r="I1329" s="1">
        <v>10</v>
      </c>
      <c r="J1329" s="1">
        <v>10</v>
      </c>
      <c r="K1329" s="1">
        <v>10</v>
      </c>
      <c r="L1329" s="1">
        <v>75</v>
      </c>
      <c r="M1329" s="1" t="e">
        <f t="shared" ref="M1329" ca="1" si="179">_xludf.concat($B1329,$P1329)</f>
        <v>#NAME?</v>
      </c>
      <c r="N1329" s="1" t="e">
        <f t="shared" si="104"/>
        <v>#VALUE!</v>
      </c>
      <c r="O1329" s="1" t="e">
        <f t="shared" ref="O1329" ca="1" si="180">IF($N1329=_xludf.MINIFS($N$2:$N2835,$R$2:$R2835,$R1329),1,
($N1329-_xludf.MINIFS($N$2:$N2835,$R$2:$R2835,$R1329))+1)</f>
        <v>#VALUE!</v>
      </c>
      <c r="P1329" s="13" t="e">
        <f t="shared" si="106"/>
        <v>#VALUE!</v>
      </c>
      <c r="Q1329" s="1" t="str">
        <f>RIGHT(YEAR($A1329),2)-(MONTH($A1329)&lt;=[3]Roster!$K$25)
 &amp;"-"&amp;
 RIGHT(YEAR($A1329),2)+(MONTH($A1329)&gt;=[3]Roster!$K$26)</f>
        <v>22-23</v>
      </c>
      <c r="R1329" s="1" t="e">
        <f>CHOOSE(MONTH($P1329),[3]Roster!$K$9,[3]Roster!$K$10,[3]Roster!$K$11,[3]Roster!$K$12,[3]Roster!$K$13,[3]Roster!$K$14,[3]Roster!$K$15,[3]Roster!$K$16,[3]Roster!$K$17,[3]Roster!$K$18,[3]Roster!$K$19,[3]Roster!$K$20)&amp;" "&amp;$Q1329</f>
        <v>#VALUE!</v>
      </c>
      <c r="S1329" s="1">
        <f t="shared" si="107"/>
        <v>1</v>
      </c>
      <c r="T1329" s="1" t="str">
        <f t="array" ref="T1329">IFERROR(INDEX([3]Roster!$D$3:$D$42,MATCH($B1329,[3]Roster!$C$3:$C$42,0)),"")</f>
        <v>MID/D</v>
      </c>
      <c r="U1329" s="1" t="str">
        <f t="array" ref="U1329">IFERROR(INDEX([3]Roster!$E$3:$E$42,MATCH($B1329,[3]Roster!$C$3:$C$42,0)),"")</f>
        <v>MID/D</v>
      </c>
      <c r="V1329" s="76">
        <f t="array" ref="V1329">AVERAGEIFS($E$2:$E2565,$B$2:$B2565,$B1329,$P$2:$P2565,"&lt;="&amp;$P1329,$P$2:$P2565,"&gt;"&amp;$P1329-7)</f>
        <v>7.6857142857142859</v>
      </c>
      <c r="W1329" s="76">
        <f ca="1">IFERROR(__xludf.DUMMYFUNCTION("iferror(stdevp(filter($D$2:$D2568,$B$2:$B2568=$B1332,$O$2:$O2568&lt;=$O1332,$O$2:$O2568&gt;$O1332-7)),0)"),1.5)</f>
        <v>1.5</v>
      </c>
      <c r="X1329" s="77">
        <f t="shared" ca="1" si="108"/>
        <v>-0.4571428571428573</v>
      </c>
      <c r="Y1329" s="77">
        <f t="shared" ca="1" si="109"/>
        <v>2</v>
      </c>
      <c r="Z1329" s="76">
        <f t="array" ref="Z1329">AVERAGEIFS($F$2:$F2565,$B$2:$B2565,$B1329,$P$2:$P2565,"&lt;="&amp;$P1329,$P$2:$P2565,"&gt;"&amp;$P1329-7)</f>
        <v>7.0857142857142854</v>
      </c>
      <c r="AA1329" s="76">
        <f ca="1">IFERROR(__xludf.DUMMYFUNCTION("iferror(stdevp(filter($E$2:$E2568,$B$2:$B2568=$B1332,$O$2:$O2568&lt;=$O1332,$O$2:$O2568&gt;$O1332-7)),0)"),0)</f>
        <v>0</v>
      </c>
      <c r="AB1329" s="77">
        <f t="shared" ca="1" si="110"/>
        <v>0</v>
      </c>
      <c r="AC1329" s="77">
        <f t="shared" ca="1" si="111"/>
        <v>3</v>
      </c>
      <c r="AD1329" s="76">
        <f t="array" ref="AD1329">AVERAGEIFS($G$2:$G2565,$B$2:$B2565,$B1329,$P$2:$P2565,"&lt;="&amp;$P1329,$P$2:$P2565,"&gt;"&amp;$P1329-7)</f>
        <v>7.1428571428571432</v>
      </c>
      <c r="AE1329" s="76">
        <f ca="1">IFERROR(__xludf.DUMMYFUNCTION("iferror(stdevp(filter($F$2:$F2568,$B$2:$B2568=$B1332,$O$2:$O2568&lt;=$O1332,$O$2:$O2568&gt;$O1332-7)),0)"),0)</f>
        <v>0</v>
      </c>
      <c r="AF1329" s="77">
        <f t="shared" ca="1" si="112"/>
        <v>0</v>
      </c>
      <c r="AG1329" s="77">
        <f t="shared" ca="1" si="113"/>
        <v>3</v>
      </c>
      <c r="AH1329" s="76">
        <f t="array" ref="AH1329">AVERAGEIFS($I$2:$I2565,$B$2:$B2565,$B1329,$P$2:$P2565,"&lt;="&amp;$P1329,$P$2:$P2565,"&gt;"&amp;$P1329-7)</f>
        <v>7.0285714285714285</v>
      </c>
      <c r="AI1329" s="76">
        <f ca="1">IFERROR(__xludf.DUMMYFUNCTION("iferror(stdevp(filter($H$2:$H2568,$B$2:$B2568=$B1332,$O$2:$O2568&lt;=$O1332,$O$2:$O2568&gt;$O1332-7)),0)"),1)</f>
        <v>1</v>
      </c>
      <c r="AJ1329" s="77">
        <f t="shared" ca="1" si="114"/>
        <v>2.9714285714285715</v>
      </c>
      <c r="AK1329" s="77">
        <f t="shared" ca="1" si="115"/>
        <v>4</v>
      </c>
      <c r="AL1329" s="76">
        <f t="array" ref="AL1329">AVERAGEIFS($J$2:$J2565,$B$2:$B2565,$B1329,$P$2:$P2565,"&lt;="&amp;$P1329,$P$2:$P2565,"&gt;"&amp;$P1329-7)</f>
        <v>9.742857142857142</v>
      </c>
      <c r="AM1329" s="76">
        <f ca="1">IFERROR(__xludf.DUMMYFUNCTION("iferror(stdevp(filter($I$2:$I2568,$B$2:$B2568=$B1332,$O$2:$O2568&lt;=$O1332,$O$2:$O2568&gt;$O1332-7)),0)"),0)</f>
        <v>0</v>
      </c>
      <c r="AN1329" s="77">
        <f t="shared" ca="1" si="116"/>
        <v>0</v>
      </c>
      <c r="AO1329" s="77">
        <f t="shared" ca="1" si="117"/>
        <v>3</v>
      </c>
      <c r="AP1329" s="76">
        <f t="array" ref="AP1329">AVERAGEIFS($K$2:$K2565,$B$2:$B2565,$B1329,$P$2:$P2565,"&lt;="&amp;$P1329,$P$2:$P2565,"&gt;"&amp;$P1329-7)</f>
        <v>9.4285714285714288</v>
      </c>
      <c r="AQ1329" s="76">
        <f ca="1">IFERROR(__xludf.DUMMYFUNCTION("iferror(stdevp(filter($J$2:$J2568,$B$2:$B2568=$B1332,$O$2:$O2568&lt;=$O1332,$O$2:$O2568&gt;$O1332-7)),0)"),0)</f>
        <v>0</v>
      </c>
      <c r="AR1329" s="77">
        <f t="shared" ca="1" si="118"/>
        <v>0</v>
      </c>
      <c r="AS1329" s="77">
        <f t="shared" ca="1" si="119"/>
        <v>3</v>
      </c>
      <c r="AT1329" s="78">
        <f t="shared" ca="1" si="120"/>
        <v>0.75</v>
      </c>
    </row>
    <row r="1330" spans="1:46" ht="12.5" x14ac:dyDescent="0.25">
      <c r="A1330" s="75">
        <v>44992.34398208333</v>
      </c>
      <c r="B1330" s="1" t="s">
        <v>20</v>
      </c>
      <c r="C1330" s="1" t="str">
        <f>INDEX(TBL_Name,MATCH(Table2[[#This Row],[Athlete Name]],listNames,0),2)</f>
        <v>Athlete 12</v>
      </c>
      <c r="D1330" s="1" t="s">
        <v>130</v>
      </c>
      <c r="E1330" s="1">
        <v>5</v>
      </c>
      <c r="F1330" s="1">
        <v>8</v>
      </c>
      <c r="G1330" s="1">
        <v>7</v>
      </c>
      <c r="H1330" s="1" t="s">
        <v>1402</v>
      </c>
      <c r="I1330" s="1">
        <v>5</v>
      </c>
      <c r="J1330" s="1">
        <v>9</v>
      </c>
      <c r="K1330" s="1">
        <v>9</v>
      </c>
      <c r="L1330" s="1">
        <v>85</v>
      </c>
      <c r="M1330" s="1" t="e">
        <f t="shared" ref="M1330" ca="1" si="181">_xludf.concat($B1330,$P1330)</f>
        <v>#NAME?</v>
      </c>
      <c r="N1330" s="1" t="e">
        <f t="shared" si="104"/>
        <v>#VALUE!</v>
      </c>
      <c r="O1330" s="1" t="e">
        <f t="shared" ref="O1330" ca="1" si="182">IF($N1330=_xludf.MINIFS($N$2:$N2836,$R$2:$R2836,$R1330),1,
($N1330-_xludf.MINIFS($N$2:$N2836,$R$2:$R2836,$R1330))+1)</f>
        <v>#VALUE!</v>
      </c>
      <c r="P1330" s="13" t="e">
        <f t="shared" si="106"/>
        <v>#VALUE!</v>
      </c>
      <c r="Q1330" s="1" t="str">
        <f>RIGHT(YEAR($A1330),2)-(MONTH($A1330)&lt;=[3]Roster!$K$25)
 &amp;"-"&amp;
 RIGHT(YEAR($A1330),2)+(MONTH($A1330)&gt;=[3]Roster!$K$26)</f>
        <v>22-23</v>
      </c>
      <c r="R1330" s="1" t="e">
        <f>CHOOSE(MONTH($P1330),[3]Roster!$K$9,[3]Roster!$K$10,[3]Roster!$K$11,[3]Roster!$K$12,[3]Roster!$K$13,[3]Roster!$K$14,[3]Roster!$K$15,[3]Roster!$K$16,[3]Roster!$K$17,[3]Roster!$K$18,[3]Roster!$K$19,[3]Roster!$K$20)&amp;" "&amp;$Q1330</f>
        <v>#VALUE!</v>
      </c>
      <c r="S1330" s="1">
        <f t="shared" si="107"/>
        <v>1</v>
      </c>
      <c r="T1330" s="1" t="str">
        <f t="array" ref="T1330">IFERROR(INDEX([3]Roster!$D$3:$D$42,MATCH($B1330,[3]Roster!$C$3:$C$42,0)),"")</f>
        <v>D</v>
      </c>
      <c r="U1330" s="1" t="str">
        <f t="array" ref="U1330">IFERROR(INDEX([3]Roster!$E$3:$E$42,MATCH($B1330,[3]Roster!$C$3:$C$42,0)),"")</f>
        <v>D</v>
      </c>
      <c r="V1330" s="76">
        <f t="array" ref="V1330">AVERAGEIFS($E$2:$E2565,$B$2:$B2565,$B1330,$P$2:$P2565,"&lt;="&amp;$P1330,$P$2:$P2565,"&gt;"&amp;$P1330-7)</f>
        <v>7.4761904761904763</v>
      </c>
      <c r="W1330" s="76">
        <f ca="1">IFERROR(__xludf.DUMMYFUNCTION("iferror(stdevp(filter($D$2:$D2568,$B$2:$B2568=$B1333,$O$2:$O2568&lt;=$O1333,$O$2:$O2568&gt;$O1333-7)),0)"),0.5)</f>
        <v>0.5</v>
      </c>
      <c r="X1330" s="77">
        <f t="shared" ca="1" si="108"/>
        <v>-4.9523809523809526</v>
      </c>
      <c r="Y1330" s="77">
        <f t="shared" ca="1" si="109"/>
        <v>1</v>
      </c>
      <c r="Z1330" s="76">
        <f t="array" ref="Z1330">AVERAGEIFS($F$2:$F2565,$B$2:$B2565,$B1330,$P$2:$P2565,"&lt;="&amp;$P1330,$P$2:$P2565,"&gt;"&amp;$P1330-7)</f>
        <v>8.1904761904761898</v>
      </c>
      <c r="AA1330" s="76">
        <f ca="1">IFERROR(__xludf.DUMMYFUNCTION("iferror(stdevp(filter($E$2:$E2568,$B$2:$B2568=$B1333,$O$2:$O2568&lt;=$O1333,$O$2:$O2568&gt;$O1333-7)),0)"),0)</f>
        <v>0</v>
      </c>
      <c r="AB1330" s="77">
        <f t="shared" ca="1" si="110"/>
        <v>0</v>
      </c>
      <c r="AC1330" s="77">
        <f t="shared" ca="1" si="111"/>
        <v>3</v>
      </c>
      <c r="AD1330" s="76">
        <f t="array" ref="AD1330">AVERAGEIFS($G$2:$G2565,$B$2:$B2565,$B1330,$P$2:$P2565,"&lt;="&amp;$P1330,$P$2:$P2565,"&gt;"&amp;$P1330-7)</f>
        <v>8.5714285714285712</v>
      </c>
      <c r="AE1330" s="76">
        <f ca="1">IFERROR(__xludf.DUMMYFUNCTION("iferror(stdevp(filter($F$2:$F2568,$B$2:$B2568=$B1333,$O$2:$O2568&lt;=$O1333,$O$2:$O2568&gt;$O1333-7)),0)"),0.5)</f>
        <v>0.5</v>
      </c>
      <c r="AF1330" s="77">
        <f t="shared" ca="1" si="112"/>
        <v>-3.1428571428571423</v>
      </c>
      <c r="AG1330" s="77">
        <f t="shared" ca="1" si="113"/>
        <v>1</v>
      </c>
      <c r="AH1330" s="76">
        <f t="array" ref="AH1330">AVERAGEIFS($I$2:$I2565,$B$2:$B2565,$B1330,$P$2:$P2565,"&lt;="&amp;$P1330,$P$2:$P2565,"&gt;"&amp;$P1330-7)</f>
        <v>5.6190476190476186</v>
      </c>
      <c r="AI1330" s="76">
        <f ca="1">IFERROR(__xludf.DUMMYFUNCTION("iferror(stdevp(filter($H$2:$H2568,$B$2:$B2568=$B1333,$O$2:$O2568&lt;=$O1333,$O$2:$O2568&gt;$O1333-7)),0)"),2)</f>
        <v>2</v>
      </c>
      <c r="AJ1330" s="77">
        <f t="shared" ca="1" si="114"/>
        <v>-0.30952380952380931</v>
      </c>
      <c r="AK1330" s="77">
        <f t="shared" ca="1" si="115"/>
        <v>2</v>
      </c>
      <c r="AL1330" s="76">
        <f t="array" ref="AL1330">AVERAGEIFS($J$2:$J2565,$B$2:$B2565,$B1330,$P$2:$P2565,"&lt;="&amp;$P1330,$P$2:$P2565,"&gt;"&amp;$P1330-7)</f>
        <v>7</v>
      </c>
      <c r="AM1330" s="76">
        <f ca="1">IFERROR(__xludf.DUMMYFUNCTION("iferror(stdevp(filter($I$2:$I2568,$B$2:$B2568=$B1333,$O$2:$O2568&lt;=$O1333,$O$2:$O2568&gt;$O1333-7)),0)"),2)</f>
        <v>2</v>
      </c>
      <c r="AN1330" s="77">
        <f t="shared" ca="1" si="116"/>
        <v>1</v>
      </c>
      <c r="AO1330" s="77">
        <f t="shared" ca="1" si="117"/>
        <v>4</v>
      </c>
      <c r="AP1330" s="76">
        <f t="array" ref="AP1330">AVERAGEIFS($K$2:$K2565,$B$2:$B2565,$B1330,$P$2:$P2565,"&lt;="&amp;$P1330,$P$2:$P2565,"&gt;"&amp;$P1330-7)</f>
        <v>7.4285714285714288</v>
      </c>
      <c r="AQ1330" s="76">
        <f ca="1">IFERROR(__xludf.DUMMYFUNCTION("iferror(stdevp(filter($J$2:$J2568,$B$2:$B2568=$B1333,$O$2:$O2568&lt;=$O1333,$O$2:$O2568&gt;$O1333-7)),0)"),0.5)</f>
        <v>0.5</v>
      </c>
      <c r="AR1330" s="77">
        <f t="shared" ca="1" si="118"/>
        <v>3.1428571428571423</v>
      </c>
      <c r="AS1330" s="77">
        <f t="shared" ca="1" si="119"/>
        <v>4</v>
      </c>
      <c r="AT1330" s="78">
        <f t="shared" ca="1" si="120"/>
        <v>0.625</v>
      </c>
    </row>
    <row r="1331" spans="1:46" ht="12.5" x14ac:dyDescent="0.25">
      <c r="A1331" s="75">
        <v>44992.350754513885</v>
      </c>
      <c r="B1331" s="1" t="s">
        <v>15</v>
      </c>
      <c r="C1331" s="1" t="str">
        <f>INDEX(TBL_Name,MATCH(Table2[[#This Row],[Athlete Name]],listNames,0),2)</f>
        <v>Athlete 8</v>
      </c>
      <c r="D1331" s="1" t="s">
        <v>130</v>
      </c>
      <c r="E1331" s="1">
        <v>8</v>
      </c>
      <c r="F1331" s="1">
        <v>6</v>
      </c>
      <c r="G1331" s="1">
        <v>7</v>
      </c>
      <c r="H1331" s="1" t="s">
        <v>71</v>
      </c>
      <c r="I1331" s="1">
        <v>6</v>
      </c>
      <c r="J1331" s="1">
        <v>10</v>
      </c>
      <c r="K1331" s="1">
        <v>10</v>
      </c>
      <c r="L1331" s="1">
        <v>85</v>
      </c>
      <c r="M1331" s="1" t="e">
        <f t="shared" ref="M1331" ca="1" si="183">_xludf.concat($B1331,$P1331)</f>
        <v>#NAME?</v>
      </c>
      <c r="N1331" s="1" t="e">
        <f t="shared" si="104"/>
        <v>#VALUE!</v>
      </c>
      <c r="O1331" s="1" t="e">
        <f t="shared" ref="O1331" ca="1" si="184">IF($N1331=_xludf.MINIFS($N$2:$N2837,$R$2:$R2837,$R1331),1,
($N1331-_xludf.MINIFS($N$2:$N2837,$R$2:$R2837,$R1331))+1)</f>
        <v>#VALUE!</v>
      </c>
      <c r="P1331" s="13" t="e">
        <f t="shared" si="106"/>
        <v>#VALUE!</v>
      </c>
      <c r="Q1331" s="1" t="str">
        <f>RIGHT(YEAR($A1331),2)-(MONTH($A1331)&lt;=[3]Roster!$K$25)
 &amp;"-"&amp;
 RIGHT(YEAR($A1331),2)+(MONTH($A1331)&gt;=[3]Roster!$K$26)</f>
        <v>22-23</v>
      </c>
      <c r="R1331" s="1" t="e">
        <f>CHOOSE(MONTH($P1331),[3]Roster!$K$9,[3]Roster!$K$10,[3]Roster!$K$11,[3]Roster!$K$12,[3]Roster!$K$13,[3]Roster!$K$14,[3]Roster!$K$15,[3]Roster!$K$16,[3]Roster!$K$17,[3]Roster!$K$18,[3]Roster!$K$19,[3]Roster!$K$20)&amp;" "&amp;$Q1331</f>
        <v>#VALUE!</v>
      </c>
      <c r="S1331" s="1">
        <f t="shared" si="107"/>
        <v>1</v>
      </c>
      <c r="T1331" s="1" t="str">
        <f t="array" ref="T1331">IFERROR(INDEX([3]Roster!$D$3:$D$42,MATCH($B1331,[3]Roster!$C$3:$C$42,0)),"")</f>
        <v>MID/D</v>
      </c>
      <c r="U1331" s="1" t="str">
        <f t="array" ref="U1331">IFERROR(INDEX([3]Roster!$E$3:$E$42,MATCH($B1331,[3]Roster!$C$3:$C$42,0)),"")</f>
        <v>MID/D</v>
      </c>
      <c r="V1331" s="76">
        <f t="array" ref="V1331">AVERAGEIFS($E$2:$E2565,$B$2:$B2565,$B1331,$P$2:$P2565,"&lt;="&amp;$P1331,$P$2:$P2565,"&gt;"&amp;$P1331-7)</f>
        <v>8.935483870967742</v>
      </c>
      <c r="W1331" s="76">
        <f ca="1">IFERROR(__xludf.DUMMYFUNCTION("iferror(stdevp(filter($D$2:$D2568,$B$2:$B2568=$B1334,$O$2:$O2568&lt;=$O1334,$O$2:$O2568&gt;$O1334-7)),0)"),2)</f>
        <v>2</v>
      </c>
      <c r="X1331" s="77">
        <f t="shared" ca="1" si="108"/>
        <v>-0.467741935483871</v>
      </c>
      <c r="Y1331" s="77">
        <f t="shared" ca="1" si="109"/>
        <v>2</v>
      </c>
      <c r="Z1331" s="76">
        <f t="array" ref="Z1331">AVERAGEIFS($F$2:$F2565,$B$2:$B2565,$B1331,$P$2:$P2565,"&lt;="&amp;$P1331,$P$2:$P2565,"&gt;"&amp;$P1331-7)</f>
        <v>8.741935483870968</v>
      </c>
      <c r="AA1331" s="76">
        <f ca="1">IFERROR(__xludf.DUMMYFUNCTION("iferror(stdevp(filter($E$2:$E2568,$B$2:$B2568=$B1334,$O$2:$O2568&lt;=$O1334,$O$2:$O2568&gt;$O1334-7)),0)"),2)</f>
        <v>2</v>
      </c>
      <c r="AB1331" s="77">
        <f t="shared" ca="1" si="110"/>
        <v>-1.370967741935484</v>
      </c>
      <c r="AC1331" s="77">
        <f t="shared" ca="1" si="111"/>
        <v>1</v>
      </c>
      <c r="AD1331" s="76">
        <f t="array" ref="AD1331">AVERAGEIFS($G$2:$G2565,$B$2:$B2565,$B1331,$P$2:$P2565,"&lt;="&amp;$P1331,$P$2:$P2565,"&gt;"&amp;$P1331-7)</f>
        <v>7.32258064516129</v>
      </c>
      <c r="AE1331" s="76">
        <f ca="1">IFERROR(__xludf.DUMMYFUNCTION("iferror(stdevp(filter($F$2:$F2568,$B$2:$B2568=$B1334,$O$2:$O2568&lt;=$O1334,$O$2:$O2568&gt;$O1334-7)),0)"),0)</f>
        <v>0</v>
      </c>
      <c r="AF1331" s="77">
        <f t="shared" ca="1" si="112"/>
        <v>0</v>
      </c>
      <c r="AG1331" s="77">
        <f t="shared" ca="1" si="113"/>
        <v>3</v>
      </c>
      <c r="AH1331" s="76">
        <f t="array" ref="AH1331">AVERAGEIFS($I$2:$I2565,$B$2:$B2565,$B1331,$P$2:$P2565,"&lt;="&amp;$P1331,$P$2:$P2565,"&gt;"&amp;$P1331-7)</f>
        <v>6.419354838709677</v>
      </c>
      <c r="AI1331" s="76">
        <f ca="1">IFERROR(__xludf.DUMMYFUNCTION("iferror(stdevp(filter($H$2:$H2568,$B$2:$B2568=$B1334,$O$2:$O2568&lt;=$O1334,$O$2:$O2568&gt;$O1334-7)),0)"),1.5)</f>
        <v>1.5</v>
      </c>
      <c r="AJ1331" s="77">
        <f t="shared" ca="1" si="114"/>
        <v>-0.27956989247311803</v>
      </c>
      <c r="AK1331" s="77">
        <f t="shared" ca="1" si="115"/>
        <v>2</v>
      </c>
      <c r="AL1331" s="76">
        <f t="array" ref="AL1331">AVERAGEIFS($J$2:$J2565,$B$2:$B2565,$B1331,$P$2:$P2565,"&lt;="&amp;$P1331,$P$2:$P2565,"&gt;"&amp;$P1331-7)</f>
        <v>9.612903225806452</v>
      </c>
      <c r="AM1331" s="76">
        <f ca="1">IFERROR(__xludf.DUMMYFUNCTION("iferror(stdevp(filter($I$2:$I2568,$B$2:$B2568=$B1334,$O$2:$O2568&lt;=$O1334,$O$2:$O2568&gt;$O1334-7)),0)"),0)</f>
        <v>0</v>
      </c>
      <c r="AN1331" s="77">
        <f t="shared" ca="1" si="116"/>
        <v>0</v>
      </c>
      <c r="AO1331" s="77">
        <f t="shared" ca="1" si="117"/>
        <v>3</v>
      </c>
      <c r="AP1331" s="76">
        <f t="array" ref="AP1331">AVERAGEIFS($K$2:$K2565,$B$2:$B2565,$B1331,$P$2:$P2565,"&lt;="&amp;$P1331,$P$2:$P2565,"&gt;"&amp;$P1331-7)</f>
        <v>10</v>
      </c>
      <c r="AQ1331" s="76">
        <f ca="1">IFERROR(__xludf.DUMMYFUNCTION("iferror(stdevp(filter($J$2:$J2568,$B$2:$B2568=$B1334,$O$2:$O2568&lt;=$O1334,$O$2:$O2568&gt;$O1334-7)),0)"),0)</f>
        <v>0</v>
      </c>
      <c r="AR1331" s="77">
        <f t="shared" ca="1" si="118"/>
        <v>0</v>
      </c>
      <c r="AS1331" s="77">
        <f t="shared" ca="1" si="119"/>
        <v>3</v>
      </c>
      <c r="AT1331" s="78">
        <f t="shared" ca="1" si="120"/>
        <v>0.58333333333333337</v>
      </c>
    </row>
    <row r="1332" spans="1:46" ht="12.5" x14ac:dyDescent="0.25">
      <c r="A1332" s="75">
        <v>44992.39742768518</v>
      </c>
      <c r="B1332" s="1" t="s">
        <v>24</v>
      </c>
      <c r="C1332" s="1" t="str">
        <f>INDEX(TBL_Name,MATCH(Table2[[#This Row],[Athlete Name]],listNames,0),2)</f>
        <v>Athlete 16</v>
      </c>
      <c r="D1332" s="1" t="s">
        <v>130</v>
      </c>
      <c r="E1332" s="1">
        <v>7</v>
      </c>
      <c r="F1332" s="1">
        <v>8</v>
      </c>
      <c r="G1332" s="1">
        <v>6</v>
      </c>
      <c r="H1332" s="1" t="s">
        <v>707</v>
      </c>
      <c r="I1332" s="1">
        <v>7</v>
      </c>
      <c r="J1332" s="1">
        <v>8</v>
      </c>
      <c r="K1332" s="1">
        <v>7</v>
      </c>
      <c r="L1332" s="1">
        <v>96</v>
      </c>
      <c r="M1332" s="1" t="e">
        <f t="shared" ref="M1332" ca="1" si="185">_xludf.concat($B1332,$P1332)</f>
        <v>#NAME?</v>
      </c>
      <c r="N1332" s="1" t="e">
        <f t="shared" si="104"/>
        <v>#VALUE!</v>
      </c>
      <c r="O1332" s="1" t="e">
        <f t="shared" ref="O1332" ca="1" si="186">IF($N1332=_xludf.MINIFS($N$2:$N2838,$R$2:$R2838,$R1332),1,
($N1332-_xludf.MINIFS($N$2:$N2838,$R$2:$R2838,$R1332))+1)</f>
        <v>#VALUE!</v>
      </c>
      <c r="P1332" s="13" t="e">
        <f t="shared" si="106"/>
        <v>#VALUE!</v>
      </c>
      <c r="Q1332" s="1" t="str">
        <f>RIGHT(YEAR($A1332),2)-(MONTH($A1332)&lt;=[3]Roster!$K$25)
 &amp;"-"&amp;
 RIGHT(YEAR($A1332),2)+(MONTH($A1332)&gt;=[3]Roster!$K$26)</f>
        <v>22-23</v>
      </c>
      <c r="R1332" s="1" t="e">
        <f>CHOOSE(MONTH($P1332),[3]Roster!$K$9,[3]Roster!$K$10,[3]Roster!$K$11,[3]Roster!$K$12,[3]Roster!$K$13,[3]Roster!$K$14,[3]Roster!$K$15,[3]Roster!$K$16,[3]Roster!$K$17,[3]Roster!$K$18,[3]Roster!$K$19,[3]Roster!$K$20)&amp;" "&amp;$Q1332</f>
        <v>#VALUE!</v>
      </c>
      <c r="S1332" s="1">
        <f t="shared" si="107"/>
        <v>1</v>
      </c>
      <c r="T1332" s="1" t="str">
        <f t="array" ref="T1332">IFERROR(INDEX([3]Roster!$D$3:$D$42,MATCH($B1332,[3]Roster!$C$3:$C$42,0)),"")</f>
        <v>D</v>
      </c>
      <c r="U1332" s="1" t="str">
        <f t="array" ref="U1332">IFERROR(INDEX([3]Roster!$E$3:$E$42,MATCH($B1332,[3]Roster!$C$3:$C$42,0)),"")</f>
        <v>D</v>
      </c>
      <c r="V1332" s="76">
        <f t="array" ref="V1332">AVERAGEIFS($E$2:$E2565,$B$2:$B2565,$B1332,$P$2:$P2565,"&lt;="&amp;$P1332,$P$2:$P2565,"&gt;"&amp;$P1332-7)</f>
        <v>4.1818181818181817</v>
      </c>
      <c r="W1332" s="76">
        <f ca="1">IFERROR(__xludf.DUMMYFUNCTION("iferror(stdevp(filter($D$2:$D2568,$B$2:$B2568=$B1335,$O$2:$O2568&lt;=$O1335,$O$2:$O2568&gt;$O1335-7)),0)"),0.5)</f>
        <v>0.5</v>
      </c>
      <c r="X1332" s="77">
        <f t="shared" ca="1" si="108"/>
        <v>5.6363636363636367</v>
      </c>
      <c r="Y1332" s="77">
        <f t="shared" ca="1" si="109"/>
        <v>4</v>
      </c>
      <c r="Z1332" s="76">
        <f t="array" ref="Z1332">AVERAGEIFS($F$2:$F2565,$B$2:$B2565,$B1332,$P$2:$P2565,"&lt;="&amp;$P1332,$P$2:$P2565,"&gt;"&amp;$P1332-7)</f>
        <v>6</v>
      </c>
      <c r="AA1332" s="76">
        <f ca="1">IFERROR(__xludf.DUMMYFUNCTION("iferror(stdevp(filter($E$2:$E2568,$B$2:$B2568=$B1335,$O$2:$O2568&lt;=$O1335,$O$2:$O2568&gt;$O1335-7)),0)"),0.5)</f>
        <v>0.5</v>
      </c>
      <c r="AB1332" s="77">
        <f t="shared" ca="1" si="110"/>
        <v>4</v>
      </c>
      <c r="AC1332" s="77">
        <f t="shared" ca="1" si="111"/>
        <v>4</v>
      </c>
      <c r="AD1332" s="76">
        <f t="array" ref="AD1332">AVERAGEIFS($G$2:$G2565,$B$2:$B2565,$B1332,$P$2:$P2565,"&lt;="&amp;$P1332,$P$2:$P2565,"&gt;"&amp;$P1332-7)</f>
        <v>5.9090909090909092</v>
      </c>
      <c r="AE1332" s="76">
        <f ca="1">IFERROR(__xludf.DUMMYFUNCTION("iferror(stdevp(filter($F$2:$F2568,$B$2:$B2568=$B1335,$O$2:$O2568&lt;=$O1335,$O$2:$O2568&gt;$O1335-7)),0)"),0.5)</f>
        <v>0.5</v>
      </c>
      <c r="AF1332" s="77">
        <f t="shared" ca="1" si="112"/>
        <v>0.18181818181818166</v>
      </c>
      <c r="AG1332" s="77">
        <f t="shared" ca="1" si="113"/>
        <v>3</v>
      </c>
      <c r="AH1332" s="76">
        <f t="array" ref="AH1332">AVERAGEIFS($I$2:$I2565,$B$2:$B2565,$B1332,$P$2:$P2565,"&lt;="&amp;$P1332,$P$2:$P2565,"&gt;"&amp;$P1332-7)</f>
        <v>4.9545454545454541</v>
      </c>
      <c r="AI1332" s="76">
        <f ca="1">IFERROR(__xludf.DUMMYFUNCTION("iferror(stdevp(filter($H$2:$H2568,$B$2:$B2568=$B1335,$O$2:$O2568&lt;=$O1335,$O$2:$O2568&gt;$O1335-7)),0)"),1)</f>
        <v>1</v>
      </c>
      <c r="AJ1332" s="77">
        <f t="shared" ca="1" si="114"/>
        <v>2.0454545454545459</v>
      </c>
      <c r="AK1332" s="77">
        <f t="shared" ca="1" si="115"/>
        <v>4</v>
      </c>
      <c r="AL1332" s="76">
        <f t="array" ref="AL1332">AVERAGEIFS($J$2:$J2565,$B$2:$B2565,$B1332,$P$2:$P2565,"&lt;="&amp;$P1332,$P$2:$P2565,"&gt;"&amp;$P1332-7)</f>
        <v>6.9090909090909092</v>
      </c>
      <c r="AM1332" s="76">
        <f ca="1">IFERROR(__xludf.DUMMYFUNCTION("iferror(stdevp(filter($I$2:$I2568,$B$2:$B2568=$B1335,$O$2:$O2568&lt;=$O1335,$O$2:$O2568&gt;$O1335-7)),0)"),2)</f>
        <v>2</v>
      </c>
      <c r="AN1332" s="77">
        <f t="shared" ca="1" si="116"/>
        <v>0.54545454545454541</v>
      </c>
      <c r="AO1332" s="77">
        <f t="shared" ca="1" si="117"/>
        <v>3</v>
      </c>
      <c r="AP1332" s="76">
        <f t="array" ref="AP1332">AVERAGEIFS($K$2:$K2565,$B$2:$B2565,$B1332,$P$2:$P2565,"&lt;="&amp;$P1332,$P$2:$P2565,"&gt;"&amp;$P1332-7)</f>
        <v>6.7272727272727275</v>
      </c>
      <c r="AQ1332" s="76">
        <f ca="1">IFERROR(__xludf.DUMMYFUNCTION("iferror(stdevp(filter($J$2:$J2568,$B$2:$B2568=$B1335,$O$2:$O2568&lt;=$O1335,$O$2:$O2568&gt;$O1335-7)),0)"),0)</f>
        <v>0</v>
      </c>
      <c r="AR1332" s="77">
        <f t="shared" ca="1" si="118"/>
        <v>0</v>
      </c>
      <c r="AS1332" s="77">
        <f t="shared" ca="1" si="119"/>
        <v>3</v>
      </c>
      <c r="AT1332" s="78">
        <f t="shared" ca="1" si="120"/>
        <v>0.875</v>
      </c>
    </row>
    <row r="1333" spans="1:46" ht="12.5" x14ac:dyDescent="0.25">
      <c r="A1333" s="75">
        <v>44992.402253518521</v>
      </c>
      <c r="B1333" s="1" t="s">
        <v>10</v>
      </c>
      <c r="C1333" s="1" t="str">
        <f>INDEX(TBL_Name,MATCH(Table2[[#This Row],[Athlete Name]],listNames,0),2)</f>
        <v>Athlete 5</v>
      </c>
      <c r="D1333" s="1" t="s">
        <v>130</v>
      </c>
      <c r="E1333" s="1">
        <v>9</v>
      </c>
      <c r="F1333" s="1">
        <v>8</v>
      </c>
      <c r="G1333" s="1">
        <v>8</v>
      </c>
      <c r="H1333" s="1" t="s">
        <v>69</v>
      </c>
      <c r="I1333" s="1">
        <v>9</v>
      </c>
      <c r="J1333" s="1">
        <v>8</v>
      </c>
      <c r="K1333" s="1">
        <v>8</v>
      </c>
      <c r="L1333" s="1">
        <v>84</v>
      </c>
      <c r="M1333" s="1" t="e">
        <f t="shared" ref="M1333" ca="1" si="187">_xludf.concat($B1333,$P1333)</f>
        <v>#NAME?</v>
      </c>
      <c r="N1333" s="1" t="e">
        <f t="shared" si="104"/>
        <v>#VALUE!</v>
      </c>
      <c r="O1333" s="1" t="e">
        <f t="shared" ref="O1333" ca="1" si="188">IF($N1333=_xludf.MINIFS($N$2:$N2839,$R$2:$R2839,$R1333),1,
($N1333-_xludf.MINIFS($N$2:$N2839,$R$2:$R2839,$R1333))+1)</f>
        <v>#VALUE!</v>
      </c>
      <c r="P1333" s="13" t="e">
        <f t="shared" si="106"/>
        <v>#VALUE!</v>
      </c>
      <c r="Q1333" s="1" t="str">
        <f>RIGHT(YEAR($A1333),2)-(MONTH($A1333)&lt;=[3]Roster!$K$25)
 &amp;"-"&amp;
 RIGHT(YEAR($A1333),2)+(MONTH($A1333)&gt;=[3]Roster!$K$26)</f>
        <v>22-23</v>
      </c>
      <c r="R1333" s="1" t="e">
        <f>CHOOSE(MONTH($P1333),[3]Roster!$K$9,[3]Roster!$K$10,[3]Roster!$K$11,[3]Roster!$K$12,[3]Roster!$K$13,[3]Roster!$K$14,[3]Roster!$K$15,[3]Roster!$K$16,[3]Roster!$K$17,[3]Roster!$K$18,[3]Roster!$K$19,[3]Roster!$K$20)&amp;" "&amp;$Q1333</f>
        <v>#VALUE!</v>
      </c>
      <c r="S1333" s="1">
        <f t="shared" si="107"/>
        <v>1</v>
      </c>
      <c r="T1333" s="1" t="str">
        <f t="array" ref="T1333">IFERROR(INDEX([3]Roster!$D$3:$D$42,MATCH($B1333,[3]Roster!$C$3:$C$42,0)),"")</f>
        <v>MID</v>
      </c>
      <c r="U1333" s="1" t="str">
        <f t="array" ref="U1333">IFERROR(INDEX([3]Roster!$E$3:$E$42,MATCH($B1333,[3]Roster!$C$3:$C$42,0)),"")</f>
        <v>MID</v>
      </c>
      <c r="V1333" s="76">
        <f t="array" ref="V1333">AVERAGEIFS($E$2:$E2565,$B$2:$B2565,$B1333,$P$2:$P2565,"&lt;="&amp;$P1333,$P$2:$P2565,"&gt;"&amp;$P1333-7)</f>
        <v>8.4042553191489358</v>
      </c>
      <c r="W1333" s="76">
        <f ca="1">IFERROR(__xludf.DUMMYFUNCTION("iferror(stdevp(filter($D$2:$D2568,$B$2:$B2568=$B1336,$O$2:$O2568&lt;=$O1336,$O$2:$O2568&gt;$O1336-7)),0)"),0.4)</f>
        <v>0.4</v>
      </c>
      <c r="X1333" s="77">
        <f t="shared" ca="1" si="108"/>
        <v>1.4893617021276606</v>
      </c>
      <c r="Y1333" s="77">
        <f t="shared" ca="1" si="109"/>
        <v>4</v>
      </c>
      <c r="Z1333" s="76">
        <f t="array" ref="Z1333">AVERAGEIFS($F$2:$F2565,$B$2:$B2565,$B1333,$P$2:$P2565,"&lt;="&amp;$P1333,$P$2:$P2565,"&gt;"&amp;$P1333-7)</f>
        <v>8.085106382978724</v>
      </c>
      <c r="AA1333" s="76">
        <f ca="1">IFERROR(__xludf.DUMMYFUNCTION("iferror(stdevp(filter($E$2:$E2568,$B$2:$B2568=$B1336,$O$2:$O2568&lt;=$O1336,$O$2:$O2568&gt;$O1336-7)),0)"),0.489897948556635)</f>
        <v>0.48989794855663499</v>
      </c>
      <c r="AB1333" s="77">
        <f t="shared" ca="1" si="110"/>
        <v>-0.17372267679313458</v>
      </c>
      <c r="AC1333" s="77">
        <f t="shared" ca="1" si="111"/>
        <v>2</v>
      </c>
      <c r="AD1333" s="76">
        <f t="array" ref="AD1333">AVERAGEIFS($G$2:$G2565,$B$2:$B2565,$B1333,$P$2:$P2565,"&lt;="&amp;$P1333,$P$2:$P2565,"&gt;"&amp;$P1333-7)</f>
        <v>8.0638297872340434</v>
      </c>
      <c r="AE1333" s="76">
        <f ca="1">IFERROR(__xludf.DUMMYFUNCTION("iferror(stdevp(filter($F$2:$F2568,$B$2:$B2568=$B1336,$O$2:$O2568&lt;=$O1336,$O$2:$O2568&gt;$O1336-7)),0)"),0.489897948556635)</f>
        <v>0.48989794855663499</v>
      </c>
      <c r="AF1333" s="77">
        <f t="shared" ca="1" si="112"/>
        <v>-0.13029200759485185</v>
      </c>
      <c r="AG1333" s="77">
        <f t="shared" ca="1" si="113"/>
        <v>2</v>
      </c>
      <c r="AH1333" s="76">
        <f t="array" ref="AH1333">AVERAGEIFS($I$2:$I2565,$B$2:$B2565,$B1333,$P$2:$P2565,"&lt;="&amp;$P1333,$P$2:$P2565,"&gt;"&amp;$P1333-7)</f>
        <v>6.7446808510638299</v>
      </c>
      <c r="AI1333" s="76">
        <f ca="1">IFERROR(__xludf.DUMMYFUNCTION("iferror(stdevp(filter($H$2:$H2568,$B$2:$B2568=$B1336,$O$2:$O2568&lt;=$O1336,$O$2:$O2568&gt;$O1336-7)),0)"),0.799999999999999)</f>
        <v>0.79999999999999905</v>
      </c>
      <c r="AJ1333" s="77">
        <f t="shared" ca="1" si="114"/>
        <v>2.8191489361702162</v>
      </c>
      <c r="AK1333" s="77">
        <f t="shared" ca="1" si="115"/>
        <v>4</v>
      </c>
      <c r="AL1333" s="76">
        <f t="array" ref="AL1333">AVERAGEIFS($J$2:$J2565,$B$2:$B2565,$B1333,$P$2:$P2565,"&lt;="&amp;$P1333,$P$2:$P2565,"&gt;"&amp;$P1333-7)</f>
        <v>8.1063829787234045</v>
      </c>
      <c r="AM1333" s="76">
        <f ca="1">IFERROR(__xludf.DUMMYFUNCTION("iferror(stdevp(filter($I$2:$I2568,$B$2:$B2568=$B1336,$O$2:$O2568&lt;=$O1336,$O$2:$O2568&gt;$O1336-7)),0)"),0.748331477354788)</f>
        <v>0.748331477354788</v>
      </c>
      <c r="AN1333" s="77">
        <f t="shared" ca="1" si="116"/>
        <v>-0.1421602350598006</v>
      </c>
      <c r="AO1333" s="77">
        <f t="shared" ca="1" si="117"/>
        <v>2</v>
      </c>
      <c r="AP1333" s="76">
        <f t="array" ref="AP1333">AVERAGEIFS($K$2:$K2565,$B$2:$B2565,$B1333,$P$2:$P2565,"&lt;="&amp;$P1333,$P$2:$P2565,"&gt;"&amp;$P1333-7)</f>
        <v>8.2978723404255312</v>
      </c>
      <c r="AQ1333" s="76">
        <f ca="1">IFERROR(__xludf.DUMMYFUNCTION("iferror(stdevp(filter($J$2:$J2568,$B$2:$B2568=$B1336,$O$2:$O2568&lt;=$O1336,$O$2:$O2568&gt;$O1336-7)),0)"),0.4)</f>
        <v>0.4</v>
      </c>
      <c r="AR1333" s="77">
        <f t="shared" ca="1" si="118"/>
        <v>-0.74468085106382809</v>
      </c>
      <c r="AS1333" s="77">
        <f t="shared" ca="1" si="119"/>
        <v>2</v>
      </c>
      <c r="AT1333" s="78">
        <f t="shared" ca="1" si="120"/>
        <v>0.66666666666666663</v>
      </c>
    </row>
    <row r="1334" spans="1:46" ht="12.5" x14ac:dyDescent="0.25">
      <c r="A1334" s="75">
        <v>44992.461597835645</v>
      </c>
      <c r="B1334" s="1" t="s">
        <v>6</v>
      </c>
      <c r="C1334" s="1" t="str">
        <f>INDEX(TBL_Name,MATCH(Table2[[#This Row],[Athlete Name]],listNames,0),2)</f>
        <v>Athlete 2</v>
      </c>
      <c r="D1334" s="1" t="s">
        <v>130</v>
      </c>
      <c r="E1334" s="1">
        <v>10</v>
      </c>
      <c r="F1334" s="1">
        <v>10</v>
      </c>
      <c r="G1334" s="1">
        <v>9</v>
      </c>
      <c r="H1334" s="1"/>
      <c r="I1334" s="1">
        <v>10</v>
      </c>
      <c r="J1334" s="1">
        <v>9</v>
      </c>
      <c r="K1334" s="1">
        <v>10</v>
      </c>
      <c r="L1334" s="1">
        <v>95</v>
      </c>
      <c r="M1334" s="1" t="e">
        <f t="shared" ref="M1334" ca="1" si="189">_xludf.concat($B1334,$P1334)</f>
        <v>#NAME?</v>
      </c>
      <c r="N1334" s="1" t="e">
        <f t="shared" si="104"/>
        <v>#VALUE!</v>
      </c>
      <c r="O1334" s="1" t="e">
        <f t="shared" ref="O1334" ca="1" si="190">IF($N1334=_xludf.MINIFS($N$2:$N2840,$R$2:$R2840,$R1334),1,
($N1334-_xludf.MINIFS($N$2:$N2840,$R$2:$R2840,$R1334))+1)</f>
        <v>#VALUE!</v>
      </c>
      <c r="P1334" s="13" t="e">
        <f t="shared" si="106"/>
        <v>#VALUE!</v>
      </c>
      <c r="Q1334" s="1" t="str">
        <f>RIGHT(YEAR($A1334),2)-(MONTH($A1334)&lt;=[3]Roster!$K$25)
 &amp;"-"&amp;
 RIGHT(YEAR($A1334),2)+(MONTH($A1334)&gt;=[3]Roster!$K$26)</f>
        <v>22-23</v>
      </c>
      <c r="R1334" s="1" t="e">
        <f>CHOOSE(MONTH($P1334),[3]Roster!$K$9,[3]Roster!$K$10,[3]Roster!$K$11,[3]Roster!$K$12,[3]Roster!$K$13,[3]Roster!$K$14,[3]Roster!$K$15,[3]Roster!$K$16,[3]Roster!$K$17,[3]Roster!$K$18,[3]Roster!$K$19,[3]Roster!$K$20)&amp;" "&amp;$Q1334</f>
        <v>#VALUE!</v>
      </c>
      <c r="S1334" s="1">
        <f t="shared" si="107"/>
        <v>1</v>
      </c>
      <c r="T1334" s="1" t="str">
        <f t="array" ref="T1334">IFERROR(INDEX([3]Roster!$D$3:$D$42,MATCH($B1334,[3]Roster!$C$3:$C$42,0)),"")</f>
        <v>FWD</v>
      </c>
      <c r="U1334" s="1" t="str">
        <f t="array" ref="U1334">IFERROR(INDEX([3]Roster!$E$3:$E$42,MATCH($B1334,[3]Roster!$C$3:$C$42,0)),"")</f>
        <v>FWD</v>
      </c>
      <c r="V1334" s="76">
        <f t="array" ref="V1334">AVERAGEIFS($E$2:$E2565,$B$2:$B2565,$B1334,$P$2:$P2565,"&lt;="&amp;$P1334,$P$2:$P2565,"&gt;"&amp;$P1334-7)</f>
        <v>9.7441860465116275</v>
      </c>
      <c r="W1334" s="76">
        <f ca="1">IFERROR(__xludf.DUMMYFUNCTION("iferror(stdevp(filter($D$2:$D2568,$B$2:$B2568=$B1337,$O$2:$O2568&lt;=$O1337,$O$2:$O2568&gt;$O1337-7)),0)"),0)</f>
        <v>0</v>
      </c>
      <c r="X1334" s="77">
        <f t="shared" ca="1" si="108"/>
        <v>0</v>
      </c>
      <c r="Y1334" s="77">
        <f t="shared" ca="1" si="109"/>
        <v>3</v>
      </c>
      <c r="Z1334" s="76">
        <f t="array" ref="Z1334">AVERAGEIFS($F$2:$F2565,$B$2:$B2565,$B1334,$P$2:$P2565,"&lt;="&amp;$P1334,$P$2:$P2565,"&gt;"&amp;$P1334-7)</f>
        <v>8.279069767441861</v>
      </c>
      <c r="AA1334" s="76">
        <f ca="1">IFERROR(__xludf.DUMMYFUNCTION("iferror(stdevp(filter($E$2:$E2568,$B$2:$B2568=$B1337,$O$2:$O2568&lt;=$O1337,$O$2:$O2568&gt;$O1337-7)),0)"),0.816496580927726)</f>
        <v>0.81649658092772603</v>
      </c>
      <c r="AB1334" s="77">
        <f t="shared" ca="1" si="110"/>
        <v>2.1077004763483154</v>
      </c>
      <c r="AC1334" s="77">
        <f t="shared" ca="1" si="111"/>
        <v>4</v>
      </c>
      <c r="AD1334" s="76">
        <f t="array" ref="AD1334">AVERAGEIFS($G$2:$G2565,$B$2:$B2565,$B1334,$P$2:$P2565,"&lt;="&amp;$P1334,$P$2:$P2565,"&gt;"&amp;$P1334-7)</f>
        <v>8.604651162790697</v>
      </c>
      <c r="AE1334" s="76">
        <f ca="1">IFERROR(__xludf.DUMMYFUNCTION("iferror(stdevp(filter($F$2:$F2568,$B$2:$B2568=$B1337,$O$2:$O2568&lt;=$O1337,$O$2:$O2568&gt;$O1337-7)),0)"),0.471404520791031)</f>
        <v>0.47140452079103101</v>
      </c>
      <c r="AF1334" s="77">
        <f t="shared" ca="1" si="112"/>
        <v>0.83866153117474507</v>
      </c>
      <c r="AG1334" s="77">
        <f t="shared" ca="1" si="113"/>
        <v>3</v>
      </c>
      <c r="AH1334" s="76">
        <f t="array" ref="AH1334">AVERAGEIFS($I$2:$I2565,$B$2:$B2565,$B1334,$P$2:$P2565,"&lt;="&amp;$P1334,$P$2:$P2565,"&gt;"&amp;$P1334-7)</f>
        <v>8.3488372093023262</v>
      </c>
      <c r="AI1334" s="76">
        <f ca="1">IFERROR(__xludf.DUMMYFUNCTION("iferror(stdevp(filter($H$2:$H2568,$B$2:$B2568=$B1337,$O$2:$O2568&lt;=$O1337,$O$2:$O2568&gt;$O1337-7)),0)"),0.471404520791031)</f>
        <v>0.47140452079103101</v>
      </c>
      <c r="AJ1334" s="77">
        <f t="shared" ca="1" si="114"/>
        <v>3.5026452184356924</v>
      </c>
      <c r="AK1334" s="77">
        <f t="shared" ca="1" si="115"/>
        <v>4</v>
      </c>
      <c r="AL1334" s="76">
        <f t="array" ref="AL1334">AVERAGEIFS($J$2:$J2565,$B$2:$B2565,$B1334,$P$2:$P2565,"&lt;="&amp;$P1334,$P$2:$P2565,"&gt;"&amp;$P1334-7)</f>
        <v>8.3023255813953494</v>
      </c>
      <c r="AM1334" s="76">
        <f ca="1">IFERROR(__xludf.DUMMYFUNCTION("iferror(stdevp(filter($I$2:$I2568,$B$2:$B2568=$B1337,$O$2:$O2568&lt;=$O1337,$O$2:$O2568&gt;$O1337-7)),0)"),0.816496580927726)</f>
        <v>0.81649658092772603</v>
      </c>
      <c r="AN1334" s="77">
        <f t="shared" ca="1" si="116"/>
        <v>0.85447316608715451</v>
      </c>
      <c r="AO1334" s="77">
        <f t="shared" ca="1" si="117"/>
        <v>3</v>
      </c>
      <c r="AP1334" s="76">
        <f t="array" ref="AP1334">AVERAGEIFS($K$2:$K2565,$B$2:$B2565,$B1334,$P$2:$P2565,"&lt;="&amp;$P1334,$P$2:$P2565,"&gt;"&amp;$P1334-7)</f>
        <v>8.9069767441860463</v>
      </c>
      <c r="AQ1334" s="76">
        <f ca="1">IFERROR(__xludf.DUMMYFUNCTION("iferror(stdevp(filter($J$2:$J2568,$B$2:$B2568=$B1337,$O$2:$O2568&lt;=$O1337,$O$2:$O2568&gt;$O1337-7)),0)"),0)</f>
        <v>0</v>
      </c>
      <c r="AR1334" s="77">
        <f t="shared" ca="1" si="118"/>
        <v>0</v>
      </c>
      <c r="AS1334" s="77">
        <f t="shared" ca="1" si="119"/>
        <v>3</v>
      </c>
      <c r="AT1334" s="78">
        <f t="shared" ca="1" si="120"/>
        <v>0.83333333333333337</v>
      </c>
    </row>
    <row r="1335" spans="1:46" ht="12.5" x14ac:dyDescent="0.25">
      <c r="A1335" s="75">
        <v>44992.472762511577</v>
      </c>
      <c r="B1335" s="1" t="s">
        <v>19</v>
      </c>
      <c r="C1335" s="1" t="str">
        <f>INDEX(TBL_Name,MATCH(Table2[[#This Row],[Athlete Name]],listNames,0),2)</f>
        <v>Athlete 11</v>
      </c>
      <c r="D1335" s="1" t="s">
        <v>130</v>
      </c>
      <c r="E1335" s="1">
        <v>4</v>
      </c>
      <c r="F1335" s="1">
        <v>7</v>
      </c>
      <c r="G1335" s="1">
        <v>7</v>
      </c>
      <c r="H1335" s="1" t="s">
        <v>435</v>
      </c>
      <c r="I1335" s="1">
        <v>5</v>
      </c>
      <c r="J1335" s="1">
        <v>7</v>
      </c>
      <c r="K1335" s="1">
        <v>9</v>
      </c>
      <c r="L1335" s="1">
        <v>68</v>
      </c>
      <c r="M1335" s="1" t="e">
        <f t="shared" ref="M1335" ca="1" si="191">_xludf.concat($B1335,$P1335)</f>
        <v>#NAME?</v>
      </c>
      <c r="N1335" s="1" t="e">
        <f t="shared" si="104"/>
        <v>#VALUE!</v>
      </c>
      <c r="O1335" s="1" t="e">
        <f t="shared" ref="O1335" ca="1" si="192">IF($N1335=_xludf.MINIFS($N$2:$N2841,$R$2:$R2841,$R1335),1,
($N1335-_xludf.MINIFS($N$2:$N2841,$R$2:$R2841,$R1335))+1)</f>
        <v>#VALUE!</v>
      </c>
      <c r="P1335" s="13" t="e">
        <f t="shared" si="106"/>
        <v>#VALUE!</v>
      </c>
      <c r="Q1335" s="1" t="str">
        <f>RIGHT(YEAR($A1335),2)-(MONTH($A1335)&lt;=[3]Roster!$K$25)
 &amp;"-"&amp;
 RIGHT(YEAR($A1335),2)+(MONTH($A1335)&gt;=[3]Roster!$K$26)</f>
        <v>22-23</v>
      </c>
      <c r="R1335" s="1" t="e">
        <f>CHOOSE(MONTH($P1335),[3]Roster!$K$9,[3]Roster!$K$10,[3]Roster!$K$11,[3]Roster!$K$12,[3]Roster!$K$13,[3]Roster!$K$14,[3]Roster!$K$15,[3]Roster!$K$16,[3]Roster!$K$17,[3]Roster!$K$18,[3]Roster!$K$19,[3]Roster!$K$20)&amp;" "&amp;$Q1335</f>
        <v>#VALUE!</v>
      </c>
      <c r="S1335" s="1">
        <f t="shared" si="107"/>
        <v>1</v>
      </c>
      <c r="T1335" s="1" t="str">
        <f t="array" ref="T1335">IFERROR(INDEX([3]Roster!$D$3:$D$42,MATCH($B1335,[3]Roster!$C$3:$C$42,0)),"")</f>
        <v>D</v>
      </c>
      <c r="U1335" s="1" t="str">
        <f t="array" ref="U1335">IFERROR(INDEX([3]Roster!$E$3:$E$42,MATCH($B1335,[3]Roster!$C$3:$C$42,0)),"")</f>
        <v>D</v>
      </c>
      <c r="V1335" s="76">
        <f t="array" ref="V1335">AVERAGEIFS($E$2:$E2565,$B$2:$B2565,$B1335,$P$2:$P2565,"&lt;="&amp;$P1335,$P$2:$P2565,"&gt;"&amp;$P1335-7)</f>
        <v>4.6538461538461542</v>
      </c>
      <c r="W1335" s="76">
        <f ca="1">IFERROR(__xludf.DUMMYFUNCTION("iferror(stdevp(filter($D$2:$D2568,$B$2:$B2568=$B1338,$O$2:$O2568&lt;=$O1338,$O$2:$O2568&gt;$O1338-7)),0)"),0)</f>
        <v>0</v>
      </c>
      <c r="X1335" s="77">
        <f t="shared" ca="1" si="108"/>
        <v>0</v>
      </c>
      <c r="Y1335" s="77">
        <f t="shared" ca="1" si="109"/>
        <v>3</v>
      </c>
      <c r="Z1335" s="76">
        <f t="array" ref="Z1335">AVERAGEIFS($F$2:$F2565,$B$2:$B2565,$B1335,$P$2:$P2565,"&lt;="&amp;$P1335,$P$2:$P2565,"&gt;"&amp;$P1335-7)</f>
        <v>6.8461538461538458</v>
      </c>
      <c r="AA1335" s="76">
        <f ca="1">IFERROR(__xludf.DUMMYFUNCTION("iferror(stdevp(filter($E$2:$E2568,$B$2:$B2568=$B1338,$O$2:$O2568&lt;=$O1338,$O$2:$O2568&gt;$O1338-7)),0)"),0.5)</f>
        <v>0.5</v>
      </c>
      <c r="AB1335" s="77">
        <f t="shared" ca="1" si="110"/>
        <v>0.30769230769230838</v>
      </c>
      <c r="AC1335" s="77">
        <f t="shared" ca="1" si="111"/>
        <v>3</v>
      </c>
      <c r="AD1335" s="76">
        <f t="array" ref="AD1335">AVERAGEIFS($G$2:$G2565,$B$2:$B2565,$B1335,$P$2:$P2565,"&lt;="&amp;$P1335,$P$2:$P2565,"&gt;"&amp;$P1335-7)</f>
        <v>7.2692307692307692</v>
      </c>
      <c r="AE1335" s="76">
        <f ca="1">IFERROR(__xludf.DUMMYFUNCTION("iferror(stdevp(filter($F$2:$F2568,$B$2:$B2568=$B1338,$O$2:$O2568&lt;=$O1338,$O$2:$O2568&gt;$O1338-7)),0)"),0.5)</f>
        <v>0.5</v>
      </c>
      <c r="AF1335" s="77">
        <f t="shared" ca="1" si="112"/>
        <v>-0.53846153846153832</v>
      </c>
      <c r="AG1335" s="77">
        <f t="shared" ca="1" si="113"/>
        <v>2</v>
      </c>
      <c r="AH1335" s="76">
        <f t="array" ref="AH1335">AVERAGEIFS($I$2:$I2565,$B$2:$B2565,$B1335,$P$2:$P2565,"&lt;="&amp;$P1335,$P$2:$P2565,"&gt;"&amp;$P1335-7)</f>
        <v>4.9230769230769234</v>
      </c>
      <c r="AI1335" s="76">
        <f ca="1">IFERROR(__xludf.DUMMYFUNCTION("iferror(stdevp(filter($H$2:$H2568,$B$2:$B2568=$B1338,$O$2:$O2568&lt;=$O1338,$O$2:$O2568&gt;$O1338-7)),0)"),1)</f>
        <v>1</v>
      </c>
      <c r="AJ1335" s="77">
        <f t="shared" ca="1" si="114"/>
        <v>7.692307692307665E-2</v>
      </c>
      <c r="AK1335" s="77">
        <f t="shared" ca="1" si="115"/>
        <v>3</v>
      </c>
      <c r="AL1335" s="76">
        <f t="array" ref="AL1335">AVERAGEIFS($J$2:$J2565,$B$2:$B2565,$B1335,$P$2:$P2565,"&lt;="&amp;$P1335,$P$2:$P2565,"&gt;"&amp;$P1335-7)</f>
        <v>7.5769230769230766</v>
      </c>
      <c r="AM1335" s="76">
        <f ca="1">IFERROR(__xludf.DUMMYFUNCTION("iferror(stdevp(filter($I$2:$I2568,$B$2:$B2568=$B1338,$O$2:$O2568&lt;=$O1338,$O$2:$O2568&gt;$O1338-7)),0)"),1)</f>
        <v>1</v>
      </c>
      <c r="AN1335" s="77">
        <f t="shared" ca="1" si="116"/>
        <v>-0.57692307692307665</v>
      </c>
      <c r="AO1335" s="77">
        <f t="shared" ca="1" si="117"/>
        <v>2</v>
      </c>
      <c r="AP1335" s="76">
        <f t="array" ref="AP1335">AVERAGEIFS($K$2:$K2565,$B$2:$B2565,$B1335,$P$2:$P2565,"&lt;="&amp;$P1335,$P$2:$P2565,"&gt;"&amp;$P1335-7)</f>
        <v>8</v>
      </c>
      <c r="AQ1335" s="76">
        <f ca="1">IFERROR(__xludf.DUMMYFUNCTION("iferror(stdevp(filter($J$2:$J2568,$B$2:$B2568=$B1338,$O$2:$O2568&lt;=$O1338,$O$2:$O2568&gt;$O1338-7)),0)"),0)</f>
        <v>0</v>
      </c>
      <c r="AR1335" s="77">
        <f t="shared" ca="1" si="118"/>
        <v>0</v>
      </c>
      <c r="AS1335" s="77">
        <f t="shared" ca="1" si="119"/>
        <v>3</v>
      </c>
      <c r="AT1335" s="78">
        <f t="shared" ca="1" si="120"/>
        <v>0.66666666666666663</v>
      </c>
    </row>
    <row r="1336" spans="1:46" ht="12.5" x14ac:dyDescent="0.25">
      <c r="A1336" s="75">
        <v>44992.506883124996</v>
      </c>
      <c r="B1336" s="1" t="s">
        <v>16</v>
      </c>
      <c r="C1336" s="1" t="str">
        <f>INDEX(TBL_Name,MATCH(Table2[[#This Row],[Athlete Name]],listNames,0),2)</f>
        <v>Athlete 9</v>
      </c>
      <c r="D1336" s="1" t="s">
        <v>130</v>
      </c>
      <c r="E1336" s="1">
        <v>9</v>
      </c>
      <c r="F1336" s="1">
        <v>7</v>
      </c>
      <c r="G1336" s="1">
        <v>7</v>
      </c>
      <c r="H1336" s="1" t="s">
        <v>1520</v>
      </c>
      <c r="I1336" s="1">
        <v>6</v>
      </c>
      <c r="J1336" s="1">
        <v>7</v>
      </c>
      <c r="K1336" s="1">
        <v>8</v>
      </c>
      <c r="L1336" s="1">
        <v>80</v>
      </c>
      <c r="M1336" s="1" t="e">
        <f t="shared" ref="M1336" ca="1" si="193">_xludf.concat($B1336,$P1336)</f>
        <v>#NAME?</v>
      </c>
      <c r="N1336" s="1" t="e">
        <f t="shared" si="104"/>
        <v>#VALUE!</v>
      </c>
      <c r="O1336" s="1" t="e">
        <f t="shared" ref="O1336" ca="1" si="194">IF($N1336=_xludf.MINIFS($N$2:$N2842,$R$2:$R2842,$R1336),1,
($N1336-_xludf.MINIFS($N$2:$N2842,$R$2:$R2842,$R1336))+1)</f>
        <v>#VALUE!</v>
      </c>
      <c r="P1336" s="13" t="e">
        <f t="shared" si="106"/>
        <v>#VALUE!</v>
      </c>
      <c r="Q1336" s="1" t="str">
        <f>RIGHT(YEAR($A1336),2)-(MONTH($A1336)&lt;=[3]Roster!$K$25)
 &amp;"-"&amp;
 RIGHT(YEAR($A1336),2)+(MONTH($A1336)&gt;=[3]Roster!$K$26)</f>
        <v>22-23</v>
      </c>
      <c r="R1336" s="1" t="e">
        <f>CHOOSE(MONTH($P1336),[3]Roster!$K$9,[3]Roster!$K$10,[3]Roster!$K$11,[3]Roster!$K$12,[3]Roster!$K$13,[3]Roster!$K$14,[3]Roster!$K$15,[3]Roster!$K$16,[3]Roster!$K$17,[3]Roster!$K$18,[3]Roster!$K$19,[3]Roster!$K$20)&amp;" "&amp;$Q1336</f>
        <v>#VALUE!</v>
      </c>
      <c r="S1336" s="1">
        <f t="shared" si="107"/>
        <v>1</v>
      </c>
      <c r="T1336" s="1" t="str">
        <f t="array" ref="T1336">IFERROR(INDEX([3]Roster!$D$3:$D$42,MATCH($B1336,[3]Roster!$C$3:$C$42,0)),"")</f>
        <v>MID/D</v>
      </c>
      <c r="U1336" s="1" t="str">
        <f t="array" ref="U1336">IFERROR(INDEX([3]Roster!$E$3:$E$42,MATCH($B1336,[3]Roster!$C$3:$C$42,0)),"")</f>
        <v>MID/D</v>
      </c>
      <c r="V1336" s="76">
        <f t="array" ref="V1336">AVERAGEIFS($E$2:$E2565,$B$2:$B2565,$B1336,$P$2:$P2565,"&lt;="&amp;$P1336,$P$2:$P2565,"&gt;"&amp;$P1336-7)</f>
        <v>8.9600000000000009</v>
      </c>
      <c r="W1336" s="76">
        <f ca="1">IFERROR(__xludf.DUMMYFUNCTION("iferror(stdevp(filter($D$2:$D2568,$B$2:$B2568=$B1339,$O$2:$O2568&lt;=$O1339,$O$2:$O2568&gt;$O1339-7)),0)"),0.5)</f>
        <v>0.5</v>
      </c>
      <c r="X1336" s="77">
        <f t="shared" ca="1" si="108"/>
        <v>7.9999999999998295E-2</v>
      </c>
      <c r="Y1336" s="77">
        <f t="shared" ca="1" si="109"/>
        <v>3</v>
      </c>
      <c r="Z1336" s="76">
        <f t="array" ref="Z1336">AVERAGEIFS($F$2:$F2565,$B$2:$B2565,$B1336,$P$2:$P2565,"&lt;="&amp;$P1336,$P$2:$P2565,"&gt;"&amp;$P1336-7)</f>
        <v>7.48</v>
      </c>
      <c r="AA1336" s="76">
        <f ca="1">IFERROR(__xludf.DUMMYFUNCTION("iferror(stdevp(filter($E$2:$E2568,$B$2:$B2568=$B1339,$O$2:$O2568&lt;=$O1339,$O$2:$O2568&gt;$O1339-7)),0)"),1)</f>
        <v>1</v>
      </c>
      <c r="AB1336" s="77">
        <f t="shared" ca="1" si="110"/>
        <v>-0.48000000000000043</v>
      </c>
      <c r="AC1336" s="77">
        <f t="shared" ca="1" si="111"/>
        <v>2</v>
      </c>
      <c r="AD1336" s="76">
        <f t="array" ref="AD1336">AVERAGEIFS($G$2:$G2565,$B$2:$B2565,$B1336,$P$2:$P2565,"&lt;="&amp;$P1336,$P$2:$P2565,"&gt;"&amp;$P1336-7)</f>
        <v>7.56</v>
      </c>
      <c r="AE1336" s="76">
        <f ca="1">IFERROR(__xludf.DUMMYFUNCTION("iferror(stdevp(filter($F$2:$F2568,$B$2:$B2568=$B1339,$O$2:$O2568&lt;=$O1339,$O$2:$O2568&gt;$O1339-7)),0)"),0.5)</f>
        <v>0.5</v>
      </c>
      <c r="AF1336" s="77">
        <f t="shared" ca="1" si="112"/>
        <v>-1.1199999999999992</v>
      </c>
      <c r="AG1336" s="77">
        <f t="shared" ca="1" si="113"/>
        <v>1</v>
      </c>
      <c r="AH1336" s="76">
        <f t="array" ref="AH1336">AVERAGEIFS($I$2:$I2565,$B$2:$B2565,$B1336,$P$2:$P2565,"&lt;="&amp;$P1336,$P$2:$P2565,"&gt;"&amp;$P1336-7)</f>
        <v>5.8</v>
      </c>
      <c r="AI1336" s="76">
        <f ca="1">IFERROR(__xludf.DUMMYFUNCTION("iferror(stdevp(filter($H$2:$H2568,$B$2:$B2568=$B1339,$O$2:$O2568&lt;=$O1339,$O$2:$O2568&gt;$O1339-7)),0)"),0.5)</f>
        <v>0.5</v>
      </c>
      <c r="AJ1336" s="77">
        <f t="shared" ca="1" si="114"/>
        <v>0.40000000000000036</v>
      </c>
      <c r="AK1336" s="77">
        <f t="shared" ca="1" si="115"/>
        <v>3</v>
      </c>
      <c r="AL1336" s="76">
        <f t="array" ref="AL1336">AVERAGEIFS($J$2:$J2565,$B$2:$B2565,$B1336,$P$2:$P2565,"&lt;="&amp;$P1336,$P$2:$P2565,"&gt;"&amp;$P1336-7)</f>
        <v>7.8</v>
      </c>
      <c r="AM1336" s="76">
        <f ca="1">IFERROR(__xludf.DUMMYFUNCTION("iferror(stdevp(filter($I$2:$I2568,$B$2:$B2568=$B1339,$O$2:$O2568&lt;=$O1339,$O$2:$O2568&gt;$O1339-7)),0)"),0.5)</f>
        <v>0.5</v>
      </c>
      <c r="AN1336" s="77">
        <f t="shared" ca="1" si="116"/>
        <v>-1.5999999999999996</v>
      </c>
      <c r="AO1336" s="77">
        <f t="shared" ca="1" si="117"/>
        <v>1</v>
      </c>
      <c r="AP1336" s="76">
        <f t="array" ref="AP1336">AVERAGEIFS($K$2:$K2565,$B$2:$B2565,$B1336,$P$2:$P2565,"&lt;="&amp;$P1336,$P$2:$P2565,"&gt;"&amp;$P1336-7)</f>
        <v>8.6</v>
      </c>
      <c r="AQ1336" s="76">
        <f ca="1">IFERROR(__xludf.DUMMYFUNCTION("iferror(stdevp(filter($J$2:$J2568,$B$2:$B2568=$B1339,$O$2:$O2568&lt;=$O1339,$O$2:$O2568&gt;$O1339-7)),0)"),0)</f>
        <v>0</v>
      </c>
      <c r="AR1336" s="77">
        <f t="shared" ca="1" si="118"/>
        <v>0</v>
      </c>
      <c r="AS1336" s="77">
        <f t="shared" ca="1" si="119"/>
        <v>3</v>
      </c>
      <c r="AT1336" s="78">
        <f t="shared" ca="1" si="120"/>
        <v>0.54166666666666663</v>
      </c>
    </row>
    <row r="1337" spans="1:46" ht="12.5" x14ac:dyDescent="0.25">
      <c r="A1337" s="75">
        <v>44992.515699189811</v>
      </c>
      <c r="B1337" s="1" t="s">
        <v>12</v>
      </c>
      <c r="C1337" s="1" t="str">
        <f>INDEX(TBL_Name,MATCH(Table2[[#This Row],[Athlete Name]],listNames,0),2)</f>
        <v>Athlete 6</v>
      </c>
      <c r="D1337" s="1" t="s">
        <v>130</v>
      </c>
      <c r="E1337" s="1">
        <v>10</v>
      </c>
      <c r="F1337" s="1">
        <v>9</v>
      </c>
      <c r="G1337" s="1">
        <v>8</v>
      </c>
      <c r="H1337" s="1" t="s">
        <v>71</v>
      </c>
      <c r="I1337" s="1">
        <v>7</v>
      </c>
      <c r="J1337" s="1">
        <v>6</v>
      </c>
      <c r="K1337" s="1">
        <v>10</v>
      </c>
      <c r="L1337" s="1">
        <v>80</v>
      </c>
      <c r="M1337" s="1" t="e">
        <f t="shared" ref="M1337" ca="1" si="195">_xludf.concat($B1337,$P1337)</f>
        <v>#NAME?</v>
      </c>
      <c r="N1337" s="1" t="e">
        <f t="shared" si="104"/>
        <v>#VALUE!</v>
      </c>
      <c r="O1337" s="1" t="e">
        <f t="shared" ref="O1337" ca="1" si="196">IF($N1337=_xludf.MINIFS($N$2:$N2843,$R$2:$R2843,$R1337),1,
($N1337-_xludf.MINIFS($N$2:$N2843,$R$2:$R2843,$R1337))+1)</f>
        <v>#VALUE!</v>
      </c>
      <c r="P1337" s="13" t="e">
        <f t="shared" si="106"/>
        <v>#VALUE!</v>
      </c>
      <c r="Q1337" s="1" t="str">
        <f>RIGHT(YEAR($A1337),2)-(MONTH($A1337)&lt;=[3]Roster!$K$25)
 &amp;"-"&amp;
 RIGHT(YEAR($A1337),2)+(MONTH($A1337)&gt;=[3]Roster!$K$26)</f>
        <v>22-23</v>
      </c>
      <c r="R1337" s="1" t="e">
        <f>CHOOSE(MONTH($P1337),[3]Roster!$K$9,[3]Roster!$K$10,[3]Roster!$K$11,[3]Roster!$K$12,[3]Roster!$K$13,[3]Roster!$K$14,[3]Roster!$K$15,[3]Roster!$K$16,[3]Roster!$K$17,[3]Roster!$K$18,[3]Roster!$K$19,[3]Roster!$K$20)&amp;" "&amp;$Q1337</f>
        <v>#VALUE!</v>
      </c>
      <c r="S1337" s="1">
        <f t="shared" si="107"/>
        <v>1</v>
      </c>
      <c r="T1337" s="1" t="str">
        <f t="array" ref="T1337">IFERROR(INDEX([3]Roster!$D$3:$D$42,MATCH($B1337,[3]Roster!$C$3:$C$42,0)),"")</f>
        <v>MID</v>
      </c>
      <c r="U1337" s="1" t="str">
        <f t="array" ref="U1337">IFERROR(INDEX([3]Roster!$E$3:$E$42,MATCH($B1337,[3]Roster!$C$3:$C$42,0)),"")</f>
        <v>MID</v>
      </c>
      <c r="V1337" s="76">
        <f t="array" ref="V1337">AVERAGEIFS($E$2:$E2565,$B$2:$B2565,$B1337,$P$2:$P2565,"&lt;="&amp;$P1337,$P$2:$P2565,"&gt;"&amp;$P1337-7)</f>
        <v>9.75</v>
      </c>
      <c r="W1337" s="76">
        <f ca="1">IFERROR(__xludf.DUMMYFUNCTION("iferror(stdevp(filter($D$2:$D2568,$B$2:$B2568=$B1340,$O$2:$O2568&lt;=$O1340,$O$2:$O2568&gt;$O1340-7)),0)"),0)</f>
        <v>0</v>
      </c>
      <c r="X1337" s="77">
        <f t="shared" ca="1" si="108"/>
        <v>0</v>
      </c>
      <c r="Y1337" s="77">
        <f t="shared" ca="1" si="109"/>
        <v>3</v>
      </c>
      <c r="Z1337" s="76">
        <f t="array" ref="Z1337">AVERAGEIFS($F$2:$F2565,$B$2:$B2565,$B1337,$P$2:$P2565,"&lt;="&amp;$P1337,$P$2:$P2565,"&gt;"&amp;$P1337-7)</f>
        <v>7.083333333333333</v>
      </c>
      <c r="AA1337" s="76">
        <f ca="1">IFERROR(__xludf.DUMMYFUNCTION("iferror(stdevp(filter($E$2:$E2568,$B$2:$B2568=$B1340,$O$2:$O2568&lt;=$O1340,$O$2:$O2568&gt;$O1340-7)),0)"),2.5)</f>
        <v>2.5</v>
      </c>
      <c r="AB1337" s="77">
        <f t="shared" ca="1" si="110"/>
        <v>0.76666666666666683</v>
      </c>
      <c r="AC1337" s="77">
        <f t="shared" ca="1" si="111"/>
        <v>3</v>
      </c>
      <c r="AD1337" s="76">
        <f t="array" ref="AD1337">AVERAGEIFS($G$2:$G2565,$B$2:$B2565,$B1337,$P$2:$P2565,"&lt;="&amp;$P1337,$P$2:$P2565,"&gt;"&amp;$P1337-7)</f>
        <v>7.083333333333333</v>
      </c>
      <c r="AE1337" s="76">
        <f ca="1">IFERROR(__xludf.DUMMYFUNCTION("iferror(stdevp(filter($F$2:$F2568,$B$2:$B2568=$B1340,$O$2:$O2568&lt;=$O1340,$O$2:$O2568&gt;$O1340-7)),0)"),1.5)</f>
        <v>1.5</v>
      </c>
      <c r="AF1337" s="77">
        <f t="shared" ca="1" si="112"/>
        <v>0.61111111111111127</v>
      </c>
      <c r="AG1337" s="77">
        <f t="shared" ca="1" si="113"/>
        <v>3</v>
      </c>
      <c r="AH1337" s="76">
        <f t="array" ref="AH1337">AVERAGEIFS($I$2:$I2565,$B$2:$B2565,$B1337,$P$2:$P2565,"&lt;="&amp;$P1337,$P$2:$P2565,"&gt;"&amp;$P1337-7)</f>
        <v>6.583333333333333</v>
      </c>
      <c r="AI1337" s="76">
        <f ca="1">IFERROR(__xludf.DUMMYFUNCTION("iferror(stdevp(filter($H$2:$H2568,$B$2:$B2568=$B1340,$O$2:$O2568&lt;=$O1340,$O$2:$O2568&gt;$O1340-7)),0)"),1)</f>
        <v>1</v>
      </c>
      <c r="AJ1337" s="77">
        <f t="shared" ca="1" si="114"/>
        <v>0.41666666666666696</v>
      </c>
      <c r="AK1337" s="77">
        <f t="shared" ca="1" si="115"/>
        <v>3</v>
      </c>
      <c r="AL1337" s="76">
        <f t="array" ref="AL1337">AVERAGEIFS($J$2:$J2565,$B$2:$B2565,$B1337,$P$2:$P2565,"&lt;="&amp;$P1337,$P$2:$P2565,"&gt;"&amp;$P1337-7)</f>
        <v>6.666666666666667</v>
      </c>
      <c r="AM1337" s="76">
        <f ca="1">IFERROR(__xludf.DUMMYFUNCTION("iferror(stdevp(filter($I$2:$I2568,$B$2:$B2568=$B1340,$O$2:$O2568&lt;=$O1340,$O$2:$O2568&gt;$O1340-7)),0)"),0.5)</f>
        <v>0.5</v>
      </c>
      <c r="AN1337" s="77">
        <f t="shared" ca="1" si="116"/>
        <v>-1.3333333333333339</v>
      </c>
      <c r="AO1337" s="77">
        <f t="shared" ca="1" si="117"/>
        <v>1</v>
      </c>
      <c r="AP1337" s="76">
        <f t="array" ref="AP1337">AVERAGEIFS($K$2:$K2565,$B$2:$B2565,$B1337,$P$2:$P2565,"&lt;="&amp;$P1337,$P$2:$P2565,"&gt;"&amp;$P1337-7)</f>
        <v>8.25</v>
      </c>
      <c r="AQ1337" s="76">
        <f ca="1">IFERROR(__xludf.DUMMYFUNCTION("iferror(stdevp(filter($J$2:$J2568,$B$2:$B2568=$B1340,$O$2:$O2568&lt;=$O1340,$O$2:$O2568&gt;$O1340-7)),0)"),2.5)</f>
        <v>2.5</v>
      </c>
      <c r="AR1337" s="77">
        <f t="shared" ca="1" si="118"/>
        <v>0.7</v>
      </c>
      <c r="AS1337" s="77">
        <f t="shared" ca="1" si="119"/>
        <v>3</v>
      </c>
      <c r="AT1337" s="78">
        <f t="shared" ca="1" si="120"/>
        <v>0.66666666666666663</v>
      </c>
    </row>
    <row r="1338" spans="1:46" ht="12.5" x14ac:dyDescent="0.25">
      <c r="A1338" s="75">
        <v>44992.518227928245</v>
      </c>
      <c r="B1338" s="1" t="s">
        <v>22</v>
      </c>
      <c r="C1338" s="1" t="str">
        <f>INDEX(TBL_Name,MATCH(Table2[[#This Row],[Athlete Name]],listNames,0),2)</f>
        <v>Athlete 14</v>
      </c>
      <c r="D1338" s="1" t="s">
        <v>130</v>
      </c>
      <c r="E1338" s="1">
        <v>7</v>
      </c>
      <c r="F1338" s="1">
        <v>5</v>
      </c>
      <c r="G1338" s="1">
        <v>8</v>
      </c>
      <c r="H1338" s="1" t="s">
        <v>417</v>
      </c>
      <c r="I1338" s="1">
        <v>7</v>
      </c>
      <c r="J1338" s="1">
        <v>8</v>
      </c>
      <c r="K1338" s="1">
        <v>7</v>
      </c>
      <c r="L1338" s="1">
        <v>87</v>
      </c>
      <c r="M1338" s="1" t="e">
        <f t="shared" ref="M1338" ca="1" si="197">_xludf.concat($B1338,$P1338)</f>
        <v>#NAME?</v>
      </c>
      <c r="N1338" s="1" t="e">
        <f t="shared" si="104"/>
        <v>#VALUE!</v>
      </c>
      <c r="O1338" s="1" t="e">
        <f t="shared" ref="O1338" ca="1" si="198">IF($N1338=_xludf.MINIFS($N$2:$N2844,$R$2:$R2844,$R1338),1,
($N1338-_xludf.MINIFS($N$2:$N2844,$R$2:$R2844,$R1338))+1)</f>
        <v>#VALUE!</v>
      </c>
      <c r="P1338" s="13" t="e">
        <f t="shared" si="106"/>
        <v>#VALUE!</v>
      </c>
      <c r="Q1338" s="1" t="str">
        <f>RIGHT(YEAR($A1338),2)-(MONTH($A1338)&lt;=[3]Roster!$K$25)
 &amp;"-"&amp;
 RIGHT(YEAR($A1338),2)+(MONTH($A1338)&gt;=[3]Roster!$K$26)</f>
        <v>22-23</v>
      </c>
      <c r="R1338" s="1" t="e">
        <f>CHOOSE(MONTH($P1338),[3]Roster!$K$9,[3]Roster!$K$10,[3]Roster!$K$11,[3]Roster!$K$12,[3]Roster!$K$13,[3]Roster!$K$14,[3]Roster!$K$15,[3]Roster!$K$16,[3]Roster!$K$17,[3]Roster!$K$18,[3]Roster!$K$19,[3]Roster!$K$20)&amp;" "&amp;$Q1338</f>
        <v>#VALUE!</v>
      </c>
      <c r="S1338" s="1">
        <f t="shared" si="107"/>
        <v>1</v>
      </c>
      <c r="T1338" s="1" t="str">
        <f t="array" ref="T1338">IFERROR(INDEX([3]Roster!$D$3:$D$42,MATCH($B1338,[3]Roster!$C$3:$C$42,0)),"")</f>
        <v>D</v>
      </c>
      <c r="U1338" s="1" t="str">
        <f t="array" ref="U1338">IFERROR(INDEX([3]Roster!$E$3:$E$42,MATCH($B1338,[3]Roster!$C$3:$C$42,0)),"")</f>
        <v>D</v>
      </c>
      <c r="V1338" s="76">
        <f t="array" ref="V1338">AVERAGEIFS($E$2:$E2565,$B$2:$B2565,$B1338,$P$2:$P2565,"&lt;="&amp;$P1338,$P$2:$P2565,"&gt;"&amp;$P1338-7)</f>
        <v>5.791666666666667</v>
      </c>
      <c r="W1338" s="76">
        <f ca="1">IFERROR(__xludf.DUMMYFUNCTION("iferror(stdevp(filter($D$2:$D2568,$B$2:$B2568=$B1341,$O$2:$O2568&lt;=$O1341,$O$2:$O2568&gt;$O1341-7)),0)"),0.5)</f>
        <v>0.5</v>
      </c>
      <c r="X1338" s="77">
        <f t="shared" ca="1" si="108"/>
        <v>2.4166666666666661</v>
      </c>
      <c r="Y1338" s="77">
        <f t="shared" ca="1" si="109"/>
        <v>4</v>
      </c>
      <c r="Z1338" s="76">
        <f t="array" ref="Z1338">AVERAGEIFS($F$2:$F2565,$B$2:$B2565,$B1338,$P$2:$P2565,"&lt;="&amp;$P1338,$P$2:$P2565,"&gt;"&amp;$P1338-7)</f>
        <v>5.458333333333333</v>
      </c>
      <c r="AA1338" s="76">
        <f ca="1">IFERROR(__xludf.DUMMYFUNCTION("iferror(stdevp(filter($E$2:$E2568,$B$2:$B2568=$B1341,$O$2:$O2568&lt;=$O1341,$O$2:$O2568&gt;$O1341-7)),0)"),1.5)</f>
        <v>1.5</v>
      </c>
      <c r="AB1338" s="77">
        <f t="shared" ca="1" si="110"/>
        <v>-0.30555555555555536</v>
      </c>
      <c r="AC1338" s="77">
        <f t="shared" ca="1" si="111"/>
        <v>2</v>
      </c>
      <c r="AD1338" s="76">
        <f t="array" ref="AD1338">AVERAGEIFS($G$2:$G2565,$B$2:$B2565,$B1338,$P$2:$P2565,"&lt;="&amp;$P1338,$P$2:$P2565,"&gt;"&amp;$P1338-7)</f>
        <v>6.833333333333333</v>
      </c>
      <c r="AE1338" s="76">
        <f ca="1">IFERROR(__xludf.DUMMYFUNCTION("iferror(stdevp(filter($F$2:$F2568,$B$2:$B2568=$B1341,$O$2:$O2568&lt;=$O1341,$O$2:$O2568&gt;$O1341-7)),0)"),1.5)</f>
        <v>1.5</v>
      </c>
      <c r="AF1338" s="77">
        <f t="shared" ca="1" si="112"/>
        <v>0.77777777777777801</v>
      </c>
      <c r="AG1338" s="77">
        <f t="shared" ca="1" si="113"/>
        <v>3</v>
      </c>
      <c r="AH1338" s="76">
        <f t="array" ref="AH1338">AVERAGEIFS($I$2:$I2565,$B$2:$B2565,$B1338,$P$2:$P2565,"&lt;="&amp;$P1338,$P$2:$P2565,"&gt;"&amp;$P1338-7)</f>
        <v>5.125</v>
      </c>
      <c r="AI1338" s="76">
        <f ca="1">IFERROR(__xludf.DUMMYFUNCTION("iferror(stdevp(filter($H$2:$H2568,$B$2:$B2568=$B1341,$O$2:$O2568&lt;=$O1341,$O$2:$O2568&gt;$O1341-7)),0)"),0.5)</f>
        <v>0.5</v>
      </c>
      <c r="AJ1338" s="77">
        <f t="shared" ca="1" si="114"/>
        <v>3.75</v>
      </c>
      <c r="AK1338" s="77">
        <f t="shared" ca="1" si="115"/>
        <v>4</v>
      </c>
      <c r="AL1338" s="76">
        <f t="array" ref="AL1338">AVERAGEIFS($J$2:$J2565,$B$2:$B2565,$B1338,$P$2:$P2565,"&lt;="&amp;$P1338,$P$2:$P2565,"&gt;"&amp;$P1338-7)</f>
        <v>7.125</v>
      </c>
      <c r="AM1338" s="76">
        <f ca="1">IFERROR(__xludf.DUMMYFUNCTION("iferror(stdevp(filter($I$2:$I2568,$B$2:$B2568=$B1341,$O$2:$O2568&lt;=$O1341,$O$2:$O2568&gt;$O1341-7)),0)"),1)</f>
        <v>1</v>
      </c>
      <c r="AN1338" s="77">
        <f t="shared" ca="1" si="116"/>
        <v>0.875</v>
      </c>
      <c r="AO1338" s="77">
        <f t="shared" ca="1" si="117"/>
        <v>3</v>
      </c>
      <c r="AP1338" s="76">
        <f t="array" ref="AP1338">AVERAGEIFS($K$2:$K2565,$B$2:$B2565,$B1338,$P$2:$P2565,"&lt;="&amp;$P1338,$P$2:$P2565,"&gt;"&amp;$P1338-7)</f>
        <v>7.083333333333333</v>
      </c>
      <c r="AQ1338" s="76">
        <f ca="1">IFERROR(__xludf.DUMMYFUNCTION("iferror(stdevp(filter($J$2:$J2568,$B$2:$B2568=$B1341,$O$2:$O2568&lt;=$O1341,$O$2:$O2568&gt;$O1341-7)),0)"),0)</f>
        <v>0</v>
      </c>
      <c r="AR1338" s="77">
        <f t="shared" ca="1" si="118"/>
        <v>0</v>
      </c>
      <c r="AS1338" s="77">
        <f t="shared" ca="1" si="119"/>
        <v>3</v>
      </c>
      <c r="AT1338" s="78">
        <f t="shared" ca="1" si="120"/>
        <v>0.79166666666666663</v>
      </c>
    </row>
    <row r="1339" spans="1:46" ht="12.5" x14ac:dyDescent="0.25">
      <c r="A1339" s="75">
        <v>44992.51853021991</v>
      </c>
      <c r="B1339" s="1" t="s">
        <v>7</v>
      </c>
      <c r="C1339" s="1" t="str">
        <f>INDEX(TBL_Name,MATCH(Table2[[#This Row],[Athlete Name]],listNames,0),2)</f>
        <v>Athlete 3</v>
      </c>
      <c r="D1339" s="1" t="s">
        <v>130</v>
      </c>
      <c r="E1339" s="1">
        <v>7</v>
      </c>
      <c r="F1339" s="1">
        <v>8</v>
      </c>
      <c r="G1339" s="1">
        <v>8</v>
      </c>
      <c r="H1339" s="1" t="s">
        <v>203</v>
      </c>
      <c r="I1339" s="1">
        <v>5</v>
      </c>
      <c r="J1339" s="1">
        <v>2</v>
      </c>
      <c r="K1339" s="1">
        <v>8</v>
      </c>
      <c r="L1339" s="1">
        <v>75</v>
      </c>
      <c r="M1339" s="1" t="e">
        <f t="shared" ref="M1339" ca="1" si="199">_xludf.concat($B1339,$P1339)</f>
        <v>#NAME?</v>
      </c>
      <c r="N1339" s="1" t="e">
        <f t="shared" si="104"/>
        <v>#VALUE!</v>
      </c>
      <c r="O1339" s="1" t="e">
        <f t="shared" ref="O1339" ca="1" si="200">IF($N1339=_xludf.MINIFS($N$2:$N2845,$R$2:$R2845,$R1339),1,
($N1339-_xludf.MINIFS($N$2:$N2845,$R$2:$R2845,$R1339))+1)</f>
        <v>#VALUE!</v>
      </c>
      <c r="P1339" s="13" t="e">
        <f t="shared" si="106"/>
        <v>#VALUE!</v>
      </c>
      <c r="Q1339" s="1" t="str">
        <f>RIGHT(YEAR($A1339),2)-(MONTH($A1339)&lt;=[3]Roster!$K$25)
 &amp;"-"&amp;
 RIGHT(YEAR($A1339),2)+(MONTH($A1339)&gt;=[3]Roster!$K$26)</f>
        <v>22-23</v>
      </c>
      <c r="R1339" s="1" t="e">
        <f>CHOOSE(MONTH($P1339),[3]Roster!$K$9,[3]Roster!$K$10,[3]Roster!$K$11,[3]Roster!$K$12,[3]Roster!$K$13,[3]Roster!$K$14,[3]Roster!$K$15,[3]Roster!$K$16,[3]Roster!$K$17,[3]Roster!$K$18,[3]Roster!$K$19,[3]Roster!$K$20)&amp;" "&amp;$Q1339</f>
        <v>#VALUE!</v>
      </c>
      <c r="S1339" s="1">
        <f t="shared" si="107"/>
        <v>1</v>
      </c>
      <c r="T1339" s="1" t="str">
        <f t="array" ref="T1339">IFERROR(INDEX([3]Roster!$D$3:$D$42,MATCH($B1339,[3]Roster!$C$3:$C$42,0)),"")</f>
        <v>F/MID</v>
      </c>
      <c r="U1339" s="1" t="str">
        <f t="array" ref="U1339">IFERROR(INDEX([3]Roster!$E$3:$E$42,MATCH($B1339,[3]Roster!$C$3:$C$42,0)),"")</f>
        <v>F/MID</v>
      </c>
      <c r="V1339" s="76">
        <f t="array" ref="V1339">AVERAGEIFS($E$2:$E2565,$B$2:$B2565,$B1339,$P$2:$P2565,"&lt;="&amp;$P1339,$P$2:$P2565,"&gt;"&amp;$P1339-7)</f>
        <v>6</v>
      </c>
      <c r="W1339" s="76">
        <f ca="1">IFERROR(__xludf.DUMMYFUNCTION("iferror(stdevp(filter($D$2:$D2568,$B$2:$B2568=$B1342,$O$2:$O2568&lt;=$O1342,$O$2:$O2568&gt;$O1342-7)),0)"),1.5)</f>
        <v>1.5</v>
      </c>
      <c r="X1339" s="77">
        <f t="shared" ca="1" si="108"/>
        <v>0.66666666666666663</v>
      </c>
      <c r="Y1339" s="77">
        <f t="shared" ca="1" si="109"/>
        <v>3</v>
      </c>
      <c r="Z1339" s="76">
        <f t="array" ref="Z1339">AVERAGEIFS($F$2:$F2565,$B$2:$B2565,$B1339,$P$2:$P2565,"&lt;="&amp;$P1339,$P$2:$P2565,"&gt;"&amp;$P1339-7)</f>
        <v>7.3703703703703702</v>
      </c>
      <c r="AA1339" s="76">
        <f ca="1">IFERROR(__xludf.DUMMYFUNCTION("iferror(stdevp(filter($E$2:$E2568,$B$2:$B2568=$B1342,$O$2:$O2568&lt;=$O1342,$O$2:$O2568&gt;$O1342-7)),0)"),0)</f>
        <v>0</v>
      </c>
      <c r="AB1339" s="77">
        <f t="shared" ca="1" si="110"/>
        <v>0</v>
      </c>
      <c r="AC1339" s="77">
        <f t="shared" ca="1" si="111"/>
        <v>3</v>
      </c>
      <c r="AD1339" s="76">
        <f t="array" ref="AD1339">AVERAGEIFS($G$2:$G2565,$B$2:$B2565,$B1339,$P$2:$P2565,"&lt;="&amp;$P1339,$P$2:$P2565,"&gt;"&amp;$P1339-7)</f>
        <v>7.7777777777777777</v>
      </c>
      <c r="AE1339" s="76">
        <f ca="1">IFERROR(__xludf.DUMMYFUNCTION("iferror(stdevp(filter($F$2:$F2568,$B$2:$B2568=$B1342,$O$2:$O2568&lt;=$O1342,$O$2:$O2568&gt;$O1342-7)),0)"),0)</f>
        <v>0</v>
      </c>
      <c r="AF1339" s="77">
        <f t="shared" ca="1" si="112"/>
        <v>0</v>
      </c>
      <c r="AG1339" s="77">
        <f t="shared" ca="1" si="113"/>
        <v>3</v>
      </c>
      <c r="AH1339" s="76">
        <f t="array" ref="AH1339">AVERAGEIFS($I$2:$I2565,$B$2:$B2565,$B1339,$P$2:$P2565,"&lt;="&amp;$P1339,$P$2:$P2565,"&gt;"&amp;$P1339-7)</f>
        <v>6.333333333333333</v>
      </c>
      <c r="AI1339" s="76">
        <f ca="1">IFERROR(__xludf.DUMMYFUNCTION("iferror(stdevp(filter($H$2:$H2568,$B$2:$B2568=$B1342,$O$2:$O2568&lt;=$O1342,$O$2:$O2568&gt;$O1342-7)),0)"),2)</f>
        <v>2</v>
      </c>
      <c r="AJ1339" s="77">
        <f t="shared" ca="1" si="114"/>
        <v>-0.66666666666666652</v>
      </c>
      <c r="AK1339" s="77">
        <f t="shared" ca="1" si="115"/>
        <v>2</v>
      </c>
      <c r="AL1339" s="76">
        <f t="array" ref="AL1339">AVERAGEIFS($J$2:$J2565,$B$2:$B2565,$B1339,$P$2:$P2565,"&lt;="&amp;$P1339,$P$2:$P2565,"&gt;"&amp;$P1339-7)</f>
        <v>5.4230769230769234</v>
      </c>
      <c r="AM1339" s="76">
        <f ca="1">IFERROR(__xludf.DUMMYFUNCTION("iferror(stdevp(filter($I$2:$I2568,$B$2:$B2568=$B1342,$O$2:$O2568&lt;=$O1342,$O$2:$O2568&gt;$O1342-7)),0)"),1)</f>
        <v>1</v>
      </c>
      <c r="AN1339" s="77">
        <f t="shared" ca="1" si="116"/>
        <v>-3.4230769230769234</v>
      </c>
      <c r="AO1339" s="77">
        <f t="shared" ca="1" si="117"/>
        <v>1</v>
      </c>
      <c r="AP1339" s="76">
        <f t="array" ref="AP1339">AVERAGEIFS($K$2:$K2565,$B$2:$B2565,$B1339,$P$2:$P2565,"&lt;="&amp;$P1339,$P$2:$P2565,"&gt;"&amp;$P1339-7)</f>
        <v>7.5769230769230766</v>
      </c>
      <c r="AQ1339" s="76">
        <f ca="1">IFERROR(__xludf.DUMMYFUNCTION("iferror(stdevp(filter($J$2:$J2568,$B$2:$B2568=$B1342,$O$2:$O2568&lt;=$O1342,$O$2:$O2568&gt;$O1342-7)),0)"),0.5)</f>
        <v>0.5</v>
      </c>
      <c r="AR1339" s="77">
        <f t="shared" ca="1" si="118"/>
        <v>0.8461538461538467</v>
      </c>
      <c r="AS1339" s="77">
        <f t="shared" ca="1" si="119"/>
        <v>3</v>
      </c>
      <c r="AT1339" s="78">
        <f t="shared" ca="1" si="120"/>
        <v>0.625</v>
      </c>
    </row>
    <row r="1340" spans="1:46" ht="12.5" x14ac:dyDescent="0.25">
      <c r="A1340" s="75">
        <v>44992.518639097223</v>
      </c>
      <c r="B1340" s="1" t="s">
        <v>17</v>
      </c>
      <c r="C1340" s="1" t="str">
        <f>INDEX(TBL_Name,MATCH(Table2[[#This Row],[Athlete Name]],listNames,0),2)</f>
        <v>Athlete 10</v>
      </c>
      <c r="D1340" s="1" t="s">
        <v>130</v>
      </c>
      <c r="E1340" s="1">
        <v>7</v>
      </c>
      <c r="F1340" s="1">
        <v>8</v>
      </c>
      <c r="G1340" s="1">
        <v>9</v>
      </c>
      <c r="H1340" s="1" t="s">
        <v>71</v>
      </c>
      <c r="I1340" s="1">
        <v>5</v>
      </c>
      <c r="J1340" s="1">
        <v>7</v>
      </c>
      <c r="K1340" s="1">
        <v>8</v>
      </c>
      <c r="L1340" s="1">
        <v>73</v>
      </c>
      <c r="M1340" s="1" t="e">
        <f t="shared" ref="M1340" ca="1" si="201">_xludf.concat($B1340,$P1340)</f>
        <v>#NAME?</v>
      </c>
      <c r="N1340" s="1" t="e">
        <f t="shared" si="104"/>
        <v>#VALUE!</v>
      </c>
      <c r="O1340" s="1" t="e">
        <f t="shared" ref="O1340" ca="1" si="202">IF($N1340=_xludf.MINIFS($N$2:$N2846,$R$2:$R2846,$R1340),1,
($N1340-_xludf.MINIFS($N$2:$N2846,$R$2:$R2846,$R1340))+1)</f>
        <v>#VALUE!</v>
      </c>
      <c r="P1340" s="13" t="e">
        <f t="shared" si="106"/>
        <v>#VALUE!</v>
      </c>
      <c r="Q1340" s="1" t="str">
        <f>RIGHT(YEAR($A1340),2)-(MONTH($A1340)&lt;=[3]Roster!$K$25)
 &amp;"-"&amp;
 RIGHT(YEAR($A1340),2)+(MONTH($A1340)&gt;=[3]Roster!$K$26)</f>
        <v>22-23</v>
      </c>
      <c r="R1340" s="1" t="e">
        <f>CHOOSE(MONTH($P1340),[3]Roster!$K$9,[3]Roster!$K$10,[3]Roster!$K$11,[3]Roster!$K$12,[3]Roster!$K$13,[3]Roster!$K$14,[3]Roster!$K$15,[3]Roster!$K$16,[3]Roster!$K$17,[3]Roster!$K$18,[3]Roster!$K$19,[3]Roster!$K$20)&amp;" "&amp;$Q1340</f>
        <v>#VALUE!</v>
      </c>
      <c r="S1340" s="1">
        <f t="shared" si="107"/>
        <v>1</v>
      </c>
      <c r="T1340" s="1" t="str">
        <f t="array" ref="T1340">IFERROR(INDEX([3]Roster!$D$3:$D$42,MATCH($B1340,[3]Roster!$C$3:$C$42,0)),"")</f>
        <v>D</v>
      </c>
      <c r="U1340" s="1" t="str">
        <f t="array" ref="U1340">IFERROR(INDEX([3]Roster!$E$3:$E$42,MATCH($B1340,[3]Roster!$C$3:$C$42,0)),"")</f>
        <v>D</v>
      </c>
      <c r="V1340" s="76">
        <f t="array" ref="V1340">AVERAGEIFS($E$2:$E2565,$B$2:$B2565,$B1340,$P$2:$P2565,"&lt;="&amp;$P1340,$P$2:$P2565,"&gt;"&amp;$P1340-7)</f>
        <v>6.9024390243902438</v>
      </c>
      <c r="W1340" s="76">
        <f ca="1">IFERROR(__xludf.DUMMYFUNCTION("iferror(stdevp(filter($D$2:$D2568,$B$2:$B2568=$B1343,$O$2:$O2568&lt;=$O1343,$O$2:$O2568&gt;$O1343-7)),0)"),0.471404520791031)</f>
        <v>0.47140452079103101</v>
      </c>
      <c r="X1340" s="77">
        <f t="shared" ca="1" si="108"/>
        <v>0.20695808229850218</v>
      </c>
      <c r="Y1340" s="77">
        <f t="shared" ca="1" si="109"/>
        <v>3</v>
      </c>
      <c r="Z1340" s="76">
        <f t="array" ref="Z1340">AVERAGEIFS($F$2:$F2565,$B$2:$B2565,$B1340,$P$2:$P2565,"&lt;="&amp;$P1340,$P$2:$P2565,"&gt;"&amp;$P1340-7)</f>
        <v>7.2926829268292686</v>
      </c>
      <c r="AA1340" s="76">
        <f ca="1">IFERROR(__xludf.DUMMYFUNCTION("iferror(stdevp(filter($E$2:$E2568,$B$2:$B2568=$B1343,$O$2:$O2568&lt;=$O1343,$O$2:$O2568&gt;$O1343-7)),0)"),0.816496580927726)</f>
        <v>0.81649658092772603</v>
      </c>
      <c r="AB1340" s="77">
        <f t="shared" ca="1" si="110"/>
        <v>0.86628295781356268</v>
      </c>
      <c r="AC1340" s="77">
        <f t="shared" ca="1" si="111"/>
        <v>3</v>
      </c>
      <c r="AD1340" s="76">
        <f t="array" ref="AD1340">AVERAGEIFS($G$2:$G2565,$B$2:$B2565,$B1340,$P$2:$P2565,"&lt;="&amp;$P1340,$P$2:$P2565,"&gt;"&amp;$P1340-7)</f>
        <v>7.8048780487804876</v>
      </c>
      <c r="AE1340" s="76">
        <f ca="1">IFERROR(__xludf.DUMMYFUNCTION("iferror(stdevp(filter($F$2:$F2568,$B$2:$B2568=$B1343,$O$2:$O2568&lt;=$O1343,$O$2:$O2568&gt;$O1343-7)),0)"),0.471404520791031)</f>
        <v>0.47140452079103101</v>
      </c>
      <c r="AF1340" s="77">
        <f t="shared" ca="1" si="112"/>
        <v>2.5352365081566499</v>
      </c>
      <c r="AG1340" s="77">
        <f t="shared" ca="1" si="113"/>
        <v>4</v>
      </c>
      <c r="AH1340" s="76">
        <f t="array" ref="AH1340">AVERAGEIFS($I$2:$I2565,$B$2:$B2565,$B1340,$P$2:$P2565,"&lt;="&amp;$P1340,$P$2:$P2565,"&gt;"&amp;$P1340-7)</f>
        <v>6.3170731707317076</v>
      </c>
      <c r="AI1340" s="76">
        <f ca="1">IFERROR(__xludf.DUMMYFUNCTION("iferror(stdevp(filter($H$2:$H2568,$B$2:$B2568=$B1343,$O$2:$O2568&lt;=$O1343,$O$2:$O2568&gt;$O1343-7)),0)"),0.942809041582063)</f>
        <v>0.94280904158206302</v>
      </c>
      <c r="AJ1340" s="77">
        <f t="shared" ca="1" si="114"/>
        <v>-1.3969670555148874</v>
      </c>
      <c r="AK1340" s="77">
        <f t="shared" ca="1" si="115"/>
        <v>1</v>
      </c>
      <c r="AL1340" s="76">
        <f t="array" ref="AL1340">AVERAGEIFS($J$2:$J2565,$B$2:$B2565,$B1340,$P$2:$P2565,"&lt;="&amp;$P1340,$P$2:$P2565,"&gt;"&amp;$P1340-7)</f>
        <v>6.9024390243902438</v>
      </c>
      <c r="AM1340" s="76">
        <f ca="1">IFERROR(__xludf.DUMMYFUNCTION("iferror(stdevp(filter($I$2:$I2568,$B$2:$B2568=$B1343,$O$2:$O2568&lt;=$O1343,$O$2:$O2568&gt;$O1343-7)),0)"),0)</f>
        <v>0</v>
      </c>
      <c r="AN1340" s="77">
        <f t="shared" ca="1" si="116"/>
        <v>0</v>
      </c>
      <c r="AO1340" s="77">
        <f t="shared" ca="1" si="117"/>
        <v>3</v>
      </c>
      <c r="AP1340" s="76">
        <f t="array" ref="AP1340">AVERAGEIFS($K$2:$K2565,$B$2:$B2565,$B1340,$P$2:$P2565,"&lt;="&amp;$P1340,$P$2:$P2565,"&gt;"&amp;$P1340-7)</f>
        <v>8</v>
      </c>
      <c r="AQ1340" s="76">
        <f ca="1">IFERROR(__xludf.DUMMYFUNCTION("iferror(stdevp(filter($J$2:$J2568,$B$2:$B2568=$B1343,$O$2:$O2568&lt;=$O1343,$O$2:$O2568&gt;$O1343-7)),0)"),0.471404520791031)</f>
        <v>0.47140452079103101</v>
      </c>
      <c r="AR1340" s="77">
        <f t="shared" ca="1" si="118"/>
        <v>0</v>
      </c>
      <c r="AS1340" s="77">
        <f t="shared" ca="1" si="119"/>
        <v>3</v>
      </c>
      <c r="AT1340" s="78">
        <f t="shared" ca="1" si="120"/>
        <v>0.70833333333333337</v>
      </c>
    </row>
    <row r="1341" spans="1:46" ht="12.5" x14ac:dyDescent="0.25">
      <c r="A1341" s="75">
        <v>44992.676701296296</v>
      </c>
      <c r="B1341" s="1" t="s">
        <v>9</v>
      </c>
      <c r="C1341" s="1" t="str">
        <f>INDEX(TBL_Name,MATCH(Table2[[#This Row],[Athlete Name]],listNames,0),2)</f>
        <v>Athlete 4</v>
      </c>
      <c r="D1341" s="1" t="s">
        <v>130</v>
      </c>
      <c r="E1341" s="1">
        <v>8</v>
      </c>
      <c r="F1341" s="1">
        <v>7</v>
      </c>
      <c r="G1341" s="1">
        <v>8</v>
      </c>
      <c r="H1341" s="1" t="s">
        <v>1607</v>
      </c>
      <c r="I1341" s="1">
        <v>5</v>
      </c>
      <c r="J1341" s="1">
        <v>8</v>
      </c>
      <c r="K1341" s="1">
        <v>9</v>
      </c>
      <c r="L1341" s="1">
        <v>93</v>
      </c>
      <c r="M1341" s="1" t="e">
        <f t="shared" ref="M1341" ca="1" si="203">_xludf.concat($B1341,$P1341)</f>
        <v>#NAME?</v>
      </c>
      <c r="N1341" s="1" t="e">
        <f t="shared" si="104"/>
        <v>#VALUE!</v>
      </c>
      <c r="O1341" s="1" t="e">
        <f t="shared" ref="O1341" ca="1" si="204">IF($N1341=_xludf.MINIFS($N$2:$N2847,$R$2:$R2847,$R1341),1,
($N1341-_xludf.MINIFS($N$2:$N2847,$R$2:$R2847,$R1341))+1)</f>
        <v>#VALUE!</v>
      </c>
      <c r="P1341" s="13" t="e">
        <f t="shared" si="106"/>
        <v>#VALUE!</v>
      </c>
      <c r="Q1341" s="1" t="str">
        <f>RIGHT(YEAR($A1341),2)-(MONTH($A1341)&lt;=[3]Roster!$K$25)
 &amp;"-"&amp;
 RIGHT(YEAR($A1341),2)+(MONTH($A1341)&gt;=[3]Roster!$K$26)</f>
        <v>22-23</v>
      </c>
      <c r="R1341" s="1" t="e">
        <f>CHOOSE(MONTH($P1341),[3]Roster!$K$9,[3]Roster!$K$10,[3]Roster!$K$11,[3]Roster!$K$12,[3]Roster!$K$13,[3]Roster!$K$14,[3]Roster!$K$15,[3]Roster!$K$16,[3]Roster!$K$17,[3]Roster!$K$18,[3]Roster!$K$19,[3]Roster!$K$20)&amp;" "&amp;$Q1341</f>
        <v>#VALUE!</v>
      </c>
      <c r="S1341" s="1">
        <f t="shared" si="107"/>
        <v>1</v>
      </c>
      <c r="T1341" s="1" t="str">
        <f t="array" ref="T1341">IFERROR(INDEX([3]Roster!$D$3:$D$42,MATCH($B1341,[3]Roster!$C$3:$C$42,0)),"")</f>
        <v>F/MID</v>
      </c>
      <c r="U1341" s="1" t="str">
        <f t="array" ref="U1341">IFERROR(INDEX([3]Roster!$E$3:$E$42,MATCH($B1341,[3]Roster!$C$3:$C$42,0)),"")</f>
        <v>F/MID</v>
      </c>
      <c r="V1341" s="76">
        <f t="array" ref="V1341">AVERAGEIFS($E$2:$E2565,$B$2:$B2565,$B1341,$P$2:$P2565,"&lt;="&amp;$P1341,$P$2:$P2565,"&gt;"&amp;$P1341-7)</f>
        <v>7.4230769230769234</v>
      </c>
      <c r="W1341" s="76">
        <f ca="1">IFERROR(__xludf.DUMMYFUNCTION("iferror(stdevp(filter($D$2:$D2568,$B$2:$B2568=$B1344,$O$2:$O2568&lt;=$O1344,$O$2:$O2568&gt;$O1344-7)),0)"),0)</f>
        <v>0</v>
      </c>
      <c r="X1341" s="77">
        <f t="shared" ca="1" si="108"/>
        <v>0</v>
      </c>
      <c r="Y1341" s="77">
        <f t="shared" ca="1" si="109"/>
        <v>3</v>
      </c>
      <c r="Z1341" s="76">
        <f t="array" ref="Z1341">AVERAGEIFS($F$2:$F2565,$B$2:$B2565,$B1341,$P$2:$P2565,"&lt;="&amp;$P1341,$P$2:$P2565,"&gt;"&amp;$P1341-7)</f>
        <v>7.1538461538461542</v>
      </c>
      <c r="AA1341" s="76">
        <f ca="1">IFERROR(__xludf.DUMMYFUNCTION("iferror(stdevp(filter($E$2:$E2568,$B$2:$B2568=$B1344,$O$2:$O2568&lt;=$O1344,$O$2:$O2568&gt;$O1344-7)),0)"),0.5)</f>
        <v>0.5</v>
      </c>
      <c r="AB1341" s="77">
        <f t="shared" ca="1" si="110"/>
        <v>-0.30769230769230838</v>
      </c>
      <c r="AC1341" s="77">
        <f t="shared" ca="1" si="111"/>
        <v>2</v>
      </c>
      <c r="AD1341" s="76">
        <f t="array" ref="AD1341">AVERAGEIFS($G$2:$G2565,$B$2:$B2565,$B1341,$P$2:$P2565,"&lt;="&amp;$P1341,$P$2:$P2565,"&gt;"&amp;$P1341-7)</f>
        <v>7.615384615384615</v>
      </c>
      <c r="AE1341" s="76">
        <f ca="1">IFERROR(__xludf.DUMMYFUNCTION("iferror(stdevp(filter($F$2:$F2568,$B$2:$B2568=$B1344,$O$2:$O2568&lt;=$O1344,$O$2:$O2568&gt;$O1344-7)),0)"),0)</f>
        <v>0</v>
      </c>
      <c r="AF1341" s="77">
        <f t="shared" ca="1" si="112"/>
        <v>0</v>
      </c>
      <c r="AG1341" s="77">
        <f t="shared" ca="1" si="113"/>
        <v>3</v>
      </c>
      <c r="AH1341" s="76">
        <f t="array" ref="AH1341">AVERAGEIFS($I$2:$I2565,$B$2:$B2565,$B1341,$P$2:$P2565,"&lt;="&amp;$P1341,$P$2:$P2565,"&gt;"&amp;$P1341-7)</f>
        <v>5.1923076923076925</v>
      </c>
      <c r="AI1341" s="76">
        <f ca="1">IFERROR(__xludf.DUMMYFUNCTION("iferror(stdevp(filter($H$2:$H2568,$B$2:$B2568=$B1344,$O$2:$O2568&lt;=$O1344,$O$2:$O2568&gt;$O1344-7)),0)"),0)</f>
        <v>0</v>
      </c>
      <c r="AJ1341" s="77">
        <f t="shared" ca="1" si="114"/>
        <v>0</v>
      </c>
      <c r="AK1341" s="77">
        <f t="shared" ca="1" si="115"/>
        <v>3</v>
      </c>
      <c r="AL1341" s="76">
        <f t="array" ref="AL1341">AVERAGEIFS($J$2:$J2565,$B$2:$B2565,$B1341,$P$2:$P2565,"&lt;="&amp;$P1341,$P$2:$P2565,"&gt;"&amp;$P1341-7)</f>
        <v>7.6923076923076925</v>
      </c>
      <c r="AM1341" s="76">
        <f ca="1">IFERROR(__xludf.DUMMYFUNCTION("iferror(stdevp(filter($I$2:$I2568,$B$2:$B2568=$B1344,$O$2:$O2568&lt;=$O1344,$O$2:$O2568&gt;$O1344-7)),0)"),0.5)</f>
        <v>0.5</v>
      </c>
      <c r="AN1341" s="77">
        <f t="shared" ca="1" si="116"/>
        <v>0.61538461538461497</v>
      </c>
      <c r="AO1341" s="77">
        <f t="shared" ca="1" si="117"/>
        <v>3</v>
      </c>
      <c r="AP1341" s="76">
        <f t="array" ref="AP1341">AVERAGEIFS($K$2:$K2565,$B$2:$B2565,$B1341,$P$2:$P2565,"&lt;="&amp;$P1341,$P$2:$P2565,"&gt;"&amp;$P1341-7)</f>
        <v>7.8461538461538458</v>
      </c>
      <c r="AQ1341" s="76">
        <f ca="1">IFERROR(__xludf.DUMMYFUNCTION("iferror(stdevp(filter($J$2:$J2568,$B$2:$B2568=$B1344,$O$2:$O2568&lt;=$O1344,$O$2:$O2568&gt;$O1344-7)),0)"),1)</f>
        <v>1</v>
      </c>
      <c r="AR1341" s="77">
        <f t="shared" ca="1" si="118"/>
        <v>1.1538461538461542</v>
      </c>
      <c r="AS1341" s="77">
        <f t="shared" ca="1" si="119"/>
        <v>4</v>
      </c>
      <c r="AT1341" s="78">
        <f t="shared" ca="1" si="120"/>
        <v>0.75</v>
      </c>
    </row>
    <row r="1342" spans="1:46" ht="12.5" x14ac:dyDescent="0.25">
      <c r="A1342" s="75">
        <v>44993.294972858799</v>
      </c>
      <c r="B1342" s="1" t="s">
        <v>17</v>
      </c>
      <c r="C1342" s="1" t="str">
        <f>INDEX(TBL_Name,MATCH(Table2[[#This Row],[Athlete Name]],listNames,0),2)</f>
        <v>Athlete 10</v>
      </c>
      <c r="D1342" s="1" t="s">
        <v>130</v>
      </c>
      <c r="E1342" s="1">
        <v>7</v>
      </c>
      <c r="F1342" s="1">
        <v>6</v>
      </c>
      <c r="G1342" s="1">
        <v>8</v>
      </c>
      <c r="H1342" s="1" t="s">
        <v>1226</v>
      </c>
      <c r="I1342" s="1">
        <v>7</v>
      </c>
      <c r="J1342" s="1">
        <v>7</v>
      </c>
      <c r="K1342" s="1">
        <v>9</v>
      </c>
      <c r="L1342" s="1">
        <v>78</v>
      </c>
      <c r="M1342" s="1" t="e">
        <f t="shared" ref="M1342" ca="1" si="205">_xludf.concat($B1342,$P1342)</f>
        <v>#NAME?</v>
      </c>
      <c r="N1342" s="1" t="e">
        <f t="shared" si="104"/>
        <v>#VALUE!</v>
      </c>
      <c r="O1342" s="1" t="e">
        <f t="shared" ref="O1342" ca="1" si="206">IF($N1342=_xludf.MINIFS($N$2:$N2848,$R$2:$R2848,$R1342),1,
($N1342-_xludf.MINIFS($N$2:$N2848,$R$2:$R2848,$R1342))+1)</f>
        <v>#VALUE!</v>
      </c>
      <c r="P1342" s="13" t="e">
        <f t="shared" si="106"/>
        <v>#VALUE!</v>
      </c>
      <c r="Q1342" s="1" t="str">
        <f>RIGHT(YEAR($A1342),2)-(MONTH($A1342)&lt;=[3]Roster!$K$25)
 &amp;"-"&amp;
 RIGHT(YEAR($A1342),2)+(MONTH($A1342)&gt;=[3]Roster!$K$26)</f>
        <v>22-23</v>
      </c>
      <c r="R1342" s="1" t="e">
        <f>CHOOSE(MONTH($P1342),[3]Roster!$K$9,[3]Roster!$K$10,[3]Roster!$K$11,[3]Roster!$K$12,[3]Roster!$K$13,[3]Roster!$K$14,[3]Roster!$K$15,[3]Roster!$K$16,[3]Roster!$K$17,[3]Roster!$K$18,[3]Roster!$K$19,[3]Roster!$K$20)&amp;" "&amp;$Q1342</f>
        <v>#VALUE!</v>
      </c>
      <c r="S1342" s="1">
        <f t="shared" si="107"/>
        <v>1</v>
      </c>
      <c r="T1342" s="1" t="str">
        <f t="array" ref="T1342">IFERROR(INDEX([3]Roster!$D$3:$D$42,MATCH($B1342,[3]Roster!$C$3:$C$42,0)),"")</f>
        <v>D</v>
      </c>
      <c r="U1342" s="1" t="str">
        <f t="array" ref="U1342">IFERROR(INDEX([3]Roster!$E$3:$E$42,MATCH($B1342,[3]Roster!$C$3:$C$42,0)),"")</f>
        <v>D</v>
      </c>
      <c r="V1342" s="76">
        <f t="array" ref="V1342">AVERAGEIFS($E$2:$E2565,$B$2:$B2565,$B1342,$P$2:$P2565,"&lt;="&amp;$P1342,$P$2:$P2565,"&gt;"&amp;$P1342-7)</f>
        <v>6.9024390243902438</v>
      </c>
      <c r="W1342" s="76">
        <f ca="1">IFERROR(__xludf.DUMMYFUNCTION("iferror(stdevp(filter($D$2:$D2568,$B$2:$B2568=$B1345,$O$2:$O2568&lt;=$O1345,$O$2:$O2568&gt;$O1345-7)),0)"),0.433012701892219)</f>
        <v>0.43301270189221902</v>
      </c>
      <c r="X1342" s="77">
        <f t="shared" ca="1" si="108"/>
        <v>0.22530742212278115</v>
      </c>
      <c r="Y1342" s="77">
        <f t="shared" ca="1" si="109"/>
        <v>3</v>
      </c>
      <c r="Z1342" s="76">
        <f t="array" ref="Z1342">AVERAGEIFS($F$2:$F2565,$B$2:$B2565,$B1342,$P$2:$P2565,"&lt;="&amp;$P1342,$P$2:$P2565,"&gt;"&amp;$P1342-7)</f>
        <v>7.2926829268292686</v>
      </c>
      <c r="AA1342" s="76">
        <f ca="1">IFERROR(__xludf.DUMMYFUNCTION("iferror(stdevp(filter($E$2:$E2568,$B$2:$B2568=$B1345,$O$2:$O2568&lt;=$O1345,$O$2:$O2568&gt;$O1345-7)),0)"),1.11803398874989)</f>
        <v>1.11803398874989</v>
      </c>
      <c r="AB1342" s="77">
        <f t="shared" ca="1" si="110"/>
        <v>-1.1562107590974575</v>
      </c>
      <c r="AC1342" s="77">
        <f t="shared" ca="1" si="111"/>
        <v>1</v>
      </c>
      <c r="AD1342" s="76">
        <f t="array" ref="AD1342">AVERAGEIFS($G$2:$G2565,$B$2:$B2565,$B1342,$P$2:$P2565,"&lt;="&amp;$P1342,$P$2:$P2565,"&gt;"&amp;$P1342-7)</f>
        <v>7.8048780487804876</v>
      </c>
      <c r="AE1342" s="76">
        <f ca="1">IFERROR(__xludf.DUMMYFUNCTION("iferror(stdevp(filter($F$2:$F2568,$B$2:$B2568=$B1345,$O$2:$O2568&lt;=$O1345,$O$2:$O2568&gt;$O1345-7)),0)"),0.433012701892219)</f>
        <v>0.43301270189221902</v>
      </c>
      <c r="AF1342" s="77">
        <f t="shared" ca="1" si="112"/>
        <v>0.45061484424556231</v>
      </c>
      <c r="AG1342" s="77">
        <f t="shared" ca="1" si="113"/>
        <v>3</v>
      </c>
      <c r="AH1342" s="76">
        <f t="array" ref="AH1342">AVERAGEIFS($I$2:$I2565,$B$2:$B2565,$B1342,$P$2:$P2565,"&lt;="&amp;$P1342,$P$2:$P2565,"&gt;"&amp;$P1342-7)</f>
        <v>6.3170731707317076</v>
      </c>
      <c r="AI1342" s="76">
        <f ca="1">IFERROR(__xludf.DUMMYFUNCTION("iferror(stdevp(filter($H$2:$H2568,$B$2:$B2568=$B1345,$O$2:$O2568&lt;=$O1345,$O$2:$O2568&gt;$O1345-7)),0)"),0.866025403784438)</f>
        <v>0.86602540378443804</v>
      </c>
      <c r="AJ1342" s="77">
        <f t="shared" ca="1" si="114"/>
        <v>0.78857597742973295</v>
      </c>
      <c r="AK1342" s="77">
        <f t="shared" ca="1" si="115"/>
        <v>3</v>
      </c>
      <c r="AL1342" s="76">
        <f t="array" ref="AL1342">AVERAGEIFS($J$2:$J2565,$B$2:$B2565,$B1342,$P$2:$P2565,"&lt;="&amp;$P1342,$P$2:$P2565,"&gt;"&amp;$P1342-7)</f>
        <v>6.9024390243902438</v>
      </c>
      <c r="AM1342" s="76">
        <f ca="1">IFERROR(__xludf.DUMMYFUNCTION("iferror(stdevp(filter($I$2:$I2568,$B$2:$B2568=$B1345,$O$2:$O2568&lt;=$O1345,$O$2:$O2568&gt;$O1345-7)),0)"),0)</f>
        <v>0</v>
      </c>
      <c r="AN1342" s="77">
        <f t="shared" ca="1" si="116"/>
        <v>0</v>
      </c>
      <c r="AO1342" s="77">
        <f t="shared" ca="1" si="117"/>
        <v>3</v>
      </c>
      <c r="AP1342" s="76">
        <f t="array" ref="AP1342">AVERAGEIFS($K$2:$K2565,$B$2:$B2565,$B1342,$P$2:$P2565,"&lt;="&amp;$P1342,$P$2:$P2565,"&gt;"&amp;$P1342-7)</f>
        <v>8</v>
      </c>
      <c r="AQ1342" s="76">
        <f ca="1">IFERROR(__xludf.DUMMYFUNCTION("iferror(stdevp(filter($J$2:$J2568,$B$2:$B2568=$B1345,$O$2:$O2568&lt;=$O1345,$O$2:$O2568&gt;$O1345-7)),0)"),0.5)</f>
        <v>0.5</v>
      </c>
      <c r="AR1342" s="77">
        <f t="shared" ca="1" si="118"/>
        <v>2</v>
      </c>
      <c r="AS1342" s="77">
        <f t="shared" ca="1" si="119"/>
        <v>4</v>
      </c>
      <c r="AT1342" s="78">
        <f t="shared" ca="1" si="120"/>
        <v>0.70833333333333337</v>
      </c>
    </row>
    <row r="1343" spans="1:46" ht="12.5" x14ac:dyDescent="0.25">
      <c r="A1343" s="75">
        <v>44993.315376261569</v>
      </c>
      <c r="B1343" s="1" t="s">
        <v>10</v>
      </c>
      <c r="C1343" s="1" t="str">
        <f>INDEX(TBL_Name,MATCH(Table2[[#This Row],[Athlete Name]],listNames,0),2)</f>
        <v>Athlete 5</v>
      </c>
      <c r="D1343" s="1" t="s">
        <v>130</v>
      </c>
      <c r="E1343" s="1">
        <v>9</v>
      </c>
      <c r="F1343" s="1">
        <v>7</v>
      </c>
      <c r="G1343" s="1">
        <v>7</v>
      </c>
      <c r="H1343" s="1" t="s">
        <v>342</v>
      </c>
      <c r="I1343" s="1">
        <v>3</v>
      </c>
      <c r="J1343" s="1">
        <v>9</v>
      </c>
      <c r="K1343" s="1">
        <v>9</v>
      </c>
      <c r="L1343" s="1">
        <v>60</v>
      </c>
      <c r="M1343" s="1" t="e">
        <f t="shared" ref="M1343" ca="1" si="207">_xludf.concat($B1343,$P1343)</f>
        <v>#NAME?</v>
      </c>
      <c r="N1343" s="1" t="e">
        <f t="shared" si="104"/>
        <v>#VALUE!</v>
      </c>
      <c r="O1343" s="1" t="e">
        <f t="shared" ref="O1343" ca="1" si="208">IF($N1343=_xludf.MINIFS($N$2:$N2849,$R$2:$R2849,$R1343),1,
($N1343-_xludf.MINIFS($N$2:$N2849,$R$2:$R2849,$R1343))+1)</f>
        <v>#VALUE!</v>
      </c>
      <c r="P1343" s="13" t="e">
        <f t="shared" si="106"/>
        <v>#VALUE!</v>
      </c>
      <c r="Q1343" s="1" t="str">
        <f>RIGHT(YEAR($A1343),2)-(MONTH($A1343)&lt;=[3]Roster!$K$25)
 &amp;"-"&amp;
 RIGHT(YEAR($A1343),2)+(MONTH($A1343)&gt;=[3]Roster!$K$26)</f>
        <v>22-23</v>
      </c>
      <c r="R1343" s="1" t="e">
        <f>CHOOSE(MONTH($P1343),[3]Roster!$K$9,[3]Roster!$K$10,[3]Roster!$K$11,[3]Roster!$K$12,[3]Roster!$K$13,[3]Roster!$K$14,[3]Roster!$K$15,[3]Roster!$K$16,[3]Roster!$K$17,[3]Roster!$K$18,[3]Roster!$K$19,[3]Roster!$K$20)&amp;" "&amp;$Q1343</f>
        <v>#VALUE!</v>
      </c>
      <c r="S1343" s="1">
        <f t="shared" si="107"/>
        <v>1</v>
      </c>
      <c r="T1343" s="1" t="str">
        <f t="array" ref="T1343">IFERROR(INDEX([3]Roster!$D$3:$D$42,MATCH($B1343,[3]Roster!$C$3:$C$42,0)),"")</f>
        <v>MID</v>
      </c>
      <c r="U1343" s="1" t="str">
        <f t="array" ref="U1343">IFERROR(INDEX([3]Roster!$E$3:$E$42,MATCH($B1343,[3]Roster!$C$3:$C$42,0)),"")</f>
        <v>MID</v>
      </c>
      <c r="V1343" s="76">
        <f t="array" ref="V1343">AVERAGEIFS($E$2:$E2565,$B$2:$B2565,$B1343,$P$2:$P2565,"&lt;="&amp;$P1343,$P$2:$P2565,"&gt;"&amp;$P1343-7)</f>
        <v>8.4042553191489358</v>
      </c>
      <c r="W1343" s="76">
        <f ca="1">IFERROR(__xludf.DUMMYFUNCTION("iferror(stdevp(filter($D$2:$D2568,$B$2:$B2568=$B1346,$O$2:$O2568&lt;=$O1346,$O$2:$O2568&gt;$O1346-7)),0)"),0.372677996249964)</f>
        <v>0.37267799624996401</v>
      </c>
      <c r="X1343" s="77">
        <f t="shared" ca="1" si="108"/>
        <v>1.5985507243402803</v>
      </c>
      <c r="Y1343" s="77">
        <f t="shared" ca="1" si="109"/>
        <v>4</v>
      </c>
      <c r="Z1343" s="76">
        <f t="array" ref="Z1343">AVERAGEIFS($F$2:$F2565,$B$2:$B2565,$B1343,$P$2:$P2565,"&lt;="&amp;$P1343,$P$2:$P2565,"&gt;"&amp;$P1343-7)</f>
        <v>8.085106382978724</v>
      </c>
      <c r="AA1343" s="76">
        <f ca="1">IFERROR(__xludf.DUMMYFUNCTION("iferror(stdevp(filter($E$2:$E2568,$B$2:$B2568=$B1346,$O$2:$O2568&lt;=$O1346,$O$2:$O2568&gt;$O1346-7)),0)"),0.687184270936277)</f>
        <v>0.68718427093627699</v>
      </c>
      <c r="AB1343" s="77">
        <f t="shared" ca="1" si="110"/>
        <v>-1.5790617289599553</v>
      </c>
      <c r="AC1343" s="77">
        <f t="shared" ca="1" si="111"/>
        <v>1</v>
      </c>
      <c r="AD1343" s="76">
        <f t="array" ref="AD1343">AVERAGEIFS($G$2:$G2565,$B$2:$B2565,$B1343,$P$2:$P2565,"&lt;="&amp;$P1343,$P$2:$P2565,"&gt;"&amp;$P1343-7)</f>
        <v>8.0638297872340434</v>
      </c>
      <c r="AE1343" s="76">
        <f ca="1">IFERROR(__xludf.DUMMYFUNCTION("iferror(stdevp(filter($F$2:$F2568,$B$2:$B2568=$B1346,$O$2:$O2568&lt;=$O1346,$O$2:$O2568&gt;$O1346-7)),0)"),0.687184270936277)</f>
        <v>0.68718427093627699</v>
      </c>
      <c r="AF1343" s="77">
        <f t="shared" ca="1" si="112"/>
        <v>-1.5480997342744665</v>
      </c>
      <c r="AG1343" s="77">
        <f t="shared" ca="1" si="113"/>
        <v>1</v>
      </c>
      <c r="AH1343" s="76">
        <f t="array" ref="AH1343">AVERAGEIFS($I$2:$I2565,$B$2:$B2565,$B1343,$P$2:$P2565,"&lt;="&amp;$P1343,$P$2:$P2565,"&gt;"&amp;$P1343-7)</f>
        <v>6.7446808510638299</v>
      </c>
      <c r="AI1343" s="76">
        <f ca="1">IFERROR(__xludf.DUMMYFUNCTION("iferror(stdevp(filter($H$2:$H2568,$B$2:$B2568=$B1346,$O$2:$O2568&lt;=$O1346,$O$2:$O2568&gt;$O1346-7)),0)"),2.14087209644418)</f>
        <v>2.1408720964441801</v>
      </c>
      <c r="AJ1343" s="77">
        <f t="shared" ca="1" si="114"/>
        <v>-1.7491380532650456</v>
      </c>
      <c r="AK1343" s="77">
        <f t="shared" ca="1" si="115"/>
        <v>1</v>
      </c>
      <c r="AL1343" s="76">
        <f t="array" ref="AL1343">AVERAGEIFS($J$2:$J2565,$B$2:$B2565,$B1343,$P$2:$P2565,"&lt;="&amp;$P1343,$P$2:$P2565,"&gt;"&amp;$P1343-7)</f>
        <v>8.1063829787234045</v>
      </c>
      <c r="AM1343" s="76">
        <f ca="1">IFERROR(__xludf.DUMMYFUNCTION("iferror(stdevp(filter($I$2:$I2568,$B$2:$B2568=$B1346,$O$2:$O2568&lt;=$O1346,$O$2:$O2568&gt;$O1346-7)),0)"),0.687184270936276)</f>
        <v>0.68718427093627599</v>
      </c>
      <c r="AN1343" s="77">
        <f t="shared" ca="1" si="116"/>
        <v>1.3004037767905523</v>
      </c>
      <c r="AO1343" s="77">
        <f t="shared" ca="1" si="117"/>
        <v>4</v>
      </c>
      <c r="AP1343" s="76">
        <f t="array" ref="AP1343">AVERAGEIFS($K$2:$K2565,$B$2:$B2565,$B1343,$P$2:$P2565,"&lt;="&amp;$P1343,$P$2:$P2565,"&gt;"&amp;$P1343-7)</f>
        <v>8.2978723404255312</v>
      </c>
      <c r="AQ1343" s="76">
        <f ca="1">IFERROR(__xludf.DUMMYFUNCTION("iferror(stdevp(filter($J$2:$J2568,$B$2:$B2568=$B1346,$O$2:$O2568&lt;=$O1346,$O$2:$O2568&gt;$O1346-7)),0)"),0.372677996249965)</f>
        <v>0.372677996249965</v>
      </c>
      <c r="AR1343" s="77">
        <f t="shared" ca="1" si="118"/>
        <v>1.8840062108296116</v>
      </c>
      <c r="AS1343" s="77">
        <f t="shared" ca="1" si="119"/>
        <v>4</v>
      </c>
      <c r="AT1343" s="78">
        <f t="shared" ca="1" si="120"/>
        <v>0.625</v>
      </c>
    </row>
    <row r="1344" spans="1:46" ht="12.5" x14ac:dyDescent="0.25">
      <c r="A1344" s="75">
        <v>44993.324312928242</v>
      </c>
      <c r="B1344" s="1" t="s">
        <v>29</v>
      </c>
      <c r="C1344" s="1" t="str">
        <f>INDEX(TBL_Name,MATCH(Table2[[#This Row],[Athlete Name]],listNames,0),2)</f>
        <v>Athlete 18</v>
      </c>
      <c r="D1344" s="1" t="s">
        <v>130</v>
      </c>
      <c r="E1344" s="1">
        <v>9</v>
      </c>
      <c r="F1344" s="1">
        <v>8</v>
      </c>
      <c r="G1344" s="1">
        <v>8</v>
      </c>
      <c r="H1344" s="1" t="s">
        <v>1545</v>
      </c>
      <c r="I1344" s="1">
        <v>7</v>
      </c>
      <c r="J1344" s="1">
        <v>7</v>
      </c>
      <c r="K1344" s="1">
        <v>9</v>
      </c>
      <c r="L1344" s="1">
        <v>97</v>
      </c>
      <c r="M1344" s="1" t="e">
        <f t="shared" ref="M1344" ca="1" si="209">_xludf.concat($B1344,$P1344)</f>
        <v>#NAME?</v>
      </c>
      <c r="N1344" s="1" t="e">
        <f t="shared" si="104"/>
        <v>#VALUE!</v>
      </c>
      <c r="O1344" s="1" t="e">
        <f t="shared" ref="O1344" ca="1" si="210">IF($N1344=_xludf.MINIFS($N$2:$N2850,$R$2:$R2850,$R1344),1,
($N1344-_xludf.MINIFS($N$2:$N2850,$R$2:$R2850,$R1344))+1)</f>
        <v>#VALUE!</v>
      </c>
      <c r="P1344" s="13" t="e">
        <f t="shared" si="106"/>
        <v>#VALUE!</v>
      </c>
      <c r="Q1344" s="1" t="str">
        <f>RIGHT(YEAR($A1344),2)-(MONTH($A1344)&lt;=[3]Roster!$K$25)
 &amp;"-"&amp;
 RIGHT(YEAR($A1344),2)+(MONTH($A1344)&gt;=[3]Roster!$K$26)</f>
        <v>22-23</v>
      </c>
      <c r="R1344" s="1" t="e">
        <f>CHOOSE(MONTH($P1344),[3]Roster!$K$9,[3]Roster!$K$10,[3]Roster!$K$11,[3]Roster!$K$12,[3]Roster!$K$13,[3]Roster!$K$14,[3]Roster!$K$15,[3]Roster!$K$16,[3]Roster!$K$17,[3]Roster!$K$18,[3]Roster!$K$19,[3]Roster!$K$20)&amp;" "&amp;$Q1344</f>
        <v>#VALUE!</v>
      </c>
      <c r="S1344" s="1">
        <f t="shared" si="107"/>
        <v>1</v>
      </c>
      <c r="T1344" s="1" t="str">
        <f t="array" ref="T1344">IFERROR(INDEX([3]Roster!$D$3:$D$42,MATCH($B1344,[3]Roster!$C$3:$C$42,0)),"")</f>
        <v>GK</v>
      </c>
      <c r="U1344" s="1" t="str">
        <f t="array" ref="U1344">IFERROR(INDEX([3]Roster!$E$3:$E$42,MATCH($B1344,[3]Roster!$C$3:$C$42,0)),"")</f>
        <v>GK</v>
      </c>
      <c r="V1344" s="76">
        <f t="array" ref="V1344">AVERAGEIFS($E$2:$E2565,$B$2:$B2565,$B1344,$P$2:$P2565,"&lt;="&amp;$P1344,$P$2:$P2565,"&gt;"&amp;$P1344-7)</f>
        <v>8.53125</v>
      </c>
      <c r="W1344" s="76">
        <f ca="1">IFERROR(__xludf.DUMMYFUNCTION("iferror(stdevp(filter($D$2:$D2568,$B$2:$B2568=$B1347,$O$2:$O2568&lt;=$O1347,$O$2:$O2568&gt;$O1347-7)),0)"),0.471404520791031)</f>
        <v>0.47140452079103101</v>
      </c>
      <c r="X1344" s="77">
        <f t="shared" ca="1" si="108"/>
        <v>0.99436891104358383</v>
      </c>
      <c r="Y1344" s="77">
        <f t="shared" ca="1" si="109"/>
        <v>3</v>
      </c>
      <c r="Z1344" s="76">
        <f t="array" ref="Z1344">AVERAGEIFS($F$2:$F2565,$B$2:$B2565,$B1344,$P$2:$P2565,"&lt;="&amp;$P1344,$P$2:$P2565,"&gt;"&amp;$P1344-7)</f>
        <v>8.125</v>
      </c>
      <c r="AA1344" s="76">
        <f ca="1">IFERROR(__xludf.DUMMYFUNCTION("iferror(stdevp(filter($E$2:$E2568,$B$2:$B2568=$B1347,$O$2:$O2568&lt;=$O1347,$O$2:$O2568&gt;$O1347-7)),0)"),0.471404520791031)</f>
        <v>0.47140452079103101</v>
      </c>
      <c r="AB1344" s="77">
        <f t="shared" ca="1" si="110"/>
        <v>-0.26516504294495569</v>
      </c>
      <c r="AC1344" s="77">
        <f t="shared" ca="1" si="111"/>
        <v>2</v>
      </c>
      <c r="AD1344" s="76">
        <f t="array" ref="AD1344">AVERAGEIFS($G$2:$G2565,$B$2:$B2565,$B1344,$P$2:$P2565,"&lt;="&amp;$P1344,$P$2:$P2565,"&gt;"&amp;$P1344-7)</f>
        <v>8.09375</v>
      </c>
      <c r="AE1344" s="76">
        <f ca="1">IFERROR(__xludf.DUMMYFUNCTION("iferror(stdevp(filter($F$2:$F2568,$B$2:$B2568=$B1347,$O$2:$O2568&lt;=$O1347,$O$2:$O2568&gt;$O1347-7)),0)"),0)</f>
        <v>0</v>
      </c>
      <c r="AF1344" s="77">
        <f t="shared" ca="1" si="112"/>
        <v>0</v>
      </c>
      <c r="AG1344" s="77">
        <f t="shared" ca="1" si="113"/>
        <v>3</v>
      </c>
      <c r="AH1344" s="76">
        <f t="array" ref="AH1344">AVERAGEIFS($I$2:$I2565,$B$2:$B2565,$B1344,$P$2:$P2565,"&lt;="&amp;$P1344,$P$2:$P2565,"&gt;"&amp;$P1344-7)</f>
        <v>7.875</v>
      </c>
      <c r="AI1344" s="76">
        <f ca="1">IFERROR(__xludf.DUMMYFUNCTION("iferror(stdevp(filter($H$2:$H2568,$B$2:$B2568=$B1347,$O$2:$O2568&lt;=$O1347,$O$2:$O2568&gt;$O1347-7)),0)"),0.816496580927726)</f>
        <v>0.81649658092772603</v>
      </c>
      <c r="AJ1344" s="77">
        <f t="shared" ca="1" si="114"/>
        <v>-1.0716517624676405</v>
      </c>
      <c r="AK1344" s="77">
        <f t="shared" ca="1" si="115"/>
        <v>1</v>
      </c>
      <c r="AL1344" s="76">
        <f t="array" ref="AL1344">AVERAGEIFS($J$2:$J2565,$B$2:$B2565,$B1344,$P$2:$P2565,"&lt;="&amp;$P1344,$P$2:$P2565,"&gt;"&amp;$P1344-7)</f>
        <v>8.34375</v>
      </c>
      <c r="AM1344" s="76">
        <f ca="1">IFERROR(__xludf.DUMMYFUNCTION("iferror(stdevp(filter($I$2:$I2568,$B$2:$B2568=$B1347,$O$2:$O2568&lt;=$O1347,$O$2:$O2568&gt;$O1347-7)),0)"),0.816496580927726)</f>
        <v>0.81649658092772603</v>
      </c>
      <c r="AN1344" s="77">
        <f t="shared" ca="1" si="116"/>
        <v>-1.6457509209324477</v>
      </c>
      <c r="AO1344" s="77">
        <f t="shared" ca="1" si="117"/>
        <v>1</v>
      </c>
      <c r="AP1344" s="76">
        <f t="array" ref="AP1344">AVERAGEIFS($K$2:$K2565,$B$2:$B2565,$B1344,$P$2:$P2565,"&lt;="&amp;$P1344,$P$2:$P2565,"&gt;"&amp;$P1344-7)</f>
        <v>8.46875</v>
      </c>
      <c r="AQ1344" s="76">
        <f ca="1">IFERROR(__xludf.DUMMYFUNCTION("iferror(stdevp(filter($J$2:$J2568,$B$2:$B2568=$B1347,$O$2:$O2568&lt;=$O1347,$O$2:$O2568&gt;$O1347-7)),0)"),0.471404520791031)</f>
        <v>0.47140452079103101</v>
      </c>
      <c r="AR1344" s="77">
        <f t="shared" ca="1" si="118"/>
        <v>1.1269514325160617</v>
      </c>
      <c r="AS1344" s="77">
        <f t="shared" ca="1" si="119"/>
        <v>4</v>
      </c>
      <c r="AT1344" s="78">
        <f t="shared" ca="1" si="120"/>
        <v>0.58333333333333337</v>
      </c>
    </row>
    <row r="1345" spans="1:46" ht="12.5" x14ac:dyDescent="0.25">
      <c r="A1345" s="75">
        <v>44993.347879884255</v>
      </c>
      <c r="B1345" s="1" t="s">
        <v>15</v>
      </c>
      <c r="C1345" s="1" t="str">
        <f>INDEX(TBL_Name,MATCH(Table2[[#This Row],[Athlete Name]],listNames,0),2)</f>
        <v>Athlete 8</v>
      </c>
      <c r="D1345" s="1" t="s">
        <v>130</v>
      </c>
      <c r="E1345" s="1">
        <v>10</v>
      </c>
      <c r="F1345" s="1">
        <v>10</v>
      </c>
      <c r="G1345" s="1">
        <v>7</v>
      </c>
      <c r="H1345" s="1" t="s">
        <v>226</v>
      </c>
      <c r="I1345" s="1">
        <v>5</v>
      </c>
      <c r="J1345" s="1">
        <v>10</v>
      </c>
      <c r="K1345" s="1">
        <v>10</v>
      </c>
      <c r="L1345" s="1">
        <v>83</v>
      </c>
      <c r="M1345" s="1" t="e">
        <f t="shared" ref="M1345" ca="1" si="211">_xludf.concat($B1345,$P1345)</f>
        <v>#NAME?</v>
      </c>
      <c r="N1345" s="1" t="e">
        <f t="shared" si="104"/>
        <v>#VALUE!</v>
      </c>
      <c r="O1345" s="1" t="e">
        <f t="shared" ref="O1345" ca="1" si="212">IF($N1345=_xludf.MINIFS($N$2:$N2851,$R$2:$R2851,$R1345),1,
($N1345-_xludf.MINIFS($N$2:$N2851,$R$2:$R2851,$R1345))+1)</f>
        <v>#VALUE!</v>
      </c>
      <c r="P1345" s="13" t="e">
        <f t="shared" si="106"/>
        <v>#VALUE!</v>
      </c>
      <c r="Q1345" s="1" t="str">
        <f>RIGHT(YEAR($A1345),2)-(MONTH($A1345)&lt;=[3]Roster!$K$25)
 &amp;"-"&amp;
 RIGHT(YEAR($A1345),2)+(MONTH($A1345)&gt;=[3]Roster!$K$26)</f>
        <v>22-23</v>
      </c>
      <c r="R1345" s="1" t="e">
        <f>CHOOSE(MONTH($P1345),[3]Roster!$K$9,[3]Roster!$K$10,[3]Roster!$K$11,[3]Roster!$K$12,[3]Roster!$K$13,[3]Roster!$K$14,[3]Roster!$K$15,[3]Roster!$K$16,[3]Roster!$K$17,[3]Roster!$K$18,[3]Roster!$K$19,[3]Roster!$K$20)&amp;" "&amp;$Q1345</f>
        <v>#VALUE!</v>
      </c>
      <c r="S1345" s="1">
        <f t="shared" si="107"/>
        <v>1</v>
      </c>
      <c r="T1345" s="1" t="str">
        <f t="array" ref="T1345">IFERROR(INDEX([3]Roster!$D$3:$D$42,MATCH($B1345,[3]Roster!$C$3:$C$42,0)),"")</f>
        <v>MID/D</v>
      </c>
      <c r="U1345" s="1" t="str">
        <f t="array" ref="U1345">IFERROR(INDEX([3]Roster!$E$3:$E$42,MATCH($B1345,[3]Roster!$C$3:$C$42,0)),"")</f>
        <v>MID/D</v>
      </c>
      <c r="V1345" s="76">
        <f t="array" ref="V1345">AVERAGEIFS($E$2:$E2565,$B$2:$B2565,$B1345,$P$2:$P2565,"&lt;="&amp;$P1345,$P$2:$P2565,"&gt;"&amp;$P1345-7)</f>
        <v>8.935483870967742</v>
      </c>
      <c r="W1345" s="76">
        <f ca="1">IFERROR(__xludf.DUMMYFUNCTION("iferror(stdevp(filter($D$2:$D2568,$B$2:$B2568=$B1348,$O$2:$O2568&lt;=$O1348,$O$2:$O2568&gt;$O1348-7)),0)"),2.49443825784929)</f>
        <v>2.4944382578492901</v>
      </c>
      <c r="X1345" s="77">
        <f t="shared" ca="1" si="108"/>
        <v>0.42675585402145255</v>
      </c>
      <c r="Y1345" s="77">
        <f t="shared" ca="1" si="109"/>
        <v>3</v>
      </c>
      <c r="Z1345" s="76">
        <f t="array" ref="Z1345">AVERAGEIFS($F$2:$F2565,$B$2:$B2565,$B1345,$P$2:$P2565,"&lt;="&amp;$P1345,$P$2:$P2565,"&gt;"&amp;$P1345-7)</f>
        <v>8.741935483870968</v>
      </c>
      <c r="AA1345" s="76">
        <f ca="1">IFERROR(__xludf.DUMMYFUNCTION("iferror(stdevp(filter($E$2:$E2568,$B$2:$B2568=$B1348,$O$2:$O2568&lt;=$O1348,$O$2:$O2568&gt;$O1348-7)),0)"),1.88561808316412)</f>
        <v>1.8856180831641201</v>
      </c>
      <c r="AB1345" s="77">
        <f t="shared" ca="1" si="110"/>
        <v>0.6671894628937608</v>
      </c>
      <c r="AC1345" s="77">
        <f t="shared" ca="1" si="111"/>
        <v>3</v>
      </c>
      <c r="AD1345" s="76">
        <f t="array" ref="AD1345">AVERAGEIFS($G$2:$G2565,$B$2:$B2565,$B1345,$P$2:$P2565,"&lt;="&amp;$P1345,$P$2:$P2565,"&gt;"&amp;$P1345-7)</f>
        <v>7.32258064516129</v>
      </c>
      <c r="AE1345" s="76">
        <f ca="1">IFERROR(__xludf.DUMMYFUNCTION("iferror(stdevp(filter($F$2:$F2568,$B$2:$B2568=$B1348,$O$2:$O2568&lt;=$O1348,$O$2:$O2568&gt;$O1348-7)),0)"),0)</f>
        <v>0</v>
      </c>
      <c r="AF1345" s="77">
        <f t="shared" ca="1" si="112"/>
        <v>0</v>
      </c>
      <c r="AG1345" s="77">
        <f t="shared" ca="1" si="113"/>
        <v>3</v>
      </c>
      <c r="AH1345" s="76">
        <f t="array" ref="AH1345">AVERAGEIFS($I$2:$I2565,$B$2:$B2565,$B1345,$P$2:$P2565,"&lt;="&amp;$P1345,$P$2:$P2565,"&gt;"&amp;$P1345-7)</f>
        <v>6.419354838709677</v>
      </c>
      <c r="AI1345" s="76">
        <f ca="1">IFERROR(__xludf.DUMMYFUNCTION("iferror(stdevp(filter($H$2:$H2568,$B$2:$B2568=$B1348,$O$2:$O2568&lt;=$O1348,$O$2:$O2568&gt;$O1348-7)),0)"),1.69967317119759)</f>
        <v>1.6996731711975901</v>
      </c>
      <c r="AJ1345" s="77">
        <f t="shared" ca="1" si="114"/>
        <v>-0.83507515607226968</v>
      </c>
      <c r="AK1345" s="77">
        <f t="shared" ca="1" si="115"/>
        <v>2</v>
      </c>
      <c r="AL1345" s="76">
        <f t="array" ref="AL1345">AVERAGEIFS($J$2:$J2565,$B$2:$B2565,$B1345,$P$2:$P2565,"&lt;="&amp;$P1345,$P$2:$P2565,"&gt;"&amp;$P1345-7)</f>
        <v>9.612903225806452</v>
      </c>
      <c r="AM1345" s="76">
        <f ca="1">IFERROR(__xludf.DUMMYFUNCTION("iferror(stdevp(filter($I$2:$I2568,$B$2:$B2568=$B1348,$O$2:$O2568&lt;=$O1348,$O$2:$O2568&gt;$O1348-7)),0)"),0)</f>
        <v>0</v>
      </c>
      <c r="AN1345" s="77">
        <f t="shared" ca="1" si="116"/>
        <v>0</v>
      </c>
      <c r="AO1345" s="77">
        <f t="shared" ca="1" si="117"/>
        <v>3</v>
      </c>
      <c r="AP1345" s="76">
        <f t="array" ref="AP1345">AVERAGEIFS($K$2:$K2565,$B$2:$B2565,$B1345,$P$2:$P2565,"&lt;="&amp;$P1345,$P$2:$P2565,"&gt;"&amp;$P1345-7)</f>
        <v>10</v>
      </c>
      <c r="AQ1345" s="76">
        <f ca="1">IFERROR(__xludf.DUMMYFUNCTION("iferror(stdevp(filter($J$2:$J2568,$B$2:$B2568=$B1348,$O$2:$O2568&lt;=$O1348,$O$2:$O2568&gt;$O1348-7)),0)"),0)</f>
        <v>0</v>
      </c>
      <c r="AR1345" s="77">
        <f t="shared" ca="1" si="118"/>
        <v>0</v>
      </c>
      <c r="AS1345" s="77">
        <f t="shared" ca="1" si="119"/>
        <v>3</v>
      </c>
      <c r="AT1345" s="78">
        <f t="shared" ca="1" si="120"/>
        <v>0.70833333333333337</v>
      </c>
    </row>
    <row r="1346" spans="1:46" ht="12.5" x14ac:dyDescent="0.25">
      <c r="A1346" s="75">
        <v>44993.361393136569</v>
      </c>
      <c r="B1346" s="1" t="s">
        <v>20</v>
      </c>
      <c r="C1346" s="1" t="str">
        <f>INDEX(TBL_Name,MATCH(Table2[[#This Row],[Athlete Name]],listNames,0),2)</f>
        <v>Athlete 12</v>
      </c>
      <c r="D1346" s="1" t="s">
        <v>130</v>
      </c>
      <c r="E1346" s="1">
        <v>9</v>
      </c>
      <c r="F1346" s="1">
        <v>9</v>
      </c>
      <c r="G1346" s="1">
        <v>9</v>
      </c>
      <c r="H1346" s="1" t="s">
        <v>208</v>
      </c>
      <c r="I1346" s="1">
        <v>5</v>
      </c>
      <c r="J1346" s="1">
        <v>9</v>
      </c>
      <c r="K1346" s="1">
        <v>8</v>
      </c>
      <c r="L1346" s="1">
        <v>85</v>
      </c>
      <c r="M1346" s="1" t="e">
        <f t="shared" ref="M1346" ca="1" si="213">_xludf.concat($B1346,$P1346)</f>
        <v>#NAME?</v>
      </c>
      <c r="N1346" s="1" t="e">
        <f t="shared" si="104"/>
        <v>#VALUE!</v>
      </c>
      <c r="O1346" s="1" t="e">
        <f t="shared" ref="O1346" ca="1" si="214">IF($N1346=_xludf.MINIFS($N$2:$N2852,$R$2:$R2852,$R1346),1,
($N1346-_xludf.MINIFS($N$2:$N2852,$R$2:$R2852,$R1346))+1)</f>
        <v>#VALUE!</v>
      </c>
      <c r="P1346" s="13" t="e">
        <f t="shared" si="106"/>
        <v>#VALUE!</v>
      </c>
      <c r="Q1346" s="1" t="str">
        <f>RIGHT(YEAR($A1346),2)-(MONTH($A1346)&lt;=[3]Roster!$K$25)
 &amp;"-"&amp;
 RIGHT(YEAR($A1346),2)+(MONTH($A1346)&gt;=[3]Roster!$K$26)</f>
        <v>22-23</v>
      </c>
      <c r="R1346" s="1" t="e">
        <f>CHOOSE(MONTH($P1346),[3]Roster!$K$9,[3]Roster!$K$10,[3]Roster!$K$11,[3]Roster!$K$12,[3]Roster!$K$13,[3]Roster!$K$14,[3]Roster!$K$15,[3]Roster!$K$16,[3]Roster!$K$17,[3]Roster!$K$18,[3]Roster!$K$19,[3]Roster!$K$20)&amp;" "&amp;$Q1346</f>
        <v>#VALUE!</v>
      </c>
      <c r="S1346" s="1">
        <f t="shared" si="107"/>
        <v>1</v>
      </c>
      <c r="T1346" s="1" t="str">
        <f t="array" ref="T1346">IFERROR(INDEX([3]Roster!$D$3:$D$42,MATCH($B1346,[3]Roster!$C$3:$C$42,0)),"")</f>
        <v>D</v>
      </c>
      <c r="U1346" s="1" t="str">
        <f t="array" ref="U1346">IFERROR(INDEX([3]Roster!$E$3:$E$42,MATCH($B1346,[3]Roster!$C$3:$C$42,0)),"")</f>
        <v>D</v>
      </c>
      <c r="V1346" s="76">
        <f t="array" ref="V1346">AVERAGEIFS($E$2:$E2565,$B$2:$B2565,$B1346,$P$2:$P2565,"&lt;="&amp;$P1346,$P$2:$P2565,"&gt;"&amp;$P1346-7)</f>
        <v>7.4761904761904763</v>
      </c>
      <c r="W1346" s="76">
        <f ca="1">IFERROR(__xludf.DUMMYFUNCTION("iferror(stdevp(filter($D$2:$D2568,$B$2:$B2568=$B1349,$O$2:$O2568&lt;=$O1349,$O$2:$O2568&gt;$O1349-7)),0)"),1.69967317119759)</f>
        <v>1.6996731711975901</v>
      </c>
      <c r="X1346" s="77">
        <f t="shared" ca="1" si="108"/>
        <v>0.89653090348884379</v>
      </c>
      <c r="Y1346" s="77">
        <f t="shared" ca="1" si="109"/>
        <v>3</v>
      </c>
      <c r="Z1346" s="76">
        <f t="array" ref="Z1346">AVERAGEIFS($F$2:$F2565,$B$2:$B2565,$B1346,$P$2:$P2565,"&lt;="&amp;$P1346,$P$2:$P2565,"&gt;"&amp;$P1346-7)</f>
        <v>8.1904761904761898</v>
      </c>
      <c r="AA1346" s="76">
        <f ca="1">IFERROR(__xludf.DUMMYFUNCTION("iferror(stdevp(filter($E$2:$E2568,$B$2:$B2568=$B1349,$O$2:$O2568&lt;=$O1349,$O$2:$O2568&gt;$O1349-7)),0)"),0.471404520791031)</f>
        <v>0.47140452079103101</v>
      </c>
      <c r="AB1346" s="77">
        <f t="shared" ca="1" si="110"/>
        <v>1.7172593257387621</v>
      </c>
      <c r="AC1346" s="77">
        <f t="shared" ca="1" si="111"/>
        <v>4</v>
      </c>
      <c r="AD1346" s="76">
        <f t="array" ref="AD1346">AVERAGEIFS($G$2:$G2565,$B$2:$B2565,$B1346,$P$2:$P2565,"&lt;="&amp;$P1346,$P$2:$P2565,"&gt;"&amp;$P1346-7)</f>
        <v>8.5714285714285712</v>
      </c>
      <c r="AE1346" s="76">
        <f ca="1">IFERROR(__xludf.DUMMYFUNCTION("iferror(stdevp(filter($F$2:$F2568,$B$2:$B2568=$B1349,$O$2:$O2568&lt;=$O1349,$O$2:$O2568&gt;$O1349-7)),0)"),0.816496580927726)</f>
        <v>0.81649658092772603</v>
      </c>
      <c r="AF1346" s="77">
        <f t="shared" ca="1" si="112"/>
        <v>0.52489065916782418</v>
      </c>
      <c r="AG1346" s="77">
        <f t="shared" ca="1" si="113"/>
        <v>3</v>
      </c>
      <c r="AH1346" s="76">
        <f t="array" ref="AH1346">AVERAGEIFS($I$2:$I2565,$B$2:$B2565,$B1346,$P$2:$P2565,"&lt;="&amp;$P1346,$P$2:$P2565,"&gt;"&amp;$P1346-7)</f>
        <v>5.6190476190476186</v>
      </c>
      <c r="AI1346" s="76">
        <f ca="1">IFERROR(__xludf.DUMMYFUNCTION("iferror(stdevp(filter($H$2:$H2568,$B$2:$B2568=$B1349,$O$2:$O2568&lt;=$O1349,$O$2:$O2568&gt;$O1349-7)),0)"),1.88561808316412)</f>
        <v>1.8856180831641201</v>
      </c>
      <c r="AJ1346" s="77">
        <f t="shared" ca="1" si="114"/>
        <v>-0.32829957697946943</v>
      </c>
      <c r="AK1346" s="77">
        <f t="shared" ca="1" si="115"/>
        <v>2</v>
      </c>
      <c r="AL1346" s="76">
        <f t="array" ref="AL1346">AVERAGEIFS($J$2:$J2565,$B$2:$B2565,$B1346,$P$2:$P2565,"&lt;="&amp;$P1346,$P$2:$P2565,"&gt;"&amp;$P1346-7)</f>
        <v>7</v>
      </c>
      <c r="AM1346" s="76">
        <f ca="1">IFERROR(__xludf.DUMMYFUNCTION("iferror(stdevp(filter($I$2:$I2568,$B$2:$B2568=$B1349,$O$2:$O2568&lt;=$O1349,$O$2:$O2568&gt;$O1349-7)),0)"),1.88561808316412)</f>
        <v>1.8856180831641201</v>
      </c>
      <c r="AN1346" s="77">
        <f t="shared" ca="1" si="116"/>
        <v>1.060660171779825</v>
      </c>
      <c r="AO1346" s="77">
        <f t="shared" ca="1" si="117"/>
        <v>4</v>
      </c>
      <c r="AP1346" s="76">
        <f t="array" ref="AP1346">AVERAGEIFS($K$2:$K2565,$B$2:$B2565,$B1346,$P$2:$P2565,"&lt;="&amp;$P1346,$P$2:$P2565,"&gt;"&amp;$P1346-7)</f>
        <v>7.4285714285714288</v>
      </c>
      <c r="AQ1346" s="76">
        <f ca="1">IFERROR(__xludf.DUMMYFUNCTION("iferror(stdevp(filter($J$2:$J2568,$B$2:$B2568=$B1349,$O$2:$O2568&lt;=$O1349,$O$2:$O2568&gt;$O1349-7)),0)"),0.471404520791031)</f>
        <v>0.47140452079103101</v>
      </c>
      <c r="AR1346" s="77">
        <f t="shared" ca="1" si="118"/>
        <v>1.2121830534626541</v>
      </c>
      <c r="AS1346" s="77">
        <f t="shared" ca="1" si="119"/>
        <v>4</v>
      </c>
      <c r="AT1346" s="78">
        <f t="shared" ca="1" si="120"/>
        <v>0.83333333333333337</v>
      </c>
    </row>
    <row r="1347" spans="1:46" ht="12.5" x14ac:dyDescent="0.25">
      <c r="A1347" s="75">
        <v>44993.373719988427</v>
      </c>
      <c r="B1347" s="1" t="s">
        <v>19</v>
      </c>
      <c r="C1347" s="1" t="str">
        <f>INDEX(TBL_Name,MATCH(Table2[[#This Row],[Athlete Name]],listNames,0),2)</f>
        <v>Athlete 11</v>
      </c>
      <c r="D1347" s="1" t="s">
        <v>130</v>
      </c>
      <c r="E1347" s="1">
        <v>8</v>
      </c>
      <c r="F1347" s="1">
        <v>8</v>
      </c>
      <c r="G1347" s="1">
        <v>8</v>
      </c>
      <c r="H1347" s="1" t="s">
        <v>1608</v>
      </c>
      <c r="I1347" s="1">
        <v>3</v>
      </c>
      <c r="J1347" s="1">
        <v>9</v>
      </c>
      <c r="K1347" s="1">
        <v>9</v>
      </c>
      <c r="L1347" s="1">
        <v>53</v>
      </c>
      <c r="M1347" s="1" t="e">
        <f t="shared" ref="M1347" ca="1" si="215">_xludf.concat($B1347,$P1347)</f>
        <v>#NAME?</v>
      </c>
      <c r="N1347" s="1" t="e">
        <f t="shared" si="104"/>
        <v>#VALUE!</v>
      </c>
      <c r="O1347" s="1" t="e">
        <f t="shared" ref="O1347" ca="1" si="216">IF($N1347=_xludf.MINIFS($N$2:$N2853,$R$2:$R2853,$R1347),1,
($N1347-_xludf.MINIFS($N$2:$N2853,$R$2:$R2853,$R1347))+1)</f>
        <v>#VALUE!</v>
      </c>
      <c r="P1347" s="13" t="e">
        <f t="shared" si="106"/>
        <v>#VALUE!</v>
      </c>
      <c r="Q1347" s="1" t="str">
        <f>RIGHT(YEAR($A1347),2)-(MONTH($A1347)&lt;=[3]Roster!$K$25)
 &amp;"-"&amp;
 RIGHT(YEAR($A1347),2)+(MONTH($A1347)&gt;=[3]Roster!$K$26)</f>
        <v>22-23</v>
      </c>
      <c r="R1347" s="1" t="e">
        <f>CHOOSE(MONTH($P1347),[3]Roster!$K$9,[3]Roster!$K$10,[3]Roster!$K$11,[3]Roster!$K$12,[3]Roster!$K$13,[3]Roster!$K$14,[3]Roster!$K$15,[3]Roster!$K$16,[3]Roster!$K$17,[3]Roster!$K$18,[3]Roster!$K$19,[3]Roster!$K$20)&amp;" "&amp;$Q1347</f>
        <v>#VALUE!</v>
      </c>
      <c r="S1347" s="1">
        <f t="shared" si="107"/>
        <v>1</v>
      </c>
      <c r="T1347" s="1" t="str">
        <f t="array" ref="T1347">IFERROR(INDEX([3]Roster!$D$3:$D$42,MATCH($B1347,[3]Roster!$C$3:$C$42,0)),"")</f>
        <v>D</v>
      </c>
      <c r="U1347" s="1" t="str">
        <f t="array" ref="U1347">IFERROR(INDEX([3]Roster!$E$3:$E$42,MATCH($B1347,[3]Roster!$C$3:$C$42,0)),"")</f>
        <v>D</v>
      </c>
      <c r="V1347" s="76">
        <f t="array" ref="V1347">AVERAGEIFS($E$2:$E2565,$B$2:$B2565,$B1347,$P$2:$P2565,"&lt;="&amp;$P1347,$P$2:$P2565,"&gt;"&amp;$P1347-7)</f>
        <v>4.6538461538461542</v>
      </c>
      <c r="W1347" s="76">
        <f ca="1">IFERROR(__xludf.DUMMYFUNCTION("iferror(stdevp(filter($D$2:$D2568,$B$2:$B2568=$B1350,$O$2:$O2568&lt;=$O1350,$O$2:$O2568&gt;$O1350-7)),0)"),1.88561808316412)</f>
        <v>1.8856180831641201</v>
      </c>
      <c r="X1347" s="77">
        <f t="shared" ca="1" si="108"/>
        <v>1.7745660566316301</v>
      </c>
      <c r="Y1347" s="77">
        <f t="shared" ca="1" si="109"/>
        <v>4</v>
      </c>
      <c r="Z1347" s="76">
        <f t="array" ref="Z1347">AVERAGEIFS($F$2:$F2565,$B$2:$B2565,$B1347,$P$2:$P2565,"&lt;="&amp;$P1347,$P$2:$P2565,"&gt;"&amp;$P1347-7)</f>
        <v>6.8461538461538458</v>
      </c>
      <c r="AA1347" s="76">
        <f ca="1">IFERROR(__xludf.DUMMYFUNCTION("iferror(stdevp(filter($E$2:$E2568,$B$2:$B2568=$B1350,$O$2:$O2568&lt;=$O1350,$O$2:$O2568&gt;$O1350-7)),0)"),0.471404520791031)</f>
        <v>0.47140452079103101</v>
      </c>
      <c r="AB1347" s="77">
        <f t="shared" ca="1" si="110"/>
        <v>2.4476773194918997</v>
      </c>
      <c r="AC1347" s="77">
        <f t="shared" ca="1" si="111"/>
        <v>4</v>
      </c>
      <c r="AD1347" s="76">
        <f t="array" ref="AD1347">AVERAGEIFS($G$2:$G2565,$B$2:$B2565,$B1347,$P$2:$P2565,"&lt;="&amp;$P1347,$P$2:$P2565,"&gt;"&amp;$P1347-7)</f>
        <v>7.2692307692307692</v>
      </c>
      <c r="AE1347" s="76">
        <f ca="1">IFERROR(__xludf.DUMMYFUNCTION("iferror(stdevp(filter($F$2:$F2568,$B$2:$B2568=$B1350,$O$2:$O2568&lt;=$O1350,$O$2:$O2568&gt;$O1350-7)),0)"),0.471404520791031)</f>
        <v>0.47140452079103101</v>
      </c>
      <c r="AF1347" s="77">
        <f t="shared" ca="1" si="112"/>
        <v>1.5501956356782027</v>
      </c>
      <c r="AG1347" s="77">
        <f t="shared" ca="1" si="113"/>
        <v>4</v>
      </c>
      <c r="AH1347" s="76">
        <f t="array" ref="AH1347">AVERAGEIFS($I$2:$I2565,$B$2:$B2565,$B1347,$P$2:$P2565,"&lt;="&amp;$P1347,$P$2:$P2565,"&gt;"&amp;$P1347-7)</f>
        <v>4.9230769230769234</v>
      </c>
      <c r="AI1347" s="76">
        <f ca="1">IFERROR(__xludf.DUMMYFUNCTION("iferror(stdevp(filter($H$2:$H2568,$B$2:$B2568=$B1350,$O$2:$O2568&lt;=$O1350,$O$2:$O2568&gt;$O1350-7)),0)"),1.63299316185545)</f>
        <v>1.6329931618554501</v>
      </c>
      <c r="AJ1347" s="77">
        <f t="shared" ca="1" si="114"/>
        <v>-1.1776392994149911</v>
      </c>
      <c r="AK1347" s="77">
        <f t="shared" ca="1" si="115"/>
        <v>1</v>
      </c>
      <c r="AL1347" s="76">
        <f t="array" ref="AL1347">AVERAGEIFS($J$2:$J2565,$B$2:$B2565,$B1347,$P$2:$P2565,"&lt;="&amp;$P1347,$P$2:$P2565,"&gt;"&amp;$P1347-7)</f>
        <v>7.5769230769230766</v>
      </c>
      <c r="AM1347" s="76">
        <f ca="1">IFERROR(__xludf.DUMMYFUNCTION("iferror(stdevp(filter($I$2:$I2568,$B$2:$B2568=$B1350,$O$2:$O2568&lt;=$O1350,$O$2:$O2568&gt;$O1350-7)),0)"),0.942809041582063)</f>
        <v>0.94280904158206302</v>
      </c>
      <c r="AN1347" s="77">
        <f t="shared" ca="1" si="116"/>
        <v>1.5094010136866696</v>
      </c>
      <c r="AO1347" s="77">
        <f t="shared" ca="1" si="117"/>
        <v>4</v>
      </c>
      <c r="AP1347" s="76">
        <f t="array" ref="AP1347">AVERAGEIFS($K$2:$K2565,$B$2:$B2565,$B1347,$P$2:$P2565,"&lt;="&amp;$P1347,$P$2:$P2565,"&gt;"&amp;$P1347-7)</f>
        <v>8</v>
      </c>
      <c r="AQ1347" s="76">
        <f ca="1">IFERROR(__xludf.DUMMYFUNCTION("iferror(stdevp(filter($J$2:$J2568,$B$2:$B2568=$B1350,$O$2:$O2568&lt;=$O1350,$O$2:$O2568&gt;$O1350-7)),0)"),0)</f>
        <v>0</v>
      </c>
      <c r="AR1347" s="77">
        <f t="shared" ca="1" si="118"/>
        <v>0</v>
      </c>
      <c r="AS1347" s="77">
        <f t="shared" ca="1" si="119"/>
        <v>3</v>
      </c>
      <c r="AT1347" s="78">
        <f t="shared" ca="1" si="120"/>
        <v>0.83333333333333337</v>
      </c>
    </row>
    <row r="1348" spans="1:46" ht="12.5" x14ac:dyDescent="0.25">
      <c r="A1348" s="75">
        <v>44993.385381064814</v>
      </c>
      <c r="B1348" s="1" t="s">
        <v>13</v>
      </c>
      <c r="C1348" s="1" t="str">
        <f>INDEX(TBL_Name,MATCH(Table2[[#This Row],[Athlete Name]],listNames,0),2)</f>
        <v>Athlete 7</v>
      </c>
      <c r="D1348" s="1" t="s">
        <v>130</v>
      </c>
      <c r="E1348" s="1">
        <v>7</v>
      </c>
      <c r="F1348" s="1">
        <v>7</v>
      </c>
      <c r="G1348" s="1">
        <v>7</v>
      </c>
      <c r="H1348" s="1" t="s">
        <v>226</v>
      </c>
      <c r="I1348" s="1">
        <v>6</v>
      </c>
      <c r="J1348" s="1">
        <v>10</v>
      </c>
      <c r="K1348" s="1">
        <v>7</v>
      </c>
      <c r="L1348" s="1">
        <v>80</v>
      </c>
      <c r="M1348" s="1" t="e">
        <f t="shared" ref="M1348" ca="1" si="217">_xludf.concat($B1348,$P1348)</f>
        <v>#NAME?</v>
      </c>
      <c r="N1348" s="1" t="e">
        <f t="shared" si="104"/>
        <v>#VALUE!</v>
      </c>
      <c r="O1348" s="1" t="e">
        <f t="shared" ref="O1348" ca="1" si="218">IF($N1348=_xludf.MINIFS($N$2:$N2854,$R$2:$R2854,$R1348),1,
($N1348-_xludf.MINIFS($N$2:$N2854,$R$2:$R2854,$R1348))+1)</f>
        <v>#VALUE!</v>
      </c>
      <c r="P1348" s="13" t="e">
        <f t="shared" si="106"/>
        <v>#VALUE!</v>
      </c>
      <c r="Q1348" s="1" t="str">
        <f>RIGHT(YEAR($A1348),2)-(MONTH($A1348)&lt;=[3]Roster!$K$25)
 &amp;"-"&amp;
 RIGHT(YEAR($A1348),2)+(MONTH($A1348)&gt;=[3]Roster!$K$26)</f>
        <v>22-23</v>
      </c>
      <c r="R1348" s="1" t="e">
        <f>CHOOSE(MONTH($P1348),[3]Roster!$K$9,[3]Roster!$K$10,[3]Roster!$K$11,[3]Roster!$K$12,[3]Roster!$K$13,[3]Roster!$K$14,[3]Roster!$K$15,[3]Roster!$K$16,[3]Roster!$K$17,[3]Roster!$K$18,[3]Roster!$K$19,[3]Roster!$K$20)&amp;" "&amp;$Q1348</f>
        <v>#VALUE!</v>
      </c>
      <c r="S1348" s="1">
        <f t="shared" si="107"/>
        <v>1</v>
      </c>
      <c r="T1348" s="1" t="str">
        <f t="array" ref="T1348">IFERROR(INDEX([3]Roster!$D$3:$D$42,MATCH($B1348,[3]Roster!$C$3:$C$42,0)),"")</f>
        <v>MID/D</v>
      </c>
      <c r="U1348" s="1" t="str">
        <f t="array" ref="U1348">IFERROR(INDEX([3]Roster!$E$3:$E$42,MATCH($B1348,[3]Roster!$C$3:$C$42,0)),"")</f>
        <v>MID/D</v>
      </c>
      <c r="V1348" s="76">
        <f t="array" ref="V1348">AVERAGEIFS($E$2:$E2565,$B$2:$B2565,$B1348,$P$2:$P2565,"&lt;="&amp;$P1348,$P$2:$P2565,"&gt;"&amp;$P1348-7)</f>
        <v>7.6857142857142859</v>
      </c>
      <c r="W1348" s="76">
        <f ca="1">IFERROR(__xludf.DUMMYFUNCTION("iferror(stdevp(filter($D$2:$D2568,$B$2:$B2568=$B1351,$O$2:$O2568&lt;=$O1351,$O$2:$O2568&gt;$O1351-7)),0)"),1.41421356237309)</f>
        <v>1.41421356237309</v>
      </c>
      <c r="X1348" s="77">
        <f t="shared" ca="1" si="108"/>
        <v>-0.48487322138506306</v>
      </c>
      <c r="Y1348" s="77">
        <f t="shared" ca="1" si="109"/>
        <v>2</v>
      </c>
      <c r="Z1348" s="76">
        <f t="array" ref="Z1348">AVERAGEIFS($F$2:$F2565,$B$2:$B2565,$B1348,$P$2:$P2565,"&lt;="&amp;$P1348,$P$2:$P2565,"&gt;"&amp;$P1348-7)</f>
        <v>7.0857142857142854</v>
      </c>
      <c r="AA1348" s="76">
        <f ca="1">IFERROR(__xludf.DUMMYFUNCTION("iferror(stdevp(filter($E$2:$E2568,$B$2:$B2568=$B1351,$O$2:$O2568&lt;=$O1351,$O$2:$O2568&gt;$O1351-7)),0)"),0)</f>
        <v>0</v>
      </c>
      <c r="AB1348" s="77">
        <f t="shared" ca="1" si="110"/>
        <v>0</v>
      </c>
      <c r="AC1348" s="77">
        <f t="shared" ca="1" si="111"/>
        <v>3</v>
      </c>
      <c r="AD1348" s="76">
        <f t="array" ref="AD1348">AVERAGEIFS($G$2:$G2565,$B$2:$B2565,$B1348,$P$2:$P2565,"&lt;="&amp;$P1348,$P$2:$P2565,"&gt;"&amp;$P1348-7)</f>
        <v>7.1428571428571432</v>
      </c>
      <c r="AE1348" s="76">
        <f ca="1">IFERROR(__xludf.DUMMYFUNCTION("iferror(stdevp(filter($F$2:$F2568,$B$2:$B2568=$B1351,$O$2:$O2568&lt;=$O1351,$O$2:$O2568&gt;$O1351-7)),0)"),0)</f>
        <v>0</v>
      </c>
      <c r="AF1348" s="77">
        <f t="shared" ca="1" si="112"/>
        <v>0</v>
      </c>
      <c r="AG1348" s="77">
        <f t="shared" ca="1" si="113"/>
        <v>3</v>
      </c>
      <c r="AH1348" s="76">
        <f t="array" ref="AH1348">AVERAGEIFS($I$2:$I2565,$B$2:$B2565,$B1348,$P$2:$P2565,"&lt;="&amp;$P1348,$P$2:$P2565,"&gt;"&amp;$P1348-7)</f>
        <v>7.0285714285714285</v>
      </c>
      <c r="AI1348" s="76">
        <f ca="1">IFERROR(__xludf.DUMMYFUNCTION("iferror(stdevp(filter($H$2:$H2568,$B$2:$B2568=$B1351,$O$2:$O2568&lt;=$O1351,$O$2:$O2568&gt;$O1351-7)),0)"),1.63299316185545)</f>
        <v>1.6329931618554501</v>
      </c>
      <c r="AJ1348" s="77">
        <f t="shared" ca="1" si="114"/>
        <v>-0.62986879100138937</v>
      </c>
      <c r="AK1348" s="77">
        <f t="shared" ca="1" si="115"/>
        <v>2</v>
      </c>
      <c r="AL1348" s="76">
        <f t="array" ref="AL1348">AVERAGEIFS($J$2:$J2565,$B$2:$B2565,$B1348,$P$2:$P2565,"&lt;="&amp;$P1348,$P$2:$P2565,"&gt;"&amp;$P1348-7)</f>
        <v>9.742857142857142</v>
      </c>
      <c r="AM1348" s="76">
        <f ca="1">IFERROR(__xludf.DUMMYFUNCTION("iferror(stdevp(filter($I$2:$I2568,$B$2:$B2568=$B1351,$O$2:$O2568&lt;=$O1351,$O$2:$O2568&gt;$O1351-7)),0)"),0)</f>
        <v>0</v>
      </c>
      <c r="AN1348" s="77">
        <f t="shared" ca="1" si="116"/>
        <v>0</v>
      </c>
      <c r="AO1348" s="77">
        <f t="shared" ca="1" si="117"/>
        <v>3</v>
      </c>
      <c r="AP1348" s="76">
        <f t="array" ref="AP1348">AVERAGEIFS($K$2:$K2565,$B$2:$B2565,$B1348,$P$2:$P2565,"&lt;="&amp;$P1348,$P$2:$P2565,"&gt;"&amp;$P1348-7)</f>
        <v>9.4285714285714288</v>
      </c>
      <c r="AQ1348" s="76">
        <f ca="1">IFERROR(__xludf.DUMMYFUNCTION("iferror(stdevp(filter($J$2:$J2568,$B$2:$B2568=$B1351,$O$2:$O2568&lt;=$O1351,$O$2:$O2568&gt;$O1351-7)),0)"),1.41421356237309)</f>
        <v>1.41421356237309</v>
      </c>
      <c r="AR1348" s="77">
        <f t="shared" ca="1" si="118"/>
        <v>-1.7172593257387645</v>
      </c>
      <c r="AS1348" s="77">
        <f t="shared" ca="1" si="119"/>
        <v>1</v>
      </c>
      <c r="AT1348" s="78">
        <f t="shared" ca="1" si="120"/>
        <v>0.58333333333333337</v>
      </c>
    </row>
    <row r="1349" spans="1:46" ht="12.5" x14ac:dyDescent="0.25">
      <c r="A1349" s="75">
        <v>44993.394672592593</v>
      </c>
      <c r="B1349" s="1" t="s">
        <v>9</v>
      </c>
      <c r="C1349" s="1" t="str">
        <f>INDEX(TBL_Name,MATCH(Table2[[#This Row],[Athlete Name]],listNames,0),2)</f>
        <v>Athlete 4</v>
      </c>
      <c r="D1349" s="1" t="s">
        <v>130</v>
      </c>
      <c r="E1349" s="1">
        <v>8</v>
      </c>
      <c r="F1349" s="1">
        <v>8</v>
      </c>
      <c r="G1349" s="1">
        <v>8</v>
      </c>
      <c r="H1349" s="1" t="s">
        <v>1607</v>
      </c>
      <c r="I1349" s="1">
        <v>5</v>
      </c>
      <c r="J1349" s="1">
        <v>8</v>
      </c>
      <c r="K1349" s="1">
        <v>8</v>
      </c>
      <c r="L1349" s="1">
        <v>94</v>
      </c>
      <c r="M1349" s="1" t="e">
        <f t="shared" ref="M1349" ca="1" si="219">_xludf.concat($B1349,$P1349)</f>
        <v>#NAME?</v>
      </c>
      <c r="N1349" s="1" t="e">
        <f t="shared" si="104"/>
        <v>#VALUE!</v>
      </c>
      <c r="O1349" s="1" t="e">
        <f t="shared" ref="O1349" ca="1" si="220">IF($N1349=_xludf.MINIFS($N$2:$N2855,$R$2:$R2855,$R1349),1,
($N1349-_xludf.MINIFS($N$2:$N2855,$R$2:$R2855,$R1349))+1)</f>
        <v>#VALUE!</v>
      </c>
      <c r="P1349" s="13" t="e">
        <f t="shared" si="106"/>
        <v>#VALUE!</v>
      </c>
      <c r="Q1349" s="1" t="str">
        <f>RIGHT(YEAR($A1349),2)-(MONTH($A1349)&lt;=[3]Roster!$K$25)
 &amp;"-"&amp;
 RIGHT(YEAR($A1349),2)+(MONTH($A1349)&gt;=[3]Roster!$K$26)</f>
        <v>22-23</v>
      </c>
      <c r="R1349" s="1" t="e">
        <f>CHOOSE(MONTH($P1349),[3]Roster!$K$9,[3]Roster!$K$10,[3]Roster!$K$11,[3]Roster!$K$12,[3]Roster!$K$13,[3]Roster!$K$14,[3]Roster!$K$15,[3]Roster!$K$16,[3]Roster!$K$17,[3]Roster!$K$18,[3]Roster!$K$19,[3]Roster!$K$20)&amp;" "&amp;$Q1349</f>
        <v>#VALUE!</v>
      </c>
      <c r="S1349" s="1">
        <f t="shared" si="107"/>
        <v>1</v>
      </c>
      <c r="T1349" s="1" t="str">
        <f t="array" ref="T1349">IFERROR(INDEX([3]Roster!$D$3:$D$42,MATCH($B1349,[3]Roster!$C$3:$C$42,0)),"")</f>
        <v>F/MID</v>
      </c>
      <c r="U1349" s="1" t="str">
        <f t="array" ref="U1349">IFERROR(INDEX([3]Roster!$E$3:$E$42,MATCH($B1349,[3]Roster!$C$3:$C$42,0)),"")</f>
        <v>F/MID</v>
      </c>
      <c r="V1349" s="76">
        <f t="array" ref="V1349">AVERAGEIFS($E$2:$E2565,$B$2:$B2565,$B1349,$P$2:$P2565,"&lt;="&amp;$P1349,$P$2:$P2565,"&gt;"&amp;$P1349-7)</f>
        <v>7.4230769230769234</v>
      </c>
      <c r="W1349" s="76">
        <f ca="1">IFERROR(__xludf.DUMMYFUNCTION("iferror(stdevp(filter($D$2:$D2568,$B$2:$B2568=$B1352,$O$2:$O2568&lt;=$O1352,$O$2:$O2568&gt;$O1352-7)),0)"),0)</f>
        <v>0</v>
      </c>
      <c r="X1349" s="77">
        <f t="shared" ca="1" si="108"/>
        <v>0</v>
      </c>
      <c r="Y1349" s="77">
        <f t="shared" ca="1" si="109"/>
        <v>3</v>
      </c>
      <c r="Z1349" s="76">
        <f t="array" ref="Z1349">AVERAGEIFS($F$2:$F2565,$B$2:$B2565,$B1349,$P$2:$P2565,"&lt;="&amp;$P1349,$P$2:$P2565,"&gt;"&amp;$P1349-7)</f>
        <v>7.1538461538461542</v>
      </c>
      <c r="AA1349" s="76">
        <f ca="1">IFERROR(__xludf.DUMMYFUNCTION("iferror(stdevp(filter($E$2:$E2568,$B$2:$B2568=$B1352,$O$2:$O2568&lt;=$O1352,$O$2:$O2568&gt;$O1352-7)),0)"),0.816496580927726)</f>
        <v>0.81649658092772603</v>
      </c>
      <c r="AB1349" s="77">
        <f t="shared" ca="1" si="110"/>
        <v>1.0363225834851904</v>
      </c>
      <c r="AC1349" s="77">
        <f t="shared" ca="1" si="111"/>
        <v>4</v>
      </c>
      <c r="AD1349" s="76">
        <f t="array" ref="AD1349">AVERAGEIFS($G$2:$G2565,$B$2:$B2565,$B1349,$P$2:$P2565,"&lt;="&amp;$P1349,$P$2:$P2565,"&gt;"&amp;$P1349-7)</f>
        <v>7.615384615384615</v>
      </c>
      <c r="AE1349" s="76">
        <f ca="1">IFERROR(__xludf.DUMMYFUNCTION("iferror(stdevp(filter($F$2:$F2568,$B$2:$B2568=$B1352,$O$2:$O2568&lt;=$O1352,$O$2:$O2568&gt;$O1352-7)),0)"),0)</f>
        <v>0</v>
      </c>
      <c r="AF1349" s="77">
        <f t="shared" ca="1" si="112"/>
        <v>0</v>
      </c>
      <c r="AG1349" s="77">
        <f t="shared" ca="1" si="113"/>
        <v>3</v>
      </c>
      <c r="AH1349" s="76">
        <f t="array" ref="AH1349">AVERAGEIFS($I$2:$I2565,$B$2:$B2565,$B1349,$P$2:$P2565,"&lt;="&amp;$P1349,$P$2:$P2565,"&gt;"&amp;$P1349-7)</f>
        <v>5.1923076923076925</v>
      </c>
      <c r="AI1349" s="76">
        <f ca="1">IFERROR(__xludf.DUMMYFUNCTION("iferror(stdevp(filter($H$2:$H2568,$B$2:$B2568=$B1352,$O$2:$O2568&lt;=$O1352,$O$2:$O2568&gt;$O1352-7)),0)"),0)</f>
        <v>0</v>
      </c>
      <c r="AJ1349" s="77">
        <f t="shared" ca="1" si="114"/>
        <v>0</v>
      </c>
      <c r="AK1349" s="77">
        <f t="shared" ca="1" si="115"/>
        <v>3</v>
      </c>
      <c r="AL1349" s="76">
        <f t="array" ref="AL1349">AVERAGEIFS($J$2:$J2565,$B$2:$B2565,$B1349,$P$2:$P2565,"&lt;="&amp;$P1349,$P$2:$P2565,"&gt;"&amp;$P1349-7)</f>
        <v>7.6923076923076925</v>
      </c>
      <c r="AM1349" s="76">
        <f ca="1">IFERROR(__xludf.DUMMYFUNCTION("iferror(stdevp(filter($I$2:$I2568,$B$2:$B2568=$B1352,$O$2:$O2568&lt;=$O1352,$O$2:$O2568&gt;$O1352-7)),0)"),0.471404520791031)</f>
        <v>0.47140452079103101</v>
      </c>
      <c r="AN1349" s="77">
        <f t="shared" ca="1" si="116"/>
        <v>0.65271395186450587</v>
      </c>
      <c r="AO1349" s="77">
        <f t="shared" ca="1" si="117"/>
        <v>3</v>
      </c>
      <c r="AP1349" s="76">
        <f t="array" ref="AP1349">AVERAGEIFS($K$2:$K2565,$B$2:$B2565,$B1349,$P$2:$P2565,"&lt;="&amp;$P1349,$P$2:$P2565,"&gt;"&amp;$P1349-7)</f>
        <v>7.8461538461538458</v>
      </c>
      <c r="AQ1349" s="76">
        <f ca="1">IFERROR(__xludf.DUMMYFUNCTION("iferror(stdevp(filter($J$2:$J2568,$B$2:$B2568=$B1352,$O$2:$O2568&lt;=$O1352,$O$2:$O2568&gt;$O1352-7)),0)"),0.816496580927726)</f>
        <v>0.81649658092772603</v>
      </c>
      <c r="AR1349" s="77">
        <f t="shared" ca="1" si="118"/>
        <v>0.18842228790639873</v>
      </c>
      <c r="AS1349" s="77">
        <f t="shared" ca="1" si="119"/>
        <v>3</v>
      </c>
      <c r="AT1349" s="78">
        <f t="shared" ca="1" si="120"/>
        <v>0.79166666666666663</v>
      </c>
    </row>
    <row r="1350" spans="1:46" ht="12.5" x14ac:dyDescent="0.25">
      <c r="A1350" s="75">
        <v>44993.408161932872</v>
      </c>
      <c r="B1350" s="1" t="s">
        <v>22</v>
      </c>
      <c r="C1350" s="1" t="str">
        <f>INDEX(TBL_Name,MATCH(Table2[[#This Row],[Athlete Name]],listNames,0),2)</f>
        <v>Athlete 14</v>
      </c>
      <c r="D1350" s="1" t="s">
        <v>130</v>
      </c>
      <c r="E1350" s="1">
        <v>8</v>
      </c>
      <c r="F1350" s="1">
        <v>5</v>
      </c>
      <c r="G1350" s="1">
        <v>6</v>
      </c>
      <c r="H1350" s="1" t="s">
        <v>236</v>
      </c>
      <c r="I1350" s="1">
        <v>5</v>
      </c>
      <c r="J1350" s="1">
        <v>8</v>
      </c>
      <c r="K1350" s="1">
        <v>8</v>
      </c>
      <c r="L1350" s="1">
        <v>80</v>
      </c>
      <c r="M1350" s="1" t="e">
        <f t="shared" ref="M1350" ca="1" si="221">_xludf.concat($B1350,$P1350)</f>
        <v>#NAME?</v>
      </c>
      <c r="N1350" s="1" t="e">
        <f t="shared" si="104"/>
        <v>#VALUE!</v>
      </c>
      <c r="O1350" s="1" t="e">
        <f t="shared" ref="O1350" ca="1" si="222">IF($N1350=_xludf.MINIFS($N$2:$N2856,$R$2:$R2856,$R1350),1,
($N1350-_xludf.MINIFS($N$2:$N2856,$R$2:$R2856,$R1350))+1)</f>
        <v>#VALUE!</v>
      </c>
      <c r="P1350" s="13" t="e">
        <f t="shared" si="106"/>
        <v>#VALUE!</v>
      </c>
      <c r="Q1350" s="1" t="str">
        <f>RIGHT(YEAR($A1350),2)-(MONTH($A1350)&lt;=[3]Roster!$K$25)
 &amp;"-"&amp;
 RIGHT(YEAR($A1350),2)+(MONTH($A1350)&gt;=[3]Roster!$K$26)</f>
        <v>22-23</v>
      </c>
      <c r="R1350" s="1" t="e">
        <f>CHOOSE(MONTH($P1350),[3]Roster!$K$9,[3]Roster!$K$10,[3]Roster!$K$11,[3]Roster!$K$12,[3]Roster!$K$13,[3]Roster!$K$14,[3]Roster!$K$15,[3]Roster!$K$16,[3]Roster!$K$17,[3]Roster!$K$18,[3]Roster!$K$19,[3]Roster!$K$20)&amp;" "&amp;$Q1350</f>
        <v>#VALUE!</v>
      </c>
      <c r="S1350" s="1">
        <f t="shared" si="107"/>
        <v>1</v>
      </c>
      <c r="T1350" s="1" t="str">
        <f t="array" ref="T1350">IFERROR(INDEX([3]Roster!$D$3:$D$42,MATCH($B1350,[3]Roster!$C$3:$C$42,0)),"")</f>
        <v>D</v>
      </c>
      <c r="U1350" s="1" t="str">
        <f t="array" ref="U1350">IFERROR(INDEX([3]Roster!$E$3:$E$42,MATCH($B1350,[3]Roster!$C$3:$C$42,0)),"")</f>
        <v>D</v>
      </c>
      <c r="V1350" s="76">
        <f t="array" ref="V1350">AVERAGEIFS($E$2:$E2565,$B$2:$B2565,$B1350,$P$2:$P2565,"&lt;="&amp;$P1350,$P$2:$P2565,"&gt;"&amp;$P1350-7)</f>
        <v>5.791666666666667</v>
      </c>
      <c r="W1350" s="76">
        <f ca="1">IFERROR(__xludf.DUMMYFUNCTION("iferror(stdevp(filter($D$2:$D2568,$B$2:$B2568=$B1353,$O$2:$O2568&lt;=$O1353,$O$2:$O2568&gt;$O1353-7)),0)"),0.471404520791031)</f>
        <v>0.47140452079103101</v>
      </c>
      <c r="X1350" s="77">
        <f t="shared" ca="1" si="108"/>
        <v>4.6845824253608832</v>
      </c>
      <c r="Y1350" s="77">
        <f t="shared" ca="1" si="109"/>
        <v>4</v>
      </c>
      <c r="Z1350" s="76">
        <f t="array" ref="Z1350">AVERAGEIFS($F$2:$F2565,$B$2:$B2565,$B1350,$P$2:$P2565,"&lt;="&amp;$P1350,$P$2:$P2565,"&gt;"&amp;$P1350-7)</f>
        <v>5.458333333333333</v>
      </c>
      <c r="AA1350" s="76">
        <f ca="1">IFERROR(__xludf.DUMMYFUNCTION("iferror(stdevp(filter($E$2:$E2568,$B$2:$B2568=$B1353,$O$2:$O2568&lt;=$O1353,$O$2:$O2568&gt;$O1353-7)),0)"),1.41421356237309)</f>
        <v>1.41421356237309</v>
      </c>
      <c r="AB1350" s="77">
        <f t="shared" ca="1" si="110"/>
        <v>-0.32409060804383522</v>
      </c>
      <c r="AC1350" s="77">
        <f t="shared" ca="1" si="111"/>
        <v>2</v>
      </c>
      <c r="AD1350" s="76">
        <f t="array" ref="AD1350">AVERAGEIFS($G$2:$G2565,$B$2:$B2565,$B1350,$P$2:$P2565,"&lt;="&amp;$P1350,$P$2:$P2565,"&gt;"&amp;$P1350-7)</f>
        <v>6.833333333333333</v>
      </c>
      <c r="AE1350" s="76">
        <f ca="1">IFERROR(__xludf.DUMMYFUNCTION("iferror(stdevp(filter($F$2:$F2568,$B$2:$B2568=$B1353,$O$2:$O2568&lt;=$O1353,$O$2:$O2568&gt;$O1353-7)),0)"),1.24721912892464)</f>
        <v>1.2472191289246399</v>
      </c>
      <c r="AF1350" s="77">
        <f t="shared" ca="1" si="112"/>
        <v>-0.6681531047810646</v>
      </c>
      <c r="AG1350" s="77">
        <f t="shared" ca="1" si="113"/>
        <v>2</v>
      </c>
      <c r="AH1350" s="76">
        <f t="array" ref="AH1350">AVERAGEIFS($I$2:$I2565,$B$2:$B2565,$B1350,$P$2:$P2565,"&lt;="&amp;$P1350,$P$2:$P2565,"&gt;"&amp;$P1350-7)</f>
        <v>5.125</v>
      </c>
      <c r="AI1350" s="76">
        <f ca="1">IFERROR(__xludf.DUMMYFUNCTION("iferror(stdevp(filter($H$2:$H2568,$B$2:$B2568=$B1353,$O$2:$O2568&lt;=$O1353,$O$2:$O2568&gt;$O1353-7)),0)"),1.24721912892464)</f>
        <v>1.2472191289246399</v>
      </c>
      <c r="AJ1350" s="77">
        <f t="shared" ca="1" si="114"/>
        <v>-0.10022296571715972</v>
      </c>
      <c r="AK1350" s="77">
        <f t="shared" ca="1" si="115"/>
        <v>2</v>
      </c>
      <c r="AL1350" s="76">
        <f t="array" ref="AL1350">AVERAGEIFS($J$2:$J2565,$B$2:$B2565,$B1350,$P$2:$P2565,"&lt;="&amp;$P1350,$P$2:$P2565,"&gt;"&amp;$P1350-7)</f>
        <v>7.125</v>
      </c>
      <c r="AM1350" s="76">
        <f ca="1">IFERROR(__xludf.DUMMYFUNCTION("iferror(stdevp(filter($I$2:$I2568,$B$2:$B2568=$B1353,$O$2:$O2568&lt;=$O1353,$O$2:$O2568&gt;$O1353-7)),0)"),0.942809041582063)</f>
        <v>0.94280904158206302</v>
      </c>
      <c r="AN1350" s="77">
        <f t="shared" ca="1" si="116"/>
        <v>0.92807765030734402</v>
      </c>
      <c r="AO1350" s="77">
        <f t="shared" ca="1" si="117"/>
        <v>3</v>
      </c>
      <c r="AP1350" s="76">
        <f t="array" ref="AP1350">AVERAGEIFS($K$2:$K2565,$B$2:$B2565,$B1350,$P$2:$P2565,"&lt;="&amp;$P1350,$P$2:$P2565,"&gt;"&amp;$P1350-7)</f>
        <v>7.083333333333333</v>
      </c>
      <c r="AQ1350" s="76">
        <f ca="1">IFERROR(__xludf.DUMMYFUNCTION("iferror(stdevp(filter($J$2:$J2568,$B$2:$B2568=$B1353,$O$2:$O2568&lt;=$O1353,$O$2:$O2568&gt;$O1353-7)),0)"),0.471404520791031)</f>
        <v>0.47140452079103101</v>
      </c>
      <c r="AR1350" s="77">
        <f t="shared" ca="1" si="118"/>
        <v>1.9445436482630092</v>
      </c>
      <c r="AS1350" s="77">
        <f t="shared" ca="1" si="119"/>
        <v>4</v>
      </c>
      <c r="AT1350" s="78">
        <f t="shared" ca="1" si="120"/>
        <v>0.70833333333333337</v>
      </c>
    </row>
    <row r="1351" spans="1:46" ht="12.5" x14ac:dyDescent="0.25">
      <c r="A1351" s="75">
        <v>44993.420372673616</v>
      </c>
      <c r="B1351" s="1" t="s">
        <v>7</v>
      </c>
      <c r="C1351" s="1" t="str">
        <f>INDEX(TBL_Name,MATCH(Table2[[#This Row],[Athlete Name]],listNames,0),2)</f>
        <v>Athlete 3</v>
      </c>
      <c r="D1351" s="1" t="s">
        <v>130</v>
      </c>
      <c r="E1351" s="1">
        <v>7</v>
      </c>
      <c r="F1351" s="1">
        <v>8</v>
      </c>
      <c r="G1351" s="1">
        <v>8</v>
      </c>
      <c r="H1351" s="1" t="s">
        <v>181</v>
      </c>
      <c r="I1351" s="1">
        <v>5</v>
      </c>
      <c r="J1351" s="1">
        <v>3</v>
      </c>
      <c r="K1351" s="1">
        <v>9</v>
      </c>
      <c r="L1351" s="1">
        <v>78</v>
      </c>
      <c r="M1351" s="1" t="e">
        <f t="shared" ref="M1351" ca="1" si="223">_xludf.concat($B1351,$P1351)</f>
        <v>#NAME?</v>
      </c>
      <c r="N1351" s="1" t="e">
        <f t="shared" si="104"/>
        <v>#VALUE!</v>
      </c>
      <c r="O1351" s="1" t="e">
        <f t="shared" ref="O1351" ca="1" si="224">IF($N1351=_xludf.MINIFS($N$2:$N2857,$R$2:$R2857,$R1351),1,
($N1351-_xludf.MINIFS($N$2:$N2857,$R$2:$R2857,$R1351))+1)</f>
        <v>#VALUE!</v>
      </c>
      <c r="P1351" s="13" t="e">
        <f t="shared" si="106"/>
        <v>#VALUE!</v>
      </c>
      <c r="Q1351" s="1" t="str">
        <f>RIGHT(YEAR($A1351),2)-(MONTH($A1351)&lt;=[3]Roster!$K$25)
 &amp;"-"&amp;
 RIGHT(YEAR($A1351),2)+(MONTH($A1351)&gt;=[3]Roster!$K$26)</f>
        <v>22-23</v>
      </c>
      <c r="R1351" s="1" t="e">
        <f>CHOOSE(MONTH($P1351),[3]Roster!$K$9,[3]Roster!$K$10,[3]Roster!$K$11,[3]Roster!$K$12,[3]Roster!$K$13,[3]Roster!$K$14,[3]Roster!$K$15,[3]Roster!$K$16,[3]Roster!$K$17,[3]Roster!$K$18,[3]Roster!$K$19,[3]Roster!$K$20)&amp;" "&amp;$Q1351</f>
        <v>#VALUE!</v>
      </c>
      <c r="S1351" s="1">
        <f t="shared" si="107"/>
        <v>1</v>
      </c>
      <c r="T1351" s="1" t="str">
        <f t="array" ref="T1351">IFERROR(INDEX([3]Roster!$D$3:$D$42,MATCH($B1351,[3]Roster!$C$3:$C$42,0)),"")</f>
        <v>F/MID</v>
      </c>
      <c r="U1351" s="1" t="str">
        <f t="array" ref="U1351">IFERROR(INDEX([3]Roster!$E$3:$E$42,MATCH($B1351,[3]Roster!$C$3:$C$42,0)),"")</f>
        <v>F/MID</v>
      </c>
      <c r="V1351" s="76">
        <f t="array" ref="V1351">AVERAGEIFS($E$2:$E2565,$B$2:$B2565,$B1351,$P$2:$P2565,"&lt;="&amp;$P1351,$P$2:$P2565,"&gt;"&amp;$P1351-7)</f>
        <v>6</v>
      </c>
      <c r="W1351" s="76">
        <f ca="1">IFERROR(__xludf.DUMMYFUNCTION("iferror(stdevp(filter($D$2:$D2568,$B$2:$B2568=$B1354,$O$2:$O2568&lt;=$O1354,$O$2:$O2568&gt;$O1354-7)),0)"),1.41421356237309)</f>
        <v>1.41421356237309</v>
      </c>
      <c r="X1351" s="77">
        <f t="shared" ca="1" si="108"/>
        <v>0.70710678118655002</v>
      </c>
      <c r="Y1351" s="77">
        <f t="shared" ca="1" si="109"/>
        <v>3</v>
      </c>
      <c r="Z1351" s="76">
        <f t="array" ref="Z1351">AVERAGEIFS($F$2:$F2565,$B$2:$B2565,$B1351,$P$2:$P2565,"&lt;="&amp;$P1351,$P$2:$P2565,"&gt;"&amp;$P1351-7)</f>
        <v>7.3703703703703702</v>
      </c>
      <c r="AA1351" s="76">
        <f ca="1">IFERROR(__xludf.DUMMYFUNCTION("iferror(stdevp(filter($E$2:$E2568,$B$2:$B2568=$B1354,$O$2:$O2568&lt;=$O1354,$O$2:$O2568&gt;$O1354-7)),0)"),0)</f>
        <v>0</v>
      </c>
      <c r="AB1351" s="77">
        <f t="shared" ca="1" si="110"/>
        <v>0</v>
      </c>
      <c r="AC1351" s="77">
        <f t="shared" ca="1" si="111"/>
        <v>3</v>
      </c>
      <c r="AD1351" s="76">
        <f t="array" ref="AD1351">AVERAGEIFS($G$2:$G2565,$B$2:$B2565,$B1351,$P$2:$P2565,"&lt;="&amp;$P1351,$P$2:$P2565,"&gt;"&amp;$P1351-7)</f>
        <v>7.7777777777777777</v>
      </c>
      <c r="AE1351" s="76">
        <f ca="1">IFERROR(__xludf.DUMMYFUNCTION("iferror(stdevp(filter($F$2:$F2568,$B$2:$B2568=$B1354,$O$2:$O2568&lt;=$O1354,$O$2:$O2568&gt;$O1354-7)),0)"),0)</f>
        <v>0</v>
      </c>
      <c r="AF1351" s="77">
        <f t="shared" ca="1" si="112"/>
        <v>0</v>
      </c>
      <c r="AG1351" s="77">
        <f t="shared" ca="1" si="113"/>
        <v>3</v>
      </c>
      <c r="AH1351" s="76">
        <f t="array" ref="AH1351">AVERAGEIFS($I$2:$I2565,$B$2:$B2565,$B1351,$P$2:$P2565,"&lt;="&amp;$P1351,$P$2:$P2565,"&gt;"&amp;$P1351-7)</f>
        <v>6.333333333333333</v>
      </c>
      <c r="AI1351" s="76">
        <f ca="1">IFERROR(__xludf.DUMMYFUNCTION("iferror(stdevp(filter($H$2:$H2568,$B$2:$B2568=$B1354,$O$2:$O2568&lt;=$O1354,$O$2:$O2568&gt;$O1354-7)),0)"),1.88561808316412)</f>
        <v>1.8856180831641201</v>
      </c>
      <c r="AJ1351" s="77">
        <f t="shared" ca="1" si="114"/>
        <v>-0.7071067811865499</v>
      </c>
      <c r="AK1351" s="77">
        <f t="shared" ca="1" si="115"/>
        <v>2</v>
      </c>
      <c r="AL1351" s="76">
        <f t="array" ref="AL1351">AVERAGEIFS($J$2:$J2565,$B$2:$B2565,$B1351,$P$2:$P2565,"&lt;="&amp;$P1351,$P$2:$P2565,"&gt;"&amp;$P1351-7)</f>
        <v>5.4230769230769234</v>
      </c>
      <c r="AM1351" s="76">
        <f ca="1">IFERROR(__xludf.DUMMYFUNCTION("iferror(stdevp(filter($I$2:$I2568,$B$2:$B2568=$B1354,$O$2:$O2568&lt;=$O1354,$O$2:$O2568&gt;$O1354-7)),0)"),0.816496580927726)</f>
        <v>0.81649658092772603</v>
      </c>
      <c r="AN1351" s="77">
        <f t="shared" ca="1" si="116"/>
        <v>-2.9676510345257738</v>
      </c>
      <c r="AO1351" s="77">
        <f t="shared" ca="1" si="117"/>
        <v>1</v>
      </c>
      <c r="AP1351" s="76">
        <f t="array" ref="AP1351">AVERAGEIFS($K$2:$K2565,$B$2:$B2565,$B1351,$P$2:$P2565,"&lt;="&amp;$P1351,$P$2:$P2565,"&gt;"&amp;$P1351-7)</f>
        <v>7.5769230769230766</v>
      </c>
      <c r="AQ1351" s="76">
        <f ca="1">IFERROR(__xludf.DUMMYFUNCTION("iferror(stdevp(filter($J$2:$J2568,$B$2:$B2568=$B1354,$O$2:$O2568&lt;=$O1354,$O$2:$O2568&gt;$O1354-7)),0)"),0.816496580927726)</f>
        <v>0.81649658092772603</v>
      </c>
      <c r="AR1351" s="77">
        <f t="shared" ca="1" si="118"/>
        <v>1.7429061631341847</v>
      </c>
      <c r="AS1351" s="77">
        <f t="shared" ca="1" si="119"/>
        <v>4</v>
      </c>
      <c r="AT1351" s="78">
        <f t="shared" ca="1" si="120"/>
        <v>0.66666666666666663</v>
      </c>
    </row>
    <row r="1352" spans="1:46" ht="12.5" x14ac:dyDescent="0.25">
      <c r="A1352" s="75">
        <v>44993.444797974538</v>
      </c>
      <c r="B1352" s="1" t="s">
        <v>6</v>
      </c>
      <c r="C1352" s="1" t="str">
        <f>INDEX(TBL_Name,MATCH(Table2[[#This Row],[Athlete Name]],listNames,0),2)</f>
        <v>Athlete 2</v>
      </c>
      <c r="D1352" s="1" t="s">
        <v>130</v>
      </c>
      <c r="E1352" s="1">
        <v>10</v>
      </c>
      <c r="F1352" s="1">
        <v>10</v>
      </c>
      <c r="G1352" s="1">
        <v>10</v>
      </c>
      <c r="H1352" s="1" t="s">
        <v>71</v>
      </c>
      <c r="I1352" s="1">
        <v>8</v>
      </c>
      <c r="J1352" s="1">
        <v>8</v>
      </c>
      <c r="K1352" s="1">
        <v>10</v>
      </c>
      <c r="L1352" s="1">
        <v>95</v>
      </c>
      <c r="M1352" s="1" t="e">
        <f t="shared" ref="M1352" ca="1" si="225">_xludf.concat($B1352,$P1352)</f>
        <v>#NAME?</v>
      </c>
      <c r="N1352" s="1" t="e">
        <f t="shared" si="104"/>
        <v>#VALUE!</v>
      </c>
      <c r="O1352" s="1" t="e">
        <f t="shared" ref="O1352" ca="1" si="226">IF($N1352=_xludf.MINIFS($N$2:$N2858,$R$2:$R2858,$R1352),1,
($N1352-_xludf.MINIFS($N$2:$N2858,$R$2:$R2858,$R1352))+1)</f>
        <v>#VALUE!</v>
      </c>
      <c r="P1352" s="13" t="e">
        <f t="shared" si="106"/>
        <v>#VALUE!</v>
      </c>
      <c r="Q1352" s="1" t="str">
        <f>RIGHT(YEAR($A1352),2)-(MONTH($A1352)&lt;=[3]Roster!$K$25)
 &amp;"-"&amp;
 RIGHT(YEAR($A1352),2)+(MONTH($A1352)&gt;=[3]Roster!$K$26)</f>
        <v>22-23</v>
      </c>
      <c r="R1352" s="1" t="e">
        <f>CHOOSE(MONTH($P1352),[3]Roster!$K$9,[3]Roster!$K$10,[3]Roster!$K$11,[3]Roster!$K$12,[3]Roster!$K$13,[3]Roster!$K$14,[3]Roster!$K$15,[3]Roster!$K$16,[3]Roster!$K$17,[3]Roster!$K$18,[3]Roster!$K$19,[3]Roster!$K$20)&amp;" "&amp;$Q1352</f>
        <v>#VALUE!</v>
      </c>
      <c r="S1352" s="1">
        <f t="shared" si="107"/>
        <v>1</v>
      </c>
      <c r="T1352" s="1" t="str">
        <f t="array" ref="T1352">IFERROR(INDEX([3]Roster!$D$3:$D$42,MATCH($B1352,[3]Roster!$C$3:$C$42,0)),"")</f>
        <v>FWD</v>
      </c>
      <c r="U1352" s="1" t="str">
        <f t="array" ref="U1352">IFERROR(INDEX([3]Roster!$E$3:$E$42,MATCH($B1352,[3]Roster!$C$3:$C$42,0)),"")</f>
        <v>FWD</v>
      </c>
      <c r="V1352" s="76">
        <f t="array" ref="V1352">AVERAGEIFS($E$2:$E2565,$B$2:$B2565,$B1352,$P$2:$P2565,"&lt;="&amp;$P1352,$P$2:$P2565,"&gt;"&amp;$P1352-7)</f>
        <v>9.7441860465116275</v>
      </c>
      <c r="W1352" s="76">
        <f ca="1">IFERROR(__xludf.DUMMYFUNCTION("iferror(stdevp(filter($D$2:$D2568,$B$2:$B2568=$B1355,$O$2:$O2568&lt;=$O1355,$O$2:$O2568&gt;$O1355-7)),0)"),0)</f>
        <v>0</v>
      </c>
      <c r="X1352" s="77">
        <f t="shared" ca="1" si="108"/>
        <v>0</v>
      </c>
      <c r="Y1352" s="77">
        <f t="shared" ca="1" si="109"/>
        <v>3</v>
      </c>
      <c r="Z1352" s="76">
        <f t="array" ref="Z1352">AVERAGEIFS($F$2:$F2565,$B$2:$B2565,$B1352,$P$2:$P2565,"&lt;="&amp;$P1352,$P$2:$P2565,"&gt;"&amp;$P1352-7)</f>
        <v>8.279069767441861</v>
      </c>
      <c r="AA1352" s="76">
        <f ca="1">IFERROR(__xludf.DUMMYFUNCTION("iferror(stdevp(filter($E$2:$E2568,$B$2:$B2568=$B1355,$O$2:$O2568&lt;=$O1355,$O$2:$O2568&gt;$O1355-7)),0)"),0.942809041582063)</f>
        <v>0.94280904158206302</v>
      </c>
      <c r="AB1352" s="77">
        <f t="shared" ca="1" si="110"/>
        <v>1.8253221560862043</v>
      </c>
      <c r="AC1352" s="77">
        <f t="shared" ca="1" si="111"/>
        <v>4</v>
      </c>
      <c r="AD1352" s="76">
        <f t="array" ref="AD1352">AVERAGEIFS($G$2:$G2565,$B$2:$B2565,$B1352,$P$2:$P2565,"&lt;="&amp;$P1352,$P$2:$P2565,"&gt;"&amp;$P1352-7)</f>
        <v>8.604651162790697</v>
      </c>
      <c r="AE1352" s="76">
        <f ca="1">IFERROR(__xludf.DUMMYFUNCTION("iferror(stdevp(filter($F$2:$F2568,$B$2:$B2568=$B1355,$O$2:$O2568&lt;=$O1355,$O$2:$O2568&gt;$O1355-7)),0)"),0.471404520791031)</f>
        <v>0.47140452079103101</v>
      </c>
      <c r="AF1352" s="77">
        <f t="shared" ca="1" si="112"/>
        <v>2.9599818747343907</v>
      </c>
      <c r="AG1352" s="77">
        <f t="shared" ca="1" si="113"/>
        <v>4</v>
      </c>
      <c r="AH1352" s="76">
        <f t="array" ref="AH1352">AVERAGEIFS($I$2:$I2565,$B$2:$B2565,$B1352,$P$2:$P2565,"&lt;="&amp;$P1352,$P$2:$P2565,"&gt;"&amp;$P1352-7)</f>
        <v>8.3488372093023262</v>
      </c>
      <c r="AI1352" s="76">
        <f ca="1">IFERROR(__xludf.DUMMYFUNCTION("iferror(stdevp(filter($H$2:$H2568,$B$2:$B2568=$B1355,$O$2:$O2568&lt;=$O1355,$O$2:$O2568&gt;$O1355-7)),0)"),0.942809041582063)</f>
        <v>0.94280904158206302</v>
      </c>
      <c r="AJ1352" s="77">
        <f t="shared" ca="1" si="114"/>
        <v>-0.36999773434179889</v>
      </c>
      <c r="AK1352" s="77">
        <f t="shared" ca="1" si="115"/>
        <v>2</v>
      </c>
      <c r="AL1352" s="76">
        <f t="array" ref="AL1352">AVERAGEIFS($J$2:$J2565,$B$2:$B2565,$B1352,$P$2:$P2565,"&lt;="&amp;$P1352,$P$2:$P2565,"&gt;"&amp;$P1352-7)</f>
        <v>8.3023255813953494</v>
      </c>
      <c r="AM1352" s="76">
        <f ca="1">IFERROR(__xludf.DUMMYFUNCTION("iferror(stdevp(filter($I$2:$I2568,$B$2:$B2568=$B1355,$O$2:$O2568&lt;=$O1355,$O$2:$O2568&gt;$O1355-7)),0)"),0.471404520791031)</f>
        <v>0.47140452079103101</v>
      </c>
      <c r="AN1352" s="77">
        <f t="shared" ca="1" si="116"/>
        <v>-0.64132940619245216</v>
      </c>
      <c r="AO1352" s="77">
        <f t="shared" ca="1" si="117"/>
        <v>2</v>
      </c>
      <c r="AP1352" s="76">
        <f t="array" ref="AP1352">AVERAGEIFS($K$2:$K2565,$B$2:$B2565,$B1352,$P$2:$P2565,"&lt;="&amp;$P1352,$P$2:$P2565,"&gt;"&amp;$P1352-7)</f>
        <v>8.9069767441860463</v>
      </c>
      <c r="AQ1352" s="76">
        <f ca="1">IFERROR(__xludf.DUMMYFUNCTION("iferror(stdevp(filter($J$2:$J2568,$B$2:$B2568=$B1355,$O$2:$O2568&lt;=$O1355,$O$2:$O2568&gt;$O1355-7)),0)"),0)</f>
        <v>0</v>
      </c>
      <c r="AR1352" s="77">
        <f t="shared" ca="1" si="118"/>
        <v>0</v>
      </c>
      <c r="AS1352" s="77">
        <f t="shared" ca="1" si="119"/>
        <v>3</v>
      </c>
      <c r="AT1352" s="78">
        <f t="shared" ca="1" si="120"/>
        <v>0.75</v>
      </c>
    </row>
    <row r="1353" spans="1:46" ht="12.5" x14ac:dyDescent="0.25">
      <c r="A1353" s="75">
        <v>44993.472296921296</v>
      </c>
      <c r="B1353" s="1" t="s">
        <v>21</v>
      </c>
      <c r="C1353" s="1" t="str">
        <f>INDEX(TBL_Name,MATCH(Table2[[#This Row],[Athlete Name]],listNames,0),2)</f>
        <v>Athlete 13</v>
      </c>
      <c r="D1353" s="1" t="s">
        <v>130</v>
      </c>
      <c r="E1353" s="1">
        <v>7</v>
      </c>
      <c r="F1353" s="1">
        <v>7</v>
      </c>
      <c r="G1353" s="1">
        <v>7</v>
      </c>
      <c r="H1353" s="1" t="s">
        <v>1418</v>
      </c>
      <c r="I1353" s="1">
        <v>6</v>
      </c>
      <c r="J1353" s="1">
        <v>6</v>
      </c>
      <c r="K1353" s="1">
        <v>6</v>
      </c>
      <c r="L1353" s="1">
        <v>65</v>
      </c>
      <c r="M1353" s="1" t="e">
        <f t="shared" ref="M1353" ca="1" si="227">_xludf.concat($B1353,$P1353)</f>
        <v>#NAME?</v>
      </c>
      <c r="N1353" s="1" t="e">
        <f t="shared" si="104"/>
        <v>#VALUE!</v>
      </c>
      <c r="O1353" s="1" t="e">
        <f t="shared" ref="O1353" ca="1" si="228">IF($N1353=_xludf.MINIFS($N$2:$N2859,$R$2:$R2859,$R1353),1,
($N1353-_xludf.MINIFS($N$2:$N2859,$R$2:$R2859,$R1353))+1)</f>
        <v>#VALUE!</v>
      </c>
      <c r="P1353" s="13" t="e">
        <f t="shared" si="106"/>
        <v>#VALUE!</v>
      </c>
      <c r="Q1353" s="1" t="str">
        <f>RIGHT(YEAR($A1353),2)-(MONTH($A1353)&lt;=[3]Roster!$K$25)
 &amp;"-"&amp;
 RIGHT(YEAR($A1353),2)+(MONTH($A1353)&gt;=[3]Roster!$K$26)</f>
        <v>22-23</v>
      </c>
      <c r="R1353" s="1" t="e">
        <f>CHOOSE(MONTH($P1353),[3]Roster!$K$9,[3]Roster!$K$10,[3]Roster!$K$11,[3]Roster!$K$12,[3]Roster!$K$13,[3]Roster!$K$14,[3]Roster!$K$15,[3]Roster!$K$16,[3]Roster!$K$17,[3]Roster!$K$18,[3]Roster!$K$19,[3]Roster!$K$20)&amp;" "&amp;$Q1353</f>
        <v>#VALUE!</v>
      </c>
      <c r="S1353" s="1">
        <f t="shared" si="107"/>
        <v>1</v>
      </c>
      <c r="T1353" s="1" t="str">
        <f t="array" ref="T1353">IFERROR(INDEX([3]Roster!$D$3:$D$42,MATCH($B1353,[3]Roster!$C$3:$C$42,0)),"")</f>
        <v>D</v>
      </c>
      <c r="U1353" s="1" t="str">
        <f t="array" ref="U1353">IFERROR(INDEX([3]Roster!$E$3:$E$42,MATCH($B1353,[3]Roster!$C$3:$C$42,0)),"")</f>
        <v>D</v>
      </c>
      <c r="V1353" s="76">
        <f t="array" ref="V1353">AVERAGEIFS($E$2:$E2565,$B$2:$B2565,$B1353,$P$2:$P2565,"&lt;="&amp;$P1353,$P$2:$P2565,"&gt;"&amp;$P1353-7)</f>
        <v>6.6304347826086953</v>
      </c>
      <c r="W1353" s="76">
        <f ca="1">IFERROR(__xludf.DUMMYFUNCTION("iferror(stdevp(filter($D$2:$D2568,$B$2:$B2568=$B1356,$O$2:$O2568&lt;=$O1356,$O$2:$O2568&gt;$O1356-7)),0)"),0.372677996249964)</f>
        <v>0.37267799624996401</v>
      </c>
      <c r="X1353" s="77">
        <f t="shared" ca="1" si="108"/>
        <v>0.99164753784773618</v>
      </c>
      <c r="Y1353" s="77">
        <f t="shared" ca="1" si="109"/>
        <v>3</v>
      </c>
      <c r="Z1353" s="76">
        <f t="array" ref="Z1353">AVERAGEIFS($F$2:$F2565,$B$2:$B2565,$B1353,$P$2:$P2565,"&lt;="&amp;$P1353,$P$2:$P2565,"&gt;"&amp;$P1353-7)</f>
        <v>7.6956521739130439</v>
      </c>
      <c r="AA1353" s="76">
        <f ca="1">IFERROR(__xludf.DUMMYFUNCTION("iferror(stdevp(filter($E$2:$E2568,$B$2:$B2568=$B1356,$O$2:$O2568&lt;=$O1356,$O$2:$O2568&gt;$O1356-7)),0)"),0.471404520791031)</f>
        <v>0.47140452079103101</v>
      </c>
      <c r="AB1353" s="77">
        <f t="shared" ca="1" si="110"/>
        <v>-1.4757011085632326</v>
      </c>
      <c r="AC1353" s="77">
        <f t="shared" ca="1" si="111"/>
        <v>1</v>
      </c>
      <c r="AD1353" s="76">
        <f t="array" ref="AD1353">AVERAGEIFS($G$2:$G2565,$B$2:$B2565,$B1353,$P$2:$P2565,"&lt;="&amp;$P1353,$P$2:$P2565,"&gt;"&amp;$P1353-7)</f>
        <v>8.2608695652173907</v>
      </c>
      <c r="AE1353" s="76">
        <f ca="1">IFERROR(__xludf.DUMMYFUNCTION("iferror(stdevp(filter($F$2:$F2568,$B$2:$B2568=$B1356,$O$2:$O2568&lt;=$O1356,$O$2:$O2568&gt;$O1356-7)),0)"),0.577350269189625)</f>
        <v>0.57735026918962495</v>
      </c>
      <c r="AF1353" s="77">
        <f t="shared" ca="1" si="112"/>
        <v>-2.1838901486738038</v>
      </c>
      <c r="AG1353" s="77">
        <f t="shared" ca="1" si="113"/>
        <v>1</v>
      </c>
      <c r="AH1353" s="76">
        <f t="array" ref="AH1353">AVERAGEIFS($I$2:$I2565,$B$2:$B2565,$B1353,$P$2:$P2565,"&lt;="&amp;$P1353,$P$2:$P2565,"&gt;"&amp;$P1353-7)</f>
        <v>5.7391304347826084</v>
      </c>
      <c r="AI1353" s="76">
        <f ca="1">IFERROR(__xludf.DUMMYFUNCTION("iferror(stdevp(filter($H$2:$H2568,$B$2:$B2568=$B1356,$O$2:$O2568&lt;=$O1356,$O$2:$O2568&gt;$O1356-7)),0)"),1.21335164821342)</f>
        <v>1.2133516482134199</v>
      </c>
      <c r="AJ1353" s="77">
        <f t="shared" ca="1" si="114"/>
        <v>0.21499914357186128</v>
      </c>
      <c r="AK1353" s="77">
        <f t="shared" ca="1" si="115"/>
        <v>3</v>
      </c>
      <c r="AL1353" s="76">
        <f t="array" ref="AL1353">AVERAGEIFS($J$2:$J2565,$B$2:$B2565,$B1353,$P$2:$P2565,"&lt;="&amp;$P1353,$P$2:$P2565,"&gt;"&amp;$P1353-7)</f>
        <v>6.5434782608695654</v>
      </c>
      <c r="AM1353" s="76">
        <f ca="1">IFERROR(__xludf.DUMMYFUNCTION("iferror(stdevp(filter($I$2:$I2568,$B$2:$B2568=$B1356,$O$2:$O2568&lt;=$O1356,$O$2:$O2568&gt;$O1356-7)),0)"),0.687184270936277)</f>
        <v>0.68718427093627699</v>
      </c>
      <c r="AN1353" s="77">
        <f t="shared" ca="1" si="116"/>
        <v>-0.79087703816195531</v>
      </c>
      <c r="AO1353" s="77">
        <f t="shared" ca="1" si="117"/>
        <v>2</v>
      </c>
      <c r="AP1353" s="76">
        <f t="array" ref="AP1353">AVERAGEIFS($K$2:$K2565,$B$2:$B2565,$B1353,$P$2:$P2565,"&lt;="&amp;$P1353,$P$2:$P2565,"&gt;"&amp;$P1353-7)</f>
        <v>6.6086956521739131</v>
      </c>
      <c r="AQ1353" s="76">
        <f ca="1">IFERROR(__xludf.DUMMYFUNCTION("iferror(stdevp(filter($J$2:$J2568,$B$2:$B2568=$B1356,$O$2:$O2568&lt;=$O1356,$O$2:$O2568&gt;$O1356-7)),0)"),0.577350269189625)</f>
        <v>0.57735026918962495</v>
      </c>
      <c r="AR1353" s="77">
        <f t="shared" ca="1" si="118"/>
        <v>-1.0542917959114921</v>
      </c>
      <c r="AS1353" s="77">
        <f t="shared" ca="1" si="119"/>
        <v>1</v>
      </c>
      <c r="AT1353" s="78">
        <f t="shared" ca="1" si="120"/>
        <v>0.45833333333333331</v>
      </c>
    </row>
    <row r="1354" spans="1:46" ht="12.5" x14ac:dyDescent="0.25">
      <c r="A1354" s="75">
        <v>44993.512096527775</v>
      </c>
      <c r="B1354" s="1" t="s">
        <v>4</v>
      </c>
      <c r="C1354" s="1" t="str">
        <f>INDEX(TBL_Name,MATCH(Table2[[#This Row],[Athlete Name]],listNames,0),2)</f>
        <v>Athlete 1</v>
      </c>
      <c r="D1354" s="1" t="s">
        <v>130</v>
      </c>
      <c r="E1354" s="1">
        <v>9</v>
      </c>
      <c r="F1354" s="1">
        <v>7</v>
      </c>
      <c r="G1354" s="1">
        <v>7</v>
      </c>
      <c r="H1354" s="1" t="s">
        <v>1609</v>
      </c>
      <c r="I1354" s="1">
        <v>5</v>
      </c>
      <c r="J1354" s="1">
        <v>6</v>
      </c>
      <c r="K1354" s="1">
        <v>7</v>
      </c>
      <c r="L1354" s="1">
        <v>83</v>
      </c>
      <c r="M1354" s="1" t="e">
        <f t="shared" ref="M1354" ca="1" si="229">_xludf.concat($B1354,$P1354)</f>
        <v>#NAME?</v>
      </c>
      <c r="N1354" s="1" t="e">
        <f t="shared" si="104"/>
        <v>#VALUE!</v>
      </c>
      <c r="O1354" s="1" t="e">
        <f t="shared" ref="O1354" ca="1" si="230">IF($N1354=_xludf.MINIFS($N$2:$N2860,$R$2:$R2860,$R1354),1,
($N1354-_xludf.MINIFS($N$2:$N2860,$R$2:$R2860,$R1354))+1)</f>
        <v>#VALUE!</v>
      </c>
      <c r="P1354" s="13" t="e">
        <f t="shared" si="106"/>
        <v>#VALUE!</v>
      </c>
      <c r="Q1354" s="1" t="str">
        <f>RIGHT(YEAR($A1354),2)-(MONTH($A1354)&lt;=[3]Roster!$K$25)
 &amp;"-"&amp;
 RIGHT(YEAR($A1354),2)+(MONTH($A1354)&gt;=[3]Roster!$K$26)</f>
        <v>22-23</v>
      </c>
      <c r="R1354" s="1" t="e">
        <f>CHOOSE(MONTH($P1354),[3]Roster!$K$9,[3]Roster!$K$10,[3]Roster!$K$11,[3]Roster!$K$12,[3]Roster!$K$13,[3]Roster!$K$14,[3]Roster!$K$15,[3]Roster!$K$16,[3]Roster!$K$17,[3]Roster!$K$18,[3]Roster!$K$19,[3]Roster!$K$20)&amp;" "&amp;$Q1354</f>
        <v>#VALUE!</v>
      </c>
      <c r="S1354" s="1">
        <f t="shared" si="107"/>
        <v>1</v>
      </c>
      <c r="T1354" s="1" t="str">
        <f t="array" ref="T1354">IFERROR(INDEX([3]Roster!$D$3:$D$42,MATCH($B1354,[3]Roster!$C$3:$C$42,0)),"")</f>
        <v>FWD</v>
      </c>
      <c r="U1354" s="1" t="str">
        <f t="array" ref="U1354">IFERROR(INDEX([3]Roster!$E$3:$E$42,MATCH($B1354,[3]Roster!$C$3:$C$42,0)),"")</f>
        <v>FWD</v>
      </c>
      <c r="V1354" s="76">
        <f t="array" ref="V1354">AVERAGEIFS($E$2:$E2565,$B$2:$B2565,$B1354,$P$2:$P2565,"&lt;="&amp;$P1354,$P$2:$P2565,"&gt;"&amp;$P1354-7)</f>
        <v>8.3809523809523814</v>
      </c>
      <c r="W1354" s="76">
        <f ca="1">IFERROR(__xludf.DUMMYFUNCTION("iferror(stdevp(filter($D$2:$D2568,$B$2:$B2568=$B1357,$O$2:$O2568&lt;=$O1357,$O$2:$O2568&gt;$O1357-7)),0)"),0)</f>
        <v>0</v>
      </c>
      <c r="X1354" s="77">
        <f t="shared" ca="1" si="108"/>
        <v>0</v>
      </c>
      <c r="Y1354" s="77">
        <f t="shared" ca="1" si="109"/>
        <v>3</v>
      </c>
      <c r="Z1354" s="76">
        <f t="array" ref="Z1354">AVERAGEIFS($F$2:$F2565,$B$2:$B2565,$B1354,$P$2:$P2565,"&lt;="&amp;$P1354,$P$2:$P2565,"&gt;"&amp;$P1354-7)</f>
        <v>6.8571428571428568</v>
      </c>
      <c r="AA1354" s="76">
        <f ca="1">IFERROR(__xludf.DUMMYFUNCTION("iferror(stdevp(filter($E$2:$E2568,$B$2:$B2568=$B1357,$O$2:$O2568&lt;=$O1357,$O$2:$O2568&gt;$O1357-7)),0)"),0.5)</f>
        <v>0.5</v>
      </c>
      <c r="AB1354" s="77">
        <f t="shared" ca="1" si="110"/>
        <v>0.28571428571428648</v>
      </c>
      <c r="AC1354" s="77">
        <f t="shared" ca="1" si="111"/>
        <v>3</v>
      </c>
      <c r="AD1354" s="76">
        <f t="array" ref="AD1354">AVERAGEIFS($G$2:$G2565,$B$2:$B2565,$B1354,$P$2:$P2565,"&lt;="&amp;$P1354,$P$2:$P2565,"&gt;"&amp;$P1354-7)</f>
        <v>5.7619047619047619</v>
      </c>
      <c r="AE1354" s="76">
        <f ca="1">IFERROR(__xludf.DUMMYFUNCTION("iferror(stdevp(filter($F$2:$F2568,$B$2:$B2568=$B1357,$O$2:$O2568&lt;=$O1357,$O$2:$O2568&gt;$O1357-7)),0)"),0.5)</f>
        <v>0.5</v>
      </c>
      <c r="AF1354" s="77">
        <f t="shared" ca="1" si="112"/>
        <v>2.4761904761904763</v>
      </c>
      <c r="AG1354" s="77">
        <f t="shared" ca="1" si="113"/>
        <v>4</v>
      </c>
      <c r="AH1354" s="76">
        <f t="array" ref="AH1354">AVERAGEIFS($I$2:$I2565,$B$2:$B2565,$B1354,$P$2:$P2565,"&lt;="&amp;$P1354,$P$2:$P2565,"&gt;"&amp;$P1354-7)</f>
        <v>6.8571428571428568</v>
      </c>
      <c r="AI1354" s="76">
        <f ca="1">IFERROR(__xludf.DUMMYFUNCTION("iferror(stdevp(filter($H$2:$H2568,$B$2:$B2568=$B1357,$O$2:$O2568&lt;=$O1357,$O$2:$O2568&gt;$O1357-7)),0)"),1.5)</f>
        <v>1.5</v>
      </c>
      <c r="AJ1354" s="77">
        <f t="shared" ca="1" si="114"/>
        <v>-1.2380952380952379</v>
      </c>
      <c r="AK1354" s="77">
        <f t="shared" ca="1" si="115"/>
        <v>1</v>
      </c>
      <c r="AL1354" s="76">
        <f t="array" ref="AL1354">AVERAGEIFS($J$2:$J2565,$B$2:$B2565,$B1354,$P$2:$P2565,"&lt;="&amp;$P1354,$P$2:$P2565,"&gt;"&amp;$P1354-7)</f>
        <v>5.0952380952380949</v>
      </c>
      <c r="AM1354" s="76">
        <f ca="1">IFERROR(__xludf.DUMMYFUNCTION("iferror(stdevp(filter($I$2:$I2568,$B$2:$B2568=$B1357,$O$2:$O2568&lt;=$O1357,$O$2:$O2568&gt;$O1357-7)),0)"),1)</f>
        <v>1</v>
      </c>
      <c r="AN1354" s="77">
        <f t="shared" ca="1" si="116"/>
        <v>0.9047619047619051</v>
      </c>
      <c r="AO1354" s="77">
        <f t="shared" ca="1" si="117"/>
        <v>3</v>
      </c>
      <c r="AP1354" s="76">
        <f t="array" ref="AP1354">AVERAGEIFS($K$2:$K2565,$B$2:$B2565,$B1354,$P$2:$P2565,"&lt;="&amp;$P1354,$P$2:$P2565,"&gt;"&amp;$P1354-7)</f>
        <v>5.3809523809523814</v>
      </c>
      <c r="AQ1354" s="76">
        <f ca="1">IFERROR(__xludf.DUMMYFUNCTION("iferror(stdevp(filter($J$2:$J2568,$B$2:$B2568=$B1357,$O$2:$O2568&lt;=$O1357,$O$2:$O2568&gt;$O1357-7)),0)"),1.5)</f>
        <v>1.5</v>
      </c>
      <c r="AR1354" s="77">
        <f t="shared" ca="1" si="118"/>
        <v>1.0793650793650791</v>
      </c>
      <c r="AS1354" s="77">
        <f t="shared" ca="1" si="119"/>
        <v>4</v>
      </c>
      <c r="AT1354" s="78">
        <f t="shared" ca="1" si="120"/>
        <v>0.75</v>
      </c>
    </row>
    <row r="1355" spans="1:46" ht="12.5" x14ac:dyDescent="0.25">
      <c r="A1355" s="75">
        <v>44993.51956912037</v>
      </c>
      <c r="B1355" s="1" t="s">
        <v>16</v>
      </c>
      <c r="C1355" s="1" t="str">
        <f>INDEX(TBL_Name,MATCH(Table2[[#This Row],[Athlete Name]],listNames,0),2)</f>
        <v>Athlete 9</v>
      </c>
      <c r="D1355" s="1" t="s">
        <v>130</v>
      </c>
      <c r="E1355" s="1">
        <v>9</v>
      </c>
      <c r="F1355" s="1">
        <v>7</v>
      </c>
      <c r="G1355" s="1">
        <v>7</v>
      </c>
      <c r="H1355" s="1" t="s">
        <v>415</v>
      </c>
      <c r="I1355" s="1">
        <v>6</v>
      </c>
      <c r="J1355" s="1">
        <v>8</v>
      </c>
      <c r="K1355" s="1">
        <v>8</v>
      </c>
      <c r="L1355" s="1">
        <v>80</v>
      </c>
      <c r="M1355" s="1" t="e">
        <f t="shared" ref="M1355" ca="1" si="231">_xludf.concat($B1355,$P1355)</f>
        <v>#NAME?</v>
      </c>
      <c r="N1355" s="1" t="e">
        <f t="shared" si="104"/>
        <v>#VALUE!</v>
      </c>
      <c r="O1355" s="1" t="e">
        <f t="shared" ref="O1355" ca="1" si="232">IF($N1355=_xludf.MINIFS($N$2:$N2861,$R$2:$R2861,$R1355),1,
($N1355-_xludf.MINIFS($N$2:$N2861,$R$2:$R2861,$R1355))+1)</f>
        <v>#VALUE!</v>
      </c>
      <c r="P1355" s="13" t="e">
        <f t="shared" si="106"/>
        <v>#VALUE!</v>
      </c>
      <c r="Q1355" s="1" t="str">
        <f>RIGHT(YEAR($A1355),2)-(MONTH($A1355)&lt;=[3]Roster!$K$25)
 &amp;"-"&amp;
 RIGHT(YEAR($A1355),2)+(MONTH($A1355)&gt;=[3]Roster!$K$26)</f>
        <v>22-23</v>
      </c>
      <c r="R1355" s="1" t="e">
        <f>CHOOSE(MONTH($P1355),[3]Roster!$K$9,[3]Roster!$K$10,[3]Roster!$K$11,[3]Roster!$K$12,[3]Roster!$K$13,[3]Roster!$K$14,[3]Roster!$K$15,[3]Roster!$K$16,[3]Roster!$K$17,[3]Roster!$K$18,[3]Roster!$K$19,[3]Roster!$K$20)&amp;" "&amp;$Q1355</f>
        <v>#VALUE!</v>
      </c>
      <c r="S1355" s="1">
        <f t="shared" si="107"/>
        <v>1</v>
      </c>
      <c r="T1355" s="1" t="str">
        <f t="array" ref="T1355">IFERROR(INDEX([3]Roster!$D$3:$D$42,MATCH($B1355,[3]Roster!$C$3:$C$42,0)),"")</f>
        <v>MID/D</v>
      </c>
      <c r="U1355" s="1" t="str">
        <f t="array" ref="U1355">IFERROR(INDEX([3]Roster!$E$3:$E$42,MATCH($B1355,[3]Roster!$C$3:$C$42,0)),"")</f>
        <v>MID/D</v>
      </c>
      <c r="V1355" s="76">
        <f t="array" ref="V1355">AVERAGEIFS($E$2:$E2565,$B$2:$B2565,$B1355,$P$2:$P2565,"&lt;="&amp;$P1355,$P$2:$P2565,"&gt;"&amp;$P1355-7)</f>
        <v>8.9600000000000009</v>
      </c>
      <c r="W1355" s="76">
        <f ca="1">IFERROR(__xludf.DUMMYFUNCTION("iferror(stdevp(filter($D$2:$D2568,$B$2:$B2568=$B1358,$O$2:$O2568&lt;=$O1358,$O$2:$O2568&gt;$O1358-7)),0)"),0.471404520791031)</f>
        <v>0.47140452079103101</v>
      </c>
      <c r="X1355" s="77">
        <f t="shared" ca="1" si="108"/>
        <v>8.4852813742384015E-2</v>
      </c>
      <c r="Y1355" s="77">
        <f t="shared" ca="1" si="109"/>
        <v>3</v>
      </c>
      <c r="Z1355" s="76">
        <f t="array" ref="Z1355">AVERAGEIFS($F$2:$F2565,$B$2:$B2565,$B1355,$P$2:$P2565,"&lt;="&amp;$P1355,$P$2:$P2565,"&gt;"&amp;$P1355-7)</f>
        <v>7.48</v>
      </c>
      <c r="AA1355" s="76">
        <f ca="1">IFERROR(__xludf.DUMMYFUNCTION("iferror(stdevp(filter($E$2:$E2568,$B$2:$B2568=$B1358,$O$2:$O2568&lt;=$O1358,$O$2:$O2568&gt;$O1358-7)),0)"),0.942809041582063)</f>
        <v>0.94280904158206302</v>
      </c>
      <c r="AB1355" s="77">
        <f t="shared" ca="1" si="110"/>
        <v>-0.50911688245431486</v>
      </c>
      <c r="AC1355" s="77">
        <f t="shared" ca="1" si="111"/>
        <v>2</v>
      </c>
      <c r="AD1355" s="76">
        <f t="array" ref="AD1355">AVERAGEIFS($G$2:$G2565,$B$2:$B2565,$B1355,$P$2:$P2565,"&lt;="&amp;$P1355,$P$2:$P2565,"&gt;"&amp;$P1355-7)</f>
        <v>7.56</v>
      </c>
      <c r="AE1355" s="76">
        <f ca="1">IFERROR(__xludf.DUMMYFUNCTION("iferror(stdevp(filter($F$2:$F2568,$B$2:$B2568=$B1358,$O$2:$O2568&lt;=$O1358,$O$2:$O2568&gt;$O1358-7)),0)"),0.471404520791031)</f>
        <v>0.47140452079103101</v>
      </c>
      <c r="AF1355" s="77">
        <f t="shared" ca="1" si="112"/>
        <v>-1.1879393923934007</v>
      </c>
      <c r="AG1355" s="77">
        <f t="shared" ca="1" si="113"/>
        <v>1</v>
      </c>
      <c r="AH1355" s="76">
        <f t="array" ref="AH1355">AVERAGEIFS($I$2:$I2565,$B$2:$B2565,$B1355,$P$2:$P2565,"&lt;="&amp;$P1355,$P$2:$P2565,"&gt;"&amp;$P1355-7)</f>
        <v>5.8</v>
      </c>
      <c r="AI1355" s="76">
        <f ca="1">IFERROR(__xludf.DUMMYFUNCTION("iferror(stdevp(filter($H$2:$H2568,$B$2:$B2568=$B1358,$O$2:$O2568&lt;=$O1358,$O$2:$O2568&gt;$O1358-7)),0)"),0.471404520791031)</f>
        <v>0.47140452079103101</v>
      </c>
      <c r="AJ1355" s="77">
        <f t="shared" ca="1" si="114"/>
        <v>0.42426406871192951</v>
      </c>
      <c r="AK1355" s="77">
        <f t="shared" ca="1" si="115"/>
        <v>3</v>
      </c>
      <c r="AL1355" s="76">
        <f t="array" ref="AL1355">AVERAGEIFS($J$2:$J2565,$B$2:$B2565,$B1355,$P$2:$P2565,"&lt;="&amp;$P1355,$P$2:$P2565,"&gt;"&amp;$P1355-7)</f>
        <v>7.8</v>
      </c>
      <c r="AM1355" s="76">
        <f ca="1">IFERROR(__xludf.DUMMYFUNCTION("iferror(stdevp(filter($I$2:$I2568,$B$2:$B2568=$B1358,$O$2:$O2568&lt;=$O1358,$O$2:$O2568&gt;$O1358-7)),0)"),0.471404520791031)</f>
        <v>0.47140452079103101</v>
      </c>
      <c r="AN1355" s="77">
        <f t="shared" ca="1" si="116"/>
        <v>0.42426406871192951</v>
      </c>
      <c r="AO1355" s="77">
        <f t="shared" ca="1" si="117"/>
        <v>3</v>
      </c>
      <c r="AP1355" s="76">
        <f t="array" ref="AP1355">AVERAGEIFS($K$2:$K2565,$B$2:$B2565,$B1355,$P$2:$P2565,"&lt;="&amp;$P1355,$P$2:$P2565,"&gt;"&amp;$P1355-7)</f>
        <v>8.6</v>
      </c>
      <c r="AQ1355" s="76">
        <f ca="1">IFERROR(__xludf.DUMMYFUNCTION("iferror(stdevp(filter($J$2:$J2568,$B$2:$B2568=$B1358,$O$2:$O2568&lt;=$O1358,$O$2:$O2568&gt;$O1358-7)),0)"),0)</f>
        <v>0</v>
      </c>
      <c r="AR1355" s="77">
        <f t="shared" ca="1" si="118"/>
        <v>0</v>
      </c>
      <c r="AS1355" s="77">
        <f t="shared" ca="1" si="119"/>
        <v>3</v>
      </c>
      <c r="AT1355" s="78">
        <f t="shared" ca="1" si="120"/>
        <v>0.625</v>
      </c>
    </row>
    <row r="1356" spans="1:46" ht="12.5" x14ac:dyDescent="0.25">
      <c r="A1356" s="75">
        <v>44993.604230960649</v>
      </c>
      <c r="B1356" s="1" t="s">
        <v>24</v>
      </c>
      <c r="C1356" s="1" t="str">
        <f>INDEX(TBL_Name,MATCH(Table2[[#This Row],[Athlete Name]],listNames,0),2)</f>
        <v>Athlete 16</v>
      </c>
      <c r="D1356" s="1" t="s">
        <v>130</v>
      </c>
      <c r="E1356" s="1">
        <v>1</v>
      </c>
      <c r="F1356" s="1">
        <v>3</v>
      </c>
      <c r="G1356" s="1">
        <v>4</v>
      </c>
      <c r="H1356" s="1" t="s">
        <v>191</v>
      </c>
      <c r="I1356" s="1">
        <v>3</v>
      </c>
      <c r="J1356" s="1">
        <v>4</v>
      </c>
      <c r="K1356" s="1">
        <v>5</v>
      </c>
      <c r="L1356" s="1">
        <v>89</v>
      </c>
      <c r="M1356" s="1" t="e">
        <f t="shared" ref="M1356" ca="1" si="233">_xludf.concat($B1356,$P1356)</f>
        <v>#NAME?</v>
      </c>
      <c r="N1356" s="1" t="e">
        <f t="shared" si="104"/>
        <v>#VALUE!</v>
      </c>
      <c r="O1356" s="1" t="e">
        <f t="shared" ref="O1356" ca="1" si="234">IF($N1356=_xludf.MINIFS($N$2:$N2862,$R$2:$R2862,$R1356),1,
($N1356-_xludf.MINIFS($N$2:$N2862,$R$2:$R2862,$R1356))+1)</f>
        <v>#VALUE!</v>
      </c>
      <c r="P1356" s="13" t="e">
        <f t="shared" si="106"/>
        <v>#VALUE!</v>
      </c>
      <c r="Q1356" s="1" t="str">
        <f>RIGHT(YEAR($A1356),2)-(MONTH($A1356)&lt;=[3]Roster!$K$25)
 &amp;"-"&amp;
 RIGHT(YEAR($A1356),2)+(MONTH($A1356)&gt;=[3]Roster!$K$26)</f>
        <v>22-23</v>
      </c>
      <c r="R1356" s="1" t="e">
        <f>CHOOSE(MONTH($P1356),[3]Roster!$K$9,[3]Roster!$K$10,[3]Roster!$K$11,[3]Roster!$K$12,[3]Roster!$K$13,[3]Roster!$K$14,[3]Roster!$K$15,[3]Roster!$K$16,[3]Roster!$K$17,[3]Roster!$K$18,[3]Roster!$K$19,[3]Roster!$K$20)&amp;" "&amp;$Q1356</f>
        <v>#VALUE!</v>
      </c>
      <c r="S1356" s="1">
        <f t="shared" si="107"/>
        <v>1</v>
      </c>
      <c r="T1356" s="1" t="str">
        <f t="array" ref="T1356">IFERROR(INDEX([3]Roster!$D$3:$D$42,MATCH($B1356,[3]Roster!$C$3:$C$42,0)),"")</f>
        <v>D</v>
      </c>
      <c r="U1356" s="1" t="str">
        <f t="array" ref="U1356">IFERROR(INDEX([3]Roster!$E$3:$E$42,MATCH($B1356,[3]Roster!$C$3:$C$42,0)),"")</f>
        <v>D</v>
      </c>
      <c r="V1356" s="76">
        <f t="array" ref="V1356">AVERAGEIFS($E$2:$E2565,$B$2:$B2565,$B1356,$P$2:$P2565,"&lt;="&amp;$P1356,$P$2:$P2565,"&gt;"&amp;$P1356-7)</f>
        <v>4.1818181818181817</v>
      </c>
      <c r="W1356" s="76">
        <f ca="1">IFERROR(__xludf.DUMMYFUNCTION("iferror(stdevp(filter($D$2:$D2568,$B$2:$B2568=$B1359,$O$2:$O2568&lt;=$O1359,$O$2:$O2568&gt;$O1359-7)),0)"),3.09120616516523)</f>
        <v>3.0912061651652301</v>
      </c>
      <c r="X1356" s="77">
        <f t="shared" ca="1" si="108"/>
        <v>-1.0293128351237317</v>
      </c>
      <c r="Y1356" s="77">
        <f t="shared" ca="1" si="109"/>
        <v>1</v>
      </c>
      <c r="Z1356" s="76">
        <f t="array" ref="Z1356">AVERAGEIFS($F$2:$F2565,$B$2:$B2565,$B1356,$P$2:$P2565,"&lt;="&amp;$P1356,$P$2:$P2565,"&gt;"&amp;$P1356-7)</f>
        <v>6</v>
      </c>
      <c r="AA1356" s="76">
        <f ca="1">IFERROR(__xludf.DUMMYFUNCTION("iferror(stdevp(filter($E$2:$E2568,$B$2:$B2568=$B1359,$O$2:$O2568&lt;=$O1359,$O$2:$O2568&gt;$O1359-7)),0)"),2.62466929133727)</f>
        <v>2.6246692913372698</v>
      </c>
      <c r="AB1356" s="77">
        <f t="shared" ca="1" si="110"/>
        <v>-1.1430011430017148</v>
      </c>
      <c r="AC1356" s="77">
        <f t="shared" ca="1" si="111"/>
        <v>1</v>
      </c>
      <c r="AD1356" s="76">
        <f t="array" ref="AD1356">AVERAGEIFS($G$2:$G2565,$B$2:$B2565,$B1356,$P$2:$P2565,"&lt;="&amp;$P1356,$P$2:$P2565,"&gt;"&amp;$P1356-7)</f>
        <v>5.9090909090909092</v>
      </c>
      <c r="AE1356" s="76">
        <f ca="1">IFERROR(__xludf.DUMMYFUNCTION("iferror(stdevp(filter($F$2:$F2568,$B$2:$B2568=$B1359,$O$2:$O2568&lt;=$O1359,$O$2:$O2568&gt;$O1359-7)),0)"),1.24721912892464)</f>
        <v>1.2472191289246399</v>
      </c>
      <c r="AF1356" s="77">
        <f t="shared" ca="1" si="112"/>
        <v>-1.5306780218620759</v>
      </c>
      <c r="AG1356" s="77">
        <f t="shared" ca="1" si="113"/>
        <v>1</v>
      </c>
      <c r="AH1356" s="76">
        <f t="array" ref="AH1356">AVERAGEIFS($I$2:$I2565,$B$2:$B2565,$B1356,$P$2:$P2565,"&lt;="&amp;$P1356,$P$2:$P2565,"&gt;"&amp;$P1356-7)</f>
        <v>4.9545454545454541</v>
      </c>
      <c r="AI1356" s="76">
        <f ca="1">IFERROR(__xludf.DUMMYFUNCTION("iferror(stdevp(filter($H$2:$H2568,$B$2:$B2568=$B1359,$O$2:$O2568&lt;=$O1359,$O$2:$O2568&gt;$O1359-7)),0)"),1.63299316185545)</f>
        <v>1.6329931618554501</v>
      </c>
      <c r="AJ1356" s="77">
        <f t="shared" ca="1" si="114"/>
        <v>-1.1969097606781451</v>
      </c>
      <c r="AK1356" s="77">
        <f t="shared" ca="1" si="115"/>
        <v>1</v>
      </c>
      <c r="AL1356" s="76">
        <f t="array" ref="AL1356">AVERAGEIFS($J$2:$J2565,$B$2:$B2565,$B1356,$P$2:$P2565,"&lt;="&amp;$P1356,$P$2:$P2565,"&gt;"&amp;$P1356-7)</f>
        <v>6.9090909090909092</v>
      </c>
      <c r="AM1356" s="76">
        <f ca="1">IFERROR(__xludf.DUMMYFUNCTION("iferror(stdevp(filter($I$2:$I2568,$B$2:$B2568=$B1359,$O$2:$O2568&lt;=$O1359,$O$2:$O2568&gt;$O1359-7)),0)"),1.88561808316412)</f>
        <v>1.8856180831641201</v>
      </c>
      <c r="AN1356" s="77">
        <f t="shared" ca="1" si="116"/>
        <v>-1.5427784316797455</v>
      </c>
      <c r="AO1356" s="77">
        <f t="shared" ca="1" si="117"/>
        <v>1</v>
      </c>
      <c r="AP1356" s="76">
        <f t="array" ref="AP1356">AVERAGEIFS($K$2:$K2565,$B$2:$B2565,$B1356,$P$2:$P2565,"&lt;="&amp;$P1356,$P$2:$P2565,"&gt;"&amp;$P1356-7)</f>
        <v>6.7272727272727275</v>
      </c>
      <c r="AQ1356" s="76">
        <f ca="1">IFERROR(__xludf.DUMMYFUNCTION("iferror(stdevp(filter($J$2:$J2568,$B$2:$B2568=$B1359,$O$2:$O2568&lt;=$O1359,$O$2:$O2568&gt;$O1359-7)),0)"),0.942809041582063)</f>
        <v>0.94280904158206302</v>
      </c>
      <c r="AR1356" s="77">
        <f t="shared" ca="1" si="118"/>
        <v>-1.8320493876196922</v>
      </c>
      <c r="AS1356" s="77">
        <f t="shared" ca="1" si="119"/>
        <v>1</v>
      </c>
      <c r="AT1356" s="78">
        <f t="shared" ca="1" si="120"/>
        <v>0.25</v>
      </c>
    </row>
    <row r="1357" spans="1:46" ht="12.5" x14ac:dyDescent="0.25">
      <c r="A1357" s="75">
        <v>44994.192148865739</v>
      </c>
      <c r="B1357" s="1" t="s">
        <v>21</v>
      </c>
      <c r="C1357" s="1" t="str">
        <f>INDEX(TBL_Name,MATCH(Table2[[#This Row],[Athlete Name]],listNames,0),2)</f>
        <v>Athlete 13</v>
      </c>
      <c r="D1357" s="1" t="s">
        <v>130</v>
      </c>
      <c r="E1357" s="1">
        <v>6</v>
      </c>
      <c r="F1357" s="1">
        <v>7</v>
      </c>
      <c r="G1357" s="1">
        <v>7</v>
      </c>
      <c r="H1357" s="1" t="s">
        <v>1610</v>
      </c>
      <c r="I1357" s="1">
        <v>5</v>
      </c>
      <c r="J1357" s="1">
        <v>8</v>
      </c>
      <c r="K1357" s="1">
        <v>7</v>
      </c>
      <c r="L1357" s="1">
        <v>75</v>
      </c>
      <c r="M1357" s="1" t="e">
        <f t="shared" ref="M1357" ca="1" si="235">_xludf.concat($B1357,$P1357)</f>
        <v>#NAME?</v>
      </c>
      <c r="N1357" s="1" t="e">
        <f t="shared" si="104"/>
        <v>#VALUE!</v>
      </c>
      <c r="O1357" s="1" t="e">
        <f t="shared" ref="O1357" ca="1" si="236">IF($N1357=_xludf.MINIFS($N$2:$N2863,$R$2:$R2863,$R1357),1,
($N1357-_xludf.MINIFS($N$2:$N2863,$R$2:$R2863,$R1357))+1)</f>
        <v>#VALUE!</v>
      </c>
      <c r="P1357" s="13" t="e">
        <f t="shared" si="106"/>
        <v>#VALUE!</v>
      </c>
      <c r="Q1357" s="1" t="str">
        <f>RIGHT(YEAR($A1357),2)-(MONTH($A1357)&lt;=[3]Roster!$K$25)
 &amp;"-"&amp;
 RIGHT(YEAR($A1357),2)+(MONTH($A1357)&gt;=[3]Roster!$K$26)</f>
        <v>22-23</v>
      </c>
      <c r="R1357" s="1" t="e">
        <f>CHOOSE(MONTH($P1357),[3]Roster!$K$9,[3]Roster!$K$10,[3]Roster!$K$11,[3]Roster!$K$12,[3]Roster!$K$13,[3]Roster!$K$14,[3]Roster!$K$15,[3]Roster!$K$16,[3]Roster!$K$17,[3]Roster!$K$18,[3]Roster!$K$19,[3]Roster!$K$20)&amp;" "&amp;$Q1357</f>
        <v>#VALUE!</v>
      </c>
      <c r="S1357" s="1">
        <f t="shared" si="107"/>
        <v>1</v>
      </c>
      <c r="T1357" s="1" t="str">
        <f t="array" ref="T1357">IFERROR(INDEX([3]Roster!$D$3:$D$42,MATCH($B1357,[3]Roster!$C$3:$C$42,0)),"")</f>
        <v>D</v>
      </c>
      <c r="U1357" s="1" t="str">
        <f t="array" ref="U1357">IFERROR(INDEX([3]Roster!$E$3:$E$42,MATCH($B1357,[3]Roster!$C$3:$C$42,0)),"")</f>
        <v>D</v>
      </c>
      <c r="V1357" s="76">
        <f t="array" ref="V1357">AVERAGEIFS($E$2:$E2565,$B$2:$B2565,$B1357,$P$2:$P2565,"&lt;="&amp;$P1357,$P$2:$P2565,"&gt;"&amp;$P1357-7)</f>
        <v>6.6304347826086953</v>
      </c>
      <c r="W1357" s="76">
        <f ca="1">IFERROR(__xludf.DUMMYFUNCTION("iferror(stdevp(filter($D$2:$D2568,$B$2:$B2568=$B1360,$O$2:$O2568&lt;=$O1360,$O$2:$O2568&gt;$O1360-7)),0)"),0.763762615825973)</f>
        <v>0.76376261582597305</v>
      </c>
      <c r="X1357" s="77">
        <f t="shared" ca="1" si="108"/>
        <v>-0.8254328891535363</v>
      </c>
      <c r="Y1357" s="77">
        <f t="shared" ca="1" si="109"/>
        <v>2</v>
      </c>
      <c r="Z1357" s="76">
        <f t="array" ref="Z1357">AVERAGEIFS($F$2:$F2565,$B$2:$B2565,$B1357,$P$2:$P2565,"&lt;="&amp;$P1357,$P$2:$P2565,"&gt;"&amp;$P1357-7)</f>
        <v>7.6956521739130439</v>
      </c>
      <c r="AA1357" s="76">
        <f ca="1">IFERROR(__xludf.DUMMYFUNCTION("iferror(stdevp(filter($E$2:$E2568,$B$2:$B2568=$B1360,$O$2:$O2568&lt;=$O1360,$O$2:$O2568&gt;$O1360-7)),0)"),0.499999999999999)</f>
        <v>0.499999999999999</v>
      </c>
      <c r="AB1357" s="77">
        <f t="shared" ca="1" si="110"/>
        <v>-1.3913043478260907</v>
      </c>
      <c r="AC1357" s="77">
        <f t="shared" ca="1" si="111"/>
        <v>1</v>
      </c>
      <c r="AD1357" s="76">
        <f t="array" ref="AD1357">AVERAGEIFS($G$2:$G2565,$B$2:$B2565,$B1357,$P$2:$P2565,"&lt;="&amp;$P1357,$P$2:$P2565,"&gt;"&amp;$P1357-7)</f>
        <v>8.2608695652173907</v>
      </c>
      <c r="AE1357" s="76">
        <f ca="1">IFERROR(__xludf.DUMMYFUNCTION("iferror(stdevp(filter($F$2:$F2568,$B$2:$B2568=$B1360,$O$2:$O2568&lt;=$O1360,$O$2:$O2568&gt;$O1360-7)),0)"),0.687184270936276)</f>
        <v>0.68718427093627599</v>
      </c>
      <c r="AF1357" s="77">
        <f t="shared" ca="1" si="112"/>
        <v>-1.8348347285357376</v>
      </c>
      <c r="AG1357" s="77">
        <f t="shared" ca="1" si="113"/>
        <v>1</v>
      </c>
      <c r="AH1357" s="76">
        <f t="array" ref="AH1357">AVERAGEIFS($I$2:$I2565,$B$2:$B2565,$B1357,$P$2:$P2565,"&lt;="&amp;$P1357,$P$2:$P2565,"&gt;"&amp;$P1357-7)</f>
        <v>5.7391304347826084</v>
      </c>
      <c r="AI1357" s="76">
        <f ca="1">IFERROR(__xludf.DUMMYFUNCTION("iferror(stdevp(filter($H$2:$H2568,$B$2:$B2568=$B1360,$O$2:$O2568&lt;=$O1360,$O$2:$O2568&gt;$O1360-7)),0)"),1.37436854187255)</f>
        <v>1.37436854187255</v>
      </c>
      <c r="AJ1357" s="77">
        <f t="shared" ca="1" si="114"/>
        <v>-0.5377963859501308</v>
      </c>
      <c r="AK1357" s="77">
        <f t="shared" ca="1" si="115"/>
        <v>2</v>
      </c>
      <c r="AL1357" s="76">
        <f t="array" ref="AL1357">AVERAGEIFS($J$2:$J2565,$B$2:$B2565,$B1357,$P$2:$P2565,"&lt;="&amp;$P1357,$P$2:$P2565,"&gt;"&amp;$P1357-7)</f>
        <v>6.5434782608695654</v>
      </c>
      <c r="AM1357" s="76">
        <f ca="1">IFERROR(__xludf.DUMMYFUNCTION("iferror(stdevp(filter($I$2:$I2568,$B$2:$B2568=$B1360,$O$2:$O2568&lt;=$O1360,$O$2:$O2568&gt;$O1360-7)),0)"),0.687184270936276)</f>
        <v>0.68718427093627599</v>
      </c>
      <c r="AN1357" s="77">
        <f t="shared" ca="1" si="116"/>
        <v>2.1195504622740424</v>
      </c>
      <c r="AO1357" s="77">
        <f t="shared" ca="1" si="117"/>
        <v>4</v>
      </c>
      <c r="AP1357" s="76">
        <f t="array" ref="AP1357">AVERAGEIFS($K$2:$K2565,$B$2:$B2565,$B1357,$P$2:$P2565,"&lt;="&amp;$P1357,$P$2:$P2565,"&gt;"&amp;$P1357-7)</f>
        <v>6.6086956521739131</v>
      </c>
      <c r="AQ1357" s="76">
        <f ca="1">IFERROR(__xludf.DUMMYFUNCTION("iferror(stdevp(filter($J$2:$J2568,$B$2:$B2568=$B1360,$O$2:$O2568&lt;=$O1360,$O$2:$O2568&gt;$O1360-7)),0)"),0.577350269189625)</f>
        <v>0.57735026918962495</v>
      </c>
      <c r="AR1357" s="77">
        <f t="shared" ca="1" si="118"/>
        <v>0.67775901165738761</v>
      </c>
      <c r="AS1357" s="77">
        <f t="shared" ca="1" si="119"/>
        <v>3</v>
      </c>
      <c r="AT1357" s="78">
        <f t="shared" ca="1" si="120"/>
        <v>0.54166666666666663</v>
      </c>
    </row>
    <row r="1358" spans="1:46" ht="12.5" x14ac:dyDescent="0.25">
      <c r="A1358" s="75">
        <v>44994.352175740743</v>
      </c>
      <c r="B1358" s="1" t="s">
        <v>6</v>
      </c>
      <c r="C1358" s="1" t="str">
        <f>INDEX(TBL_Name,MATCH(Table2[[#This Row],[Athlete Name]],listNames,0),2)</f>
        <v>Athlete 2</v>
      </c>
      <c r="D1358" s="1" t="s">
        <v>130</v>
      </c>
      <c r="E1358" s="1">
        <v>10</v>
      </c>
      <c r="F1358" s="1">
        <v>9</v>
      </c>
      <c r="G1358" s="1">
        <v>9</v>
      </c>
      <c r="H1358" s="1" t="s">
        <v>71</v>
      </c>
      <c r="I1358" s="1">
        <v>7</v>
      </c>
      <c r="J1358" s="1">
        <v>8</v>
      </c>
      <c r="K1358" s="1">
        <v>9</v>
      </c>
      <c r="L1358" s="1">
        <v>95</v>
      </c>
      <c r="M1358" s="1" t="e">
        <f t="shared" ref="M1358" ca="1" si="237">_xludf.concat($B1358,$P1358)</f>
        <v>#NAME?</v>
      </c>
      <c r="N1358" s="1" t="e">
        <f t="shared" si="104"/>
        <v>#VALUE!</v>
      </c>
      <c r="O1358" s="1" t="e">
        <f t="shared" ref="O1358" ca="1" si="238">IF($N1358=_xludf.MINIFS($N$2:$N2864,$R$2:$R2864,$R1358),1,
($N1358-_xludf.MINIFS($N$2:$N2864,$R$2:$R2864,$R1358))+1)</f>
        <v>#VALUE!</v>
      </c>
      <c r="P1358" s="13" t="e">
        <f t="shared" si="106"/>
        <v>#VALUE!</v>
      </c>
      <c r="Q1358" s="1" t="str">
        <f>RIGHT(YEAR($A1358),2)-(MONTH($A1358)&lt;=[3]Roster!$K$25)
 &amp;"-"&amp;
 RIGHT(YEAR($A1358),2)+(MONTH($A1358)&gt;=[3]Roster!$K$26)</f>
        <v>22-23</v>
      </c>
      <c r="R1358" s="1" t="e">
        <f>CHOOSE(MONTH($P1358),[3]Roster!$K$9,[3]Roster!$K$10,[3]Roster!$K$11,[3]Roster!$K$12,[3]Roster!$K$13,[3]Roster!$K$14,[3]Roster!$K$15,[3]Roster!$K$16,[3]Roster!$K$17,[3]Roster!$K$18,[3]Roster!$K$19,[3]Roster!$K$20)&amp;" "&amp;$Q1358</f>
        <v>#VALUE!</v>
      </c>
      <c r="S1358" s="1">
        <f t="shared" si="107"/>
        <v>1</v>
      </c>
      <c r="T1358" s="1" t="str">
        <f t="array" ref="T1358">IFERROR(INDEX([3]Roster!$D$3:$D$42,MATCH($B1358,[3]Roster!$C$3:$C$42,0)),"")</f>
        <v>FWD</v>
      </c>
      <c r="U1358" s="1" t="str">
        <f t="array" ref="U1358">IFERROR(INDEX([3]Roster!$E$3:$E$42,MATCH($B1358,[3]Roster!$C$3:$C$42,0)),"")</f>
        <v>FWD</v>
      </c>
      <c r="V1358" s="76">
        <f t="array" ref="V1358">AVERAGEIFS($E$2:$E2565,$B$2:$B2565,$B1358,$P$2:$P2565,"&lt;="&amp;$P1358,$P$2:$P2565,"&gt;"&amp;$P1358-7)</f>
        <v>9.7441860465116275</v>
      </c>
      <c r="W1358" s="76">
        <f ca="1">IFERROR(__xludf.DUMMYFUNCTION("iferror(stdevp(filter($D$2:$D2568,$B$2:$B2568=$B1361,$O$2:$O2568&lt;=$O1361,$O$2:$O2568&gt;$O1361-7)),0)"),0)</f>
        <v>0</v>
      </c>
      <c r="X1358" s="77">
        <f t="shared" ca="1" si="108"/>
        <v>0</v>
      </c>
      <c r="Y1358" s="77">
        <f t="shared" ca="1" si="109"/>
        <v>3</v>
      </c>
      <c r="Z1358" s="76">
        <f t="array" ref="Z1358">AVERAGEIFS($F$2:$F2565,$B$2:$B2565,$B1358,$P$2:$P2565,"&lt;="&amp;$P1358,$P$2:$P2565,"&gt;"&amp;$P1358-7)</f>
        <v>8.279069767441861</v>
      </c>
      <c r="AA1358" s="76">
        <f ca="1">IFERROR(__xludf.DUMMYFUNCTION("iferror(stdevp(filter($E$2:$E2568,$B$2:$B2568=$B1361,$O$2:$O2568&lt;=$O1361,$O$2:$O2568&gt;$O1361-7)),0)"),0.829156197588849)</f>
        <v>0.82915619758884895</v>
      </c>
      <c r="AB1358" s="77">
        <f t="shared" ca="1" si="110"/>
        <v>0.86947457506145831</v>
      </c>
      <c r="AC1358" s="77">
        <f t="shared" ca="1" si="111"/>
        <v>3</v>
      </c>
      <c r="AD1358" s="76">
        <f t="array" ref="AD1358">AVERAGEIFS($G$2:$G2565,$B$2:$B2565,$B1358,$P$2:$P2565,"&lt;="&amp;$P1358,$P$2:$P2565,"&gt;"&amp;$P1358-7)</f>
        <v>8.604651162790697</v>
      </c>
      <c r="AE1358" s="76">
        <f ca="1">IFERROR(__xludf.DUMMYFUNCTION("iferror(stdevp(filter($F$2:$F2568,$B$2:$B2568=$B1361,$O$2:$O2568&lt;=$O1361,$O$2:$O2568&gt;$O1361-7)),0)"),0.5)</f>
        <v>0.5</v>
      </c>
      <c r="AF1358" s="77">
        <f t="shared" ca="1" si="112"/>
        <v>0.79069767441860606</v>
      </c>
      <c r="AG1358" s="77">
        <f t="shared" ca="1" si="113"/>
        <v>3</v>
      </c>
      <c r="AH1358" s="76">
        <f t="array" ref="AH1358">AVERAGEIFS($I$2:$I2565,$B$2:$B2565,$B1358,$P$2:$P2565,"&lt;="&amp;$P1358,$P$2:$P2565,"&gt;"&amp;$P1358-7)</f>
        <v>8.3488372093023262</v>
      </c>
      <c r="AI1358" s="76">
        <f ca="1">IFERROR(__xludf.DUMMYFUNCTION("iferror(stdevp(filter($H$2:$H2568,$B$2:$B2568=$B1361,$O$2:$O2568&lt;=$O1361,$O$2:$O2568&gt;$O1361-7)),0)"),1.29903810567665)</f>
        <v>1.29903810567665</v>
      </c>
      <c r="AJ1358" s="77">
        <f t="shared" ca="1" si="114"/>
        <v>-1.0383353678449152</v>
      </c>
      <c r="AK1358" s="77">
        <f t="shared" ca="1" si="115"/>
        <v>1</v>
      </c>
      <c r="AL1358" s="76">
        <f t="array" ref="AL1358">AVERAGEIFS($J$2:$J2565,$B$2:$B2565,$B1358,$P$2:$P2565,"&lt;="&amp;$P1358,$P$2:$P2565,"&gt;"&amp;$P1358-7)</f>
        <v>8.3023255813953494</v>
      </c>
      <c r="AM1358" s="76">
        <f ca="1">IFERROR(__xludf.DUMMYFUNCTION("iferror(stdevp(filter($I$2:$I2568,$B$2:$B2568=$B1361,$O$2:$O2568&lt;=$O1361,$O$2:$O2568&gt;$O1361-7)),0)"),0.433012701892219)</f>
        <v>0.43301270189221902</v>
      </c>
      <c r="AN1358" s="77">
        <f t="shared" ca="1" si="116"/>
        <v>-0.69819102320606075</v>
      </c>
      <c r="AO1358" s="77">
        <f t="shared" ca="1" si="117"/>
        <v>2</v>
      </c>
      <c r="AP1358" s="76">
        <f t="array" ref="AP1358">AVERAGEIFS($K$2:$K2565,$B$2:$B2565,$B1358,$P$2:$P2565,"&lt;="&amp;$P1358,$P$2:$P2565,"&gt;"&amp;$P1358-7)</f>
        <v>8.9069767441860463</v>
      </c>
      <c r="AQ1358" s="76">
        <f ca="1">IFERROR(__xludf.DUMMYFUNCTION("iferror(stdevp(filter($J$2:$J2568,$B$2:$B2568=$B1361,$O$2:$O2568&lt;=$O1361,$O$2:$O2568&gt;$O1361-7)),0)"),0.433012701892219)</f>
        <v>0.43301270189221902</v>
      </c>
      <c r="AR1358" s="77">
        <f t="shared" ca="1" si="118"/>
        <v>0.2148280071403264</v>
      </c>
      <c r="AS1358" s="77">
        <f t="shared" ca="1" si="119"/>
        <v>3</v>
      </c>
      <c r="AT1358" s="78">
        <f t="shared" ca="1" si="120"/>
        <v>0.625</v>
      </c>
    </row>
    <row r="1359" spans="1:46" ht="12.5" x14ac:dyDescent="0.25">
      <c r="A1359" s="75">
        <v>44994.407952847221</v>
      </c>
      <c r="B1359" s="1" t="s">
        <v>10</v>
      </c>
      <c r="C1359" s="1" t="str">
        <f>INDEX(TBL_Name,MATCH(Table2[[#This Row],[Athlete Name]],listNames,0),2)</f>
        <v>Athlete 5</v>
      </c>
      <c r="D1359" s="1" t="s">
        <v>130</v>
      </c>
      <c r="E1359" s="1">
        <v>9</v>
      </c>
      <c r="F1359" s="1">
        <v>8</v>
      </c>
      <c r="G1359" s="1">
        <v>8</v>
      </c>
      <c r="H1359" s="1" t="s">
        <v>342</v>
      </c>
      <c r="I1359" s="1">
        <v>6</v>
      </c>
      <c r="J1359" s="1">
        <v>8</v>
      </c>
      <c r="K1359" s="1">
        <v>9</v>
      </c>
      <c r="L1359" s="1">
        <v>78</v>
      </c>
      <c r="M1359" s="1" t="e">
        <f t="shared" ref="M1359" ca="1" si="239">_xludf.concat($B1359,$P1359)</f>
        <v>#NAME?</v>
      </c>
      <c r="N1359" s="1" t="e">
        <f t="shared" si="104"/>
        <v>#VALUE!</v>
      </c>
      <c r="O1359" s="1" t="e">
        <f t="shared" ref="O1359" ca="1" si="240">IF($N1359=_xludf.MINIFS($N$2:$N2865,$R$2:$R2865,$R1359),1,
($N1359-_xludf.MINIFS($N$2:$N2865,$R$2:$R2865,$R1359))+1)</f>
        <v>#VALUE!</v>
      </c>
      <c r="P1359" s="13" t="e">
        <f t="shared" si="106"/>
        <v>#VALUE!</v>
      </c>
      <c r="Q1359" s="1" t="str">
        <f>RIGHT(YEAR($A1359),2)-(MONTH($A1359)&lt;=[3]Roster!$K$25)
 &amp;"-"&amp;
 RIGHT(YEAR($A1359),2)+(MONTH($A1359)&gt;=[3]Roster!$K$26)</f>
        <v>22-23</v>
      </c>
      <c r="R1359" s="1" t="e">
        <f>CHOOSE(MONTH($P1359),[3]Roster!$K$9,[3]Roster!$K$10,[3]Roster!$K$11,[3]Roster!$K$12,[3]Roster!$K$13,[3]Roster!$K$14,[3]Roster!$K$15,[3]Roster!$K$16,[3]Roster!$K$17,[3]Roster!$K$18,[3]Roster!$K$19,[3]Roster!$K$20)&amp;" "&amp;$Q1359</f>
        <v>#VALUE!</v>
      </c>
      <c r="S1359" s="1">
        <f t="shared" si="107"/>
        <v>1</v>
      </c>
      <c r="T1359" s="1" t="str">
        <f t="array" ref="T1359">IFERROR(INDEX([3]Roster!$D$3:$D$42,MATCH($B1359,[3]Roster!$C$3:$C$42,0)),"")</f>
        <v>MID</v>
      </c>
      <c r="U1359" s="1" t="str">
        <f t="array" ref="U1359">IFERROR(INDEX([3]Roster!$E$3:$E$42,MATCH($B1359,[3]Roster!$C$3:$C$42,0)),"")</f>
        <v>MID</v>
      </c>
      <c r="V1359" s="76">
        <f t="array" ref="V1359">AVERAGEIFS($E$2:$E2565,$B$2:$B2565,$B1359,$P$2:$P2565,"&lt;="&amp;$P1359,$P$2:$P2565,"&gt;"&amp;$P1359-7)</f>
        <v>8.4042553191489358</v>
      </c>
      <c r="W1359" s="76">
        <f ca="1">IFERROR(__xludf.DUMMYFUNCTION("iferror(stdevp(filter($D$2:$D2568,$B$2:$B2568=$B1362,$O$2:$O2568&lt;=$O1362,$O$2:$O2568&gt;$O1362-7)),0)"),0)</f>
        <v>0</v>
      </c>
      <c r="X1359" s="77">
        <f t="shared" ca="1" si="108"/>
        <v>0</v>
      </c>
      <c r="Y1359" s="77">
        <f t="shared" ca="1" si="109"/>
        <v>3</v>
      </c>
      <c r="Z1359" s="76">
        <f t="array" ref="Z1359">AVERAGEIFS($F$2:$F2565,$B$2:$B2565,$B1359,$P$2:$P2565,"&lt;="&amp;$P1359,$P$2:$P2565,"&gt;"&amp;$P1359-7)</f>
        <v>8.085106382978724</v>
      </c>
      <c r="AA1359" s="76">
        <f ca="1">IFERROR(__xludf.DUMMYFUNCTION("iferror(stdevp(filter($E$2:$E2568,$B$2:$B2568=$B1362,$O$2:$O2568&lt;=$O1362,$O$2:$O2568&gt;$O1362-7)),0)"),0.577350269189625)</f>
        <v>0.57735026918962495</v>
      </c>
      <c r="AB1359" s="77">
        <f t="shared" ca="1" si="110"/>
        <v>-0.14740857936756521</v>
      </c>
      <c r="AC1359" s="77">
        <f t="shared" ca="1" si="111"/>
        <v>2</v>
      </c>
      <c r="AD1359" s="76">
        <f t="array" ref="AD1359">AVERAGEIFS($G$2:$G2565,$B$2:$B2565,$B1359,$P$2:$P2565,"&lt;="&amp;$P1359,$P$2:$P2565,"&gt;"&amp;$P1359-7)</f>
        <v>8.0638297872340434</v>
      </c>
      <c r="AE1359" s="76">
        <f ca="1">IFERROR(__xludf.DUMMYFUNCTION("iferror(stdevp(filter($F$2:$F2568,$B$2:$B2568=$B1362,$O$2:$O2568&lt;=$O1362,$O$2:$O2568&gt;$O1362-7)),0)"),0.577350269189625)</f>
        <v>0.57735026918962495</v>
      </c>
      <c r="AF1359" s="77">
        <f t="shared" ca="1" si="112"/>
        <v>-0.11055643452567468</v>
      </c>
      <c r="AG1359" s="77">
        <f t="shared" ca="1" si="113"/>
        <v>2</v>
      </c>
      <c r="AH1359" s="76">
        <f t="array" ref="AH1359">AVERAGEIFS($I$2:$I2565,$B$2:$B2565,$B1359,$P$2:$P2565,"&lt;="&amp;$P1359,$P$2:$P2565,"&gt;"&amp;$P1359-7)</f>
        <v>6.7446808510638299</v>
      </c>
      <c r="AI1359" s="76">
        <f ca="1">IFERROR(__xludf.DUMMYFUNCTION("iferror(stdevp(filter($H$2:$H2568,$B$2:$B2568=$B1362,$O$2:$O2568&lt;=$O1362,$O$2:$O2568&gt;$O1362-7)),0)"),2.21108319357026)</f>
        <v>2.2110831935702602</v>
      </c>
      <c r="AJ1359" s="77">
        <f t="shared" ca="1" si="114"/>
        <v>-0.33679458702835396</v>
      </c>
      <c r="AK1359" s="77">
        <f t="shared" ca="1" si="115"/>
        <v>2</v>
      </c>
      <c r="AL1359" s="76">
        <f t="array" ref="AL1359">AVERAGEIFS($J$2:$J2565,$B$2:$B2565,$B1359,$P$2:$P2565,"&lt;="&amp;$P1359,$P$2:$P2565,"&gt;"&amp;$P1359-7)</f>
        <v>8.1063829787234045</v>
      </c>
      <c r="AM1359" s="76">
        <f ca="1">IFERROR(__xludf.DUMMYFUNCTION("iferror(stdevp(filter($I$2:$I2568,$B$2:$B2568=$B1362,$O$2:$O2568&lt;=$O1362,$O$2:$O2568&gt;$O1362-7)),0)"),0.687184270936277)</f>
        <v>0.68718427093627699</v>
      </c>
      <c r="AN1359" s="77">
        <f t="shared" ca="1" si="116"/>
        <v>-0.1548099734274469</v>
      </c>
      <c r="AO1359" s="77">
        <f t="shared" ca="1" si="117"/>
        <v>2</v>
      </c>
      <c r="AP1359" s="76">
        <f t="array" ref="AP1359">AVERAGEIFS($K$2:$K2565,$B$2:$B2565,$B1359,$P$2:$P2565,"&lt;="&amp;$P1359,$P$2:$P2565,"&gt;"&amp;$P1359-7)</f>
        <v>8.2978723404255312</v>
      </c>
      <c r="AQ1359" s="76">
        <f ca="1">IFERROR(__xludf.DUMMYFUNCTION("iferror(stdevp(filter($J$2:$J2568,$B$2:$B2568=$B1362,$O$2:$O2568&lt;=$O1362,$O$2:$O2568&gt;$O1362-7)),0)"),0.372677996249964)</f>
        <v>0.37267799624996401</v>
      </c>
      <c r="AR1359" s="77">
        <f t="shared" ca="1" si="118"/>
        <v>1.8840062108296167</v>
      </c>
      <c r="AS1359" s="77">
        <f t="shared" ca="1" si="119"/>
        <v>4</v>
      </c>
      <c r="AT1359" s="78">
        <f t="shared" ca="1" si="120"/>
        <v>0.625</v>
      </c>
    </row>
    <row r="1360" spans="1:46" ht="12.5" x14ac:dyDescent="0.25">
      <c r="A1360" s="75">
        <v>44994.433632465283</v>
      </c>
      <c r="B1360" s="1" t="s">
        <v>15</v>
      </c>
      <c r="C1360" s="1" t="str">
        <f>INDEX(TBL_Name,MATCH(Table2[[#This Row],[Athlete Name]],listNames,0),2)</f>
        <v>Athlete 8</v>
      </c>
      <c r="D1360" s="1" t="s">
        <v>130</v>
      </c>
      <c r="E1360" s="1">
        <v>10</v>
      </c>
      <c r="F1360" s="1">
        <v>5</v>
      </c>
      <c r="G1360" s="1">
        <v>6</v>
      </c>
      <c r="H1360" s="1" t="s">
        <v>69</v>
      </c>
      <c r="I1360" s="1">
        <v>5</v>
      </c>
      <c r="J1360" s="1">
        <v>10</v>
      </c>
      <c r="K1360" s="1">
        <v>10</v>
      </c>
      <c r="L1360" s="1">
        <v>80</v>
      </c>
      <c r="M1360" s="1" t="e">
        <f t="shared" ref="M1360" ca="1" si="241">_xludf.concat($B1360,$P1360)</f>
        <v>#NAME?</v>
      </c>
      <c r="N1360" s="1" t="e">
        <f t="shared" si="104"/>
        <v>#VALUE!</v>
      </c>
      <c r="O1360" s="1" t="e">
        <f t="shared" ref="O1360" ca="1" si="242">IF($N1360=_xludf.MINIFS($N$2:$N2866,$R$2:$R2866,$R1360),1,
($N1360-_xludf.MINIFS($N$2:$N2866,$R$2:$R2866,$R1360))+1)</f>
        <v>#VALUE!</v>
      </c>
      <c r="P1360" s="13" t="e">
        <f t="shared" si="106"/>
        <v>#VALUE!</v>
      </c>
      <c r="Q1360" s="1" t="str">
        <f>RIGHT(YEAR($A1360),2)-(MONTH($A1360)&lt;=[3]Roster!$K$25)
 &amp;"-"&amp;
 RIGHT(YEAR($A1360),2)+(MONTH($A1360)&gt;=[3]Roster!$K$26)</f>
        <v>22-23</v>
      </c>
      <c r="R1360" s="1" t="e">
        <f>CHOOSE(MONTH($P1360),[3]Roster!$K$9,[3]Roster!$K$10,[3]Roster!$K$11,[3]Roster!$K$12,[3]Roster!$K$13,[3]Roster!$K$14,[3]Roster!$K$15,[3]Roster!$K$16,[3]Roster!$K$17,[3]Roster!$K$18,[3]Roster!$K$19,[3]Roster!$K$20)&amp;" "&amp;$Q1360</f>
        <v>#VALUE!</v>
      </c>
      <c r="S1360" s="1">
        <f t="shared" si="107"/>
        <v>1</v>
      </c>
      <c r="T1360" s="1" t="str">
        <f t="array" ref="T1360">IFERROR(INDEX([3]Roster!$D$3:$D$42,MATCH($B1360,[3]Roster!$C$3:$C$42,0)),"")</f>
        <v>MID/D</v>
      </c>
      <c r="U1360" s="1" t="str">
        <f t="array" ref="U1360">IFERROR(INDEX([3]Roster!$E$3:$E$42,MATCH($B1360,[3]Roster!$C$3:$C$42,0)),"")</f>
        <v>MID/D</v>
      </c>
      <c r="V1360" s="76">
        <f t="array" ref="V1360">AVERAGEIFS($E$2:$E2565,$B$2:$B2565,$B1360,$P$2:$P2565,"&lt;="&amp;$P1360,$P$2:$P2565,"&gt;"&amp;$P1360-7)</f>
        <v>8.935483870967742</v>
      </c>
      <c r="W1360" s="76">
        <f ca="1">IFERROR(__xludf.DUMMYFUNCTION("iferror(stdevp(filter($D$2:$D2568,$B$2:$B2568=$B1363,$O$2:$O2568&lt;=$O1363,$O$2:$O2568&gt;$O1363-7)),0)"),2.44948974278317)</f>
        <v>2.4494897427831699</v>
      </c>
      <c r="X1360" s="77">
        <f t="shared" ca="1" si="108"/>
        <v>0.43458688984862981</v>
      </c>
      <c r="Y1360" s="77">
        <f t="shared" ca="1" si="109"/>
        <v>3</v>
      </c>
      <c r="Z1360" s="76">
        <f t="array" ref="Z1360">AVERAGEIFS($F$2:$F2565,$B$2:$B2565,$B1360,$P$2:$P2565,"&lt;="&amp;$P1360,$P$2:$P2565,"&gt;"&amp;$P1360-7)</f>
        <v>8.741935483870968</v>
      </c>
      <c r="AA1360" s="76">
        <f ca="1">IFERROR(__xludf.DUMMYFUNCTION("iferror(stdevp(filter($E$2:$E2568,$B$2:$B2568=$B1363,$O$2:$O2568&lt;=$O1363,$O$2:$O2568&gt;$O1363-7)),0)"),2.27760839478607)</f>
        <v>2.2776083947860699</v>
      </c>
      <c r="AB1360" s="77">
        <f t="shared" ca="1" si="110"/>
        <v>-1.6429231172650463</v>
      </c>
      <c r="AC1360" s="77">
        <f t="shared" ca="1" si="111"/>
        <v>1</v>
      </c>
      <c r="AD1360" s="76">
        <f t="array" ref="AD1360">AVERAGEIFS($G$2:$G2565,$B$2:$B2565,$B1360,$P$2:$P2565,"&lt;="&amp;$P1360,$P$2:$P2565,"&gt;"&amp;$P1360-7)</f>
        <v>7.32258064516129</v>
      </c>
      <c r="AE1360" s="76">
        <f ca="1">IFERROR(__xludf.DUMMYFUNCTION("iferror(stdevp(filter($F$2:$F2568,$B$2:$B2568=$B1363,$O$2:$O2568&lt;=$O1363,$O$2:$O2568&gt;$O1363-7)),0)"),0.433012701892219)</f>
        <v>0.43301270189221902</v>
      </c>
      <c r="AF1360" s="77">
        <f t="shared" ca="1" si="112"/>
        <v>-3.0543691660354408</v>
      </c>
      <c r="AG1360" s="77">
        <f t="shared" ca="1" si="113"/>
        <v>1</v>
      </c>
      <c r="AH1360" s="76">
        <f t="array" ref="AH1360">AVERAGEIFS($I$2:$I2565,$B$2:$B2565,$B1360,$P$2:$P2565,"&lt;="&amp;$P1360,$P$2:$P2565,"&gt;"&amp;$P1360-7)</f>
        <v>6.419354838709677</v>
      </c>
      <c r="AI1360" s="76">
        <f ca="1">IFERROR(__xludf.DUMMYFUNCTION("iferror(stdevp(filter($H$2:$H2568,$B$2:$B2568=$B1363,$O$2:$O2568&lt;=$O1363,$O$2:$O2568&gt;$O1363-7)),0)"),1.6393596310755)</f>
        <v>1.6393596310755001</v>
      </c>
      <c r="AJ1360" s="77">
        <f t="shared" ca="1" si="114"/>
        <v>-0.86579833479156176</v>
      </c>
      <c r="AK1360" s="77">
        <f t="shared" ca="1" si="115"/>
        <v>2</v>
      </c>
      <c r="AL1360" s="76">
        <f t="array" ref="AL1360">AVERAGEIFS($J$2:$J2565,$B$2:$B2565,$B1360,$P$2:$P2565,"&lt;="&amp;$P1360,$P$2:$P2565,"&gt;"&amp;$P1360-7)</f>
        <v>9.612903225806452</v>
      </c>
      <c r="AM1360" s="76">
        <f ca="1">IFERROR(__xludf.DUMMYFUNCTION("iferror(stdevp(filter($I$2:$I2568,$B$2:$B2568=$B1363,$O$2:$O2568&lt;=$O1363,$O$2:$O2568&gt;$O1363-7)),0)"),0)</f>
        <v>0</v>
      </c>
      <c r="AN1360" s="77">
        <f t="shared" ca="1" si="116"/>
        <v>0</v>
      </c>
      <c r="AO1360" s="77">
        <f t="shared" ca="1" si="117"/>
        <v>3</v>
      </c>
      <c r="AP1360" s="76">
        <f t="array" ref="AP1360">AVERAGEIFS($K$2:$K2565,$B$2:$B2565,$B1360,$P$2:$P2565,"&lt;="&amp;$P1360,$P$2:$P2565,"&gt;"&amp;$P1360-7)</f>
        <v>10</v>
      </c>
      <c r="AQ1360" s="76">
        <f ca="1">IFERROR(__xludf.DUMMYFUNCTION("iferror(stdevp(filter($J$2:$J2568,$B$2:$B2568=$B1363,$O$2:$O2568&lt;=$O1363,$O$2:$O2568&gt;$O1363-7)),0)"),0)</f>
        <v>0</v>
      </c>
      <c r="AR1360" s="77">
        <f t="shared" ca="1" si="118"/>
        <v>0</v>
      </c>
      <c r="AS1360" s="77">
        <f t="shared" ca="1" si="119"/>
        <v>3</v>
      </c>
      <c r="AT1360" s="78">
        <f t="shared" ca="1" si="120"/>
        <v>0.54166666666666663</v>
      </c>
    </row>
    <row r="1361" spans="1:46" ht="12.5" x14ac:dyDescent="0.25">
      <c r="A1361" s="75">
        <v>44994.443843518515</v>
      </c>
      <c r="B1361" s="1" t="s">
        <v>17</v>
      </c>
      <c r="C1361" s="1" t="str">
        <f>INDEX(TBL_Name,MATCH(Table2[[#This Row],[Athlete Name]],listNames,0),2)</f>
        <v>Athlete 10</v>
      </c>
      <c r="D1361" s="1" t="s">
        <v>130</v>
      </c>
      <c r="E1361" s="1">
        <v>6</v>
      </c>
      <c r="F1361" s="1">
        <v>9</v>
      </c>
      <c r="G1361" s="1">
        <v>8</v>
      </c>
      <c r="H1361" s="1" t="s">
        <v>203</v>
      </c>
      <c r="I1361" s="1">
        <v>5</v>
      </c>
      <c r="J1361" s="1">
        <v>7</v>
      </c>
      <c r="K1361" s="1">
        <v>9</v>
      </c>
      <c r="L1361" s="1">
        <v>77</v>
      </c>
      <c r="M1361" s="1" t="e">
        <f t="shared" ref="M1361" ca="1" si="243">_xludf.concat($B1361,$P1361)</f>
        <v>#NAME?</v>
      </c>
      <c r="N1361" s="1" t="e">
        <f t="shared" si="104"/>
        <v>#VALUE!</v>
      </c>
      <c r="O1361" s="1" t="e">
        <f t="shared" ref="O1361" ca="1" si="244">IF($N1361=_xludf.MINIFS($N$2:$N2867,$R$2:$R2867,$R1361),1,
($N1361-_xludf.MINIFS($N$2:$N2867,$R$2:$R2867,$R1361))+1)</f>
        <v>#VALUE!</v>
      </c>
      <c r="P1361" s="13" t="e">
        <f t="shared" si="106"/>
        <v>#VALUE!</v>
      </c>
      <c r="Q1361" s="1" t="str">
        <f>RIGHT(YEAR($A1361),2)-(MONTH($A1361)&lt;=[3]Roster!$K$25)
 &amp;"-"&amp;
 RIGHT(YEAR($A1361),2)+(MONTH($A1361)&gt;=[3]Roster!$K$26)</f>
        <v>22-23</v>
      </c>
      <c r="R1361" s="1" t="e">
        <f>CHOOSE(MONTH($P1361),[3]Roster!$K$9,[3]Roster!$K$10,[3]Roster!$K$11,[3]Roster!$K$12,[3]Roster!$K$13,[3]Roster!$K$14,[3]Roster!$K$15,[3]Roster!$K$16,[3]Roster!$K$17,[3]Roster!$K$18,[3]Roster!$K$19,[3]Roster!$K$20)&amp;" "&amp;$Q1361</f>
        <v>#VALUE!</v>
      </c>
      <c r="S1361" s="1">
        <f t="shared" si="107"/>
        <v>1</v>
      </c>
      <c r="T1361" s="1" t="str">
        <f t="array" ref="T1361">IFERROR(INDEX([3]Roster!$D$3:$D$42,MATCH($B1361,[3]Roster!$C$3:$C$42,0)),"")</f>
        <v>D</v>
      </c>
      <c r="U1361" s="1" t="str">
        <f t="array" ref="U1361">IFERROR(INDEX([3]Roster!$E$3:$E$42,MATCH($B1361,[3]Roster!$C$3:$C$42,0)),"")</f>
        <v>D</v>
      </c>
      <c r="V1361" s="76">
        <f t="array" ref="V1361">AVERAGEIFS($E$2:$E2565,$B$2:$B2565,$B1361,$P$2:$P2565,"&lt;="&amp;$P1361,$P$2:$P2565,"&gt;"&amp;$P1361-7)</f>
        <v>6.9024390243902438</v>
      </c>
      <c r="W1361" s="76">
        <f ca="1">IFERROR(__xludf.DUMMYFUNCTION("iferror(stdevp(filter($D$2:$D2568,$B$2:$B2568=$B1364,$O$2:$O2568&lt;=$O1364,$O$2:$O2568&gt;$O1364-7)),0)"),0.489897948556635)</f>
        <v>0.48989794855663499</v>
      </c>
      <c r="X1361" s="77">
        <f t="shared" ca="1" si="108"/>
        <v>-1.8420959447759695</v>
      </c>
      <c r="Y1361" s="77">
        <f t="shared" ca="1" si="109"/>
        <v>1</v>
      </c>
      <c r="Z1361" s="76">
        <f t="array" ref="Z1361">AVERAGEIFS($F$2:$F2565,$B$2:$B2565,$B1361,$P$2:$P2565,"&lt;="&amp;$P1361,$P$2:$P2565,"&gt;"&amp;$P1361-7)</f>
        <v>7.2926829268292686</v>
      </c>
      <c r="AA1361" s="76">
        <f ca="1">IFERROR(__xludf.DUMMYFUNCTION("iferror(stdevp(filter($E$2:$E2568,$B$2:$B2568=$B1364,$O$2:$O2568&lt;=$O1364,$O$2:$O2568&gt;$O1364-7)),0)"),1.16619037896906)</f>
        <v>1.16619037896906</v>
      </c>
      <c r="AB1361" s="77">
        <f t="shared" ca="1" si="110"/>
        <v>1.4640123121921484</v>
      </c>
      <c r="AC1361" s="77">
        <f t="shared" ca="1" si="111"/>
        <v>4</v>
      </c>
      <c r="AD1361" s="76">
        <f t="array" ref="AD1361">AVERAGEIFS($G$2:$G2565,$B$2:$B2565,$B1361,$P$2:$P2565,"&lt;="&amp;$P1361,$P$2:$P2565,"&gt;"&amp;$P1361-7)</f>
        <v>7.8048780487804876</v>
      </c>
      <c r="AE1361" s="76">
        <f ca="1">IFERROR(__xludf.DUMMYFUNCTION("iferror(stdevp(filter($F$2:$F2568,$B$2:$B2568=$B1364,$O$2:$O2568&lt;=$O1364,$O$2:$O2568&gt;$O1364-7)),0)"),0.399999999999999)</f>
        <v>0.39999999999999902</v>
      </c>
      <c r="AF1361" s="77">
        <f t="shared" ca="1" si="112"/>
        <v>0.48780487804878209</v>
      </c>
      <c r="AG1361" s="77">
        <f t="shared" ca="1" si="113"/>
        <v>3</v>
      </c>
      <c r="AH1361" s="76">
        <f t="array" ref="AH1361">AVERAGEIFS($I$2:$I2565,$B$2:$B2565,$B1361,$P$2:$P2565,"&lt;="&amp;$P1361,$P$2:$P2565,"&gt;"&amp;$P1361-7)</f>
        <v>6.3170731707317076</v>
      </c>
      <c r="AI1361" s="76">
        <f ca="1">IFERROR(__xludf.DUMMYFUNCTION("iferror(stdevp(filter($H$2:$H2568,$B$2:$B2568=$B1364,$O$2:$O2568&lt;=$O1364,$O$2:$O2568&gt;$O1364-7)),0)"),0.979795897113271)</f>
        <v>0.97979589711327097</v>
      </c>
      <c r="AJ1361" s="77">
        <f t="shared" ca="1" si="114"/>
        <v>-1.3442321759175984</v>
      </c>
      <c r="AK1361" s="77">
        <f t="shared" ca="1" si="115"/>
        <v>1</v>
      </c>
      <c r="AL1361" s="76">
        <f t="array" ref="AL1361">AVERAGEIFS($J$2:$J2565,$B$2:$B2565,$B1361,$P$2:$P2565,"&lt;="&amp;$P1361,$P$2:$P2565,"&gt;"&amp;$P1361-7)</f>
        <v>6.9024390243902438</v>
      </c>
      <c r="AM1361" s="76">
        <f ca="1">IFERROR(__xludf.DUMMYFUNCTION("iferror(stdevp(filter($I$2:$I2568,$B$2:$B2568=$B1364,$O$2:$O2568&lt;=$O1364,$O$2:$O2568&gt;$O1364-7)),0)"),0)</f>
        <v>0</v>
      </c>
      <c r="AN1361" s="77">
        <f t="shared" ca="1" si="116"/>
        <v>0</v>
      </c>
      <c r="AO1361" s="77">
        <f t="shared" ca="1" si="117"/>
        <v>3</v>
      </c>
      <c r="AP1361" s="76">
        <f t="array" ref="AP1361">AVERAGEIFS($K$2:$K2565,$B$2:$B2565,$B1361,$P$2:$P2565,"&lt;="&amp;$P1361,$P$2:$P2565,"&gt;"&amp;$P1361-7)</f>
        <v>8</v>
      </c>
      <c r="AQ1361" s="76">
        <f ca="1">IFERROR(__xludf.DUMMYFUNCTION("iferror(stdevp(filter($J$2:$J2568,$B$2:$B2568=$B1364,$O$2:$O2568&lt;=$O1364,$O$2:$O2568&gt;$O1364-7)),0)"),0.489897948556635)</f>
        <v>0.48989794855663499</v>
      </c>
      <c r="AR1361" s="77">
        <f t="shared" ca="1" si="118"/>
        <v>2.0412414523193179</v>
      </c>
      <c r="AS1361" s="77">
        <f t="shared" ca="1" si="119"/>
        <v>4</v>
      </c>
      <c r="AT1361" s="78">
        <f t="shared" ca="1" si="120"/>
        <v>0.66666666666666663</v>
      </c>
    </row>
    <row r="1362" spans="1:46" ht="12.5" x14ac:dyDescent="0.25">
      <c r="A1362" s="75">
        <v>44994.447965706015</v>
      </c>
      <c r="B1362" s="1" t="s">
        <v>9</v>
      </c>
      <c r="C1362" s="1" t="str">
        <f>INDEX(TBL_Name,MATCH(Table2[[#This Row],[Athlete Name]],listNames,0),2)</f>
        <v>Athlete 4</v>
      </c>
      <c r="D1362" s="1" t="s">
        <v>130</v>
      </c>
      <c r="E1362" s="1">
        <v>7</v>
      </c>
      <c r="F1362" s="1">
        <v>8</v>
      </c>
      <c r="G1362" s="1">
        <v>8</v>
      </c>
      <c r="H1362" s="1" t="s">
        <v>1607</v>
      </c>
      <c r="I1362" s="1">
        <v>5</v>
      </c>
      <c r="J1362" s="1">
        <v>8</v>
      </c>
      <c r="K1362" s="1">
        <v>8</v>
      </c>
      <c r="L1362" s="1">
        <v>93</v>
      </c>
      <c r="M1362" s="1" t="e">
        <f t="shared" ref="M1362" ca="1" si="245">_xludf.concat($B1362,$P1362)</f>
        <v>#NAME?</v>
      </c>
      <c r="N1362" s="1" t="e">
        <f t="shared" si="104"/>
        <v>#VALUE!</v>
      </c>
      <c r="O1362" s="1" t="e">
        <f t="shared" ref="O1362" ca="1" si="246">IF($N1362=_xludf.MINIFS($N$2:$N2868,$R$2:$R2868,$R1362),1,
($N1362-_xludf.MINIFS($N$2:$N2868,$R$2:$R2868,$R1362))+1)</f>
        <v>#VALUE!</v>
      </c>
      <c r="P1362" s="13" t="e">
        <f t="shared" si="106"/>
        <v>#VALUE!</v>
      </c>
      <c r="Q1362" s="1" t="str">
        <f>RIGHT(YEAR($A1362),2)-(MONTH($A1362)&lt;=[3]Roster!$K$25)
 &amp;"-"&amp;
 RIGHT(YEAR($A1362),2)+(MONTH($A1362)&gt;=[3]Roster!$K$26)</f>
        <v>22-23</v>
      </c>
      <c r="R1362" s="1" t="e">
        <f>CHOOSE(MONTH($P1362),[3]Roster!$K$9,[3]Roster!$K$10,[3]Roster!$K$11,[3]Roster!$K$12,[3]Roster!$K$13,[3]Roster!$K$14,[3]Roster!$K$15,[3]Roster!$K$16,[3]Roster!$K$17,[3]Roster!$K$18,[3]Roster!$K$19,[3]Roster!$K$20)&amp;" "&amp;$Q1362</f>
        <v>#VALUE!</v>
      </c>
      <c r="S1362" s="1">
        <f t="shared" si="107"/>
        <v>1</v>
      </c>
      <c r="T1362" s="1" t="str">
        <f t="array" ref="T1362">IFERROR(INDEX([3]Roster!$D$3:$D$42,MATCH($B1362,[3]Roster!$C$3:$C$42,0)),"")</f>
        <v>F/MID</v>
      </c>
      <c r="U1362" s="1" t="str">
        <f t="array" ref="U1362">IFERROR(INDEX([3]Roster!$E$3:$E$42,MATCH($B1362,[3]Roster!$C$3:$C$42,0)),"")</f>
        <v>F/MID</v>
      </c>
      <c r="V1362" s="76">
        <f t="array" ref="V1362">AVERAGEIFS($E$2:$E2565,$B$2:$B2565,$B1362,$P$2:$P2565,"&lt;="&amp;$P1362,$P$2:$P2565,"&gt;"&amp;$P1362-7)</f>
        <v>7.4230769230769234</v>
      </c>
      <c r="W1362" s="76">
        <f ca="1">IFERROR(__xludf.DUMMYFUNCTION("iferror(stdevp(filter($D$2:$D2568,$B$2:$B2568=$B1365,$O$2:$O2568&lt;=$O1365,$O$2:$O2568&gt;$O1365-7)),0)"),0.433012701892219)</f>
        <v>0.43301270189221902</v>
      </c>
      <c r="X1362" s="77">
        <f t="shared" ca="1" si="108"/>
        <v>-0.97705430170552188</v>
      </c>
      <c r="Y1362" s="77">
        <f t="shared" ca="1" si="109"/>
        <v>2</v>
      </c>
      <c r="Z1362" s="76">
        <f t="array" ref="Z1362">AVERAGEIFS($F$2:$F2565,$B$2:$B2565,$B1362,$P$2:$P2565,"&lt;="&amp;$P1362,$P$2:$P2565,"&gt;"&amp;$P1362-7)</f>
        <v>7.1538461538461542</v>
      </c>
      <c r="AA1362" s="76">
        <f ca="1">IFERROR(__xludf.DUMMYFUNCTION("iferror(stdevp(filter($E$2:$E2568,$B$2:$B2568=$B1365,$O$2:$O2568&lt;=$O1365,$O$2:$O2568&gt;$O1365-7)),0)"),0.82915619758885)</f>
        <v>0.82915619758884995</v>
      </c>
      <c r="AB1362" s="77">
        <f t="shared" ca="1" si="110"/>
        <v>1.0204999354939688</v>
      </c>
      <c r="AC1362" s="77">
        <f t="shared" ca="1" si="111"/>
        <v>4</v>
      </c>
      <c r="AD1362" s="76">
        <f t="array" ref="AD1362">AVERAGEIFS($G$2:$G2565,$B$2:$B2565,$B1362,$P$2:$P2565,"&lt;="&amp;$P1362,$P$2:$P2565,"&gt;"&amp;$P1362-7)</f>
        <v>7.615384615384615</v>
      </c>
      <c r="AE1362" s="76">
        <f ca="1">IFERROR(__xludf.DUMMYFUNCTION("iferror(stdevp(filter($F$2:$F2568,$B$2:$B2568=$B1365,$O$2:$O2568&lt;=$O1365,$O$2:$O2568&gt;$O1365-7)),0)"),0)</f>
        <v>0</v>
      </c>
      <c r="AF1362" s="77">
        <f t="shared" ca="1" si="112"/>
        <v>0</v>
      </c>
      <c r="AG1362" s="77">
        <f t="shared" ca="1" si="113"/>
        <v>3</v>
      </c>
      <c r="AH1362" s="76">
        <f t="array" ref="AH1362">AVERAGEIFS($I$2:$I2565,$B$2:$B2565,$B1362,$P$2:$P2565,"&lt;="&amp;$P1362,$P$2:$P2565,"&gt;"&amp;$P1362-7)</f>
        <v>5.1923076923076925</v>
      </c>
      <c r="AI1362" s="76">
        <f ca="1">IFERROR(__xludf.DUMMYFUNCTION("iferror(stdevp(filter($H$2:$H2568,$B$2:$B2568=$B1365,$O$2:$O2568&lt;=$O1365,$O$2:$O2568&gt;$O1365-7)),0)"),0)</f>
        <v>0</v>
      </c>
      <c r="AJ1362" s="77">
        <f t="shared" ca="1" si="114"/>
        <v>0</v>
      </c>
      <c r="AK1362" s="77">
        <f t="shared" ca="1" si="115"/>
        <v>3</v>
      </c>
      <c r="AL1362" s="76">
        <f t="array" ref="AL1362">AVERAGEIFS($J$2:$J2565,$B$2:$B2565,$B1362,$P$2:$P2565,"&lt;="&amp;$P1362,$P$2:$P2565,"&gt;"&amp;$P1362-7)</f>
        <v>7.6923076923076925</v>
      </c>
      <c r="AM1362" s="76">
        <f ca="1">IFERROR(__xludf.DUMMYFUNCTION("iferror(stdevp(filter($I$2:$I2568,$B$2:$B2568=$B1365,$O$2:$O2568&lt;=$O1365,$O$2:$O2568&gt;$O1365-7)),0)"),0.433012701892219)</f>
        <v>0.43301270189221902</v>
      </c>
      <c r="AN1362" s="77">
        <f t="shared" ca="1" si="116"/>
        <v>0.710584946694924</v>
      </c>
      <c r="AO1362" s="77">
        <f t="shared" ca="1" si="117"/>
        <v>3</v>
      </c>
      <c r="AP1362" s="76">
        <f t="array" ref="AP1362">AVERAGEIFS($K$2:$K2565,$B$2:$B2565,$B1362,$P$2:$P2565,"&lt;="&amp;$P1362,$P$2:$P2565,"&gt;"&amp;$P1362-7)</f>
        <v>7.8461538461538458</v>
      </c>
      <c r="AQ1362" s="76">
        <f ca="1">IFERROR(__xludf.DUMMYFUNCTION("iferror(stdevp(filter($J$2:$J2568,$B$2:$B2568=$B1365,$O$2:$O2568&lt;=$O1365,$O$2:$O2568&gt;$O1365-7)),0)"),0.707106781186547)</f>
        <v>0.70710678118654702</v>
      </c>
      <c r="AR1362" s="77">
        <f t="shared" ca="1" si="118"/>
        <v>0.21757131728816911</v>
      </c>
      <c r="AS1362" s="77">
        <f t="shared" ca="1" si="119"/>
        <v>3</v>
      </c>
      <c r="AT1362" s="78">
        <f t="shared" ca="1" si="120"/>
        <v>0.75</v>
      </c>
    </row>
    <row r="1363" spans="1:46" ht="12.5" x14ac:dyDescent="0.25">
      <c r="A1363" s="75">
        <v>44994.508412337964</v>
      </c>
      <c r="B1363" s="1" t="s">
        <v>19</v>
      </c>
      <c r="C1363" s="1" t="str">
        <f>INDEX(TBL_Name,MATCH(Table2[[#This Row],[Athlete Name]],listNames,0),2)</f>
        <v>Athlete 11</v>
      </c>
      <c r="D1363" s="1" t="s">
        <v>130</v>
      </c>
      <c r="E1363" s="1">
        <v>6</v>
      </c>
      <c r="F1363" s="1">
        <v>8</v>
      </c>
      <c r="G1363" s="1">
        <v>8</v>
      </c>
      <c r="H1363" s="1" t="s">
        <v>1307</v>
      </c>
      <c r="I1363" s="1">
        <v>4</v>
      </c>
      <c r="J1363" s="1">
        <v>8</v>
      </c>
      <c r="K1363" s="1">
        <v>10</v>
      </c>
      <c r="L1363" s="1">
        <v>59</v>
      </c>
      <c r="M1363" s="1" t="e">
        <f t="shared" ref="M1363" ca="1" si="247">_xludf.concat($B1363,$P1363)</f>
        <v>#NAME?</v>
      </c>
      <c r="N1363" s="1" t="e">
        <f t="shared" ref="N1363:N1549" si="248">WEEKNUM($P1363)</f>
        <v>#VALUE!</v>
      </c>
      <c r="O1363" s="1" t="e">
        <f t="shared" ref="O1363" ca="1" si="249">IF($N1363=_xludf.MINIFS($N$2:$N2869,$R$2:$R2869,$R1363),1,
($N1363-_xludf.MINIFS($N$2:$N2869,$R$2:$R2869,$R1363))+1)</f>
        <v>#VALUE!</v>
      </c>
      <c r="P1363" s="13" t="e">
        <f t="shared" ref="P1363:P1549" si="250">DATEVALUE(A1363)</f>
        <v>#VALUE!</v>
      </c>
      <c r="Q1363" s="1" t="str">
        <f>RIGHT(YEAR($A1363),2)-(MONTH($A1363)&lt;=[3]Roster!$K$25)
 &amp;"-"&amp;
 RIGHT(YEAR($A1363),2)+(MONTH($A1363)&gt;=[3]Roster!$K$26)</f>
        <v>22-23</v>
      </c>
      <c r="R1363" s="1" t="e">
        <f>CHOOSE(MONTH($P1363),[3]Roster!$K$9,[3]Roster!$K$10,[3]Roster!$K$11,[3]Roster!$K$12,[3]Roster!$K$13,[3]Roster!$K$14,[3]Roster!$K$15,[3]Roster!$K$16,[3]Roster!$K$17,[3]Roster!$K$18,[3]Roster!$K$19,[3]Roster!$K$20)&amp;" "&amp;$Q1363</f>
        <v>#VALUE!</v>
      </c>
      <c r="S1363" s="1">
        <f t="shared" ref="S1363:S1549" si="251">IF($D1363="Full = I have no injury",1, IF($D1363="Limited = I need a modification during lift / practice",2,IF($D1363="Out = I have an injury",3,"")))</f>
        <v>1</v>
      </c>
      <c r="T1363" s="1" t="str">
        <f t="array" ref="T1363">IFERROR(INDEX([3]Roster!$D$3:$D$42,MATCH($B1363,[3]Roster!$C$3:$C$42,0)),"")</f>
        <v>D</v>
      </c>
      <c r="U1363" s="1" t="str">
        <f t="array" ref="U1363">IFERROR(INDEX([3]Roster!$E$3:$E$42,MATCH($B1363,[3]Roster!$C$3:$C$42,0)),"")</f>
        <v>D</v>
      </c>
      <c r="V1363" s="76">
        <f t="array" ref="V1363">AVERAGEIFS($E$2:$E2565,$B$2:$B2565,$B1363,$P$2:$P2565,"&lt;="&amp;$P1363,$P$2:$P2565,"&gt;"&amp;$P1363-7)</f>
        <v>4.6538461538461542</v>
      </c>
      <c r="W1363" s="76">
        <f ca="1">IFERROR(__xludf.DUMMYFUNCTION("iferror(stdevp(filter($D$2:$D2568,$B$2:$B2568=$B1366,$O$2:$O2568&lt;=$O1366,$O$2:$O2568&gt;$O1366-7)),0)"),1.6583123951777)</f>
        <v>1.6583123951776999</v>
      </c>
      <c r="X1363" s="77">
        <f t="shared" ref="X1363:X1549" ca="1" si="252">IFERROR(STANDARDIZE($E1363,$V1363,$W1363),0)</f>
        <v>0.81176131232474802</v>
      </c>
      <c r="Y1363" s="77">
        <f t="shared" ref="Y1363:Y1549" ca="1" si="253">IF($X1363&gt;=1,4,IF($X1363&gt;=0,3,IF($X1363&gt;-1,2,IF($X1363&lt;=-1,1))))</f>
        <v>3</v>
      </c>
      <c r="Z1363" s="76">
        <f t="array" ref="Z1363">AVERAGEIFS($F$2:$F2565,$B$2:$B2565,$B1363,$P$2:$P2565,"&lt;="&amp;$P1363,$P$2:$P2565,"&gt;"&amp;$P1363-7)</f>
        <v>6.8461538461538458</v>
      </c>
      <c r="AA1363" s="76">
        <f ca="1">IFERROR(__xludf.DUMMYFUNCTION("iferror(stdevp(filter($E$2:$E2568,$B$2:$B2568=$B1366,$O$2:$O2568&lt;=$O1366,$O$2:$O2568&gt;$O1366-7)),0)"),0.433012701892219)</f>
        <v>0.43301270189221902</v>
      </c>
      <c r="AB1363" s="77">
        <f t="shared" ref="AB1363:AB1549" ca="1" si="254">IFERROR(STANDARDIZE($F1363,$Z1363,$AA1363),0)</f>
        <v>2.6646935501059676</v>
      </c>
      <c r="AC1363" s="77">
        <f t="shared" ref="AC1363:AC1549" ca="1" si="255">IF($AB1363&gt;=1,4,IF($AB1363&gt;=0,3,IF($AB1363&gt;-1,2,IF($AB1363&lt;=-1,1))))</f>
        <v>4</v>
      </c>
      <c r="AD1363" s="76">
        <f t="array" ref="AD1363">AVERAGEIFS($G$2:$G2565,$B$2:$B2565,$B1363,$P$2:$P2565,"&lt;="&amp;$P1363,$P$2:$P2565,"&gt;"&amp;$P1363-7)</f>
        <v>7.2692307692307692</v>
      </c>
      <c r="AE1363" s="76">
        <f ca="1">IFERROR(__xludf.DUMMYFUNCTION("iferror(stdevp(filter($F$2:$F2568,$B$2:$B2568=$B1366,$O$2:$O2568&lt;=$O1366,$O$2:$O2568&gt;$O1366-7)),0)"),0.433012701892219)</f>
        <v>0.43301270189221902</v>
      </c>
      <c r="AF1363" s="77">
        <f t="shared" ref="AF1363:AF1549" ca="1" si="256">IFERROR(STANDARDIZE($G1363,$AD1363,$AE1363),0)</f>
        <v>1.6876392484004459</v>
      </c>
      <c r="AG1363" s="77">
        <f t="shared" ref="AG1363:AG1549" ca="1" si="257">IF($AF1363&gt;=1,4,IF($AF1363&gt;=0,3,IF($AF1363&gt;-1,2,IF($AF1363&lt;=-1,1))))</f>
        <v>4</v>
      </c>
      <c r="AH1363" s="76">
        <f t="array" ref="AH1363">AVERAGEIFS($I$2:$I2565,$B$2:$B2565,$B1363,$P$2:$P2565,"&lt;="&amp;$P1363,$P$2:$P2565,"&gt;"&amp;$P1363-7)</f>
        <v>4.9230769230769234</v>
      </c>
      <c r="AI1363" s="76">
        <f ca="1">IFERROR(__xludf.DUMMYFUNCTION("iferror(stdevp(filter($H$2:$H2568,$B$2:$B2568=$B1366,$O$2:$O2568&lt;=$O1366,$O$2:$O2568&gt;$O1366-7)),0)"),1.4790199457749)</f>
        <v>1.4790199457749</v>
      </c>
      <c r="AJ1363" s="77">
        <f t="shared" ref="AJ1363:AJ1549" ca="1" si="258">IFERROR(STANDARDIZE($I1363,$AH1363,$AI1363),0)</f>
        <v>-0.62411391118413717</v>
      </c>
      <c r="AK1363" s="77">
        <f t="shared" ref="AK1363:AK1549" ca="1" si="259">IF($AJ1363&gt;=1,4,IF($AJ1363&gt;=0,3,IF($AJ1363&gt;-1,2,IF($AJ1363&lt;=-1,1))))</f>
        <v>2</v>
      </c>
      <c r="AL1363" s="76">
        <f t="array" ref="AL1363">AVERAGEIFS($J$2:$J2565,$B$2:$B2565,$B1363,$P$2:$P2565,"&lt;="&amp;$P1363,$P$2:$P2565,"&gt;"&amp;$P1363-7)</f>
        <v>7.5769230769230766</v>
      </c>
      <c r="AM1363" s="76">
        <f ca="1">IFERROR(__xludf.DUMMYFUNCTION("iferror(stdevp(filter($I$2:$I2568,$B$2:$B2568=$B1366,$O$2:$O2568&lt;=$O1366,$O$2:$O2568&gt;$O1366-7)),0)"),0.829156197588849)</f>
        <v>0.82915619758884895</v>
      </c>
      <c r="AN1363" s="77">
        <f t="shared" ref="AN1363:AN1549" ca="1" si="260">IFERROR(STANDARDIZE($J1363,$AL1363,$AM1363),0)</f>
        <v>0.5102499677469855</v>
      </c>
      <c r="AO1363" s="77">
        <f t="shared" ref="AO1363:AO1549" ca="1" si="261">IF($AN1363&gt;=1,4,IF($AN1363&gt;=0,3,IF($AN1363&gt;-1,2,IF($AN1363&lt;=-1,1))))</f>
        <v>3</v>
      </c>
      <c r="AP1363" s="76">
        <f t="array" ref="AP1363">AVERAGEIFS($K$2:$K2565,$B$2:$B2565,$B1363,$P$2:$P2565,"&lt;="&amp;$P1363,$P$2:$P2565,"&gt;"&amp;$P1363-7)</f>
        <v>8</v>
      </c>
      <c r="AQ1363" s="76">
        <f ca="1">IFERROR(__xludf.DUMMYFUNCTION("iferror(stdevp(filter($J$2:$J2568,$B$2:$B2568=$B1366,$O$2:$O2568&lt;=$O1366,$O$2:$O2568&gt;$O1366-7)),0)"),0.433012701892219)</f>
        <v>0.43301270189221902</v>
      </c>
      <c r="AR1363" s="77">
        <f t="shared" ref="AR1363:AR1549" ca="1" si="262">IFERROR(STANDARDIZE($K1363,$AP1363,$AQ1363),0)</f>
        <v>4.6188021535170094</v>
      </c>
      <c r="AS1363" s="77">
        <f t="shared" ref="AS1363:AS1549" ca="1" si="263">IF($AR1363&gt;=1,4,IF($AR1363&gt;=0,3,IF($AR1363&gt;-1,2,IF($AR1363&lt;=-1,1))))</f>
        <v>4</v>
      </c>
      <c r="AT1363" s="78">
        <f t="shared" ref="AT1363:AT1549" ca="1" si="264">SUM($AK1363,$AG1363,$AC1363,$Y1363,$AO1363,$AS1363)/24</f>
        <v>0.83333333333333337</v>
      </c>
    </row>
    <row r="1364" spans="1:46" ht="12.5" x14ac:dyDescent="0.25">
      <c r="A1364" s="75">
        <v>44994.510622245369</v>
      </c>
      <c r="B1364" s="1" t="s">
        <v>29</v>
      </c>
      <c r="C1364" s="1" t="str">
        <f>INDEX(TBL_Name,MATCH(Table2[[#This Row],[Athlete Name]],listNames,0),2)</f>
        <v>Athlete 18</v>
      </c>
      <c r="D1364" s="1" t="s">
        <v>130</v>
      </c>
      <c r="E1364" s="1">
        <v>8</v>
      </c>
      <c r="F1364" s="1">
        <v>8</v>
      </c>
      <c r="G1364" s="1">
        <v>7</v>
      </c>
      <c r="H1364" s="1" t="s">
        <v>326</v>
      </c>
      <c r="I1364" s="1">
        <v>7</v>
      </c>
      <c r="J1364" s="1">
        <v>7</v>
      </c>
      <c r="K1364" s="1">
        <v>8</v>
      </c>
      <c r="L1364" s="1">
        <v>90</v>
      </c>
      <c r="M1364" s="1" t="e">
        <f t="shared" ref="M1364" ca="1" si="265">_xludf.concat($B1364,$P1364)</f>
        <v>#NAME?</v>
      </c>
      <c r="N1364" s="1" t="e">
        <f t="shared" si="248"/>
        <v>#VALUE!</v>
      </c>
      <c r="O1364" s="1" t="e">
        <f t="shared" ref="O1364" ca="1" si="266">IF($N1364=_xludf.MINIFS($N$2:$N2870,$R$2:$R2870,$R1364),1,
($N1364-_xludf.MINIFS($N$2:$N2870,$R$2:$R2870,$R1364))+1)</f>
        <v>#VALUE!</v>
      </c>
      <c r="P1364" s="13" t="e">
        <f t="shared" si="250"/>
        <v>#VALUE!</v>
      </c>
      <c r="Q1364" s="1" t="str">
        <f>RIGHT(YEAR($A1364),2)-(MONTH($A1364)&lt;=[3]Roster!$K$25)
 &amp;"-"&amp;
 RIGHT(YEAR($A1364),2)+(MONTH($A1364)&gt;=[3]Roster!$K$26)</f>
        <v>22-23</v>
      </c>
      <c r="R1364" s="1" t="e">
        <f>CHOOSE(MONTH($P1364),[3]Roster!$K$9,[3]Roster!$K$10,[3]Roster!$K$11,[3]Roster!$K$12,[3]Roster!$K$13,[3]Roster!$K$14,[3]Roster!$K$15,[3]Roster!$K$16,[3]Roster!$K$17,[3]Roster!$K$18,[3]Roster!$K$19,[3]Roster!$K$20)&amp;" "&amp;$Q1364</f>
        <v>#VALUE!</v>
      </c>
      <c r="S1364" s="1">
        <f t="shared" si="251"/>
        <v>1</v>
      </c>
      <c r="T1364" s="1" t="str">
        <f t="array" ref="T1364">IFERROR(INDEX([3]Roster!$D$3:$D$42,MATCH($B1364,[3]Roster!$C$3:$C$42,0)),"")</f>
        <v>GK</v>
      </c>
      <c r="U1364" s="1" t="str">
        <f t="array" ref="U1364">IFERROR(INDEX([3]Roster!$E$3:$E$42,MATCH($B1364,[3]Roster!$C$3:$C$42,0)),"")</f>
        <v>GK</v>
      </c>
      <c r="V1364" s="76">
        <f t="array" ref="V1364">AVERAGEIFS($E$2:$E2565,$B$2:$B2565,$B1364,$P$2:$P2565,"&lt;="&amp;$P1364,$P$2:$P2565,"&gt;"&amp;$P1364-7)</f>
        <v>8.53125</v>
      </c>
      <c r="W1364" s="76">
        <f ca="1">IFERROR(__xludf.DUMMYFUNCTION("iferror(stdevp(filter($D$2:$D2568,$B$2:$B2568=$B1367,$O$2:$O2568&lt;=$O1367,$O$2:$O2568&gt;$O1367-7)),0)"),0.5)</f>
        <v>0.5</v>
      </c>
      <c r="X1364" s="77">
        <f t="shared" ca="1" si="252"/>
        <v>-1.0625</v>
      </c>
      <c r="Y1364" s="77">
        <f t="shared" ca="1" si="253"/>
        <v>1</v>
      </c>
      <c r="Z1364" s="76">
        <f t="array" ref="Z1364">AVERAGEIFS($F$2:$F2565,$B$2:$B2565,$B1364,$P$2:$P2565,"&lt;="&amp;$P1364,$P$2:$P2565,"&gt;"&amp;$P1364-7)</f>
        <v>8.125</v>
      </c>
      <c r="AA1364" s="76">
        <f ca="1">IFERROR(__xludf.DUMMYFUNCTION("iferror(stdevp(filter($E$2:$E2568,$B$2:$B2568=$B1367,$O$2:$O2568&lt;=$O1367,$O$2:$O2568&gt;$O1367-7)),0)"),0.433012701892219)</f>
        <v>0.43301270189221902</v>
      </c>
      <c r="AB1364" s="77">
        <f t="shared" ca="1" si="254"/>
        <v>-0.28867513459481309</v>
      </c>
      <c r="AC1364" s="77">
        <f t="shared" ca="1" si="255"/>
        <v>2</v>
      </c>
      <c r="AD1364" s="76">
        <f t="array" ref="AD1364">AVERAGEIFS($G$2:$G2565,$B$2:$B2565,$B1364,$P$2:$P2565,"&lt;="&amp;$P1364,$P$2:$P2565,"&gt;"&amp;$P1364-7)</f>
        <v>8.09375</v>
      </c>
      <c r="AE1364" s="76">
        <f ca="1">IFERROR(__xludf.DUMMYFUNCTION("iferror(stdevp(filter($F$2:$F2568,$B$2:$B2568=$B1367,$O$2:$O2568&lt;=$O1367,$O$2:$O2568&gt;$O1367-7)),0)"),0.433012701892219)</f>
        <v>0.43301270189221902</v>
      </c>
      <c r="AF1364" s="77">
        <f t="shared" ca="1" si="256"/>
        <v>-2.5259074277046145</v>
      </c>
      <c r="AG1364" s="77">
        <f t="shared" ca="1" si="257"/>
        <v>1</v>
      </c>
      <c r="AH1364" s="76">
        <f t="array" ref="AH1364">AVERAGEIFS($I$2:$I2565,$B$2:$B2565,$B1364,$P$2:$P2565,"&lt;="&amp;$P1364,$P$2:$P2565,"&gt;"&amp;$P1364-7)</f>
        <v>7.875</v>
      </c>
      <c r="AI1364" s="76">
        <f ca="1">IFERROR(__xludf.DUMMYFUNCTION("iferror(stdevp(filter($H$2:$H2568,$B$2:$B2568=$B1367,$O$2:$O2568&lt;=$O1367,$O$2:$O2568&gt;$O1367-7)),0)"),0.82915619758885)</f>
        <v>0.82915619758884995</v>
      </c>
      <c r="AJ1364" s="77">
        <f t="shared" ca="1" si="258"/>
        <v>-1.0552897060221726</v>
      </c>
      <c r="AK1364" s="77">
        <f t="shared" ca="1" si="259"/>
        <v>1</v>
      </c>
      <c r="AL1364" s="76">
        <f t="array" ref="AL1364">AVERAGEIFS($J$2:$J2565,$B$2:$B2565,$B1364,$P$2:$P2565,"&lt;="&amp;$P1364,$P$2:$P2565,"&gt;"&amp;$P1364-7)</f>
        <v>8.34375</v>
      </c>
      <c r="AM1364" s="76">
        <f ca="1">IFERROR(__xludf.DUMMYFUNCTION("iferror(stdevp(filter($I$2:$I2568,$B$2:$B2568=$B1367,$O$2:$O2568&lt;=$O1367,$O$2:$O2568&gt;$O1367-7)),0)"),0.82915619758885)</f>
        <v>0.82915619758884995</v>
      </c>
      <c r="AN1364" s="77">
        <f t="shared" ca="1" si="260"/>
        <v>-1.6206234771054795</v>
      </c>
      <c r="AO1364" s="77">
        <f t="shared" ca="1" si="261"/>
        <v>1</v>
      </c>
      <c r="AP1364" s="76">
        <f t="array" ref="AP1364">AVERAGEIFS($K$2:$K2565,$B$2:$B2565,$B1364,$P$2:$P2565,"&lt;="&amp;$P1364,$P$2:$P2565,"&gt;"&amp;$P1364-7)</f>
        <v>8.46875</v>
      </c>
      <c r="AQ1364" s="76">
        <f ca="1">IFERROR(__xludf.DUMMYFUNCTION("iferror(stdevp(filter($J$2:$J2568,$B$2:$B2568=$B1367,$O$2:$O2568&lt;=$O1367,$O$2:$O2568&gt;$O1367-7)),0)"),0.433012701892219)</f>
        <v>0.43301270189221902</v>
      </c>
      <c r="AR1364" s="77">
        <f t="shared" ca="1" si="262"/>
        <v>-1.0825317547305491</v>
      </c>
      <c r="AS1364" s="77">
        <f t="shared" ca="1" si="263"/>
        <v>1</v>
      </c>
      <c r="AT1364" s="78">
        <f t="shared" ca="1" si="264"/>
        <v>0.29166666666666669</v>
      </c>
    </row>
    <row r="1365" spans="1:46" ht="12.5" x14ac:dyDescent="0.25">
      <c r="A1365" s="75">
        <v>44995.312120787035</v>
      </c>
      <c r="B1365" s="1" t="s">
        <v>13</v>
      </c>
      <c r="C1365" s="1" t="str">
        <f>INDEX(TBL_Name,MATCH(Table2[[#This Row],[Athlete Name]],listNames,0),2)</f>
        <v>Athlete 7</v>
      </c>
      <c r="D1365" s="1" t="s">
        <v>130</v>
      </c>
      <c r="E1365" s="1">
        <v>7</v>
      </c>
      <c r="F1365" s="1">
        <v>6</v>
      </c>
      <c r="G1365" s="1">
        <v>6</v>
      </c>
      <c r="H1365" s="1" t="s">
        <v>1611</v>
      </c>
      <c r="I1365" s="1">
        <v>5</v>
      </c>
      <c r="J1365" s="1">
        <v>7</v>
      </c>
      <c r="K1365" s="1">
        <v>7</v>
      </c>
      <c r="L1365" s="1">
        <v>70</v>
      </c>
      <c r="M1365" s="1" t="e">
        <f t="shared" ref="M1365" ca="1" si="267">_xludf.concat($B1365,$P1365)</f>
        <v>#NAME?</v>
      </c>
      <c r="N1365" s="1" t="e">
        <f t="shared" si="248"/>
        <v>#VALUE!</v>
      </c>
      <c r="O1365" s="1" t="e">
        <f t="shared" ref="O1365" ca="1" si="268">IF($N1365=_xludf.MINIFS($N$2:$N2871,$R$2:$R2871,$R1365),1,
($N1365-_xludf.MINIFS($N$2:$N2871,$R$2:$R2871,$R1365))+1)</f>
        <v>#VALUE!</v>
      </c>
      <c r="P1365" s="13" t="e">
        <f t="shared" si="250"/>
        <v>#VALUE!</v>
      </c>
      <c r="Q1365" s="1" t="str">
        <f>RIGHT(YEAR($A1365),2)-(MONTH($A1365)&lt;=[3]Roster!$K$25)
 &amp;"-"&amp;
 RIGHT(YEAR($A1365),2)+(MONTH($A1365)&gt;=[3]Roster!$K$26)</f>
        <v>22-23</v>
      </c>
      <c r="R1365" s="1" t="e">
        <f>CHOOSE(MONTH($P1365),[3]Roster!$K$9,[3]Roster!$K$10,[3]Roster!$K$11,[3]Roster!$K$12,[3]Roster!$K$13,[3]Roster!$K$14,[3]Roster!$K$15,[3]Roster!$K$16,[3]Roster!$K$17,[3]Roster!$K$18,[3]Roster!$K$19,[3]Roster!$K$20)&amp;" "&amp;$Q1365</f>
        <v>#VALUE!</v>
      </c>
      <c r="S1365" s="1">
        <f t="shared" si="251"/>
        <v>1</v>
      </c>
      <c r="T1365" s="1" t="str">
        <f t="array" ref="T1365">IFERROR(INDEX([3]Roster!$D$3:$D$42,MATCH($B1365,[3]Roster!$C$3:$C$42,0)),"")</f>
        <v>MID/D</v>
      </c>
      <c r="U1365" s="1" t="str">
        <f t="array" ref="U1365">IFERROR(INDEX([3]Roster!$E$3:$E$42,MATCH($B1365,[3]Roster!$C$3:$C$42,0)),"")</f>
        <v>MID/D</v>
      </c>
      <c r="V1365" s="76">
        <f t="array" ref="V1365">AVERAGEIFS($E$2:$E2565,$B$2:$B2565,$B1365,$P$2:$P2565,"&lt;="&amp;$P1365,$P$2:$P2565,"&gt;"&amp;$P1365-7)</f>
        <v>7.6857142857142859</v>
      </c>
      <c r="W1365" s="76">
        <f ca="1">IFERROR(__xludf.DUMMYFUNCTION("iferror(stdevp(filter($D$2:$D2568,$B$2:$B2568=$B1368,$O$2:$O2568&lt;=$O1368,$O$2:$O2568&gt;$O1368-7)),0)"),1.2)</f>
        <v>1.2</v>
      </c>
      <c r="X1365" s="77">
        <f t="shared" ca="1" si="252"/>
        <v>-0.57142857142857162</v>
      </c>
      <c r="Y1365" s="77">
        <f t="shared" ca="1" si="253"/>
        <v>2</v>
      </c>
      <c r="Z1365" s="76">
        <f t="array" ref="Z1365">AVERAGEIFS($F$2:$F2565,$B$2:$B2565,$B1365,$P$2:$P2565,"&lt;="&amp;$P1365,$P$2:$P2565,"&gt;"&amp;$P1365-7)</f>
        <v>7.0857142857142854</v>
      </c>
      <c r="AA1365" s="76">
        <f ca="1">IFERROR(__xludf.DUMMYFUNCTION("iferror(stdevp(filter($E$2:$E2568,$B$2:$B2568=$B1368,$O$2:$O2568&lt;=$O1368,$O$2:$O2568&gt;$O1368-7)),0)"),0.489897948556635)</f>
        <v>0.48989794855663499</v>
      </c>
      <c r="AB1365" s="77">
        <f t="shared" ca="1" si="254"/>
        <v>-2.2162050053752584</v>
      </c>
      <c r="AC1365" s="77">
        <f t="shared" ca="1" si="255"/>
        <v>1</v>
      </c>
      <c r="AD1365" s="76">
        <f t="array" ref="AD1365">AVERAGEIFS($G$2:$G2565,$B$2:$B2565,$B1365,$P$2:$P2565,"&lt;="&amp;$P1365,$P$2:$P2565,"&gt;"&amp;$P1365-7)</f>
        <v>7.1428571428571432</v>
      </c>
      <c r="AE1365" s="76">
        <f ca="1">IFERROR(__xludf.DUMMYFUNCTION("iferror(stdevp(filter($F$2:$F2568,$B$2:$B2568=$B1368,$O$2:$O2568&lt;=$O1368,$O$2:$O2568&gt;$O1368-7)),0)"),0.489897948556635)</f>
        <v>0.48989794855663499</v>
      </c>
      <c r="AF1365" s="77">
        <f t="shared" ca="1" si="256"/>
        <v>-2.332847374079221</v>
      </c>
      <c r="AG1365" s="77">
        <f t="shared" ca="1" si="257"/>
        <v>1</v>
      </c>
      <c r="AH1365" s="76">
        <f t="array" ref="AH1365">AVERAGEIFS($I$2:$I2565,$B$2:$B2565,$B1365,$P$2:$P2565,"&lt;="&amp;$P1365,$P$2:$P2565,"&gt;"&amp;$P1365-7)</f>
        <v>7.0285714285714285</v>
      </c>
      <c r="AI1365" s="76">
        <f ca="1">IFERROR(__xludf.DUMMYFUNCTION("iferror(stdevp(filter($H$2:$H2568,$B$2:$B2568=$B1368,$O$2:$O2568&lt;=$O1368,$O$2:$O2568&gt;$O1368-7)),0)"),1.78885438199983)</f>
        <v>1.7888543819998299</v>
      </c>
      <c r="AJ1365" s="77">
        <f t="shared" ca="1" si="258"/>
        <v>-1.1340059028748946</v>
      </c>
      <c r="AK1365" s="77">
        <f t="shared" ca="1" si="259"/>
        <v>1</v>
      </c>
      <c r="AL1365" s="76">
        <f t="array" ref="AL1365">AVERAGEIFS($J$2:$J2565,$B$2:$B2565,$B1365,$P$2:$P2565,"&lt;="&amp;$P1365,$P$2:$P2565,"&gt;"&amp;$P1365-7)</f>
        <v>9.742857142857142</v>
      </c>
      <c r="AM1365" s="76">
        <f ca="1">IFERROR(__xludf.DUMMYFUNCTION("iferror(stdevp(filter($I$2:$I2568,$B$2:$B2568=$B1368,$O$2:$O2568&lt;=$O1368,$O$2:$O2568&gt;$O1368-7)),0)"),1.2)</f>
        <v>1.2</v>
      </c>
      <c r="AN1365" s="77">
        <f t="shared" ca="1" si="260"/>
        <v>-2.2857142857142851</v>
      </c>
      <c r="AO1365" s="77">
        <f t="shared" ca="1" si="261"/>
        <v>1</v>
      </c>
      <c r="AP1365" s="76">
        <f t="array" ref="AP1365">AVERAGEIFS($K$2:$K2565,$B$2:$B2565,$B1365,$P$2:$P2565,"&lt;="&amp;$P1365,$P$2:$P2565,"&gt;"&amp;$P1365-7)</f>
        <v>9.4285714285714288</v>
      </c>
      <c r="AQ1365" s="76">
        <f ca="1">IFERROR(__xludf.DUMMYFUNCTION("iferror(stdevp(filter($J$2:$J2568,$B$2:$B2568=$B1368,$O$2:$O2568&lt;=$O1368,$O$2:$O2568&gt;$O1368-7)),0)"),1.4696938456699)</f>
        <v>1.4696938456699</v>
      </c>
      <c r="AR1365" s="77">
        <f t="shared" ca="1" si="262"/>
        <v>-1.6524335566394535</v>
      </c>
      <c r="AS1365" s="77">
        <f t="shared" ca="1" si="263"/>
        <v>1</v>
      </c>
      <c r="AT1365" s="78">
        <f t="shared" ca="1" si="264"/>
        <v>0.29166666666666669</v>
      </c>
    </row>
    <row r="1366" spans="1:46" ht="12.5" x14ac:dyDescent="0.25">
      <c r="A1366" s="75">
        <v>44995.350733287036</v>
      </c>
      <c r="B1366" s="1" t="s">
        <v>29</v>
      </c>
      <c r="C1366" s="1" t="str">
        <f>INDEX(TBL_Name,MATCH(Table2[[#This Row],[Athlete Name]],listNames,0),2)</f>
        <v>Athlete 18</v>
      </c>
      <c r="D1366" s="1" t="s">
        <v>130</v>
      </c>
      <c r="E1366" s="1">
        <v>9</v>
      </c>
      <c r="F1366" s="1">
        <v>7</v>
      </c>
      <c r="G1366" s="1">
        <v>8</v>
      </c>
      <c r="H1366" s="1" t="s">
        <v>1612</v>
      </c>
      <c r="I1366" s="1">
        <v>8</v>
      </c>
      <c r="J1366" s="1">
        <v>7</v>
      </c>
      <c r="K1366" s="1">
        <v>7</v>
      </c>
      <c r="L1366" s="1">
        <v>90</v>
      </c>
      <c r="M1366" s="1" t="e">
        <f t="shared" ref="M1366" ca="1" si="269">_xludf.concat($B1366,$P1366)</f>
        <v>#NAME?</v>
      </c>
      <c r="N1366" s="1" t="e">
        <f t="shared" si="248"/>
        <v>#VALUE!</v>
      </c>
      <c r="O1366" s="1" t="e">
        <f t="shared" ref="O1366" ca="1" si="270">IF($N1366=_xludf.MINIFS($N$2:$N2872,$R$2:$R2872,$R1366),1,
($N1366-_xludf.MINIFS($N$2:$N2872,$R$2:$R2872,$R1366))+1)</f>
        <v>#VALUE!</v>
      </c>
      <c r="P1366" s="13" t="e">
        <f t="shared" si="250"/>
        <v>#VALUE!</v>
      </c>
      <c r="Q1366" s="1" t="str">
        <f>RIGHT(YEAR($A1366),2)-(MONTH($A1366)&lt;=[3]Roster!$K$25)
 &amp;"-"&amp;
 RIGHT(YEAR($A1366),2)+(MONTH($A1366)&gt;=[3]Roster!$K$26)</f>
        <v>22-23</v>
      </c>
      <c r="R1366" s="1" t="e">
        <f>CHOOSE(MONTH($P1366),[3]Roster!$K$9,[3]Roster!$K$10,[3]Roster!$K$11,[3]Roster!$K$12,[3]Roster!$K$13,[3]Roster!$K$14,[3]Roster!$K$15,[3]Roster!$K$16,[3]Roster!$K$17,[3]Roster!$K$18,[3]Roster!$K$19,[3]Roster!$K$20)&amp;" "&amp;$Q1366</f>
        <v>#VALUE!</v>
      </c>
      <c r="S1366" s="1">
        <f t="shared" si="251"/>
        <v>1</v>
      </c>
      <c r="T1366" s="1" t="str">
        <f t="array" ref="T1366">IFERROR(INDEX([3]Roster!$D$3:$D$42,MATCH($B1366,[3]Roster!$C$3:$C$42,0)),"")</f>
        <v>GK</v>
      </c>
      <c r="U1366" s="1" t="str">
        <f t="array" ref="U1366">IFERROR(INDEX([3]Roster!$E$3:$E$42,MATCH($B1366,[3]Roster!$C$3:$C$42,0)),"")</f>
        <v>GK</v>
      </c>
      <c r="V1366" s="76">
        <f t="array" ref="V1366">AVERAGEIFS($E$2:$E2565,$B$2:$B2565,$B1366,$P$2:$P2565,"&lt;="&amp;$P1366,$P$2:$P2565,"&gt;"&amp;$P1366-7)</f>
        <v>8.53125</v>
      </c>
      <c r="W1366" s="76">
        <f ca="1">IFERROR(__xludf.DUMMYFUNCTION("iferror(stdevp(filter($D$2:$D2568,$B$2:$B2568=$B1369,$O$2:$O2568&lt;=$O1369,$O$2:$O2568&gt;$O1369-7)),0)"),0.489897948556635)</f>
        <v>0.48989794855663499</v>
      </c>
      <c r="X1366" s="77">
        <f t="shared" ca="1" si="252"/>
        <v>0.95683193077468021</v>
      </c>
      <c r="Y1366" s="77">
        <f t="shared" ca="1" si="253"/>
        <v>3</v>
      </c>
      <c r="Z1366" s="76">
        <f t="array" ref="Z1366">AVERAGEIFS($F$2:$F2565,$B$2:$B2565,$B1366,$P$2:$P2565,"&lt;="&amp;$P1366,$P$2:$P2565,"&gt;"&amp;$P1366-7)</f>
        <v>8.125</v>
      </c>
      <c r="AA1366" s="76">
        <f ca="1">IFERROR(__xludf.DUMMYFUNCTION("iferror(stdevp(filter($E$2:$E2568,$B$2:$B2568=$B1369,$O$2:$O2568&lt;=$O1369,$O$2:$O2568&gt;$O1369-7)),0)"),0.632455532033675)</f>
        <v>0.63245553203367499</v>
      </c>
      <c r="AB1366" s="77">
        <f t="shared" ca="1" si="254"/>
        <v>-1.7787811838447158</v>
      </c>
      <c r="AC1366" s="77">
        <f t="shared" ca="1" si="255"/>
        <v>1</v>
      </c>
      <c r="AD1366" s="76">
        <f t="array" ref="AD1366">AVERAGEIFS($G$2:$G2565,$B$2:$B2565,$B1366,$P$2:$P2565,"&lt;="&amp;$P1366,$P$2:$P2565,"&gt;"&amp;$P1366-7)</f>
        <v>8.09375</v>
      </c>
      <c r="AE1366" s="76">
        <f ca="1">IFERROR(__xludf.DUMMYFUNCTION("iferror(stdevp(filter($F$2:$F2568,$B$2:$B2568=$B1369,$O$2:$O2568&lt;=$O1369,$O$2:$O2568&gt;$O1369-7)),0)"),0.4)</f>
        <v>0.4</v>
      </c>
      <c r="AF1366" s="77">
        <f t="shared" ca="1" si="256"/>
        <v>-0.234375</v>
      </c>
      <c r="AG1366" s="77">
        <f t="shared" ca="1" si="257"/>
        <v>2</v>
      </c>
      <c r="AH1366" s="76">
        <f t="array" ref="AH1366">AVERAGEIFS($I$2:$I2565,$B$2:$B2565,$B1366,$P$2:$P2565,"&lt;="&amp;$P1366,$P$2:$P2565,"&gt;"&amp;$P1366-7)</f>
        <v>7.875</v>
      </c>
      <c r="AI1366" s="76">
        <f ca="1">IFERROR(__xludf.DUMMYFUNCTION("iferror(stdevp(filter($H$2:$H2568,$B$2:$B2568=$B1369,$O$2:$O2568&lt;=$O1369,$O$2:$O2568&gt;$O1369-7)),0)"),0.748331477354788)</f>
        <v>0.748331477354788</v>
      </c>
      <c r="AJ1366" s="77">
        <f t="shared" ca="1" si="258"/>
        <v>0.16703827619526529</v>
      </c>
      <c r="AK1366" s="77">
        <f t="shared" ca="1" si="259"/>
        <v>3</v>
      </c>
      <c r="AL1366" s="76">
        <f t="array" ref="AL1366">AVERAGEIFS($J$2:$J2565,$B$2:$B2565,$B1366,$P$2:$P2565,"&lt;="&amp;$P1366,$P$2:$P2565,"&gt;"&amp;$P1366-7)</f>
        <v>8.34375</v>
      </c>
      <c r="AM1366" s="76">
        <f ca="1">IFERROR(__xludf.DUMMYFUNCTION("iferror(stdevp(filter($I$2:$I2568,$B$2:$B2568=$B1369,$O$2:$O2568&lt;=$O1369,$O$2:$O2568&gt;$O1369-7)),0)"),0.799999999999999)</f>
        <v>0.79999999999999905</v>
      </c>
      <c r="AN1366" s="77">
        <f t="shared" ca="1" si="260"/>
        <v>-1.679687500000002</v>
      </c>
      <c r="AO1366" s="77">
        <f t="shared" ca="1" si="261"/>
        <v>1</v>
      </c>
      <c r="AP1366" s="76">
        <f t="array" ref="AP1366">AVERAGEIFS($K$2:$K2565,$B$2:$B2565,$B1366,$P$2:$P2565,"&lt;="&amp;$P1366,$P$2:$P2565,"&gt;"&amp;$P1366-7)</f>
        <v>8.46875</v>
      </c>
      <c r="AQ1366" s="76">
        <f ca="1">IFERROR(__xludf.DUMMYFUNCTION("iferror(stdevp(filter($J$2:$J2568,$B$2:$B2568=$B1369,$O$2:$O2568&lt;=$O1369,$O$2:$O2568&gt;$O1369-7)),0)"),0.632455532033675)</f>
        <v>0.63245553203367499</v>
      </c>
      <c r="AR1366" s="77">
        <f t="shared" ca="1" si="262"/>
        <v>-2.3222976566861568</v>
      </c>
      <c r="AS1366" s="77">
        <f t="shared" ca="1" si="263"/>
        <v>1</v>
      </c>
      <c r="AT1366" s="78">
        <f t="shared" ca="1" si="264"/>
        <v>0.45833333333333331</v>
      </c>
    </row>
    <row r="1367" spans="1:46" ht="12.5" x14ac:dyDescent="0.25">
      <c r="A1367" s="75">
        <v>44995.426445277779</v>
      </c>
      <c r="B1367" s="1" t="s">
        <v>21</v>
      </c>
      <c r="C1367" s="1" t="str">
        <f>INDEX(TBL_Name,MATCH(Table2[[#This Row],[Athlete Name]],listNames,0),2)</f>
        <v>Athlete 13</v>
      </c>
      <c r="D1367" s="1" t="s">
        <v>130</v>
      </c>
      <c r="E1367" s="1">
        <v>7</v>
      </c>
      <c r="F1367" s="1">
        <v>7</v>
      </c>
      <c r="G1367" s="1">
        <v>8</v>
      </c>
      <c r="H1367" s="1" t="s">
        <v>1613</v>
      </c>
      <c r="I1367" s="1">
        <v>6</v>
      </c>
      <c r="J1367" s="1">
        <v>7</v>
      </c>
      <c r="K1367" s="1">
        <v>7</v>
      </c>
      <c r="L1367" s="1">
        <v>80</v>
      </c>
      <c r="M1367" s="1" t="e">
        <f t="shared" ref="M1367" ca="1" si="271">_xludf.concat($B1367,$P1367)</f>
        <v>#NAME?</v>
      </c>
      <c r="N1367" s="1" t="e">
        <f t="shared" si="248"/>
        <v>#VALUE!</v>
      </c>
      <c r="O1367" s="1" t="e">
        <f t="shared" ref="O1367" ca="1" si="272">IF($N1367=_xludf.MINIFS($N$2:$N2873,$R$2:$R2873,$R1367),1,
($N1367-_xludf.MINIFS($N$2:$N2873,$R$2:$R2873,$R1367))+1)</f>
        <v>#VALUE!</v>
      </c>
      <c r="P1367" s="13" t="e">
        <f t="shared" si="250"/>
        <v>#VALUE!</v>
      </c>
      <c r="Q1367" s="1" t="str">
        <f>RIGHT(YEAR($A1367),2)-(MONTH($A1367)&lt;=[3]Roster!$K$25)
 &amp;"-"&amp;
 RIGHT(YEAR($A1367),2)+(MONTH($A1367)&gt;=[3]Roster!$K$26)</f>
        <v>22-23</v>
      </c>
      <c r="R1367" s="1" t="e">
        <f>CHOOSE(MONTH($P1367),[3]Roster!$K$9,[3]Roster!$K$10,[3]Roster!$K$11,[3]Roster!$K$12,[3]Roster!$K$13,[3]Roster!$K$14,[3]Roster!$K$15,[3]Roster!$K$16,[3]Roster!$K$17,[3]Roster!$K$18,[3]Roster!$K$19,[3]Roster!$K$20)&amp;" "&amp;$Q1367</f>
        <v>#VALUE!</v>
      </c>
      <c r="S1367" s="1">
        <f t="shared" si="251"/>
        <v>1</v>
      </c>
      <c r="T1367" s="1" t="str">
        <f t="array" ref="T1367">IFERROR(INDEX([3]Roster!$D$3:$D$42,MATCH($B1367,[3]Roster!$C$3:$C$42,0)),"")</f>
        <v>D</v>
      </c>
      <c r="U1367" s="1" t="str">
        <f t="array" ref="U1367">IFERROR(INDEX([3]Roster!$E$3:$E$42,MATCH($B1367,[3]Roster!$C$3:$C$42,0)),"")</f>
        <v>D</v>
      </c>
      <c r="V1367" s="76">
        <f t="array" ref="V1367">AVERAGEIFS($E$2:$E2565,$B$2:$B2565,$B1367,$P$2:$P2565,"&lt;="&amp;$P1367,$P$2:$P2565,"&gt;"&amp;$P1367-7)</f>
        <v>6.6304347826086953</v>
      </c>
      <c r="W1367" s="76">
        <f ca="1">IFERROR(__xludf.DUMMYFUNCTION("iferror(stdevp(filter($D$2:$D2568,$B$2:$B2568=$B1370,$O$2:$O2568&lt;=$O1370,$O$2:$O2568&gt;$O1370-7)),0)"),0.74535599249993)</f>
        <v>0.74535599249993001</v>
      </c>
      <c r="X1367" s="77">
        <f t="shared" ca="1" si="252"/>
        <v>0.49582376892386676</v>
      </c>
      <c r="Y1367" s="77">
        <f t="shared" ca="1" si="253"/>
        <v>3</v>
      </c>
      <c r="Z1367" s="76">
        <f t="array" ref="Z1367">AVERAGEIFS($F$2:$F2565,$B$2:$B2565,$B1367,$P$2:$P2565,"&lt;="&amp;$P1367,$P$2:$P2565,"&gt;"&amp;$P1367-7)</f>
        <v>7.6956521739130439</v>
      </c>
      <c r="AA1367" s="76">
        <f ca="1">IFERROR(__xludf.DUMMYFUNCTION("iferror(stdevp(filter($E$2:$E2568,$B$2:$B2568=$B1370,$O$2:$O2568&lt;=$O1370,$O$2:$O2568&gt;$O1370-7)),0)"),0.471404520791031)</f>
        <v>0.47140452079103101</v>
      </c>
      <c r="AB1367" s="77">
        <f t="shared" ca="1" si="254"/>
        <v>-1.4757011085632326</v>
      </c>
      <c r="AC1367" s="77">
        <f t="shared" ca="1" si="255"/>
        <v>1</v>
      </c>
      <c r="AD1367" s="76">
        <f t="array" ref="AD1367">AVERAGEIFS($G$2:$G2565,$B$2:$B2565,$B1367,$P$2:$P2565,"&lt;="&amp;$P1367,$P$2:$P2565,"&gt;"&amp;$P1367-7)</f>
        <v>8.2608695652173907</v>
      </c>
      <c r="AE1367" s="76">
        <f ca="1">IFERROR(__xludf.DUMMYFUNCTION("iferror(stdevp(filter($F$2:$F2568,$B$2:$B2568=$B1370,$O$2:$O2568&lt;=$O1370,$O$2:$O2568&gt;$O1370-7)),0)"),0.687184270936276)</f>
        <v>0.68718427093627599</v>
      </c>
      <c r="AF1367" s="77">
        <f t="shared" ca="1" si="256"/>
        <v>-0.37962097831773811</v>
      </c>
      <c r="AG1367" s="77">
        <f t="shared" ca="1" si="257"/>
        <v>2</v>
      </c>
      <c r="AH1367" s="76">
        <f t="array" ref="AH1367">AVERAGEIFS($I$2:$I2565,$B$2:$B2565,$B1367,$P$2:$P2565,"&lt;="&amp;$P1367,$P$2:$P2565,"&gt;"&amp;$P1367-7)</f>
        <v>5.7391304347826084</v>
      </c>
      <c r="AI1367" s="76">
        <f ca="1">IFERROR(__xludf.DUMMYFUNCTION("iferror(stdevp(filter($H$2:$H2568,$B$2:$B2568=$B1370,$O$2:$O2568&lt;=$O1370,$O$2:$O2568&gt;$O1370-7)),0)"),1.24721912892464)</f>
        <v>1.2472191289246399</v>
      </c>
      <c r="AJ1367" s="77">
        <f t="shared" ca="1" si="258"/>
        <v>0.20916097193146399</v>
      </c>
      <c r="AK1367" s="77">
        <f t="shared" ca="1" si="259"/>
        <v>3</v>
      </c>
      <c r="AL1367" s="76">
        <f t="array" ref="AL1367">AVERAGEIFS($J$2:$J2565,$B$2:$B2565,$B1367,$P$2:$P2565,"&lt;="&amp;$P1367,$P$2:$P2565,"&gt;"&amp;$P1367-7)</f>
        <v>6.5434782608695654</v>
      </c>
      <c r="AM1367" s="76">
        <f ca="1">IFERROR(__xludf.DUMMYFUNCTION("iferror(stdevp(filter($I$2:$I2568,$B$2:$B2568=$B1370,$O$2:$O2568&lt;=$O1370,$O$2:$O2568&gt;$O1370-7)),0)"),0.577350269189625)</f>
        <v>0.57735026918962495</v>
      </c>
      <c r="AN1367" s="77">
        <f t="shared" ca="1" si="260"/>
        <v>0.79071884693361871</v>
      </c>
      <c r="AO1367" s="77">
        <f t="shared" ca="1" si="261"/>
        <v>3</v>
      </c>
      <c r="AP1367" s="76">
        <f t="array" ref="AP1367">AVERAGEIFS($K$2:$K2565,$B$2:$B2565,$B1367,$P$2:$P2565,"&lt;="&amp;$P1367,$P$2:$P2565,"&gt;"&amp;$P1367-7)</f>
        <v>6.6086956521739131</v>
      </c>
      <c r="AQ1367" s="76">
        <f ca="1">IFERROR(__xludf.DUMMYFUNCTION("iferror(stdevp(filter($J$2:$J2568,$B$2:$B2568=$B1370,$O$2:$O2568&lt;=$O1370,$O$2:$O2568&gt;$O1370-7)),0)"),0.372677996249965)</f>
        <v>0.372677996249965</v>
      </c>
      <c r="AR1367" s="77">
        <f t="shared" ca="1" si="262"/>
        <v>1.0499797459564226</v>
      </c>
      <c r="AS1367" s="77">
        <f t="shared" ca="1" si="263"/>
        <v>4</v>
      </c>
      <c r="AT1367" s="78">
        <f t="shared" ca="1" si="264"/>
        <v>0.66666666666666663</v>
      </c>
    </row>
    <row r="1368" spans="1:46" ht="12.5" x14ac:dyDescent="0.25">
      <c r="A1368" s="75">
        <v>44995.433790625</v>
      </c>
      <c r="B1368" s="1" t="s">
        <v>7</v>
      </c>
      <c r="C1368" s="1" t="str">
        <f>INDEX(TBL_Name,MATCH(Table2[[#This Row],[Athlete Name]],listNames,0),2)</f>
        <v>Athlete 3</v>
      </c>
      <c r="D1368" s="1" t="s">
        <v>130</v>
      </c>
      <c r="E1368" s="1">
        <v>5</v>
      </c>
      <c r="F1368" s="1">
        <v>8</v>
      </c>
      <c r="G1368" s="1">
        <v>9</v>
      </c>
      <c r="H1368" s="1" t="s">
        <v>71</v>
      </c>
      <c r="I1368" s="1">
        <v>7</v>
      </c>
      <c r="J1368" s="1">
        <v>8</v>
      </c>
      <c r="K1368" s="1">
        <v>8</v>
      </c>
      <c r="L1368" s="1">
        <v>94</v>
      </c>
      <c r="M1368" s="1" t="e">
        <f t="shared" ref="M1368" ca="1" si="273">_xludf.concat($B1368,$P1368)</f>
        <v>#NAME?</v>
      </c>
      <c r="N1368" s="1" t="e">
        <f t="shared" si="248"/>
        <v>#VALUE!</v>
      </c>
      <c r="O1368" s="1" t="e">
        <f t="shared" ref="O1368" ca="1" si="274">IF($N1368=_xludf.MINIFS($N$2:$N2874,$R$2:$R2874,$R1368),1,
($N1368-_xludf.MINIFS($N$2:$N2874,$R$2:$R2874,$R1368))+1)</f>
        <v>#VALUE!</v>
      </c>
      <c r="P1368" s="13" t="e">
        <f t="shared" si="250"/>
        <v>#VALUE!</v>
      </c>
      <c r="Q1368" s="1" t="str">
        <f>RIGHT(YEAR($A1368),2)-(MONTH($A1368)&lt;=[3]Roster!$K$25)
 &amp;"-"&amp;
 RIGHT(YEAR($A1368),2)+(MONTH($A1368)&gt;=[3]Roster!$K$26)</f>
        <v>22-23</v>
      </c>
      <c r="R1368" s="1" t="e">
        <f>CHOOSE(MONTH($P1368),[3]Roster!$K$9,[3]Roster!$K$10,[3]Roster!$K$11,[3]Roster!$K$12,[3]Roster!$K$13,[3]Roster!$K$14,[3]Roster!$K$15,[3]Roster!$K$16,[3]Roster!$K$17,[3]Roster!$K$18,[3]Roster!$K$19,[3]Roster!$K$20)&amp;" "&amp;$Q1368</f>
        <v>#VALUE!</v>
      </c>
      <c r="S1368" s="1">
        <f t="shared" si="251"/>
        <v>1</v>
      </c>
      <c r="T1368" s="1" t="str">
        <f t="array" ref="T1368">IFERROR(INDEX([3]Roster!$D$3:$D$42,MATCH($B1368,[3]Roster!$C$3:$C$42,0)),"")</f>
        <v>F/MID</v>
      </c>
      <c r="U1368" s="1" t="str">
        <f t="array" ref="U1368">IFERROR(INDEX([3]Roster!$E$3:$E$42,MATCH($B1368,[3]Roster!$C$3:$C$42,0)),"")</f>
        <v>F/MID</v>
      </c>
      <c r="V1368" s="76">
        <f t="array" ref="V1368">AVERAGEIFS($E$2:$E2565,$B$2:$B2565,$B1368,$P$2:$P2565,"&lt;="&amp;$P1368,$P$2:$P2565,"&gt;"&amp;$P1368-7)</f>
        <v>6</v>
      </c>
      <c r="W1368" s="76">
        <f ca="1">IFERROR(__xludf.DUMMYFUNCTION("iferror(stdevp(filter($D$2:$D2568,$B$2:$B2568=$B1371,$O$2:$O2568&lt;=$O1371,$O$2:$O2568&gt;$O1371-7)),0)"),1.29903810567665)</f>
        <v>1.29903810567665</v>
      </c>
      <c r="X1368" s="77">
        <f t="shared" ca="1" si="252"/>
        <v>-0.76980035891950571</v>
      </c>
      <c r="Y1368" s="77">
        <f t="shared" ca="1" si="253"/>
        <v>2</v>
      </c>
      <c r="Z1368" s="76">
        <f t="array" ref="Z1368">AVERAGEIFS($F$2:$F2565,$B$2:$B2565,$B1368,$P$2:$P2565,"&lt;="&amp;$P1368,$P$2:$P2565,"&gt;"&amp;$P1368-7)</f>
        <v>7.3703703703703702</v>
      </c>
      <c r="AA1368" s="76">
        <f ca="1">IFERROR(__xludf.DUMMYFUNCTION("iferror(stdevp(filter($E$2:$E2568,$B$2:$B2568=$B1371,$O$2:$O2568&lt;=$O1371,$O$2:$O2568&gt;$O1371-7)),0)"),0)</f>
        <v>0</v>
      </c>
      <c r="AB1368" s="77">
        <f t="shared" ca="1" si="254"/>
        <v>0</v>
      </c>
      <c r="AC1368" s="77">
        <f t="shared" ca="1" si="255"/>
        <v>3</v>
      </c>
      <c r="AD1368" s="76">
        <f t="array" ref="AD1368">AVERAGEIFS($G$2:$G2565,$B$2:$B2565,$B1368,$P$2:$P2565,"&lt;="&amp;$P1368,$P$2:$P2565,"&gt;"&amp;$P1368-7)</f>
        <v>7.7777777777777777</v>
      </c>
      <c r="AE1368" s="76">
        <f ca="1">IFERROR(__xludf.DUMMYFUNCTION("iferror(stdevp(filter($F$2:$F2568,$B$2:$B2568=$B1371,$O$2:$O2568&lt;=$O1371,$O$2:$O2568&gt;$O1371-7)),0)"),0.433012701892219)</f>
        <v>0.43301270189221902</v>
      </c>
      <c r="AF1368" s="77">
        <f t="shared" ca="1" si="256"/>
        <v>2.8226013160381727</v>
      </c>
      <c r="AG1368" s="77">
        <f t="shared" ca="1" si="257"/>
        <v>4</v>
      </c>
      <c r="AH1368" s="76">
        <f t="array" ref="AH1368">AVERAGEIFS($I$2:$I2565,$B$2:$B2565,$B1368,$P$2:$P2565,"&lt;="&amp;$P1368,$P$2:$P2565,"&gt;"&amp;$P1368-7)</f>
        <v>6.333333333333333</v>
      </c>
      <c r="AI1368" s="76">
        <f ca="1">IFERROR(__xludf.DUMMYFUNCTION("iferror(stdevp(filter($H$2:$H2568,$B$2:$B2568=$B1371,$O$2:$O2568&lt;=$O1371,$O$2:$O2568&gt;$O1371-7)),0)"),1.6583123951777)</f>
        <v>1.6583123951776999</v>
      </c>
      <c r="AJ1368" s="77">
        <f t="shared" ca="1" si="258"/>
        <v>0.40201512610368501</v>
      </c>
      <c r="AK1368" s="77">
        <f t="shared" ca="1" si="259"/>
        <v>3</v>
      </c>
      <c r="AL1368" s="76">
        <f t="array" ref="AL1368">AVERAGEIFS($J$2:$J2565,$B$2:$B2565,$B1368,$P$2:$P2565,"&lt;="&amp;$P1368,$P$2:$P2565,"&gt;"&amp;$P1368-7)</f>
        <v>5.4230769230769234</v>
      </c>
      <c r="AM1368" s="76">
        <f ca="1">IFERROR(__xludf.DUMMYFUNCTION("iferror(stdevp(filter($I$2:$I2568,$B$2:$B2568=$B1371,$O$2:$O2568&lt;=$O1371,$O$2:$O2568&gt;$O1371-7)),0)"),2.27760839478607)</f>
        <v>2.2776083947860699</v>
      </c>
      <c r="AN1368" s="77">
        <f t="shared" ca="1" si="260"/>
        <v>1.1314162183552721</v>
      </c>
      <c r="AO1368" s="77">
        <f t="shared" ca="1" si="261"/>
        <v>4</v>
      </c>
      <c r="AP1368" s="76">
        <f t="array" ref="AP1368">AVERAGEIFS($K$2:$K2565,$B$2:$B2565,$B1368,$P$2:$P2565,"&lt;="&amp;$P1368,$P$2:$P2565,"&gt;"&amp;$P1368-7)</f>
        <v>7.5769230769230766</v>
      </c>
      <c r="AQ1368" s="76">
        <f ca="1">IFERROR(__xludf.DUMMYFUNCTION("iferror(stdevp(filter($J$2:$J2568,$B$2:$B2568=$B1371,$O$2:$O2568&lt;=$O1371,$O$2:$O2568&gt;$O1371-7)),0)"),0.707106781186547)</f>
        <v>0.70710678118654702</v>
      </c>
      <c r="AR1368" s="77">
        <f t="shared" ca="1" si="262"/>
        <v>0.59832112254246406</v>
      </c>
      <c r="AS1368" s="77">
        <f t="shared" ca="1" si="263"/>
        <v>3</v>
      </c>
      <c r="AT1368" s="78">
        <f t="shared" ca="1" si="264"/>
        <v>0.79166666666666663</v>
      </c>
    </row>
    <row r="1369" spans="1:46" ht="12.5" x14ac:dyDescent="0.25">
      <c r="A1369" s="75">
        <v>44995.442600092589</v>
      </c>
      <c r="B1369" s="1" t="s">
        <v>6</v>
      </c>
      <c r="C1369" s="1" t="str">
        <f>INDEX(TBL_Name,MATCH(Table2[[#This Row],[Athlete Name]],listNames,0),2)</f>
        <v>Athlete 2</v>
      </c>
      <c r="D1369" s="1" t="s">
        <v>130</v>
      </c>
      <c r="E1369" s="1">
        <v>10</v>
      </c>
      <c r="F1369" s="1">
        <v>10</v>
      </c>
      <c r="G1369" s="1">
        <v>10</v>
      </c>
      <c r="H1369" s="1" t="s">
        <v>71</v>
      </c>
      <c r="I1369" s="1">
        <v>9</v>
      </c>
      <c r="J1369" s="1">
        <v>9</v>
      </c>
      <c r="K1369" s="1">
        <v>10</v>
      </c>
      <c r="L1369" s="1">
        <v>97</v>
      </c>
      <c r="M1369" s="1" t="e">
        <f t="shared" ref="M1369" ca="1" si="275">_xludf.concat($B1369,$P1369)</f>
        <v>#NAME?</v>
      </c>
      <c r="N1369" s="1" t="e">
        <f t="shared" si="248"/>
        <v>#VALUE!</v>
      </c>
      <c r="O1369" s="1" t="e">
        <f t="shared" ref="O1369" ca="1" si="276">IF($N1369=_xludf.MINIFS($N$2:$N2875,$R$2:$R2875,$R1369),1,
($N1369-_xludf.MINIFS($N$2:$N2875,$R$2:$R2875,$R1369))+1)</f>
        <v>#VALUE!</v>
      </c>
      <c r="P1369" s="13" t="e">
        <f t="shared" si="250"/>
        <v>#VALUE!</v>
      </c>
      <c r="Q1369" s="1" t="str">
        <f>RIGHT(YEAR($A1369),2)-(MONTH($A1369)&lt;=[3]Roster!$K$25)
 &amp;"-"&amp;
 RIGHT(YEAR($A1369),2)+(MONTH($A1369)&gt;=[3]Roster!$K$26)</f>
        <v>22-23</v>
      </c>
      <c r="R1369" s="1" t="e">
        <f>CHOOSE(MONTH($P1369),[3]Roster!$K$9,[3]Roster!$K$10,[3]Roster!$K$11,[3]Roster!$K$12,[3]Roster!$K$13,[3]Roster!$K$14,[3]Roster!$K$15,[3]Roster!$K$16,[3]Roster!$K$17,[3]Roster!$K$18,[3]Roster!$K$19,[3]Roster!$K$20)&amp;" "&amp;$Q1369</f>
        <v>#VALUE!</v>
      </c>
      <c r="S1369" s="1">
        <f t="shared" si="251"/>
        <v>1</v>
      </c>
      <c r="T1369" s="1" t="str">
        <f t="array" ref="T1369">IFERROR(INDEX([3]Roster!$D$3:$D$42,MATCH($B1369,[3]Roster!$C$3:$C$42,0)),"")</f>
        <v>FWD</v>
      </c>
      <c r="U1369" s="1" t="str">
        <f t="array" ref="U1369">IFERROR(INDEX([3]Roster!$E$3:$E$42,MATCH($B1369,[3]Roster!$C$3:$C$42,0)),"")</f>
        <v>FWD</v>
      </c>
      <c r="V1369" s="76">
        <f t="array" ref="V1369">AVERAGEIFS($E$2:$E2565,$B$2:$B2565,$B1369,$P$2:$P2565,"&lt;="&amp;$P1369,$P$2:$P2565,"&gt;"&amp;$P1369-7)</f>
        <v>9.7441860465116275</v>
      </c>
      <c r="W1369" s="76">
        <f ca="1">IFERROR(__xludf.DUMMYFUNCTION("iferror(stdevp(filter($D$2:$D2568,$B$2:$B2568=$B1372,$O$2:$O2568&lt;=$O1372,$O$2:$O2568&gt;$O1372-7)),0)"),0)</f>
        <v>0</v>
      </c>
      <c r="X1369" s="77">
        <f t="shared" ca="1" si="252"/>
        <v>0</v>
      </c>
      <c r="Y1369" s="77">
        <f t="shared" ca="1" si="253"/>
        <v>3</v>
      </c>
      <c r="Z1369" s="76">
        <f t="array" ref="Z1369">AVERAGEIFS($F$2:$F2565,$B$2:$B2565,$B1369,$P$2:$P2565,"&lt;="&amp;$P1369,$P$2:$P2565,"&gt;"&amp;$P1369-7)</f>
        <v>8.279069767441861</v>
      </c>
      <c r="AA1369" s="76">
        <f ca="1">IFERROR(__xludf.DUMMYFUNCTION("iferror(stdevp(filter($E$2:$E2568,$B$2:$B2568=$B1372,$O$2:$O2568&lt;=$O1372,$O$2:$O2568&gt;$O1372-7)),0)"),0.799999999999999)</f>
        <v>0.79999999999999905</v>
      </c>
      <c r="AB1369" s="77">
        <f t="shared" ca="1" si="254"/>
        <v>2.1511627906976765</v>
      </c>
      <c r="AC1369" s="77">
        <f t="shared" ca="1" si="255"/>
        <v>4</v>
      </c>
      <c r="AD1369" s="76">
        <f t="array" ref="AD1369">AVERAGEIFS($G$2:$G2565,$B$2:$B2565,$B1369,$P$2:$P2565,"&lt;="&amp;$P1369,$P$2:$P2565,"&gt;"&amp;$P1369-7)</f>
        <v>8.604651162790697</v>
      </c>
      <c r="AE1369" s="76">
        <f ca="1">IFERROR(__xludf.DUMMYFUNCTION("iferror(stdevp(filter($F$2:$F2568,$B$2:$B2568=$B1372,$O$2:$O2568&lt;=$O1372,$O$2:$O2568&gt;$O1372-7)),0)"),0.489897948556635)</f>
        <v>0.48989794855663499</v>
      </c>
      <c r="AF1369" s="77">
        <f t="shared" ca="1" si="256"/>
        <v>2.8482438869571891</v>
      </c>
      <c r="AG1369" s="77">
        <f t="shared" ca="1" si="257"/>
        <v>4</v>
      </c>
      <c r="AH1369" s="76">
        <f t="array" ref="AH1369">AVERAGEIFS($I$2:$I2565,$B$2:$B2565,$B1369,$P$2:$P2565,"&lt;="&amp;$P1369,$P$2:$P2565,"&gt;"&amp;$P1369-7)</f>
        <v>8.3488372093023262</v>
      </c>
      <c r="AI1369" s="76">
        <f ca="1">IFERROR(__xludf.DUMMYFUNCTION("iferror(stdevp(filter($H$2:$H2568,$B$2:$B2568=$B1372,$O$2:$O2568&lt;=$O1372,$O$2:$O2568&gt;$O1372-7)),0)"),1.16619037896906)</f>
        <v>1.16619037896906</v>
      </c>
      <c r="AJ1369" s="77">
        <f t="shared" ca="1" si="258"/>
        <v>0.55836748651049339</v>
      </c>
      <c r="AK1369" s="77">
        <f t="shared" ca="1" si="259"/>
        <v>3</v>
      </c>
      <c r="AL1369" s="76">
        <f t="array" ref="AL1369">AVERAGEIFS($J$2:$J2565,$B$2:$B2565,$B1369,$P$2:$P2565,"&lt;="&amp;$P1369,$P$2:$P2565,"&gt;"&amp;$P1369-7)</f>
        <v>8.3023255813953494</v>
      </c>
      <c r="AM1369" s="76">
        <f ca="1">IFERROR(__xludf.DUMMYFUNCTION("iferror(stdevp(filter($I$2:$I2568,$B$2:$B2568=$B1372,$O$2:$O2568&lt;=$O1372,$O$2:$O2568&gt;$O1372-7)),0)"),0.489897948556635)</f>
        <v>0.48989794855663499</v>
      </c>
      <c r="AN1369" s="77">
        <f t="shared" ca="1" si="260"/>
        <v>1.4241219434785926</v>
      </c>
      <c r="AO1369" s="77">
        <f t="shared" ca="1" si="261"/>
        <v>4</v>
      </c>
      <c r="AP1369" s="76">
        <f t="array" ref="AP1369">AVERAGEIFS($K$2:$K2565,$B$2:$B2565,$B1369,$P$2:$P2565,"&lt;="&amp;$P1369,$P$2:$P2565,"&gt;"&amp;$P1369-7)</f>
        <v>8.9069767441860463</v>
      </c>
      <c r="AQ1369" s="76">
        <f ca="1">IFERROR(__xludf.DUMMYFUNCTION("iferror(stdevp(filter($J$2:$J2568,$B$2:$B2568=$B1372,$O$2:$O2568&lt;=$O1372,$O$2:$O2568&gt;$O1372-7)),0)"),0.399999999999999)</f>
        <v>0.39999999999999902</v>
      </c>
      <c r="AR1369" s="77">
        <f t="shared" ca="1" si="262"/>
        <v>2.7325581395348908</v>
      </c>
      <c r="AS1369" s="77">
        <f t="shared" ca="1" si="263"/>
        <v>4</v>
      </c>
      <c r="AT1369" s="78">
        <f t="shared" ca="1" si="264"/>
        <v>0.91666666666666663</v>
      </c>
    </row>
    <row r="1370" spans="1:46" ht="12.5" x14ac:dyDescent="0.25">
      <c r="A1370" s="75">
        <v>44995.727559074076</v>
      </c>
      <c r="B1370" s="1" t="s">
        <v>13</v>
      </c>
      <c r="C1370" s="1" t="str">
        <f>INDEX(TBL_Name,MATCH(Table2[[#This Row],[Athlete Name]],listNames,0),2)</f>
        <v>Athlete 7</v>
      </c>
      <c r="D1370" s="1" t="s">
        <v>130</v>
      </c>
      <c r="E1370" s="1">
        <v>7</v>
      </c>
      <c r="F1370" s="1">
        <v>6</v>
      </c>
      <c r="G1370" s="1">
        <v>6</v>
      </c>
      <c r="H1370" s="1" t="s">
        <v>1284</v>
      </c>
      <c r="I1370" s="1">
        <v>6</v>
      </c>
      <c r="J1370" s="1">
        <v>10</v>
      </c>
      <c r="K1370" s="1">
        <v>7</v>
      </c>
      <c r="L1370" s="1">
        <v>80</v>
      </c>
      <c r="M1370" s="1" t="e">
        <f t="shared" ref="M1370" ca="1" si="277">_xludf.concat($B1370,$P1370)</f>
        <v>#NAME?</v>
      </c>
      <c r="N1370" s="1" t="e">
        <f t="shared" si="248"/>
        <v>#VALUE!</v>
      </c>
      <c r="O1370" s="1" t="e">
        <f t="shared" ref="O1370" ca="1" si="278">IF($N1370=_xludf.MINIFS($N$2:$N2876,$R$2:$R2876,$R1370),1,
($N1370-_xludf.MINIFS($N$2:$N2876,$R$2:$R2876,$R1370))+1)</f>
        <v>#VALUE!</v>
      </c>
      <c r="P1370" s="13" t="e">
        <f t="shared" si="250"/>
        <v>#VALUE!</v>
      </c>
      <c r="Q1370" s="1" t="str">
        <f>RIGHT(YEAR($A1370),2)-(MONTH($A1370)&lt;=[3]Roster!$K$25)
 &amp;"-"&amp;
 RIGHT(YEAR($A1370),2)+(MONTH($A1370)&gt;=[3]Roster!$K$26)</f>
        <v>22-23</v>
      </c>
      <c r="R1370" s="1" t="e">
        <f>CHOOSE(MONTH($P1370),[3]Roster!$K$9,[3]Roster!$K$10,[3]Roster!$K$11,[3]Roster!$K$12,[3]Roster!$K$13,[3]Roster!$K$14,[3]Roster!$K$15,[3]Roster!$K$16,[3]Roster!$K$17,[3]Roster!$K$18,[3]Roster!$K$19,[3]Roster!$K$20)&amp;" "&amp;$Q1370</f>
        <v>#VALUE!</v>
      </c>
      <c r="S1370" s="1">
        <f t="shared" si="251"/>
        <v>1</v>
      </c>
      <c r="T1370" s="1" t="str">
        <f t="array" ref="T1370">IFERROR(INDEX([3]Roster!$D$3:$D$42,MATCH($B1370,[3]Roster!$C$3:$C$42,0)),"")</f>
        <v>MID/D</v>
      </c>
      <c r="U1370" s="1" t="str">
        <f t="array" ref="U1370">IFERROR(INDEX([3]Roster!$E$3:$E$42,MATCH($B1370,[3]Roster!$C$3:$C$42,0)),"")</f>
        <v>MID/D</v>
      </c>
      <c r="V1370" s="76">
        <f t="array" ref="V1370">AVERAGEIFS($E$2:$E2565,$B$2:$B2565,$B1370,$P$2:$P2565,"&lt;="&amp;$P1370,$P$2:$P2565,"&gt;"&amp;$P1370-7)</f>
        <v>7.6857142857142859</v>
      </c>
      <c r="W1370" s="76">
        <f ca="1">IFERROR(__xludf.DUMMYFUNCTION("iferror(stdevp(filter($D$2:$D2568,$B$2:$B2568=$B1373,$O$2:$O2568&lt;=$O1373,$O$2:$O2568&gt;$O1373-7)),0)"),1.2)</f>
        <v>1.2</v>
      </c>
      <c r="X1370" s="77">
        <f t="shared" ca="1" si="252"/>
        <v>-0.57142857142857162</v>
      </c>
      <c r="Y1370" s="77">
        <f t="shared" ca="1" si="253"/>
        <v>2</v>
      </c>
      <c r="Z1370" s="76">
        <f t="array" ref="Z1370">AVERAGEIFS($F$2:$F2565,$B$2:$B2565,$B1370,$P$2:$P2565,"&lt;="&amp;$P1370,$P$2:$P2565,"&gt;"&amp;$P1370-7)</f>
        <v>7.0857142857142854</v>
      </c>
      <c r="AA1370" s="76">
        <f ca="1">IFERROR(__xludf.DUMMYFUNCTION("iferror(stdevp(filter($E$2:$E2568,$B$2:$B2568=$B1373,$O$2:$O2568&lt;=$O1373,$O$2:$O2568&gt;$O1373-7)),0)"),0.489897948556635)</f>
        <v>0.48989794855663499</v>
      </c>
      <c r="AB1370" s="77">
        <f t="shared" ca="1" si="254"/>
        <v>-2.2162050053752584</v>
      </c>
      <c r="AC1370" s="77">
        <f t="shared" ca="1" si="255"/>
        <v>1</v>
      </c>
      <c r="AD1370" s="76">
        <f t="array" ref="AD1370">AVERAGEIFS($G$2:$G2565,$B$2:$B2565,$B1370,$P$2:$P2565,"&lt;="&amp;$P1370,$P$2:$P2565,"&gt;"&amp;$P1370-7)</f>
        <v>7.1428571428571432</v>
      </c>
      <c r="AE1370" s="76">
        <f ca="1">IFERROR(__xludf.DUMMYFUNCTION("iferror(stdevp(filter($F$2:$F2568,$B$2:$B2568=$B1373,$O$2:$O2568&lt;=$O1373,$O$2:$O2568&gt;$O1373-7)),0)"),0.489897948556635)</f>
        <v>0.48989794855663499</v>
      </c>
      <c r="AF1370" s="77">
        <f t="shared" ca="1" si="256"/>
        <v>-2.332847374079221</v>
      </c>
      <c r="AG1370" s="77">
        <f t="shared" ca="1" si="257"/>
        <v>1</v>
      </c>
      <c r="AH1370" s="76">
        <f t="array" ref="AH1370">AVERAGEIFS($I$2:$I2565,$B$2:$B2565,$B1370,$P$2:$P2565,"&lt;="&amp;$P1370,$P$2:$P2565,"&gt;"&amp;$P1370-7)</f>
        <v>7.0285714285714285</v>
      </c>
      <c r="AI1370" s="76">
        <f ca="1">IFERROR(__xludf.DUMMYFUNCTION("iferror(stdevp(filter($H$2:$H2568,$B$2:$B2568=$B1373,$O$2:$O2568&lt;=$O1373,$O$2:$O2568&gt;$O1373-7)),0)"),1.78885438199983)</f>
        <v>1.7888543819998299</v>
      </c>
      <c r="AJ1370" s="77">
        <f t="shared" ca="1" si="258"/>
        <v>-0.57498890849994644</v>
      </c>
      <c r="AK1370" s="77">
        <f t="shared" ca="1" si="259"/>
        <v>2</v>
      </c>
      <c r="AL1370" s="76">
        <f t="array" ref="AL1370">AVERAGEIFS($J$2:$J2565,$B$2:$B2565,$B1370,$P$2:$P2565,"&lt;="&amp;$P1370,$P$2:$P2565,"&gt;"&amp;$P1370-7)</f>
        <v>9.742857142857142</v>
      </c>
      <c r="AM1370" s="76">
        <f ca="1">IFERROR(__xludf.DUMMYFUNCTION("iferror(stdevp(filter($I$2:$I2568,$B$2:$B2568=$B1373,$O$2:$O2568&lt;=$O1373,$O$2:$O2568&gt;$O1373-7)),0)"),1.2)</f>
        <v>1.2</v>
      </c>
      <c r="AN1370" s="77">
        <f t="shared" ca="1" si="260"/>
        <v>0.21428571428571502</v>
      </c>
      <c r="AO1370" s="77">
        <f t="shared" ca="1" si="261"/>
        <v>3</v>
      </c>
      <c r="AP1370" s="76">
        <f t="array" ref="AP1370">AVERAGEIFS($K$2:$K2565,$B$2:$B2565,$B1370,$P$2:$P2565,"&lt;="&amp;$P1370,$P$2:$P2565,"&gt;"&amp;$P1370-7)</f>
        <v>9.4285714285714288</v>
      </c>
      <c r="AQ1370" s="76">
        <f ca="1">IFERROR(__xludf.DUMMYFUNCTION("iferror(stdevp(filter($J$2:$J2568,$B$2:$B2568=$B1373,$O$2:$O2568&lt;=$O1373,$O$2:$O2568&gt;$O1373-7)),0)"),1.4696938456699)</f>
        <v>1.4696938456699</v>
      </c>
      <c r="AR1370" s="77">
        <f t="shared" ca="1" si="262"/>
        <v>-1.6524335566394535</v>
      </c>
      <c r="AS1370" s="77">
        <f t="shared" ca="1" si="263"/>
        <v>1</v>
      </c>
      <c r="AT1370" s="78">
        <f t="shared" ca="1" si="264"/>
        <v>0.41666666666666669</v>
      </c>
    </row>
    <row r="1371" spans="1:46" ht="12.5" x14ac:dyDescent="0.25">
      <c r="A1371" s="75">
        <v>44997.481552974539</v>
      </c>
      <c r="B1371" s="1" t="s">
        <v>10</v>
      </c>
      <c r="C1371" s="1" t="str">
        <f>INDEX(TBL_Name,MATCH(Table2[[#This Row],[Athlete Name]],listNames,0),2)</f>
        <v>Athlete 5</v>
      </c>
      <c r="D1371" s="1" t="s">
        <v>130</v>
      </c>
      <c r="E1371" s="1">
        <v>9</v>
      </c>
      <c r="F1371" s="1">
        <v>9</v>
      </c>
      <c r="G1371" s="1">
        <v>9</v>
      </c>
      <c r="H1371" s="1" t="s">
        <v>226</v>
      </c>
      <c r="I1371" s="1">
        <v>7</v>
      </c>
      <c r="J1371" s="1">
        <v>9</v>
      </c>
      <c r="K1371" s="1">
        <v>9</v>
      </c>
      <c r="L1371" s="1">
        <v>89</v>
      </c>
      <c r="M1371" s="1" t="e">
        <f t="shared" ref="M1371" ca="1" si="279">_xludf.concat($B1371,$P1371)</f>
        <v>#NAME?</v>
      </c>
      <c r="N1371" s="1" t="e">
        <f t="shared" si="248"/>
        <v>#VALUE!</v>
      </c>
      <c r="O1371" s="1" t="e">
        <f t="shared" ref="O1371" ca="1" si="280">IF($N1371=_xludf.MINIFS($N$2:$N2877,$R$2:$R2877,$R1371),1,
($N1371-_xludf.MINIFS($N$2:$N2877,$R$2:$R2877,$R1371))+1)</f>
        <v>#VALUE!</v>
      </c>
      <c r="P1371" s="13" t="e">
        <f t="shared" si="250"/>
        <v>#VALUE!</v>
      </c>
      <c r="Q1371" s="1" t="str">
        <f>RIGHT(YEAR($A1371),2)-(MONTH($A1371)&lt;=[3]Roster!$K$25)
 &amp;"-"&amp;
 RIGHT(YEAR($A1371),2)+(MONTH($A1371)&gt;=[3]Roster!$K$26)</f>
        <v>22-23</v>
      </c>
      <c r="R1371" s="1" t="e">
        <f>CHOOSE(MONTH($P1371),[3]Roster!$K$9,[3]Roster!$K$10,[3]Roster!$K$11,[3]Roster!$K$12,[3]Roster!$K$13,[3]Roster!$K$14,[3]Roster!$K$15,[3]Roster!$K$16,[3]Roster!$K$17,[3]Roster!$K$18,[3]Roster!$K$19,[3]Roster!$K$20)&amp;" "&amp;$Q1371</f>
        <v>#VALUE!</v>
      </c>
      <c r="S1371" s="1">
        <f t="shared" si="251"/>
        <v>1</v>
      </c>
      <c r="T1371" s="1" t="str">
        <f t="array" ref="T1371">IFERROR(INDEX([3]Roster!$D$3:$D$42,MATCH($B1371,[3]Roster!$C$3:$C$42,0)),"")</f>
        <v>MID</v>
      </c>
      <c r="U1371" s="1" t="str">
        <f t="array" ref="U1371">IFERROR(INDEX([3]Roster!$E$3:$E$42,MATCH($B1371,[3]Roster!$C$3:$C$42,0)),"")</f>
        <v>MID</v>
      </c>
      <c r="V1371" s="76">
        <f t="array" ref="V1371">AVERAGEIFS($E$2:$E2565,$B$2:$B2565,$B1371,$P$2:$P2565,"&lt;="&amp;$P1371,$P$2:$P2565,"&gt;"&amp;$P1371-7)</f>
        <v>8.4042553191489358</v>
      </c>
      <c r="W1371" s="76">
        <f ca="1">IFERROR(__xludf.DUMMYFUNCTION("iferror(stdevp(filter($D$2:$D2568,$B$2:$B2568=$B1374,$O$2:$O2568&lt;=$O1374,$O$2:$O2568&gt;$O1374-7)),0)"),0)</f>
        <v>0</v>
      </c>
      <c r="X1371" s="77">
        <f t="shared" ca="1" si="252"/>
        <v>0</v>
      </c>
      <c r="Y1371" s="77">
        <f t="shared" ca="1" si="253"/>
        <v>3</v>
      </c>
      <c r="Z1371" s="76">
        <f t="array" ref="Z1371">AVERAGEIFS($F$2:$F2565,$B$2:$B2565,$B1371,$P$2:$P2565,"&lt;="&amp;$P1371,$P$2:$P2565,"&gt;"&amp;$P1371-7)</f>
        <v>8.085106382978724</v>
      </c>
      <c r="AA1371" s="76">
        <f ca="1">IFERROR(__xludf.DUMMYFUNCTION("iferror(stdevp(filter($E$2:$E2568,$B$2:$B2568=$B1374,$O$2:$O2568&lt;=$O1374,$O$2:$O2568&gt;$O1374-7)),0)"),0.632455532033675)</f>
        <v>0.63245553203367499</v>
      </c>
      <c r="AB1371" s="77">
        <f t="shared" ca="1" si="254"/>
        <v>1.446573823268515</v>
      </c>
      <c r="AC1371" s="77">
        <f t="shared" ca="1" si="255"/>
        <v>4</v>
      </c>
      <c r="AD1371" s="76">
        <f t="array" ref="AD1371">AVERAGEIFS($G$2:$G2565,$B$2:$B2565,$B1371,$P$2:$P2565,"&lt;="&amp;$P1371,$P$2:$P2565,"&gt;"&amp;$P1371-7)</f>
        <v>8.0638297872340434</v>
      </c>
      <c r="AE1371" s="76">
        <f ca="1">IFERROR(__xludf.DUMMYFUNCTION("iferror(stdevp(filter($F$2:$F2568,$B$2:$B2568=$B1374,$O$2:$O2568&lt;=$O1374,$O$2:$O2568&gt;$O1374-7)),0)"),0.632455532033675)</f>
        <v>0.63245553203367499</v>
      </c>
      <c r="AF1371" s="77">
        <f t="shared" ca="1" si="256"/>
        <v>1.4802150749724337</v>
      </c>
      <c r="AG1371" s="77">
        <f t="shared" ca="1" si="257"/>
        <v>4</v>
      </c>
      <c r="AH1371" s="76">
        <f t="array" ref="AH1371">AVERAGEIFS($I$2:$I2565,$B$2:$B2565,$B1371,$P$2:$P2565,"&lt;="&amp;$P1371,$P$2:$P2565,"&gt;"&amp;$P1371-7)</f>
        <v>6.7446808510638299</v>
      </c>
      <c r="AI1371" s="76">
        <f ca="1">IFERROR(__xludf.DUMMYFUNCTION("iferror(stdevp(filter($H$2:$H2568,$B$2:$B2568=$B1374,$O$2:$O2568&lt;=$O1374,$O$2:$O2568&gt;$O1374-7)),0)"),2.227105745132)</f>
        <v>2.227105745132</v>
      </c>
      <c r="AJ1371" s="77">
        <f t="shared" ca="1" si="258"/>
        <v>0.11464168214475036</v>
      </c>
      <c r="AK1371" s="77">
        <f t="shared" ca="1" si="259"/>
        <v>3</v>
      </c>
      <c r="AL1371" s="76">
        <f t="array" ref="AL1371">AVERAGEIFS($J$2:$J2565,$B$2:$B2565,$B1371,$P$2:$P2565,"&lt;="&amp;$P1371,$P$2:$P2565,"&gt;"&amp;$P1371-7)</f>
        <v>8.1063829787234045</v>
      </c>
      <c r="AM1371" s="76">
        <f ca="1">IFERROR(__xludf.DUMMYFUNCTION("iferror(stdevp(filter($I$2:$I2568,$B$2:$B2568=$B1374,$O$2:$O2568&lt;=$O1374,$O$2:$O2568&gt;$O1374-7)),0)"),0.489897948556635)</f>
        <v>0.48989794855663499</v>
      </c>
      <c r="AN1371" s="77">
        <f t="shared" ca="1" si="260"/>
        <v>1.8240881063279004</v>
      </c>
      <c r="AO1371" s="77">
        <f t="shared" ca="1" si="261"/>
        <v>4</v>
      </c>
      <c r="AP1371" s="76">
        <f t="array" ref="AP1371">AVERAGEIFS($K$2:$K2565,$B$2:$B2565,$B1371,$P$2:$P2565,"&lt;="&amp;$P1371,$P$2:$P2565,"&gt;"&amp;$P1371-7)</f>
        <v>8.2978723404255312</v>
      </c>
      <c r="AQ1371" s="76">
        <f ca="1">IFERROR(__xludf.DUMMYFUNCTION("iferror(stdevp(filter($J$2:$J2568,$B$2:$B2568=$B1374,$O$2:$O2568&lt;=$O1374,$O$2:$O2568&gt;$O1374-7)),0)"),0.4)</f>
        <v>0.4</v>
      </c>
      <c r="AR1371" s="77">
        <f t="shared" ca="1" si="262"/>
        <v>1.7553191489361719</v>
      </c>
      <c r="AS1371" s="77">
        <f t="shared" ca="1" si="263"/>
        <v>4</v>
      </c>
      <c r="AT1371" s="78">
        <f t="shared" ca="1" si="264"/>
        <v>0.91666666666666663</v>
      </c>
    </row>
    <row r="1372" spans="1:46" ht="12.5" x14ac:dyDescent="0.25">
      <c r="A1372" s="75">
        <v>44997.726139166669</v>
      </c>
      <c r="B1372" s="1" t="s">
        <v>6</v>
      </c>
      <c r="C1372" s="1" t="str">
        <f>INDEX(TBL_Name,MATCH(Table2[[#This Row],[Athlete Name]],listNames,0),2)</f>
        <v>Athlete 2</v>
      </c>
      <c r="D1372" s="1" t="s">
        <v>130</v>
      </c>
      <c r="E1372" s="1">
        <v>10</v>
      </c>
      <c r="F1372" s="1">
        <v>10</v>
      </c>
      <c r="G1372" s="1">
        <v>10</v>
      </c>
      <c r="H1372" s="1" t="s">
        <v>71</v>
      </c>
      <c r="I1372" s="1">
        <v>9</v>
      </c>
      <c r="J1372" s="1">
        <v>8</v>
      </c>
      <c r="K1372" s="1">
        <v>9</v>
      </c>
      <c r="L1372" s="1">
        <v>97</v>
      </c>
      <c r="M1372" s="1" t="e">
        <f t="shared" ref="M1372" ca="1" si="281">_xludf.concat($B1372,$P1372)</f>
        <v>#NAME?</v>
      </c>
      <c r="N1372" s="1" t="e">
        <f t="shared" si="248"/>
        <v>#VALUE!</v>
      </c>
      <c r="O1372" s="1" t="e">
        <f t="shared" ref="O1372" ca="1" si="282">IF($N1372=_xludf.MINIFS($N$2:$N2878,$R$2:$R2878,$R1372),1,
($N1372-_xludf.MINIFS($N$2:$N2878,$R$2:$R2878,$R1372))+1)</f>
        <v>#VALUE!</v>
      </c>
      <c r="P1372" s="13" t="e">
        <f t="shared" si="250"/>
        <v>#VALUE!</v>
      </c>
      <c r="Q1372" s="1" t="str">
        <f>RIGHT(YEAR($A1372),2)-(MONTH($A1372)&lt;=[3]Roster!$K$25)
 &amp;"-"&amp;
 RIGHT(YEAR($A1372),2)+(MONTH($A1372)&gt;=[3]Roster!$K$26)</f>
        <v>22-23</v>
      </c>
      <c r="R1372" s="1" t="e">
        <f>CHOOSE(MONTH($P1372),[3]Roster!$K$9,[3]Roster!$K$10,[3]Roster!$K$11,[3]Roster!$K$12,[3]Roster!$K$13,[3]Roster!$K$14,[3]Roster!$K$15,[3]Roster!$K$16,[3]Roster!$K$17,[3]Roster!$K$18,[3]Roster!$K$19,[3]Roster!$K$20)&amp;" "&amp;$Q1372</f>
        <v>#VALUE!</v>
      </c>
      <c r="S1372" s="1">
        <f t="shared" si="251"/>
        <v>1</v>
      </c>
      <c r="T1372" s="1" t="str">
        <f t="array" ref="T1372">IFERROR(INDEX([3]Roster!$D$3:$D$42,MATCH($B1372,[3]Roster!$C$3:$C$42,0)),"")</f>
        <v>FWD</v>
      </c>
      <c r="U1372" s="1" t="str">
        <f t="array" ref="U1372">IFERROR(INDEX([3]Roster!$E$3:$E$42,MATCH($B1372,[3]Roster!$C$3:$C$42,0)),"")</f>
        <v>FWD</v>
      </c>
      <c r="V1372" s="76">
        <f t="array" ref="V1372">AVERAGEIFS($E$2:$E2565,$B$2:$B2565,$B1372,$P$2:$P2565,"&lt;="&amp;$P1372,$P$2:$P2565,"&gt;"&amp;$P1372-7)</f>
        <v>9.7441860465116275</v>
      </c>
      <c r="W1372" s="76">
        <f ca="1">IFERROR(__xludf.DUMMYFUNCTION("iferror(stdevp(filter($D$2:$D2568,$B$2:$B2568=$B1375,$O$2:$O2568&lt;=$O1375,$O$2:$O2568&gt;$O1375-7)),0)"),0)</f>
        <v>0</v>
      </c>
      <c r="X1372" s="77">
        <f t="shared" ca="1" si="252"/>
        <v>0</v>
      </c>
      <c r="Y1372" s="77">
        <f t="shared" ca="1" si="253"/>
        <v>3</v>
      </c>
      <c r="Z1372" s="76">
        <f t="array" ref="Z1372">AVERAGEIFS($F$2:$F2565,$B$2:$B2565,$B1372,$P$2:$P2565,"&lt;="&amp;$P1372,$P$2:$P2565,"&gt;"&amp;$P1372-7)</f>
        <v>8.279069767441861</v>
      </c>
      <c r="AA1372" s="76">
        <f ca="1">IFERROR(__xludf.DUMMYFUNCTION("iferror(stdevp(filter($E$2:$E2568,$B$2:$B2568=$B1375,$O$2:$O2568&lt;=$O1375,$O$2:$O2568&gt;$O1375-7)),0)"),0.763762615825973)</f>
        <v>0.76376261582597305</v>
      </c>
      <c r="AB1372" s="77">
        <f t="shared" ca="1" si="254"/>
        <v>2.253226587553038</v>
      </c>
      <c r="AC1372" s="77">
        <f t="shared" ca="1" si="255"/>
        <v>4</v>
      </c>
      <c r="AD1372" s="76">
        <f t="array" ref="AD1372">AVERAGEIFS($G$2:$G2565,$B$2:$B2565,$B1372,$P$2:$P2565,"&lt;="&amp;$P1372,$P$2:$P2565,"&gt;"&amp;$P1372-7)</f>
        <v>8.604651162790697</v>
      </c>
      <c r="AE1372" s="76">
        <f ca="1">IFERROR(__xludf.DUMMYFUNCTION("iferror(stdevp(filter($F$2:$F2568,$B$2:$B2568=$B1375,$O$2:$O2568&lt;=$O1375,$O$2:$O2568&gt;$O1375-7)),0)"),0.471404520791031)</f>
        <v>0.47140452079103101</v>
      </c>
      <c r="AF1372" s="77">
        <f t="shared" ca="1" si="256"/>
        <v>2.9599818747343907</v>
      </c>
      <c r="AG1372" s="77">
        <f t="shared" ca="1" si="257"/>
        <v>4</v>
      </c>
      <c r="AH1372" s="76">
        <f t="array" ref="AH1372">AVERAGEIFS($I$2:$I2565,$B$2:$B2565,$B1372,$P$2:$P2565,"&lt;="&amp;$P1372,$P$2:$P2565,"&gt;"&amp;$P1372-7)</f>
        <v>8.3488372093023262</v>
      </c>
      <c r="AI1372" s="76">
        <f ca="1">IFERROR(__xludf.DUMMYFUNCTION("iferror(stdevp(filter($H$2:$H2568,$B$2:$B2568=$B1375,$O$2:$O2568&lt;=$O1375,$O$2:$O2568&gt;$O1375-7)),0)"),1.06718737290547)</f>
        <v>1.0671873729054699</v>
      </c>
      <c r="AJ1372" s="77">
        <f t="shared" ca="1" si="258"/>
        <v>0.61016725575083519</v>
      </c>
      <c r="AK1372" s="77">
        <f t="shared" ca="1" si="259"/>
        <v>3</v>
      </c>
      <c r="AL1372" s="76">
        <f t="array" ref="AL1372">AVERAGEIFS($J$2:$J2565,$B$2:$B2565,$B1372,$P$2:$P2565,"&lt;="&amp;$P1372,$P$2:$P2565,"&gt;"&amp;$P1372-7)</f>
        <v>8.3023255813953494</v>
      </c>
      <c r="AM1372" s="76">
        <f ca="1">IFERROR(__xludf.DUMMYFUNCTION("iferror(stdevp(filter($I$2:$I2568,$B$2:$B2568=$B1375,$O$2:$O2568&lt;=$O1375,$O$2:$O2568&gt;$O1375-7)),0)"),0.471404520791031)</f>
        <v>0.47140452079103101</v>
      </c>
      <c r="AN1372" s="77">
        <f t="shared" ca="1" si="260"/>
        <v>-0.64132940619245216</v>
      </c>
      <c r="AO1372" s="77">
        <f t="shared" ca="1" si="261"/>
        <v>2</v>
      </c>
      <c r="AP1372" s="76">
        <f t="array" ref="AP1372">AVERAGEIFS($K$2:$K2565,$B$2:$B2565,$B1372,$P$2:$P2565,"&lt;="&amp;$P1372,$P$2:$P2565,"&gt;"&amp;$P1372-7)</f>
        <v>8.9069767441860463</v>
      </c>
      <c r="AQ1372" s="76">
        <f ca="1">IFERROR(__xludf.DUMMYFUNCTION("iferror(stdevp(filter($J$2:$J2568,$B$2:$B2568=$B1375,$O$2:$O2568&lt;=$O1375,$O$2:$O2568&gt;$O1375-7)),0)"),0.471404520791031)</f>
        <v>0.47140452079103101</v>
      </c>
      <c r="AR1372" s="77">
        <f t="shared" ca="1" si="262"/>
        <v>0.19733212498229297</v>
      </c>
      <c r="AS1372" s="77">
        <f t="shared" ca="1" si="263"/>
        <v>3</v>
      </c>
      <c r="AT1372" s="78">
        <f t="shared" ca="1" si="264"/>
        <v>0.79166666666666663</v>
      </c>
    </row>
    <row r="1373" spans="1:46" ht="12.5" x14ac:dyDescent="0.25">
      <c r="A1373" s="75">
        <v>44997.726396400467</v>
      </c>
      <c r="B1373" s="1" t="s">
        <v>21</v>
      </c>
      <c r="C1373" s="1" t="str">
        <f>INDEX(TBL_Name,MATCH(Table2[[#This Row],[Athlete Name]],listNames,0),2)</f>
        <v>Athlete 13</v>
      </c>
      <c r="D1373" s="1" t="s">
        <v>130</v>
      </c>
      <c r="E1373" s="1">
        <v>7</v>
      </c>
      <c r="F1373" s="1">
        <v>8</v>
      </c>
      <c r="G1373" s="1">
        <v>8</v>
      </c>
      <c r="H1373" s="1" t="s">
        <v>1614</v>
      </c>
      <c r="I1373" s="1">
        <v>6</v>
      </c>
      <c r="J1373" s="1">
        <v>7</v>
      </c>
      <c r="K1373" s="1">
        <v>7</v>
      </c>
      <c r="L1373" s="1">
        <v>75</v>
      </c>
      <c r="M1373" s="1" t="e">
        <f t="shared" ref="M1373" ca="1" si="283">_xludf.concat($B1373,$P1373)</f>
        <v>#NAME?</v>
      </c>
      <c r="N1373" s="1" t="e">
        <f t="shared" si="248"/>
        <v>#VALUE!</v>
      </c>
      <c r="O1373" s="1" t="e">
        <f t="shared" ref="O1373" ca="1" si="284">IF($N1373=_xludf.MINIFS($N$2:$N2879,$R$2:$R2879,$R1373),1,
($N1373-_xludf.MINIFS($N$2:$N2879,$R$2:$R2879,$R1373))+1)</f>
        <v>#VALUE!</v>
      </c>
      <c r="P1373" s="13" t="e">
        <f t="shared" si="250"/>
        <v>#VALUE!</v>
      </c>
      <c r="Q1373" s="1" t="str">
        <f>RIGHT(YEAR($A1373),2)-(MONTH($A1373)&lt;=[3]Roster!$K$25)
 &amp;"-"&amp;
 RIGHT(YEAR($A1373),2)+(MONTH($A1373)&gt;=[3]Roster!$K$26)</f>
        <v>22-23</v>
      </c>
      <c r="R1373" s="1" t="e">
        <f>CHOOSE(MONTH($P1373),[3]Roster!$K$9,[3]Roster!$K$10,[3]Roster!$K$11,[3]Roster!$K$12,[3]Roster!$K$13,[3]Roster!$K$14,[3]Roster!$K$15,[3]Roster!$K$16,[3]Roster!$K$17,[3]Roster!$K$18,[3]Roster!$K$19,[3]Roster!$K$20)&amp;" "&amp;$Q1373</f>
        <v>#VALUE!</v>
      </c>
      <c r="S1373" s="1">
        <f t="shared" si="251"/>
        <v>1</v>
      </c>
      <c r="T1373" s="1" t="str">
        <f t="array" ref="T1373">IFERROR(INDEX([3]Roster!$D$3:$D$42,MATCH($B1373,[3]Roster!$C$3:$C$42,0)),"")</f>
        <v>D</v>
      </c>
      <c r="U1373" s="1" t="str">
        <f t="array" ref="U1373">IFERROR(INDEX([3]Roster!$E$3:$E$42,MATCH($B1373,[3]Roster!$C$3:$C$42,0)),"")</f>
        <v>D</v>
      </c>
      <c r="V1373" s="76">
        <f t="array" ref="V1373">AVERAGEIFS($E$2:$E2565,$B$2:$B2565,$B1373,$P$2:$P2565,"&lt;="&amp;$P1373,$P$2:$P2565,"&gt;"&amp;$P1373-7)</f>
        <v>6.6304347826086953</v>
      </c>
      <c r="W1373" s="76">
        <f ca="1">IFERROR(__xludf.DUMMYFUNCTION("iferror(stdevp(filter($D$2:$D2568,$B$2:$B2568=$B1376,$O$2:$O2568&lt;=$O1376,$O$2:$O2568&gt;$O1376-7)),0)"),0.687184270936276)</f>
        <v>0.68718427093627599</v>
      </c>
      <c r="X1373" s="77">
        <f t="shared" ca="1" si="252"/>
        <v>0.53779638595013068</v>
      </c>
      <c r="Y1373" s="77">
        <f t="shared" ca="1" si="253"/>
        <v>3</v>
      </c>
      <c r="Z1373" s="76">
        <f t="array" ref="Z1373">AVERAGEIFS($F$2:$F2565,$B$2:$B2565,$B1373,$P$2:$P2565,"&lt;="&amp;$P1373,$P$2:$P2565,"&gt;"&amp;$P1373-7)</f>
        <v>7.6956521739130439</v>
      </c>
      <c r="AA1373" s="76">
        <f ca="1">IFERROR(__xludf.DUMMYFUNCTION("iferror(stdevp(filter($E$2:$E2568,$B$2:$B2568=$B1376,$O$2:$O2568&lt;=$O1376,$O$2:$O2568&gt;$O1376-7)),0)"),0.471404520791031)</f>
        <v>0.47140452079103101</v>
      </c>
      <c r="AB1373" s="77">
        <f t="shared" ca="1" si="254"/>
        <v>0.64561923499641294</v>
      </c>
      <c r="AC1373" s="77">
        <f t="shared" ca="1" si="255"/>
        <v>3</v>
      </c>
      <c r="AD1373" s="76">
        <f t="array" ref="AD1373">AVERAGEIFS($G$2:$G2565,$B$2:$B2565,$B1373,$P$2:$P2565,"&lt;="&amp;$P1373,$P$2:$P2565,"&gt;"&amp;$P1373-7)</f>
        <v>8.2608695652173907</v>
      </c>
      <c r="AE1373" s="76">
        <f ca="1">IFERROR(__xludf.DUMMYFUNCTION("iferror(stdevp(filter($F$2:$F2568,$B$2:$B2568=$B1376,$O$2:$O2568&lt;=$O1376,$O$2:$O2568&gt;$O1376-7)),0)"),0.471404520791031)</f>
        <v>0.47140452079103101</v>
      </c>
      <c r="AF1373" s="77">
        <f t="shared" ca="1" si="256"/>
        <v>-0.5533879157112106</v>
      </c>
      <c r="AG1373" s="77">
        <f t="shared" ca="1" si="257"/>
        <v>2</v>
      </c>
      <c r="AH1373" s="76">
        <f t="array" ref="AH1373">AVERAGEIFS($I$2:$I2565,$B$2:$B2565,$B1373,$P$2:$P2565,"&lt;="&amp;$P1373,$P$2:$P2565,"&gt;"&amp;$P1373-7)</f>
        <v>5.7391304347826084</v>
      </c>
      <c r="AI1373" s="76">
        <f ca="1">IFERROR(__xludf.DUMMYFUNCTION("iferror(stdevp(filter($H$2:$H2568,$B$2:$B2568=$B1376,$O$2:$O2568&lt;=$O1376,$O$2:$O2568&gt;$O1376-7)),0)"),0.999999999999999)</f>
        <v>0.999999999999999</v>
      </c>
      <c r="AJ1373" s="77">
        <f t="shared" ca="1" si="258"/>
        <v>0.26086956521739185</v>
      </c>
      <c r="AK1373" s="77">
        <f t="shared" ca="1" si="259"/>
        <v>3</v>
      </c>
      <c r="AL1373" s="76">
        <f t="array" ref="AL1373">AVERAGEIFS($J$2:$J2565,$B$2:$B2565,$B1373,$P$2:$P2565,"&lt;="&amp;$P1373,$P$2:$P2565,"&gt;"&amp;$P1373-7)</f>
        <v>6.5434782608695654</v>
      </c>
      <c r="AM1373" s="76">
        <f ca="1">IFERROR(__xludf.DUMMYFUNCTION("iferror(stdevp(filter($I$2:$I2568,$B$2:$B2568=$B1376,$O$2:$O2568&lt;=$O1376,$O$2:$O2568&gt;$O1376-7)),0)"),0.577350269189625)</f>
        <v>0.57735026918962495</v>
      </c>
      <c r="AN1373" s="77">
        <f t="shared" ca="1" si="260"/>
        <v>0.79071884693361871</v>
      </c>
      <c r="AO1373" s="77">
        <f t="shared" ca="1" si="261"/>
        <v>3</v>
      </c>
      <c r="AP1373" s="76">
        <f t="array" ref="AP1373">AVERAGEIFS($K$2:$K2565,$B$2:$B2565,$B1373,$P$2:$P2565,"&lt;="&amp;$P1373,$P$2:$P2565,"&gt;"&amp;$P1373-7)</f>
        <v>6.6086956521739131</v>
      </c>
      <c r="AQ1373" s="76">
        <f ca="1">IFERROR(__xludf.DUMMYFUNCTION("iferror(stdevp(filter($J$2:$J2568,$B$2:$B2568=$B1376,$O$2:$O2568&lt;=$O1376,$O$2:$O2568&gt;$O1376-7)),0)"),0.372677996249965)</f>
        <v>0.372677996249965</v>
      </c>
      <c r="AR1373" s="77">
        <f t="shared" ca="1" si="262"/>
        <v>1.0499797459564226</v>
      </c>
      <c r="AS1373" s="77">
        <f t="shared" ca="1" si="263"/>
        <v>4</v>
      </c>
      <c r="AT1373" s="78">
        <f t="shared" ca="1" si="264"/>
        <v>0.75</v>
      </c>
    </row>
    <row r="1374" spans="1:46" ht="12.5" x14ac:dyDescent="0.25">
      <c r="A1374" s="75">
        <v>44997.899682094911</v>
      </c>
      <c r="B1374" s="1" t="s">
        <v>9</v>
      </c>
      <c r="C1374" s="1" t="str">
        <f>INDEX(TBL_Name,MATCH(Table2[[#This Row],[Athlete Name]],listNames,0),2)</f>
        <v>Athlete 4</v>
      </c>
      <c r="D1374" s="1" t="s">
        <v>130</v>
      </c>
      <c r="E1374" s="1">
        <v>8</v>
      </c>
      <c r="F1374" s="1">
        <v>8</v>
      </c>
      <c r="G1374" s="1">
        <v>8</v>
      </c>
      <c r="H1374" s="1" t="s">
        <v>1607</v>
      </c>
      <c r="I1374" s="1">
        <v>5</v>
      </c>
      <c r="J1374" s="1">
        <v>7</v>
      </c>
      <c r="K1374" s="1">
        <v>8</v>
      </c>
      <c r="L1374" s="1">
        <v>90</v>
      </c>
      <c r="M1374" s="1" t="e">
        <f t="shared" ref="M1374" ca="1" si="285">_xludf.concat($B1374,$P1374)</f>
        <v>#NAME?</v>
      </c>
      <c r="N1374" s="1" t="e">
        <f t="shared" si="248"/>
        <v>#VALUE!</v>
      </c>
      <c r="O1374" s="1" t="e">
        <f t="shared" ref="O1374" ca="1" si="286">IF($N1374=_xludf.MINIFS($N$2:$N2880,$R$2:$R2880,$R1374),1,
($N1374-_xludf.MINIFS($N$2:$N2880,$R$2:$R2880,$R1374))+1)</f>
        <v>#VALUE!</v>
      </c>
      <c r="P1374" s="13" t="e">
        <f t="shared" si="250"/>
        <v>#VALUE!</v>
      </c>
      <c r="Q1374" s="1" t="str">
        <f>RIGHT(YEAR($A1374),2)-(MONTH($A1374)&lt;=[3]Roster!$K$25)
 &amp;"-"&amp;
 RIGHT(YEAR($A1374),2)+(MONTH($A1374)&gt;=[3]Roster!$K$26)</f>
        <v>22-23</v>
      </c>
      <c r="R1374" s="1" t="e">
        <f>CHOOSE(MONTH($P1374),[3]Roster!$K$9,[3]Roster!$K$10,[3]Roster!$K$11,[3]Roster!$K$12,[3]Roster!$K$13,[3]Roster!$K$14,[3]Roster!$K$15,[3]Roster!$K$16,[3]Roster!$K$17,[3]Roster!$K$18,[3]Roster!$K$19,[3]Roster!$K$20)&amp;" "&amp;$Q1374</f>
        <v>#VALUE!</v>
      </c>
      <c r="S1374" s="1">
        <f t="shared" si="251"/>
        <v>1</v>
      </c>
      <c r="T1374" s="1" t="str">
        <f t="array" ref="T1374">IFERROR(INDEX([3]Roster!$D$3:$D$42,MATCH($B1374,[3]Roster!$C$3:$C$42,0)),"")</f>
        <v>F/MID</v>
      </c>
      <c r="U1374" s="1" t="str">
        <f t="array" ref="U1374">IFERROR(INDEX([3]Roster!$E$3:$E$42,MATCH($B1374,[3]Roster!$C$3:$C$42,0)),"")</f>
        <v>F/MID</v>
      </c>
      <c r="V1374" s="76">
        <f t="array" ref="V1374">AVERAGEIFS($E$2:$E2565,$B$2:$B2565,$B1374,$P$2:$P2565,"&lt;="&amp;$P1374,$P$2:$P2565,"&gt;"&amp;$P1374-7)</f>
        <v>7.4230769230769234</v>
      </c>
      <c r="W1374" s="76">
        <f ca="1">IFERROR(__xludf.DUMMYFUNCTION("iferror(stdevp(filter($D$2:$D2568,$B$2:$B2568=$B1377,$O$2:$O2568&lt;=$O1377,$O$2:$O2568&gt;$O1377-7)),0)"),0.4)</f>
        <v>0.4</v>
      </c>
      <c r="X1374" s="77">
        <f t="shared" ca="1" si="252"/>
        <v>1.4423076923076916</v>
      </c>
      <c r="Y1374" s="77">
        <f t="shared" ca="1" si="253"/>
        <v>4</v>
      </c>
      <c r="Z1374" s="76">
        <f t="array" ref="Z1374">AVERAGEIFS($F$2:$F2565,$B$2:$B2565,$B1374,$P$2:$P2565,"&lt;="&amp;$P1374,$P$2:$P2565,"&gt;"&amp;$P1374-7)</f>
        <v>7.1538461538461542</v>
      </c>
      <c r="AA1374" s="76">
        <f ca="1">IFERROR(__xludf.DUMMYFUNCTION("iferror(stdevp(filter($E$2:$E2568,$B$2:$B2568=$B1377,$O$2:$O2568&lt;=$O1377,$O$2:$O2568&gt;$O1377-7)),0)"),0.799999999999999)</f>
        <v>0.79999999999999905</v>
      </c>
      <c r="AB1374" s="77">
        <f t="shared" ca="1" si="254"/>
        <v>1.0576923076923086</v>
      </c>
      <c r="AC1374" s="77">
        <f t="shared" ca="1" si="255"/>
        <v>4</v>
      </c>
      <c r="AD1374" s="76">
        <f t="array" ref="AD1374">AVERAGEIFS($G$2:$G2565,$B$2:$B2565,$B1374,$P$2:$P2565,"&lt;="&amp;$P1374,$P$2:$P2565,"&gt;"&amp;$P1374-7)</f>
        <v>7.615384615384615</v>
      </c>
      <c r="AE1374" s="76">
        <f ca="1">IFERROR(__xludf.DUMMYFUNCTION("iferror(stdevp(filter($F$2:$F2568,$B$2:$B2568=$B1377,$O$2:$O2568&lt;=$O1377,$O$2:$O2568&gt;$O1377-7)),0)"),0)</f>
        <v>0</v>
      </c>
      <c r="AF1374" s="77">
        <f t="shared" ca="1" si="256"/>
        <v>0</v>
      </c>
      <c r="AG1374" s="77">
        <f t="shared" ca="1" si="257"/>
        <v>3</v>
      </c>
      <c r="AH1374" s="76">
        <f t="array" ref="AH1374">AVERAGEIFS($I$2:$I2565,$B$2:$B2565,$B1374,$P$2:$P2565,"&lt;="&amp;$P1374,$P$2:$P2565,"&gt;"&amp;$P1374-7)</f>
        <v>5.1923076923076925</v>
      </c>
      <c r="AI1374" s="76">
        <f ca="1">IFERROR(__xludf.DUMMYFUNCTION("iferror(stdevp(filter($H$2:$H2568,$B$2:$B2568=$B1377,$O$2:$O2568&lt;=$O1377,$O$2:$O2568&gt;$O1377-7)),0)"),0)</f>
        <v>0</v>
      </c>
      <c r="AJ1374" s="77">
        <f t="shared" ca="1" si="258"/>
        <v>0</v>
      </c>
      <c r="AK1374" s="77">
        <f t="shared" ca="1" si="259"/>
        <v>3</v>
      </c>
      <c r="AL1374" s="76">
        <f t="array" ref="AL1374">AVERAGEIFS($J$2:$J2565,$B$2:$B2565,$B1374,$P$2:$P2565,"&lt;="&amp;$P1374,$P$2:$P2565,"&gt;"&amp;$P1374-7)</f>
        <v>7.6923076923076925</v>
      </c>
      <c r="AM1374" s="76">
        <f ca="1">IFERROR(__xludf.DUMMYFUNCTION("iferror(stdevp(filter($I$2:$I2568,$B$2:$B2568=$B1377,$O$2:$O2568&lt;=$O1377,$O$2:$O2568&gt;$O1377-7)),0)"),0.489897948556635)</f>
        <v>0.48989794855663499</v>
      </c>
      <c r="AN1374" s="77">
        <f t="shared" ca="1" si="260"/>
        <v>-1.4131671592979895</v>
      </c>
      <c r="AO1374" s="77">
        <f t="shared" ca="1" si="261"/>
        <v>1</v>
      </c>
      <c r="AP1374" s="76">
        <f t="array" ref="AP1374">AVERAGEIFS($K$2:$K2565,$B$2:$B2565,$B1374,$P$2:$P2565,"&lt;="&amp;$P1374,$P$2:$P2565,"&gt;"&amp;$P1374-7)</f>
        <v>7.8461538461538458</v>
      </c>
      <c r="AQ1374" s="76">
        <f ca="1">IFERROR(__xludf.DUMMYFUNCTION("iferror(stdevp(filter($J$2:$J2568,$B$2:$B2568=$B1377,$O$2:$O2568&lt;=$O1377,$O$2:$O2568&gt;$O1377-7)),0)"),0.632455532033675)</f>
        <v>0.63245553203367499</v>
      </c>
      <c r="AR1374" s="77">
        <f t="shared" ca="1" si="262"/>
        <v>0.24325212770526083</v>
      </c>
      <c r="AS1374" s="77">
        <f t="shared" ca="1" si="263"/>
        <v>3</v>
      </c>
      <c r="AT1374" s="78">
        <f t="shared" ca="1" si="264"/>
        <v>0.75</v>
      </c>
    </row>
    <row r="1375" spans="1:46" ht="12.5" x14ac:dyDescent="0.25">
      <c r="A1375" s="75">
        <v>44998.345054398145</v>
      </c>
      <c r="B1375" s="1" t="s">
        <v>13</v>
      </c>
      <c r="C1375" s="1" t="str">
        <f>INDEX(TBL_Name,MATCH(Table2[[#This Row],[Athlete Name]],listNames,0),2)</f>
        <v>Athlete 7</v>
      </c>
      <c r="D1375" s="1" t="s">
        <v>130</v>
      </c>
      <c r="E1375" s="1">
        <v>8</v>
      </c>
      <c r="F1375" s="1">
        <v>7</v>
      </c>
      <c r="G1375" s="1">
        <v>8</v>
      </c>
      <c r="H1375" s="1" t="s">
        <v>226</v>
      </c>
      <c r="I1375" s="1">
        <v>7</v>
      </c>
      <c r="J1375" s="1">
        <v>8</v>
      </c>
      <c r="K1375" s="1">
        <v>9</v>
      </c>
      <c r="L1375" s="1">
        <v>67</v>
      </c>
      <c r="M1375" s="1" t="e">
        <f t="shared" ref="M1375" ca="1" si="287">_xludf.concat($B1375,$P1375)</f>
        <v>#NAME?</v>
      </c>
      <c r="N1375" s="1" t="e">
        <f t="shared" si="248"/>
        <v>#VALUE!</v>
      </c>
      <c r="O1375" s="1" t="e">
        <f t="shared" ref="O1375" ca="1" si="288">IF($N1375=_xludf.MINIFS($N$2:$N2881,$R$2:$R2881,$R1375),1,
($N1375-_xludf.MINIFS($N$2:$N2881,$R$2:$R2881,$R1375))+1)</f>
        <v>#VALUE!</v>
      </c>
      <c r="P1375" s="13" t="e">
        <f t="shared" si="250"/>
        <v>#VALUE!</v>
      </c>
      <c r="Q1375" s="1" t="str">
        <f>RIGHT(YEAR($A1375),2)-(MONTH($A1375)&lt;=[3]Roster!$K$25)
 &amp;"-"&amp;
 RIGHT(YEAR($A1375),2)+(MONTH($A1375)&gt;=[3]Roster!$K$26)</f>
        <v>22-23</v>
      </c>
      <c r="R1375" s="1" t="e">
        <f>CHOOSE(MONTH($P1375),[3]Roster!$K$9,[3]Roster!$K$10,[3]Roster!$K$11,[3]Roster!$K$12,[3]Roster!$K$13,[3]Roster!$K$14,[3]Roster!$K$15,[3]Roster!$K$16,[3]Roster!$K$17,[3]Roster!$K$18,[3]Roster!$K$19,[3]Roster!$K$20)&amp;" "&amp;$Q1375</f>
        <v>#VALUE!</v>
      </c>
      <c r="S1375" s="1">
        <f t="shared" si="251"/>
        <v>1</v>
      </c>
      <c r="T1375" s="1" t="str">
        <f t="array" ref="T1375">IFERROR(INDEX([3]Roster!$D$3:$D$42,MATCH($B1375,[3]Roster!$C$3:$C$42,0)),"")</f>
        <v>MID/D</v>
      </c>
      <c r="U1375" s="1" t="str">
        <f t="array" ref="U1375">IFERROR(INDEX([3]Roster!$E$3:$E$42,MATCH($B1375,[3]Roster!$C$3:$C$42,0)),"")</f>
        <v>MID/D</v>
      </c>
      <c r="V1375" s="76">
        <f t="array" ref="V1375">AVERAGEIFS($E$2:$E2565,$B$2:$B2565,$B1375,$P$2:$P2565,"&lt;="&amp;$P1375,$P$2:$P2565,"&gt;"&amp;$P1375-7)</f>
        <v>7.6857142857142859</v>
      </c>
      <c r="W1375" s="76">
        <f ca="1">IFERROR(__xludf.DUMMYFUNCTION("iferror(stdevp(filter($D$2:$D2568,$B$2:$B2568=$B1378,$O$2:$O2568&lt;=$O1378,$O$2:$O2568&gt;$O1378-7)),0)"),0.399999999999999)</f>
        <v>0.39999999999999902</v>
      </c>
      <c r="X1375" s="77">
        <f t="shared" ca="1" si="252"/>
        <v>0.78571428571428703</v>
      </c>
      <c r="Y1375" s="77">
        <f t="shared" ca="1" si="253"/>
        <v>3</v>
      </c>
      <c r="Z1375" s="76">
        <f t="array" ref="Z1375">AVERAGEIFS($F$2:$F2565,$B$2:$B2565,$B1375,$P$2:$P2565,"&lt;="&amp;$P1375,$P$2:$P2565,"&gt;"&amp;$P1375-7)</f>
        <v>7.0857142857142854</v>
      </c>
      <c r="AA1375" s="76">
        <f ca="1">IFERROR(__xludf.DUMMYFUNCTION("iferror(stdevp(filter($E$2:$E2568,$B$2:$B2568=$B1378,$O$2:$O2568&lt;=$O1378,$O$2:$O2568&gt;$O1378-7)),0)"),0.489897948556635)</f>
        <v>0.48989794855663499</v>
      </c>
      <c r="AB1375" s="77">
        <f t="shared" ca="1" si="254"/>
        <v>-0.17496355305594088</v>
      </c>
      <c r="AC1375" s="77">
        <f t="shared" ca="1" si="255"/>
        <v>2</v>
      </c>
      <c r="AD1375" s="76">
        <f t="array" ref="AD1375">AVERAGEIFS($G$2:$G2565,$B$2:$B2565,$B1375,$P$2:$P2565,"&lt;="&amp;$P1375,$P$2:$P2565,"&gt;"&amp;$P1375-7)</f>
        <v>7.1428571428571432</v>
      </c>
      <c r="AE1375" s="76">
        <f ca="1">IFERROR(__xludf.DUMMYFUNCTION("iferror(stdevp(filter($F$2:$F2568,$B$2:$B2568=$B1378,$O$2:$O2568&lt;=$O1378,$O$2:$O2568&gt;$O1378-7)),0)"),0.748331477354788)</f>
        <v>0.748331477354788</v>
      </c>
      <c r="AF1375" s="77">
        <f t="shared" ca="1" si="256"/>
        <v>1.1454053224818188</v>
      </c>
      <c r="AG1375" s="77">
        <f t="shared" ca="1" si="257"/>
        <v>4</v>
      </c>
      <c r="AH1375" s="76">
        <f t="array" ref="AH1375">AVERAGEIFS($I$2:$I2565,$B$2:$B2565,$B1375,$P$2:$P2565,"&lt;="&amp;$P1375,$P$2:$P2565,"&gt;"&amp;$P1375-7)</f>
        <v>7.0285714285714285</v>
      </c>
      <c r="AI1375" s="76">
        <f ca="1">IFERROR(__xludf.DUMMYFUNCTION("iferror(stdevp(filter($H$2:$H2568,$B$2:$B2568=$B1378,$O$2:$O2568&lt;=$O1378,$O$2:$O2568&gt;$O1378-7)),0)"),1.72046505340852)</f>
        <v>1.72046505340852</v>
      </c>
      <c r="AJ1375" s="77">
        <f t="shared" ca="1" si="258"/>
        <v>-1.660680553483132E-2</v>
      </c>
      <c r="AK1375" s="77">
        <f t="shared" ca="1" si="259"/>
        <v>2</v>
      </c>
      <c r="AL1375" s="76">
        <f t="array" ref="AL1375">AVERAGEIFS($J$2:$J2565,$B$2:$B2565,$B1375,$P$2:$P2565,"&lt;="&amp;$P1375,$P$2:$P2565,"&gt;"&amp;$P1375-7)</f>
        <v>9.742857142857142</v>
      </c>
      <c r="AM1375" s="76">
        <f ca="1">IFERROR(__xludf.DUMMYFUNCTION("iferror(stdevp(filter($I$2:$I2568,$B$2:$B2568=$B1378,$O$2:$O2568&lt;=$O1378,$O$2:$O2568&gt;$O1378-7)),0)"),1.26491106406735)</f>
        <v>1.26491106406735</v>
      </c>
      <c r="AN1375" s="77">
        <f t="shared" ca="1" si="260"/>
        <v>-1.3778495519305094</v>
      </c>
      <c r="AO1375" s="77">
        <f t="shared" ca="1" si="261"/>
        <v>1</v>
      </c>
      <c r="AP1375" s="76">
        <f t="array" ref="AP1375">AVERAGEIFS($K$2:$K2565,$B$2:$B2565,$B1375,$P$2:$P2565,"&lt;="&amp;$P1375,$P$2:$P2565,"&gt;"&amp;$P1375-7)</f>
        <v>9.4285714285714288</v>
      </c>
      <c r="AQ1375" s="76">
        <f ca="1">IFERROR(__xludf.DUMMYFUNCTION("iferror(stdevp(filter($J$2:$J2568,$B$2:$B2568=$B1378,$O$2:$O2568&lt;=$O1378,$O$2:$O2568&gt;$O1378-7)),0)"),1.26491106406735)</f>
        <v>1.26491106406735</v>
      </c>
      <c r="AR1375" s="77">
        <f t="shared" ca="1" si="262"/>
        <v>-0.3388154635894699</v>
      </c>
      <c r="AS1375" s="77">
        <f t="shared" ca="1" si="263"/>
        <v>2</v>
      </c>
      <c r="AT1375" s="78">
        <f t="shared" ca="1" si="264"/>
        <v>0.58333333333333337</v>
      </c>
    </row>
    <row r="1376" spans="1:46" ht="12.5" x14ac:dyDescent="0.25">
      <c r="A1376" s="75">
        <v>44998.353912986116</v>
      </c>
      <c r="B1376" s="1" t="s">
        <v>29</v>
      </c>
      <c r="C1376" s="1" t="str">
        <f>INDEX(TBL_Name,MATCH(Table2[[#This Row],[Athlete Name]],listNames,0),2)</f>
        <v>Athlete 18</v>
      </c>
      <c r="D1376" s="1" t="s">
        <v>130</v>
      </c>
      <c r="E1376" s="1">
        <v>7</v>
      </c>
      <c r="F1376" s="1">
        <v>6</v>
      </c>
      <c r="G1376" s="1">
        <v>7</v>
      </c>
      <c r="H1376" s="1" t="s">
        <v>69</v>
      </c>
      <c r="I1376" s="1">
        <v>10</v>
      </c>
      <c r="J1376" s="1">
        <v>7</v>
      </c>
      <c r="K1376" s="1">
        <v>7</v>
      </c>
      <c r="L1376" s="1">
        <v>88</v>
      </c>
      <c r="M1376" s="1" t="e">
        <f t="shared" ref="M1376" ca="1" si="289">_xludf.concat($B1376,$P1376)</f>
        <v>#NAME?</v>
      </c>
      <c r="N1376" s="1" t="e">
        <f t="shared" si="248"/>
        <v>#VALUE!</v>
      </c>
      <c r="O1376" s="1" t="e">
        <f t="shared" ref="O1376" ca="1" si="290">IF($N1376=_xludf.MINIFS($N$2:$N2882,$R$2:$R2882,$R1376),1,
($N1376-_xludf.MINIFS($N$2:$N2882,$R$2:$R2882,$R1376))+1)</f>
        <v>#VALUE!</v>
      </c>
      <c r="P1376" s="13" t="e">
        <f t="shared" si="250"/>
        <v>#VALUE!</v>
      </c>
      <c r="Q1376" s="1" t="str">
        <f>RIGHT(YEAR($A1376),2)-(MONTH($A1376)&lt;=[3]Roster!$K$25)
 &amp;"-"&amp;
 RIGHT(YEAR($A1376),2)+(MONTH($A1376)&gt;=[3]Roster!$K$26)</f>
        <v>22-23</v>
      </c>
      <c r="R1376" s="1" t="e">
        <f>CHOOSE(MONTH($P1376),[3]Roster!$K$9,[3]Roster!$K$10,[3]Roster!$K$11,[3]Roster!$K$12,[3]Roster!$K$13,[3]Roster!$K$14,[3]Roster!$K$15,[3]Roster!$K$16,[3]Roster!$K$17,[3]Roster!$K$18,[3]Roster!$K$19,[3]Roster!$K$20)&amp;" "&amp;$Q1376</f>
        <v>#VALUE!</v>
      </c>
      <c r="S1376" s="1">
        <f t="shared" si="251"/>
        <v>1</v>
      </c>
      <c r="T1376" s="1" t="str">
        <f t="array" ref="T1376">IFERROR(INDEX([3]Roster!$D$3:$D$42,MATCH($B1376,[3]Roster!$C$3:$C$42,0)),"")</f>
        <v>GK</v>
      </c>
      <c r="U1376" s="1" t="str">
        <f t="array" ref="U1376">IFERROR(INDEX([3]Roster!$E$3:$E$42,MATCH($B1376,[3]Roster!$C$3:$C$42,0)),"")</f>
        <v>GK</v>
      </c>
      <c r="V1376" s="76">
        <f t="array" ref="V1376">AVERAGEIFS($E$2:$E2565,$B$2:$B2565,$B1376,$P$2:$P2565,"&lt;="&amp;$P1376,$P$2:$P2565,"&gt;"&amp;$P1376-7)</f>
        <v>8.53125</v>
      </c>
      <c r="W1376" s="76">
        <f ca="1">IFERROR(__xludf.DUMMYFUNCTION("iferror(stdevp(filter($D$2:$D2568,$B$2:$B2568=$B1379,$O$2:$O2568&lt;=$O1379,$O$2:$O2568&gt;$O1379-7)),0)"),0.8)</f>
        <v>0.8</v>
      </c>
      <c r="X1376" s="77">
        <f t="shared" ca="1" si="252"/>
        <v>-1.9140625</v>
      </c>
      <c r="Y1376" s="77">
        <f t="shared" ca="1" si="253"/>
        <v>1</v>
      </c>
      <c r="Z1376" s="76">
        <f t="array" ref="Z1376">AVERAGEIFS($F$2:$F2565,$B$2:$B2565,$B1376,$P$2:$P2565,"&lt;="&amp;$P1376,$P$2:$P2565,"&gt;"&amp;$P1376-7)</f>
        <v>8.125</v>
      </c>
      <c r="AA1376" s="76">
        <f ca="1">IFERROR(__xludf.DUMMYFUNCTION("iferror(stdevp(filter($E$2:$E2568,$B$2:$B2568=$B1379,$O$2:$O2568&lt;=$O1379,$O$2:$O2568&gt;$O1379-7)),0)"),1.01980390271855)</f>
        <v>1.0198039027185499</v>
      </c>
      <c r="AB1376" s="77">
        <f t="shared" ca="1" si="254"/>
        <v>-2.0837339358432199</v>
      </c>
      <c r="AC1376" s="77">
        <f t="shared" ca="1" si="255"/>
        <v>1</v>
      </c>
      <c r="AD1376" s="76">
        <f t="array" ref="AD1376">AVERAGEIFS($G$2:$G2565,$B$2:$B2565,$B1376,$P$2:$P2565,"&lt;="&amp;$P1376,$P$2:$P2565,"&gt;"&amp;$P1376-7)</f>
        <v>8.09375</v>
      </c>
      <c r="AE1376" s="76">
        <f ca="1">IFERROR(__xludf.DUMMYFUNCTION("iferror(stdevp(filter($F$2:$F2568,$B$2:$B2568=$B1379,$O$2:$O2568&lt;=$O1379,$O$2:$O2568&gt;$O1379-7)),0)"),0.489897948556635)</f>
        <v>0.48989794855663499</v>
      </c>
      <c r="AF1376" s="77">
        <f t="shared" ca="1" si="256"/>
        <v>-2.2326078384742538</v>
      </c>
      <c r="AG1376" s="77">
        <f t="shared" ca="1" si="257"/>
        <v>1</v>
      </c>
      <c r="AH1376" s="76">
        <f t="array" ref="AH1376">AVERAGEIFS($I$2:$I2565,$B$2:$B2565,$B1376,$P$2:$P2565,"&lt;="&amp;$P1376,$P$2:$P2565,"&gt;"&amp;$P1376-7)</f>
        <v>7.875</v>
      </c>
      <c r="AI1376" s="76">
        <f ca="1">IFERROR(__xludf.DUMMYFUNCTION("iferror(stdevp(filter($H$2:$H2568,$B$2:$B2568=$B1379,$O$2:$O2568&lt;=$O1379,$O$2:$O2568&gt;$O1379-7)),0)"),1.16619037896906)</f>
        <v>1.16619037896906</v>
      </c>
      <c r="AJ1376" s="77">
        <f t="shared" ca="1" si="258"/>
        <v>1.8221724671391566</v>
      </c>
      <c r="AK1376" s="77">
        <f t="shared" ca="1" si="259"/>
        <v>4</v>
      </c>
      <c r="AL1376" s="76">
        <f t="array" ref="AL1376">AVERAGEIFS($J$2:$J2565,$B$2:$B2565,$B1376,$P$2:$P2565,"&lt;="&amp;$P1376,$P$2:$P2565,"&gt;"&amp;$P1376-7)</f>
        <v>8.34375</v>
      </c>
      <c r="AM1376" s="76">
        <f ca="1">IFERROR(__xludf.DUMMYFUNCTION("iferror(stdevp(filter($I$2:$I2568,$B$2:$B2568=$B1379,$O$2:$O2568&lt;=$O1379,$O$2:$O2568&gt;$O1379-7)),0)"),0.399999999999999)</f>
        <v>0.39999999999999902</v>
      </c>
      <c r="AN1376" s="77">
        <f t="shared" ca="1" si="260"/>
        <v>-3.359375000000008</v>
      </c>
      <c r="AO1376" s="77">
        <f t="shared" ca="1" si="261"/>
        <v>1</v>
      </c>
      <c r="AP1376" s="76">
        <f t="array" ref="AP1376">AVERAGEIFS($K$2:$K2565,$B$2:$B2565,$B1376,$P$2:$P2565,"&lt;="&amp;$P1376,$P$2:$P2565,"&gt;"&amp;$P1376-7)</f>
        <v>8.46875</v>
      </c>
      <c r="AQ1376" s="76">
        <f ca="1">IFERROR(__xludf.DUMMYFUNCTION("iferror(stdevp(filter($J$2:$J2568,$B$2:$B2568=$B1379,$O$2:$O2568&lt;=$O1379,$O$2:$O2568&gt;$O1379-7)),0)"),0.748331477354788)</f>
        <v>0.748331477354788</v>
      </c>
      <c r="AR1376" s="77">
        <f t="shared" ca="1" si="262"/>
        <v>-1.9626997452943673</v>
      </c>
      <c r="AS1376" s="77">
        <f t="shared" ca="1" si="263"/>
        <v>1</v>
      </c>
      <c r="AT1376" s="78">
        <f t="shared" ca="1" si="264"/>
        <v>0.375</v>
      </c>
    </row>
    <row r="1377" spans="1:46" ht="12.5" x14ac:dyDescent="0.25">
      <c r="A1377" s="75">
        <v>44998.365029247681</v>
      </c>
      <c r="B1377" s="1" t="s">
        <v>9</v>
      </c>
      <c r="C1377" s="1" t="str">
        <f>INDEX(TBL_Name,MATCH(Table2[[#This Row],[Athlete Name]],listNames,0),2)</f>
        <v>Athlete 4</v>
      </c>
      <c r="D1377" s="1" t="s">
        <v>130</v>
      </c>
      <c r="E1377" s="1">
        <v>8</v>
      </c>
      <c r="F1377" s="1">
        <v>9</v>
      </c>
      <c r="G1377" s="1">
        <v>8</v>
      </c>
      <c r="H1377" s="1" t="s">
        <v>1607</v>
      </c>
      <c r="I1377" s="1">
        <v>5</v>
      </c>
      <c r="J1377" s="1">
        <v>7</v>
      </c>
      <c r="K1377" s="1">
        <v>8</v>
      </c>
      <c r="L1377" s="1">
        <v>90</v>
      </c>
      <c r="M1377" s="1" t="e">
        <f t="shared" ref="M1377" ca="1" si="291">_xludf.concat($B1377,$P1377)</f>
        <v>#NAME?</v>
      </c>
      <c r="N1377" s="1" t="e">
        <f t="shared" si="248"/>
        <v>#VALUE!</v>
      </c>
      <c r="O1377" s="1" t="e">
        <f t="shared" ref="O1377" ca="1" si="292">IF($N1377=_xludf.MINIFS($N$2:$N2883,$R$2:$R2883,$R1377),1,
($N1377-_xludf.MINIFS($N$2:$N2883,$R$2:$R2883,$R1377))+1)</f>
        <v>#VALUE!</v>
      </c>
      <c r="P1377" s="13" t="e">
        <f t="shared" si="250"/>
        <v>#VALUE!</v>
      </c>
      <c r="Q1377" s="1" t="str">
        <f>RIGHT(YEAR($A1377),2)-(MONTH($A1377)&lt;=[3]Roster!$K$25)
 &amp;"-"&amp;
 RIGHT(YEAR($A1377),2)+(MONTH($A1377)&gt;=[3]Roster!$K$26)</f>
        <v>22-23</v>
      </c>
      <c r="R1377" s="1" t="e">
        <f>CHOOSE(MONTH($P1377),[3]Roster!$K$9,[3]Roster!$K$10,[3]Roster!$K$11,[3]Roster!$K$12,[3]Roster!$K$13,[3]Roster!$K$14,[3]Roster!$K$15,[3]Roster!$K$16,[3]Roster!$K$17,[3]Roster!$K$18,[3]Roster!$K$19,[3]Roster!$K$20)&amp;" "&amp;$Q1377</f>
        <v>#VALUE!</v>
      </c>
      <c r="S1377" s="1">
        <f t="shared" si="251"/>
        <v>1</v>
      </c>
      <c r="T1377" s="1" t="str">
        <f t="array" ref="T1377">IFERROR(INDEX([3]Roster!$D$3:$D$42,MATCH($B1377,[3]Roster!$C$3:$C$42,0)),"")</f>
        <v>F/MID</v>
      </c>
      <c r="U1377" s="1" t="str">
        <f t="array" ref="U1377">IFERROR(INDEX([3]Roster!$E$3:$E$42,MATCH($B1377,[3]Roster!$C$3:$C$42,0)),"")</f>
        <v>F/MID</v>
      </c>
      <c r="V1377" s="76">
        <f t="array" ref="V1377">AVERAGEIFS($E$2:$E2565,$B$2:$B2565,$B1377,$P$2:$P2565,"&lt;="&amp;$P1377,$P$2:$P2565,"&gt;"&amp;$P1377-7)</f>
        <v>7.4230769230769234</v>
      </c>
      <c r="W1377" s="76">
        <f ca="1">IFERROR(__xludf.DUMMYFUNCTION("iferror(stdevp(filter($D$2:$D2568,$B$2:$B2568=$B1380,$O$2:$O2568&lt;=$O1380,$O$2:$O2568&gt;$O1380-7)),0)"),0.4)</f>
        <v>0.4</v>
      </c>
      <c r="X1377" s="77">
        <f t="shared" ca="1" si="252"/>
        <v>1.4423076923076916</v>
      </c>
      <c r="Y1377" s="77">
        <f t="shared" ca="1" si="253"/>
        <v>4</v>
      </c>
      <c r="Z1377" s="76">
        <f t="array" ref="Z1377">AVERAGEIFS($F$2:$F2565,$B$2:$B2565,$B1377,$P$2:$P2565,"&lt;="&amp;$P1377,$P$2:$P2565,"&gt;"&amp;$P1377-7)</f>
        <v>7.1538461538461542</v>
      </c>
      <c r="AA1377" s="76">
        <f ca="1">IFERROR(__xludf.DUMMYFUNCTION("iferror(stdevp(filter($E$2:$E2568,$B$2:$B2568=$B1380,$O$2:$O2568&lt;=$O1380,$O$2:$O2568&gt;$O1380-7)),0)"),0.632455532033675)</f>
        <v>0.63245553203367499</v>
      </c>
      <c r="AB1377" s="77">
        <f t="shared" ca="1" si="254"/>
        <v>2.9190255324631229</v>
      </c>
      <c r="AC1377" s="77">
        <f t="shared" ca="1" si="255"/>
        <v>4</v>
      </c>
      <c r="AD1377" s="76">
        <f t="array" ref="AD1377">AVERAGEIFS($G$2:$G2565,$B$2:$B2565,$B1377,$P$2:$P2565,"&lt;="&amp;$P1377,$P$2:$P2565,"&gt;"&amp;$P1377-7)</f>
        <v>7.615384615384615</v>
      </c>
      <c r="AE1377" s="76">
        <f ca="1">IFERROR(__xludf.DUMMYFUNCTION("iferror(stdevp(filter($F$2:$F2568,$B$2:$B2568=$B1380,$O$2:$O2568&lt;=$O1380,$O$2:$O2568&gt;$O1380-7)),0)"),0)</f>
        <v>0</v>
      </c>
      <c r="AF1377" s="77">
        <f t="shared" ca="1" si="256"/>
        <v>0</v>
      </c>
      <c r="AG1377" s="77">
        <f t="shared" ca="1" si="257"/>
        <v>3</v>
      </c>
      <c r="AH1377" s="76">
        <f t="array" ref="AH1377">AVERAGEIFS($I$2:$I2565,$B$2:$B2565,$B1377,$P$2:$P2565,"&lt;="&amp;$P1377,$P$2:$P2565,"&gt;"&amp;$P1377-7)</f>
        <v>5.1923076923076925</v>
      </c>
      <c r="AI1377" s="76">
        <f ca="1">IFERROR(__xludf.DUMMYFUNCTION("iferror(stdevp(filter($H$2:$H2568,$B$2:$B2568=$B1380,$O$2:$O2568&lt;=$O1380,$O$2:$O2568&gt;$O1380-7)),0)"),0)</f>
        <v>0</v>
      </c>
      <c r="AJ1377" s="77">
        <f t="shared" ca="1" si="258"/>
        <v>0</v>
      </c>
      <c r="AK1377" s="77">
        <f t="shared" ca="1" si="259"/>
        <v>3</v>
      </c>
      <c r="AL1377" s="76">
        <f t="array" ref="AL1377">AVERAGEIFS($J$2:$J2565,$B$2:$B2565,$B1377,$P$2:$P2565,"&lt;="&amp;$P1377,$P$2:$P2565,"&gt;"&amp;$P1377-7)</f>
        <v>7.6923076923076925</v>
      </c>
      <c r="AM1377" s="76">
        <f ca="1">IFERROR(__xludf.DUMMYFUNCTION("iferror(stdevp(filter($I$2:$I2568,$B$2:$B2568=$B1380,$O$2:$O2568&lt;=$O1380,$O$2:$O2568&gt;$O1380-7)),0)"),0.489897948556635)</f>
        <v>0.48989794855663499</v>
      </c>
      <c r="AN1377" s="77">
        <f t="shared" ca="1" si="260"/>
        <v>-1.4131671592979895</v>
      </c>
      <c r="AO1377" s="77">
        <f t="shared" ca="1" si="261"/>
        <v>1</v>
      </c>
      <c r="AP1377" s="76">
        <f t="array" ref="AP1377">AVERAGEIFS($K$2:$K2565,$B$2:$B2565,$B1377,$P$2:$P2565,"&lt;="&amp;$P1377,$P$2:$P2565,"&gt;"&amp;$P1377-7)</f>
        <v>7.8461538461538458</v>
      </c>
      <c r="AQ1377" s="76">
        <f ca="1">IFERROR(__xludf.DUMMYFUNCTION("iferror(stdevp(filter($J$2:$J2568,$B$2:$B2568=$B1380,$O$2:$O2568&lt;=$O1380,$O$2:$O2568&gt;$O1380-7)),0)"),0.4)</f>
        <v>0.4</v>
      </c>
      <c r="AR1377" s="77">
        <f t="shared" ca="1" si="262"/>
        <v>0.38461538461538547</v>
      </c>
      <c r="AS1377" s="77">
        <f t="shared" ca="1" si="263"/>
        <v>3</v>
      </c>
      <c r="AT1377" s="78">
        <f t="shared" ca="1" si="264"/>
        <v>0.75</v>
      </c>
    </row>
    <row r="1378" spans="1:46" ht="12.5" x14ac:dyDescent="0.25">
      <c r="A1378" s="75">
        <v>44998.401742013884</v>
      </c>
      <c r="B1378" s="1" t="s">
        <v>17</v>
      </c>
      <c r="C1378" s="1" t="str">
        <f>INDEX(TBL_Name,MATCH(Table2[[#This Row],[Athlete Name]],listNames,0),2)</f>
        <v>Athlete 10</v>
      </c>
      <c r="D1378" s="1" t="s">
        <v>130</v>
      </c>
      <c r="E1378" s="1">
        <v>6</v>
      </c>
      <c r="F1378" s="1">
        <v>6</v>
      </c>
      <c r="G1378" s="1">
        <v>5</v>
      </c>
      <c r="H1378" s="1" t="s">
        <v>71</v>
      </c>
      <c r="I1378" s="1">
        <v>8</v>
      </c>
      <c r="J1378" s="1">
        <v>8</v>
      </c>
      <c r="K1378" s="1">
        <v>9</v>
      </c>
      <c r="L1378" s="1">
        <v>77</v>
      </c>
      <c r="M1378" s="1" t="e">
        <f t="shared" ref="M1378" ca="1" si="293">_xludf.concat($B1378,$P1378)</f>
        <v>#NAME?</v>
      </c>
      <c r="N1378" s="1" t="e">
        <f t="shared" si="248"/>
        <v>#VALUE!</v>
      </c>
      <c r="O1378" s="1" t="e">
        <f t="shared" ref="O1378" ca="1" si="294">IF($N1378=_xludf.MINIFS($N$2:$N2884,$R$2:$R2884,$R1378),1,
($N1378-_xludf.MINIFS($N$2:$N2884,$R$2:$R2884,$R1378))+1)</f>
        <v>#VALUE!</v>
      </c>
      <c r="P1378" s="13" t="e">
        <f t="shared" si="250"/>
        <v>#VALUE!</v>
      </c>
      <c r="Q1378" s="1" t="str">
        <f>RIGHT(YEAR($A1378),2)-(MONTH($A1378)&lt;=[3]Roster!$K$25)
 &amp;"-"&amp;
 RIGHT(YEAR($A1378),2)+(MONTH($A1378)&gt;=[3]Roster!$K$26)</f>
        <v>22-23</v>
      </c>
      <c r="R1378" s="1" t="e">
        <f>CHOOSE(MONTH($P1378),[3]Roster!$K$9,[3]Roster!$K$10,[3]Roster!$K$11,[3]Roster!$K$12,[3]Roster!$K$13,[3]Roster!$K$14,[3]Roster!$K$15,[3]Roster!$K$16,[3]Roster!$K$17,[3]Roster!$K$18,[3]Roster!$K$19,[3]Roster!$K$20)&amp;" "&amp;$Q1378</f>
        <v>#VALUE!</v>
      </c>
      <c r="S1378" s="1">
        <f t="shared" si="251"/>
        <v>1</v>
      </c>
      <c r="T1378" s="1" t="str">
        <f t="array" ref="T1378">IFERROR(INDEX([3]Roster!$D$3:$D$42,MATCH($B1378,[3]Roster!$C$3:$C$42,0)),"")</f>
        <v>D</v>
      </c>
      <c r="U1378" s="1" t="str">
        <f t="array" ref="U1378">IFERROR(INDEX([3]Roster!$E$3:$E$42,MATCH($B1378,[3]Roster!$C$3:$C$42,0)),"")</f>
        <v>D</v>
      </c>
      <c r="V1378" s="76">
        <f t="array" ref="V1378">AVERAGEIFS($E$2:$E2565,$B$2:$B2565,$B1378,$P$2:$P2565,"&lt;="&amp;$P1378,$P$2:$P2565,"&gt;"&amp;$P1378-7)</f>
        <v>6.9024390243902438</v>
      </c>
      <c r="W1378" s="76">
        <f ca="1">IFERROR(__xludf.DUMMYFUNCTION("iferror(stdevp(filter($D$2:$D2568,$B$2:$B2568=$B1381,$O$2:$O2568&lt;=$O1381,$O$2:$O2568&gt;$O1381-7)),0)"),0.5)</f>
        <v>0.5</v>
      </c>
      <c r="X1378" s="77">
        <f t="shared" ca="1" si="252"/>
        <v>-1.8048780487804876</v>
      </c>
      <c r="Y1378" s="77">
        <f t="shared" ca="1" si="253"/>
        <v>1</v>
      </c>
      <c r="Z1378" s="76">
        <f t="array" ref="Z1378">AVERAGEIFS($F$2:$F2565,$B$2:$B2565,$B1378,$P$2:$P2565,"&lt;="&amp;$P1378,$P$2:$P2565,"&gt;"&amp;$P1378-7)</f>
        <v>7.2926829268292686</v>
      </c>
      <c r="AA1378" s="76">
        <f ca="1">IFERROR(__xludf.DUMMYFUNCTION("iferror(stdevp(filter($E$2:$E2568,$B$2:$B2568=$B1381,$O$2:$O2568&lt;=$O1381,$O$2:$O2568&gt;$O1381-7)),0)"),1.29903810567665)</f>
        <v>1.29903810567665</v>
      </c>
      <c r="AB1378" s="77">
        <f t="shared" ca="1" si="254"/>
        <v>-0.99510778104228814</v>
      </c>
      <c r="AC1378" s="77">
        <f t="shared" ca="1" si="255"/>
        <v>2</v>
      </c>
      <c r="AD1378" s="76">
        <f t="array" ref="AD1378">AVERAGEIFS($G$2:$G2565,$B$2:$B2565,$B1378,$P$2:$P2565,"&lt;="&amp;$P1378,$P$2:$P2565,"&gt;"&amp;$P1378-7)</f>
        <v>7.8048780487804876</v>
      </c>
      <c r="AE1378" s="76">
        <f ca="1">IFERROR(__xludf.DUMMYFUNCTION("iferror(stdevp(filter($F$2:$F2568,$B$2:$B2568=$B1381,$O$2:$O2568&lt;=$O1381,$O$2:$O2568&gt;$O1381-7)),0)"),1.5)</f>
        <v>1.5</v>
      </c>
      <c r="AF1378" s="77">
        <f t="shared" ca="1" si="256"/>
        <v>-1.8699186991869918</v>
      </c>
      <c r="AG1378" s="77">
        <f t="shared" ca="1" si="257"/>
        <v>1</v>
      </c>
      <c r="AH1378" s="76">
        <f t="array" ref="AH1378">AVERAGEIFS($I$2:$I2565,$B$2:$B2565,$B1378,$P$2:$P2565,"&lt;="&amp;$P1378,$P$2:$P2565,"&gt;"&amp;$P1378-7)</f>
        <v>6.3170731707317076</v>
      </c>
      <c r="AI1378" s="76">
        <f ca="1">IFERROR(__xludf.DUMMYFUNCTION("iferror(stdevp(filter($H$2:$H2568,$B$2:$B2568=$B1381,$O$2:$O2568&lt;=$O1381,$O$2:$O2568&gt;$O1381-7)),0)"),1.29903810567665)</f>
        <v>1.29903810567665</v>
      </c>
      <c r="AJ1378" s="77">
        <f t="shared" ca="1" si="258"/>
        <v>1.2955176772059973</v>
      </c>
      <c r="AK1378" s="77">
        <f t="shared" ca="1" si="259"/>
        <v>4</v>
      </c>
      <c r="AL1378" s="76">
        <f t="array" ref="AL1378">AVERAGEIFS($J$2:$J2565,$B$2:$B2565,$B1378,$P$2:$P2565,"&lt;="&amp;$P1378,$P$2:$P2565,"&gt;"&amp;$P1378-7)</f>
        <v>6.9024390243902438</v>
      </c>
      <c r="AM1378" s="76">
        <f ca="1">IFERROR(__xludf.DUMMYFUNCTION("iferror(stdevp(filter($I$2:$I2568,$B$2:$B2568=$B1381,$O$2:$O2568&lt;=$O1381,$O$2:$O2568&gt;$O1381-7)),0)"),0.433012701892219)</f>
        <v>0.43301270189221902</v>
      </c>
      <c r="AN1378" s="77">
        <f t="shared" ca="1" si="260"/>
        <v>2.5347084988812858</v>
      </c>
      <c r="AO1378" s="77">
        <f t="shared" ca="1" si="261"/>
        <v>4</v>
      </c>
      <c r="AP1378" s="76">
        <f t="array" ref="AP1378">AVERAGEIFS($K$2:$K2565,$B$2:$B2565,$B1378,$P$2:$P2565,"&lt;="&amp;$P1378,$P$2:$P2565,"&gt;"&amp;$P1378-7)</f>
        <v>8</v>
      </c>
      <c r="AQ1378" s="76">
        <f ca="1">IFERROR(__xludf.DUMMYFUNCTION("iferror(stdevp(filter($J$2:$J2568,$B$2:$B2568=$B1381,$O$2:$O2568&lt;=$O1381,$O$2:$O2568&gt;$O1381-7)),0)"),0.433012701892219)</f>
        <v>0.43301270189221902</v>
      </c>
      <c r="AR1378" s="77">
        <f t="shared" ca="1" si="262"/>
        <v>2.3094010767585047</v>
      </c>
      <c r="AS1378" s="77">
        <f t="shared" ca="1" si="263"/>
        <v>4</v>
      </c>
      <c r="AT1378" s="78">
        <f t="shared" ca="1" si="264"/>
        <v>0.66666666666666663</v>
      </c>
    </row>
    <row r="1379" spans="1:46" ht="12.5" x14ac:dyDescent="0.25">
      <c r="A1379" s="75">
        <v>44998.411448425926</v>
      </c>
      <c r="B1379" s="1" t="s">
        <v>15</v>
      </c>
      <c r="C1379" s="1" t="str">
        <f>INDEX(TBL_Name,MATCH(Table2[[#This Row],[Athlete Name]],listNames,0),2)</f>
        <v>Athlete 8</v>
      </c>
      <c r="D1379" s="1" t="s">
        <v>130</v>
      </c>
      <c r="E1379" s="1">
        <v>10</v>
      </c>
      <c r="F1379" s="1">
        <v>7</v>
      </c>
      <c r="G1379" s="1">
        <v>7</v>
      </c>
      <c r="H1379" s="1" t="s">
        <v>70</v>
      </c>
      <c r="I1379" s="1">
        <v>8</v>
      </c>
      <c r="J1379" s="1">
        <v>10</v>
      </c>
      <c r="K1379" s="1">
        <v>10</v>
      </c>
      <c r="L1379" s="1">
        <v>99</v>
      </c>
      <c r="M1379" s="1" t="e">
        <f t="shared" ref="M1379" ca="1" si="295">_xludf.concat($B1379,$P1379)</f>
        <v>#NAME?</v>
      </c>
      <c r="N1379" s="1" t="e">
        <f t="shared" si="248"/>
        <v>#VALUE!</v>
      </c>
      <c r="O1379" s="1" t="e">
        <f t="shared" ref="O1379" ca="1" si="296">IF($N1379=_xludf.MINIFS($N$2:$N2885,$R$2:$R2885,$R1379),1,
($N1379-_xludf.MINIFS($N$2:$N2885,$R$2:$R2885,$R1379))+1)</f>
        <v>#VALUE!</v>
      </c>
      <c r="P1379" s="13" t="e">
        <f t="shared" si="250"/>
        <v>#VALUE!</v>
      </c>
      <c r="Q1379" s="1" t="str">
        <f>RIGHT(YEAR($A1379),2)-(MONTH($A1379)&lt;=[3]Roster!$K$25)
 &amp;"-"&amp;
 RIGHT(YEAR($A1379),2)+(MONTH($A1379)&gt;=[3]Roster!$K$26)</f>
        <v>22-23</v>
      </c>
      <c r="R1379" s="1" t="e">
        <f>CHOOSE(MONTH($P1379),[3]Roster!$K$9,[3]Roster!$K$10,[3]Roster!$K$11,[3]Roster!$K$12,[3]Roster!$K$13,[3]Roster!$K$14,[3]Roster!$K$15,[3]Roster!$K$16,[3]Roster!$K$17,[3]Roster!$K$18,[3]Roster!$K$19,[3]Roster!$K$20)&amp;" "&amp;$Q1379</f>
        <v>#VALUE!</v>
      </c>
      <c r="S1379" s="1">
        <f t="shared" si="251"/>
        <v>1</v>
      </c>
      <c r="T1379" s="1" t="str">
        <f t="array" ref="T1379">IFERROR(INDEX([3]Roster!$D$3:$D$42,MATCH($B1379,[3]Roster!$C$3:$C$42,0)),"")</f>
        <v>MID/D</v>
      </c>
      <c r="U1379" s="1" t="str">
        <f t="array" ref="U1379">IFERROR(INDEX([3]Roster!$E$3:$E$42,MATCH($B1379,[3]Roster!$C$3:$C$42,0)),"")</f>
        <v>MID/D</v>
      </c>
      <c r="V1379" s="76">
        <f t="array" ref="V1379">AVERAGEIFS($E$2:$E2565,$B$2:$B2565,$B1379,$P$2:$P2565,"&lt;="&amp;$P1379,$P$2:$P2565,"&gt;"&amp;$P1379-7)</f>
        <v>8.935483870967742</v>
      </c>
      <c r="W1379" s="76">
        <f ca="1">IFERROR(__xludf.DUMMYFUNCTION("iferror(stdevp(filter($D$2:$D2568,$B$2:$B2568=$B1382,$O$2:$O2568&lt;=$O1382,$O$2:$O2568&gt;$O1382-7)),0)"),0.866025403784438)</f>
        <v>0.86602540378443804</v>
      </c>
      <c r="X1379" s="77">
        <f t="shared" ca="1" si="252"/>
        <v>1.229197347306946</v>
      </c>
      <c r="Y1379" s="77">
        <f t="shared" ca="1" si="253"/>
        <v>4</v>
      </c>
      <c r="Z1379" s="76">
        <f t="array" ref="Z1379">AVERAGEIFS($F$2:$F2565,$B$2:$B2565,$B1379,$P$2:$P2565,"&lt;="&amp;$P1379,$P$2:$P2565,"&gt;"&amp;$P1379-7)</f>
        <v>8.741935483870968</v>
      </c>
      <c r="AA1379" s="76">
        <f ca="1">IFERROR(__xludf.DUMMYFUNCTION("iferror(stdevp(filter($E$2:$E2568,$B$2:$B2568=$B1382,$O$2:$O2568&lt;=$O1382,$O$2:$O2568&gt;$O1382-7)),0)"),1.87082869338697)</f>
        <v>1.87082869338697</v>
      </c>
      <c r="AB1379" s="77">
        <f t="shared" ca="1" si="254"/>
        <v>-0.93110368150134992</v>
      </c>
      <c r="AC1379" s="77">
        <f t="shared" ca="1" si="255"/>
        <v>2</v>
      </c>
      <c r="AD1379" s="76">
        <f t="array" ref="AD1379">AVERAGEIFS($G$2:$G2565,$B$2:$B2565,$B1379,$P$2:$P2565,"&lt;="&amp;$P1379,$P$2:$P2565,"&gt;"&amp;$P1379-7)</f>
        <v>7.32258064516129</v>
      </c>
      <c r="AE1379" s="76">
        <f ca="1">IFERROR(__xludf.DUMMYFUNCTION("iferror(stdevp(filter($F$2:$F2568,$B$2:$B2568=$B1382,$O$2:$O2568&lt;=$O1382,$O$2:$O2568&gt;$O1382-7)),0)"),0.433012701892219)</f>
        <v>0.43301270189221902</v>
      </c>
      <c r="AF1379" s="77">
        <f t="shared" ca="1" si="256"/>
        <v>-0.74496808927693636</v>
      </c>
      <c r="AG1379" s="77">
        <f t="shared" ca="1" si="257"/>
        <v>2</v>
      </c>
      <c r="AH1379" s="76">
        <f t="array" ref="AH1379">AVERAGEIFS($I$2:$I2565,$B$2:$B2565,$B1379,$P$2:$P2565,"&lt;="&amp;$P1379,$P$2:$P2565,"&gt;"&amp;$P1379-7)</f>
        <v>6.419354838709677</v>
      </c>
      <c r="AI1379" s="76">
        <f ca="1">IFERROR(__xludf.DUMMYFUNCTION("iferror(stdevp(filter($H$2:$H2568,$B$2:$B2568=$B1382,$O$2:$O2568&lt;=$O1382,$O$2:$O2568&gt;$O1382-7)),0)"),1.22474487139158)</f>
        <v>1.2247448713915801</v>
      </c>
      <c r="AJ1379" s="77">
        <f t="shared" ca="1" si="258"/>
        <v>1.2905913698535123</v>
      </c>
      <c r="AK1379" s="77">
        <f t="shared" ca="1" si="259"/>
        <v>4</v>
      </c>
      <c r="AL1379" s="76">
        <f t="array" ref="AL1379">AVERAGEIFS($J$2:$J2565,$B$2:$B2565,$B1379,$P$2:$P2565,"&lt;="&amp;$P1379,$P$2:$P2565,"&gt;"&amp;$P1379-7)</f>
        <v>9.612903225806452</v>
      </c>
      <c r="AM1379" s="76">
        <f ca="1">IFERROR(__xludf.DUMMYFUNCTION("iferror(stdevp(filter($I$2:$I2568,$B$2:$B2568=$B1382,$O$2:$O2568&lt;=$O1382,$O$2:$O2568&gt;$O1382-7)),0)"),0)</f>
        <v>0</v>
      </c>
      <c r="AN1379" s="77">
        <f t="shared" ca="1" si="260"/>
        <v>0</v>
      </c>
      <c r="AO1379" s="77">
        <f t="shared" ca="1" si="261"/>
        <v>3</v>
      </c>
      <c r="AP1379" s="76">
        <f t="array" ref="AP1379">AVERAGEIFS($K$2:$K2565,$B$2:$B2565,$B1379,$P$2:$P2565,"&lt;="&amp;$P1379,$P$2:$P2565,"&gt;"&amp;$P1379-7)</f>
        <v>10</v>
      </c>
      <c r="AQ1379" s="76">
        <f ca="1">IFERROR(__xludf.DUMMYFUNCTION("iferror(stdevp(filter($J$2:$J2568,$B$2:$B2568=$B1382,$O$2:$O2568&lt;=$O1382,$O$2:$O2568&gt;$O1382-7)),0)"),0)</f>
        <v>0</v>
      </c>
      <c r="AR1379" s="77">
        <f t="shared" ca="1" si="262"/>
        <v>0</v>
      </c>
      <c r="AS1379" s="77">
        <f t="shared" ca="1" si="263"/>
        <v>3</v>
      </c>
      <c r="AT1379" s="78">
        <f t="shared" ca="1" si="264"/>
        <v>0.75</v>
      </c>
    </row>
    <row r="1380" spans="1:46" ht="12.5" x14ac:dyDescent="0.25">
      <c r="A1380" s="75">
        <v>44998.425062939816</v>
      </c>
      <c r="B1380" s="1" t="s">
        <v>19</v>
      </c>
      <c r="C1380" s="1" t="str">
        <f>INDEX(TBL_Name,MATCH(Table2[[#This Row],[Athlete Name]],listNames,0),2)</f>
        <v>Athlete 11</v>
      </c>
      <c r="D1380" s="1" t="s">
        <v>130</v>
      </c>
      <c r="E1380" s="1">
        <v>5</v>
      </c>
      <c r="F1380" s="1">
        <v>6</v>
      </c>
      <c r="G1380" s="1">
        <v>7</v>
      </c>
      <c r="H1380" s="1" t="s">
        <v>435</v>
      </c>
      <c r="I1380" s="1">
        <v>6</v>
      </c>
      <c r="J1380" s="1">
        <v>8</v>
      </c>
      <c r="K1380" s="1">
        <v>8</v>
      </c>
      <c r="L1380" s="1">
        <v>62</v>
      </c>
      <c r="M1380" s="1" t="e">
        <f t="shared" ref="M1380" ca="1" si="297">_xludf.concat($B1380,$P1380)</f>
        <v>#NAME?</v>
      </c>
      <c r="N1380" s="1" t="e">
        <f t="shared" si="248"/>
        <v>#VALUE!</v>
      </c>
      <c r="O1380" s="1" t="e">
        <f t="shared" ref="O1380" ca="1" si="298">IF($N1380=_xludf.MINIFS($N$2:$N2886,$R$2:$R2886,$R1380),1,
($N1380-_xludf.MINIFS($N$2:$N2886,$R$2:$R2886,$R1380))+1)</f>
        <v>#VALUE!</v>
      </c>
      <c r="P1380" s="13" t="e">
        <f t="shared" si="250"/>
        <v>#VALUE!</v>
      </c>
      <c r="Q1380" s="1" t="str">
        <f>RIGHT(YEAR($A1380),2)-(MONTH($A1380)&lt;=[3]Roster!$K$25)
 &amp;"-"&amp;
 RIGHT(YEAR($A1380),2)+(MONTH($A1380)&gt;=[3]Roster!$K$26)</f>
        <v>22-23</v>
      </c>
      <c r="R1380" s="1" t="e">
        <f>CHOOSE(MONTH($P1380),[3]Roster!$K$9,[3]Roster!$K$10,[3]Roster!$K$11,[3]Roster!$K$12,[3]Roster!$K$13,[3]Roster!$K$14,[3]Roster!$K$15,[3]Roster!$K$16,[3]Roster!$K$17,[3]Roster!$K$18,[3]Roster!$K$19,[3]Roster!$K$20)&amp;" "&amp;$Q1380</f>
        <v>#VALUE!</v>
      </c>
      <c r="S1380" s="1">
        <f t="shared" si="251"/>
        <v>1</v>
      </c>
      <c r="T1380" s="1" t="str">
        <f t="array" ref="T1380">IFERROR(INDEX([3]Roster!$D$3:$D$42,MATCH($B1380,[3]Roster!$C$3:$C$42,0)),"")</f>
        <v>D</v>
      </c>
      <c r="U1380" s="1" t="str">
        <f t="array" ref="U1380">IFERROR(INDEX([3]Roster!$E$3:$E$42,MATCH($B1380,[3]Roster!$C$3:$C$42,0)),"")</f>
        <v>D</v>
      </c>
      <c r="V1380" s="76">
        <f t="array" ref="V1380">AVERAGEIFS($E$2:$E2565,$B$2:$B2565,$B1380,$P$2:$P2565,"&lt;="&amp;$P1380,$P$2:$P2565,"&gt;"&amp;$P1380-7)</f>
        <v>4.6538461538461542</v>
      </c>
      <c r="W1380" s="76">
        <f ca="1">IFERROR(__xludf.DUMMYFUNCTION("iferror(stdevp(filter($D$2:$D2568,$B$2:$B2568=$B1383,$O$2:$O2568&lt;=$O1383,$O$2:$O2568&gt;$O1383-7)),0)"),1.4790199457749)</f>
        <v>1.4790199457749</v>
      </c>
      <c r="X1380" s="77">
        <f t="shared" ca="1" si="252"/>
        <v>0.23404271669405113</v>
      </c>
      <c r="Y1380" s="77">
        <f t="shared" ca="1" si="253"/>
        <v>3</v>
      </c>
      <c r="Z1380" s="76">
        <f t="array" ref="Z1380">AVERAGEIFS($F$2:$F2565,$B$2:$B2565,$B1380,$P$2:$P2565,"&lt;="&amp;$P1380,$P$2:$P2565,"&gt;"&amp;$P1380-7)</f>
        <v>6.8461538461538458</v>
      </c>
      <c r="AA1380" s="76">
        <f ca="1">IFERROR(__xludf.DUMMYFUNCTION("iferror(stdevp(filter($E$2:$E2568,$B$2:$B2568=$B1383,$O$2:$O2568&lt;=$O1383,$O$2:$O2568&gt;$O1383-7)),0)"),0.82915619758885)</f>
        <v>0.82915619758884995</v>
      </c>
      <c r="AB1380" s="77">
        <f t="shared" ca="1" si="254"/>
        <v>-1.0204999354939688</v>
      </c>
      <c r="AC1380" s="77">
        <f t="shared" ca="1" si="255"/>
        <v>1</v>
      </c>
      <c r="AD1380" s="76">
        <f t="array" ref="AD1380">AVERAGEIFS($G$2:$G2565,$B$2:$B2565,$B1380,$P$2:$P2565,"&lt;="&amp;$P1380,$P$2:$P2565,"&gt;"&amp;$P1380-7)</f>
        <v>7.2692307692307692</v>
      </c>
      <c r="AE1380" s="76">
        <f ca="1">IFERROR(__xludf.DUMMYFUNCTION("iferror(stdevp(filter($F$2:$F2568,$B$2:$B2568=$B1383,$O$2:$O2568&lt;=$O1383,$O$2:$O2568&gt;$O1383-7)),0)"),0.5)</f>
        <v>0.5</v>
      </c>
      <c r="AF1380" s="77">
        <f t="shared" ca="1" si="256"/>
        <v>-0.53846153846153832</v>
      </c>
      <c r="AG1380" s="77">
        <f t="shared" ca="1" si="257"/>
        <v>2</v>
      </c>
      <c r="AH1380" s="76">
        <f t="array" ref="AH1380">AVERAGEIFS($I$2:$I2565,$B$2:$B2565,$B1380,$P$2:$P2565,"&lt;="&amp;$P1380,$P$2:$P2565,"&gt;"&amp;$P1380-7)</f>
        <v>4.9230769230769234</v>
      </c>
      <c r="AI1380" s="76">
        <f ca="1">IFERROR(__xludf.DUMMYFUNCTION("iferror(stdevp(filter($H$2:$H2568,$B$2:$B2568=$B1383,$O$2:$O2568&lt;=$O1383,$O$2:$O2568&gt;$O1383-7)),0)"),1.11803398874989)</f>
        <v>1.11803398874989</v>
      </c>
      <c r="AJ1380" s="77">
        <f t="shared" ca="1" si="258"/>
        <v>0.96322928261529794</v>
      </c>
      <c r="AK1380" s="77">
        <f t="shared" ca="1" si="259"/>
        <v>3</v>
      </c>
      <c r="AL1380" s="76">
        <f t="array" ref="AL1380">AVERAGEIFS($J$2:$J2565,$B$2:$B2565,$B1380,$P$2:$P2565,"&lt;="&amp;$P1380,$P$2:$P2565,"&gt;"&amp;$P1380-7)</f>
        <v>7.5769230769230766</v>
      </c>
      <c r="AM1380" s="76">
        <f ca="1">IFERROR(__xludf.DUMMYFUNCTION("iferror(stdevp(filter($I$2:$I2568,$B$2:$B2568=$B1383,$O$2:$O2568&lt;=$O1383,$O$2:$O2568&gt;$O1383-7)),0)"),0.707106781186547)</f>
        <v>0.70710678118654702</v>
      </c>
      <c r="AN1380" s="77">
        <f t="shared" ca="1" si="260"/>
        <v>0.59832112254246406</v>
      </c>
      <c r="AO1380" s="77">
        <f t="shared" ca="1" si="261"/>
        <v>3</v>
      </c>
      <c r="AP1380" s="76">
        <f t="array" ref="AP1380">AVERAGEIFS($K$2:$K2565,$B$2:$B2565,$B1380,$P$2:$P2565,"&lt;="&amp;$P1380,$P$2:$P2565,"&gt;"&amp;$P1380-7)</f>
        <v>8</v>
      </c>
      <c r="AQ1380" s="76">
        <f ca="1">IFERROR(__xludf.DUMMYFUNCTION("iferror(stdevp(filter($J$2:$J2568,$B$2:$B2568=$B1383,$O$2:$O2568&lt;=$O1383,$O$2:$O2568&gt;$O1383-7)),0)"),0.707106781186547)</f>
        <v>0.70710678118654702</v>
      </c>
      <c r="AR1380" s="77">
        <f t="shared" ca="1" si="262"/>
        <v>0</v>
      </c>
      <c r="AS1380" s="77">
        <f t="shared" ca="1" si="263"/>
        <v>3</v>
      </c>
      <c r="AT1380" s="78">
        <f t="shared" ca="1" si="264"/>
        <v>0.625</v>
      </c>
    </row>
    <row r="1381" spans="1:46" ht="12.5" x14ac:dyDescent="0.25">
      <c r="A1381" s="75">
        <v>44998.42762239583</v>
      </c>
      <c r="B1381" s="1" t="s">
        <v>21</v>
      </c>
      <c r="C1381" s="1" t="str">
        <f>INDEX(TBL_Name,MATCH(Table2[[#This Row],[Athlete Name]],listNames,0),2)</f>
        <v>Athlete 13</v>
      </c>
      <c r="D1381" s="1" t="s">
        <v>130</v>
      </c>
      <c r="E1381" s="1">
        <v>6</v>
      </c>
      <c r="F1381" s="1">
        <v>8</v>
      </c>
      <c r="G1381" s="1">
        <v>8</v>
      </c>
      <c r="H1381" s="1" t="s">
        <v>1615</v>
      </c>
      <c r="I1381" s="1">
        <v>6</v>
      </c>
      <c r="J1381" s="1">
        <v>7</v>
      </c>
      <c r="K1381" s="1">
        <v>7</v>
      </c>
      <c r="L1381" s="1">
        <v>76</v>
      </c>
      <c r="M1381" s="1" t="e">
        <f t="shared" ref="M1381" ca="1" si="299">_xludf.concat($B1381,$P1381)</f>
        <v>#NAME?</v>
      </c>
      <c r="N1381" s="1" t="e">
        <f t="shared" si="248"/>
        <v>#VALUE!</v>
      </c>
      <c r="O1381" s="1" t="e">
        <f t="shared" ref="O1381" ca="1" si="300">IF($N1381=_xludf.MINIFS($N$2:$N2887,$R$2:$R2887,$R1381),1,
($N1381-_xludf.MINIFS($N$2:$N2887,$R$2:$R2887,$R1381))+1)</f>
        <v>#VALUE!</v>
      </c>
      <c r="P1381" s="13" t="e">
        <f t="shared" si="250"/>
        <v>#VALUE!</v>
      </c>
      <c r="Q1381" s="1" t="str">
        <f>RIGHT(YEAR($A1381),2)-(MONTH($A1381)&lt;=[3]Roster!$K$25)
 &amp;"-"&amp;
 RIGHT(YEAR($A1381),2)+(MONTH($A1381)&gt;=[3]Roster!$K$26)</f>
        <v>22-23</v>
      </c>
      <c r="R1381" s="1" t="e">
        <f>CHOOSE(MONTH($P1381),[3]Roster!$K$9,[3]Roster!$K$10,[3]Roster!$K$11,[3]Roster!$K$12,[3]Roster!$K$13,[3]Roster!$K$14,[3]Roster!$K$15,[3]Roster!$K$16,[3]Roster!$K$17,[3]Roster!$K$18,[3]Roster!$K$19,[3]Roster!$K$20)&amp;" "&amp;$Q1381</f>
        <v>#VALUE!</v>
      </c>
      <c r="S1381" s="1">
        <f t="shared" si="251"/>
        <v>1</v>
      </c>
      <c r="T1381" s="1" t="str">
        <f t="array" ref="T1381">IFERROR(INDEX([3]Roster!$D$3:$D$42,MATCH($B1381,[3]Roster!$C$3:$C$42,0)),"")</f>
        <v>D</v>
      </c>
      <c r="U1381" s="1" t="str">
        <f t="array" ref="U1381">IFERROR(INDEX([3]Roster!$E$3:$E$42,MATCH($B1381,[3]Roster!$C$3:$C$42,0)),"")</f>
        <v>D</v>
      </c>
      <c r="V1381" s="76">
        <f t="array" ref="V1381">AVERAGEIFS($E$2:$E2565,$B$2:$B2565,$B1381,$P$2:$P2565,"&lt;="&amp;$P1381,$P$2:$P2565,"&gt;"&amp;$P1381-7)</f>
        <v>6.6304347826086953</v>
      </c>
      <c r="W1381" s="76">
        <f ca="1">IFERROR(__xludf.DUMMYFUNCTION("iferror(stdevp(filter($D$2:$D2568,$B$2:$B2568=$B1384,$O$2:$O2568&lt;=$O1384,$O$2:$O2568&gt;$O1384-7)),0)"),0.687184270936276)</f>
        <v>0.68718427093627599</v>
      </c>
      <c r="X1381" s="77">
        <f t="shared" ca="1" si="252"/>
        <v>-0.9174173642678688</v>
      </c>
      <c r="Y1381" s="77">
        <f t="shared" ca="1" si="253"/>
        <v>2</v>
      </c>
      <c r="Z1381" s="76">
        <f t="array" ref="Z1381">AVERAGEIFS($F$2:$F2565,$B$2:$B2565,$B1381,$P$2:$P2565,"&lt;="&amp;$P1381,$P$2:$P2565,"&gt;"&amp;$P1381-7)</f>
        <v>7.6956521739130439</v>
      </c>
      <c r="AA1381" s="76">
        <f ca="1">IFERROR(__xludf.DUMMYFUNCTION("iferror(stdevp(filter($E$2:$E2568,$B$2:$B2568=$B1384,$O$2:$O2568&lt;=$O1384,$O$2:$O2568&gt;$O1384-7)),0)"),0.471404520791031)</f>
        <v>0.47140452079103101</v>
      </c>
      <c r="AB1381" s="77">
        <f t="shared" ca="1" si="254"/>
        <v>0.64561923499641294</v>
      </c>
      <c r="AC1381" s="77">
        <f t="shared" ca="1" si="255"/>
        <v>3</v>
      </c>
      <c r="AD1381" s="76">
        <f t="array" ref="AD1381">AVERAGEIFS($G$2:$G2565,$B$2:$B2565,$B1381,$P$2:$P2565,"&lt;="&amp;$P1381,$P$2:$P2565,"&gt;"&amp;$P1381-7)</f>
        <v>8.2608695652173907</v>
      </c>
      <c r="AE1381" s="76">
        <f ca="1">IFERROR(__xludf.DUMMYFUNCTION("iferror(stdevp(filter($F$2:$F2568,$B$2:$B2568=$B1384,$O$2:$O2568&lt;=$O1384,$O$2:$O2568&gt;$O1384-7)),0)"),0.471404520791031)</f>
        <v>0.47140452079103101</v>
      </c>
      <c r="AF1381" s="77">
        <f t="shared" ca="1" si="256"/>
        <v>-0.5533879157112106</v>
      </c>
      <c r="AG1381" s="77">
        <f t="shared" ca="1" si="257"/>
        <v>2</v>
      </c>
      <c r="AH1381" s="76">
        <f t="array" ref="AH1381">AVERAGEIFS($I$2:$I2565,$B$2:$B2565,$B1381,$P$2:$P2565,"&lt;="&amp;$P1381,$P$2:$P2565,"&gt;"&amp;$P1381-7)</f>
        <v>5.7391304347826084</v>
      </c>
      <c r="AI1381" s="76">
        <f ca="1">IFERROR(__xludf.DUMMYFUNCTION("iferror(stdevp(filter($H$2:$H2568,$B$2:$B2568=$B1384,$O$2:$O2568&lt;=$O1384,$O$2:$O2568&gt;$O1384-7)),0)"),0.471404520791031)</f>
        <v>0.47140452079103101</v>
      </c>
      <c r="AJ1381" s="77">
        <f t="shared" ca="1" si="258"/>
        <v>0.55338791571121249</v>
      </c>
      <c r="AK1381" s="77">
        <f t="shared" ca="1" si="259"/>
        <v>3</v>
      </c>
      <c r="AL1381" s="76">
        <f t="array" ref="AL1381">AVERAGEIFS($J$2:$J2565,$B$2:$B2565,$B1381,$P$2:$P2565,"&lt;="&amp;$P1381,$P$2:$P2565,"&gt;"&amp;$P1381-7)</f>
        <v>6.5434782608695654</v>
      </c>
      <c r="AM1381" s="76">
        <f ca="1">IFERROR(__xludf.DUMMYFUNCTION("iferror(stdevp(filter($I$2:$I2568,$B$2:$B2568=$B1384,$O$2:$O2568&lt;=$O1384,$O$2:$O2568&gt;$O1384-7)),0)"),0.577350269189625)</f>
        <v>0.57735026918962495</v>
      </c>
      <c r="AN1381" s="77">
        <f t="shared" ca="1" si="260"/>
        <v>0.79071884693361871</v>
      </c>
      <c r="AO1381" s="77">
        <f t="shared" ca="1" si="261"/>
        <v>3</v>
      </c>
      <c r="AP1381" s="76">
        <f t="array" ref="AP1381">AVERAGEIFS($K$2:$K2565,$B$2:$B2565,$B1381,$P$2:$P2565,"&lt;="&amp;$P1381,$P$2:$P2565,"&gt;"&amp;$P1381-7)</f>
        <v>6.6086956521739131</v>
      </c>
      <c r="AQ1381" s="76">
        <f ca="1">IFERROR(__xludf.DUMMYFUNCTION("iferror(stdevp(filter($J$2:$J2568,$B$2:$B2568=$B1384,$O$2:$O2568&lt;=$O1384,$O$2:$O2568&gt;$O1384-7)),0)"),0.372677996249964)</f>
        <v>0.37267799624996401</v>
      </c>
      <c r="AR1381" s="77">
        <f t="shared" ca="1" si="262"/>
        <v>1.0499797459564255</v>
      </c>
      <c r="AS1381" s="77">
        <f t="shared" ca="1" si="263"/>
        <v>4</v>
      </c>
      <c r="AT1381" s="78">
        <f t="shared" ca="1" si="264"/>
        <v>0.70833333333333337</v>
      </c>
    </row>
    <row r="1382" spans="1:46" ht="12.5" x14ac:dyDescent="0.25">
      <c r="A1382" s="75">
        <v>44998.440259467592</v>
      </c>
      <c r="B1382" s="1" t="s">
        <v>10</v>
      </c>
      <c r="C1382" s="1" t="str">
        <f>INDEX(TBL_Name,MATCH(Table2[[#This Row],[Athlete Name]],listNames,0),2)</f>
        <v>Athlete 5</v>
      </c>
      <c r="D1382" s="1" t="s">
        <v>130</v>
      </c>
      <c r="E1382" s="1">
        <v>8</v>
      </c>
      <c r="F1382" s="1">
        <v>6</v>
      </c>
      <c r="G1382" s="1">
        <v>6</v>
      </c>
      <c r="H1382" s="1" t="s">
        <v>362</v>
      </c>
      <c r="I1382" s="1">
        <v>8</v>
      </c>
      <c r="J1382" s="1">
        <v>8</v>
      </c>
      <c r="K1382" s="1">
        <v>8</v>
      </c>
      <c r="L1382" s="1">
        <v>65</v>
      </c>
      <c r="M1382" s="1" t="e">
        <f t="shared" ref="M1382" ca="1" si="301">_xludf.concat($B1382,$P1382)</f>
        <v>#NAME?</v>
      </c>
      <c r="N1382" s="1" t="e">
        <f t="shared" si="248"/>
        <v>#VALUE!</v>
      </c>
      <c r="O1382" s="1" t="e">
        <f t="shared" ref="O1382" ca="1" si="302">IF($N1382=_xludf.MINIFS($N$2:$N2888,$R$2:$R2888,$R1382),1,
($N1382-_xludf.MINIFS($N$2:$N2888,$R$2:$R2888,$R1382))+1)</f>
        <v>#VALUE!</v>
      </c>
      <c r="P1382" s="13" t="e">
        <f t="shared" si="250"/>
        <v>#VALUE!</v>
      </c>
      <c r="Q1382" s="1" t="str">
        <f>RIGHT(YEAR($A1382),2)-(MONTH($A1382)&lt;=[3]Roster!$K$25)
 &amp;"-"&amp;
 RIGHT(YEAR($A1382),2)+(MONTH($A1382)&gt;=[3]Roster!$K$26)</f>
        <v>22-23</v>
      </c>
      <c r="R1382" s="1" t="e">
        <f>CHOOSE(MONTH($P1382),[3]Roster!$K$9,[3]Roster!$K$10,[3]Roster!$K$11,[3]Roster!$K$12,[3]Roster!$K$13,[3]Roster!$K$14,[3]Roster!$K$15,[3]Roster!$K$16,[3]Roster!$K$17,[3]Roster!$K$18,[3]Roster!$K$19,[3]Roster!$K$20)&amp;" "&amp;$Q1382</f>
        <v>#VALUE!</v>
      </c>
      <c r="S1382" s="1">
        <f t="shared" si="251"/>
        <v>1</v>
      </c>
      <c r="T1382" s="1" t="str">
        <f t="array" ref="T1382">IFERROR(INDEX([3]Roster!$D$3:$D$42,MATCH($B1382,[3]Roster!$C$3:$C$42,0)),"")</f>
        <v>MID</v>
      </c>
      <c r="U1382" s="1" t="str">
        <f t="array" ref="U1382">IFERROR(INDEX([3]Roster!$E$3:$E$42,MATCH($B1382,[3]Roster!$C$3:$C$42,0)),"")</f>
        <v>MID</v>
      </c>
      <c r="V1382" s="76">
        <f t="array" ref="V1382">AVERAGEIFS($E$2:$E2565,$B$2:$B2565,$B1382,$P$2:$P2565,"&lt;="&amp;$P1382,$P$2:$P2565,"&gt;"&amp;$P1382-7)</f>
        <v>8.4042553191489358</v>
      </c>
      <c r="W1382" s="76">
        <f ca="1">IFERROR(__xludf.DUMMYFUNCTION("iferror(stdevp(filter($D$2:$D2568,$B$2:$B2568=$B1385,$O$2:$O2568&lt;=$O1385,$O$2:$O2568&gt;$O1385-7)),0)"),0.4)</f>
        <v>0.4</v>
      </c>
      <c r="X1382" s="77">
        <f t="shared" ca="1" si="252"/>
        <v>-1.0106382978723394</v>
      </c>
      <c r="Y1382" s="77">
        <f t="shared" ca="1" si="253"/>
        <v>1</v>
      </c>
      <c r="Z1382" s="76">
        <f t="array" ref="Z1382">AVERAGEIFS($F$2:$F2565,$B$2:$B2565,$B1382,$P$2:$P2565,"&lt;="&amp;$P1382,$P$2:$P2565,"&gt;"&amp;$P1382-7)</f>
        <v>8.085106382978724</v>
      </c>
      <c r="AA1382" s="76">
        <f ca="1">IFERROR(__xludf.DUMMYFUNCTION("iferror(stdevp(filter($E$2:$E2568,$B$2:$B2568=$B1385,$O$2:$O2568&lt;=$O1385,$O$2:$O2568&gt;$O1385-7)),0)"),1.01980390271855)</f>
        <v>1.0198039027185499</v>
      </c>
      <c r="AB1382" s="77">
        <f t="shared" ca="1" si="254"/>
        <v>-2.0446150259087417</v>
      </c>
      <c r="AC1382" s="77">
        <f t="shared" ca="1" si="255"/>
        <v>1</v>
      </c>
      <c r="AD1382" s="76">
        <f t="array" ref="AD1382">AVERAGEIFS($G$2:$G2565,$B$2:$B2565,$B1382,$P$2:$P2565,"&lt;="&amp;$P1382,$P$2:$P2565,"&gt;"&amp;$P1382-7)</f>
        <v>8.0638297872340434</v>
      </c>
      <c r="AE1382" s="76">
        <f ca="1">IFERROR(__xludf.DUMMYFUNCTION("iferror(stdevp(filter($F$2:$F2568,$B$2:$B2568=$B1385,$O$2:$O2568&lt;=$O1385,$O$2:$O2568&gt;$O1385-7)),0)"),1.01980390271855)</f>
        <v>1.0198039027185499</v>
      </c>
      <c r="AF1382" s="77">
        <f t="shared" ca="1" si="256"/>
        <v>-2.0237516072770201</v>
      </c>
      <c r="AG1382" s="77">
        <f t="shared" ca="1" si="257"/>
        <v>1</v>
      </c>
      <c r="AH1382" s="76">
        <f t="array" ref="AH1382">AVERAGEIFS($I$2:$I2565,$B$2:$B2565,$B1382,$P$2:$P2565,"&lt;="&amp;$P1382,$P$2:$P2565,"&gt;"&amp;$P1382-7)</f>
        <v>6.7446808510638299</v>
      </c>
      <c r="AI1382" s="76">
        <f ca="1">IFERROR(__xludf.DUMMYFUNCTION("iferror(stdevp(filter($H$2:$H2568,$B$2:$B2568=$B1385,$O$2:$O2568&lt;=$O1385,$O$2:$O2568&gt;$O1385-7)),0)"),2.0591260281974)</f>
        <v>2.0591260281974</v>
      </c>
      <c r="AJ1382" s="77">
        <f t="shared" ca="1" si="258"/>
        <v>0.60963687105402753</v>
      </c>
      <c r="AK1382" s="77">
        <f t="shared" ca="1" si="259"/>
        <v>3</v>
      </c>
      <c r="AL1382" s="76">
        <f t="array" ref="AL1382">AVERAGEIFS($J$2:$J2565,$B$2:$B2565,$B1382,$P$2:$P2565,"&lt;="&amp;$P1382,$P$2:$P2565,"&gt;"&amp;$P1382-7)</f>
        <v>8.1063829787234045</v>
      </c>
      <c r="AM1382" s="76">
        <f ca="1">IFERROR(__xludf.DUMMYFUNCTION("iferror(stdevp(filter($I$2:$I2568,$B$2:$B2568=$B1385,$O$2:$O2568&lt;=$O1385,$O$2:$O2568&gt;$O1385-7)),0)"),0.489897948556635)</f>
        <v>0.48989794855663499</v>
      </c>
      <c r="AN1382" s="77">
        <f t="shared" ca="1" si="260"/>
        <v>-0.21715334599141731</v>
      </c>
      <c r="AO1382" s="77">
        <f t="shared" ca="1" si="261"/>
        <v>2</v>
      </c>
      <c r="AP1382" s="76">
        <f t="array" ref="AP1382">AVERAGEIFS($K$2:$K2565,$B$2:$B2565,$B1382,$P$2:$P2565,"&lt;="&amp;$P1382,$P$2:$P2565,"&gt;"&amp;$P1382-7)</f>
        <v>8.2978723404255312</v>
      </c>
      <c r="AQ1382" s="76">
        <f ca="1">IFERROR(__xludf.DUMMYFUNCTION("iferror(stdevp(filter($J$2:$J2568,$B$2:$B2568=$B1385,$O$2:$O2568&lt;=$O1385,$O$2:$O2568&gt;$O1385-7)),0)"),0.489897948556635)</f>
        <v>0.48989794855663499</v>
      </c>
      <c r="AR1382" s="77">
        <f t="shared" ca="1" si="262"/>
        <v>-0.60802936877596558</v>
      </c>
      <c r="AS1382" s="77">
        <f t="shared" ca="1" si="263"/>
        <v>2</v>
      </c>
      <c r="AT1382" s="78">
        <f t="shared" ca="1" si="264"/>
        <v>0.41666666666666669</v>
      </c>
    </row>
    <row r="1383" spans="1:46" ht="12.5" x14ac:dyDescent="0.25">
      <c r="A1383" s="75">
        <v>44998.480931620375</v>
      </c>
      <c r="B1383" s="1" t="s">
        <v>6</v>
      </c>
      <c r="C1383" s="1" t="str">
        <f>INDEX(TBL_Name,MATCH(Table2[[#This Row],[Athlete Name]],listNames,0),2)</f>
        <v>Athlete 2</v>
      </c>
      <c r="D1383" s="1" t="s">
        <v>130</v>
      </c>
      <c r="E1383" s="1">
        <v>10</v>
      </c>
      <c r="F1383" s="1">
        <v>10</v>
      </c>
      <c r="G1383" s="1">
        <v>9</v>
      </c>
      <c r="H1383" s="1" t="s">
        <v>71</v>
      </c>
      <c r="I1383" s="1">
        <v>9</v>
      </c>
      <c r="J1383" s="1">
        <v>6</v>
      </c>
      <c r="K1383" s="1">
        <v>10</v>
      </c>
      <c r="L1383" s="1">
        <v>94</v>
      </c>
      <c r="M1383" s="1" t="e">
        <f t="shared" ref="M1383" ca="1" si="303">_xludf.concat($B1383,$P1383)</f>
        <v>#NAME?</v>
      </c>
      <c r="N1383" s="1" t="e">
        <f t="shared" si="248"/>
        <v>#VALUE!</v>
      </c>
      <c r="O1383" s="1" t="e">
        <f t="shared" ref="O1383" ca="1" si="304">IF($N1383=_xludf.MINIFS($N$2:$N2889,$R$2:$R2889,$R1383),1,
($N1383-_xludf.MINIFS($N$2:$N2889,$R$2:$R2889,$R1383))+1)</f>
        <v>#VALUE!</v>
      </c>
      <c r="P1383" s="13" t="e">
        <f t="shared" si="250"/>
        <v>#VALUE!</v>
      </c>
      <c r="Q1383" s="1" t="str">
        <f>RIGHT(YEAR($A1383),2)-(MONTH($A1383)&lt;=[3]Roster!$K$25)
 &amp;"-"&amp;
 RIGHT(YEAR($A1383),2)+(MONTH($A1383)&gt;=[3]Roster!$K$26)</f>
        <v>22-23</v>
      </c>
      <c r="R1383" s="1" t="e">
        <f>CHOOSE(MONTH($P1383),[3]Roster!$K$9,[3]Roster!$K$10,[3]Roster!$K$11,[3]Roster!$K$12,[3]Roster!$K$13,[3]Roster!$K$14,[3]Roster!$K$15,[3]Roster!$K$16,[3]Roster!$K$17,[3]Roster!$K$18,[3]Roster!$K$19,[3]Roster!$K$20)&amp;" "&amp;$Q1383</f>
        <v>#VALUE!</v>
      </c>
      <c r="S1383" s="1">
        <f t="shared" si="251"/>
        <v>1</v>
      </c>
      <c r="T1383" s="1" t="str">
        <f t="array" ref="T1383">IFERROR(INDEX([3]Roster!$D$3:$D$42,MATCH($B1383,[3]Roster!$C$3:$C$42,0)),"")</f>
        <v>FWD</v>
      </c>
      <c r="U1383" s="1" t="str">
        <f t="array" ref="U1383">IFERROR(INDEX([3]Roster!$E$3:$E$42,MATCH($B1383,[3]Roster!$C$3:$C$42,0)),"")</f>
        <v>FWD</v>
      </c>
      <c r="V1383" s="76">
        <f t="array" ref="V1383">AVERAGEIFS($E$2:$E2565,$B$2:$B2565,$B1383,$P$2:$P2565,"&lt;="&amp;$P1383,$P$2:$P2565,"&gt;"&amp;$P1383-7)</f>
        <v>9.7441860465116275</v>
      </c>
      <c r="W1383" s="76">
        <f ca="1">IFERROR(__xludf.DUMMYFUNCTION("iferror(stdevp(filter($D$2:$D2568,$B$2:$B2568=$B1386,$O$2:$O2568&lt;=$O1386,$O$2:$O2568&gt;$O1386-7)),0)"),0)</f>
        <v>0</v>
      </c>
      <c r="X1383" s="77">
        <f t="shared" ca="1" si="252"/>
        <v>0</v>
      </c>
      <c r="Y1383" s="77">
        <f t="shared" ca="1" si="253"/>
        <v>3</v>
      </c>
      <c r="Z1383" s="76">
        <f t="array" ref="Z1383">AVERAGEIFS($F$2:$F2565,$B$2:$B2565,$B1383,$P$2:$P2565,"&lt;="&amp;$P1383,$P$2:$P2565,"&gt;"&amp;$P1383-7)</f>
        <v>8.279069767441861</v>
      </c>
      <c r="AA1383" s="76">
        <f ca="1">IFERROR(__xludf.DUMMYFUNCTION("iferror(stdevp(filter($E$2:$E2568,$B$2:$B2568=$B1386,$O$2:$O2568&lt;=$O1386,$O$2:$O2568&gt;$O1386-7)),0)"),0.372677996249964)</f>
        <v>0.37267799624996401</v>
      </c>
      <c r="AB1383" s="77">
        <f t="shared" ca="1" si="254"/>
        <v>4.6177403814414362</v>
      </c>
      <c r="AC1383" s="77">
        <f t="shared" ca="1" si="255"/>
        <v>4</v>
      </c>
      <c r="AD1383" s="76">
        <f t="array" ref="AD1383">AVERAGEIFS($G$2:$G2565,$B$2:$B2565,$B1383,$P$2:$P2565,"&lt;="&amp;$P1383,$P$2:$P2565,"&gt;"&amp;$P1383-7)</f>
        <v>8.604651162790697</v>
      </c>
      <c r="AE1383" s="76">
        <f ca="1">IFERROR(__xludf.DUMMYFUNCTION("iferror(stdevp(filter($F$2:$F2568,$B$2:$B2568=$B1386,$O$2:$O2568&lt;=$O1386,$O$2:$O2568&gt;$O1386-7)),0)"),0.5)</f>
        <v>0.5</v>
      </c>
      <c r="AF1383" s="77">
        <f t="shared" ca="1" si="256"/>
        <v>0.79069767441860606</v>
      </c>
      <c r="AG1383" s="77">
        <f t="shared" ca="1" si="257"/>
        <v>3</v>
      </c>
      <c r="AH1383" s="76">
        <f t="array" ref="AH1383">AVERAGEIFS($I$2:$I2565,$B$2:$B2565,$B1383,$P$2:$P2565,"&lt;="&amp;$P1383,$P$2:$P2565,"&gt;"&amp;$P1383-7)</f>
        <v>8.3488372093023262</v>
      </c>
      <c r="AI1383" s="76">
        <f ca="1">IFERROR(__xludf.DUMMYFUNCTION("iferror(stdevp(filter($H$2:$H2568,$B$2:$B2568=$B1386,$O$2:$O2568&lt;=$O1386,$O$2:$O2568&gt;$O1386-7)),0)"),0.942809041582063)</f>
        <v>0.94280904158206302</v>
      </c>
      <c r="AJ1383" s="77">
        <f t="shared" ca="1" si="258"/>
        <v>0.6906624374380228</v>
      </c>
      <c r="AK1383" s="77">
        <f t="shared" ca="1" si="259"/>
        <v>3</v>
      </c>
      <c r="AL1383" s="76">
        <f t="array" ref="AL1383">AVERAGEIFS($J$2:$J2565,$B$2:$B2565,$B1383,$P$2:$P2565,"&lt;="&amp;$P1383,$P$2:$P2565,"&gt;"&amp;$P1383-7)</f>
        <v>8.3023255813953494</v>
      </c>
      <c r="AM1383" s="76">
        <f ca="1">IFERROR(__xludf.DUMMYFUNCTION("iferror(stdevp(filter($I$2:$I2568,$B$2:$B2568=$B1386,$O$2:$O2568&lt;=$O1386,$O$2:$O2568&gt;$O1386-7)),0)"),1)</f>
        <v>1</v>
      </c>
      <c r="AN1383" s="77">
        <f t="shared" ca="1" si="260"/>
        <v>-2.3023255813953494</v>
      </c>
      <c r="AO1383" s="77">
        <f t="shared" ca="1" si="261"/>
        <v>1</v>
      </c>
      <c r="AP1383" s="76">
        <f t="array" ref="AP1383">AVERAGEIFS($K$2:$K2565,$B$2:$B2565,$B1383,$P$2:$P2565,"&lt;="&amp;$P1383,$P$2:$P2565,"&gt;"&amp;$P1383-7)</f>
        <v>8.9069767441860463</v>
      </c>
      <c r="AQ1383" s="76">
        <f ca="1">IFERROR(__xludf.DUMMYFUNCTION("iferror(stdevp(filter($J$2:$J2568,$B$2:$B2568=$B1386,$O$2:$O2568&lt;=$O1386,$O$2:$O2568&gt;$O1386-7)),0)"),0.471404520791031)</f>
        <v>0.47140452079103101</v>
      </c>
      <c r="AR1383" s="77">
        <f t="shared" ca="1" si="262"/>
        <v>2.3186524685419387</v>
      </c>
      <c r="AS1383" s="77">
        <f t="shared" ca="1" si="263"/>
        <v>4</v>
      </c>
      <c r="AT1383" s="78">
        <f t="shared" ca="1" si="264"/>
        <v>0.75</v>
      </c>
    </row>
    <row r="1384" spans="1:46" ht="12.5" x14ac:dyDescent="0.25">
      <c r="A1384" s="75">
        <v>44998.483301099535</v>
      </c>
      <c r="B1384" s="1" t="s">
        <v>16</v>
      </c>
      <c r="C1384" s="1" t="str">
        <f>INDEX(TBL_Name,MATCH(Table2[[#This Row],[Athlete Name]],listNames,0),2)</f>
        <v>Athlete 9</v>
      </c>
      <c r="D1384" s="1" t="s">
        <v>130</v>
      </c>
      <c r="E1384" s="1">
        <v>9</v>
      </c>
      <c r="F1384" s="1">
        <v>8</v>
      </c>
      <c r="G1384" s="1">
        <v>8</v>
      </c>
      <c r="H1384" s="1" t="s">
        <v>203</v>
      </c>
      <c r="I1384" s="1">
        <v>8</v>
      </c>
      <c r="J1384" s="1">
        <v>9</v>
      </c>
      <c r="K1384" s="1">
        <v>9</v>
      </c>
      <c r="L1384" s="1">
        <v>80</v>
      </c>
      <c r="M1384" s="1" t="e">
        <f t="shared" ref="M1384" ca="1" si="305">_xludf.concat($B1384,$P1384)</f>
        <v>#NAME?</v>
      </c>
      <c r="N1384" s="1" t="e">
        <f t="shared" si="248"/>
        <v>#VALUE!</v>
      </c>
      <c r="O1384" s="1" t="e">
        <f t="shared" ref="O1384" ca="1" si="306">IF($N1384=_xludf.MINIFS($N$2:$N2890,$R$2:$R2890,$R1384),1,
($N1384-_xludf.MINIFS($N$2:$N2890,$R$2:$R2890,$R1384))+1)</f>
        <v>#VALUE!</v>
      </c>
      <c r="P1384" s="13" t="e">
        <f t="shared" si="250"/>
        <v>#VALUE!</v>
      </c>
      <c r="Q1384" s="1" t="str">
        <f>RIGHT(YEAR($A1384),2)-(MONTH($A1384)&lt;=[3]Roster!$K$25)
 &amp;"-"&amp;
 RIGHT(YEAR($A1384),2)+(MONTH($A1384)&gt;=[3]Roster!$K$26)</f>
        <v>22-23</v>
      </c>
      <c r="R1384" s="1" t="e">
        <f>CHOOSE(MONTH($P1384),[3]Roster!$K$9,[3]Roster!$K$10,[3]Roster!$K$11,[3]Roster!$K$12,[3]Roster!$K$13,[3]Roster!$K$14,[3]Roster!$K$15,[3]Roster!$K$16,[3]Roster!$K$17,[3]Roster!$K$18,[3]Roster!$K$19,[3]Roster!$K$20)&amp;" "&amp;$Q1384</f>
        <v>#VALUE!</v>
      </c>
      <c r="S1384" s="1">
        <f t="shared" si="251"/>
        <v>1</v>
      </c>
      <c r="T1384" s="1" t="str">
        <f t="array" ref="T1384">IFERROR(INDEX([3]Roster!$D$3:$D$42,MATCH($B1384,[3]Roster!$C$3:$C$42,0)),"")</f>
        <v>MID/D</v>
      </c>
      <c r="U1384" s="1" t="str">
        <f t="array" ref="U1384">IFERROR(INDEX([3]Roster!$E$3:$E$42,MATCH($B1384,[3]Roster!$C$3:$C$42,0)),"")</f>
        <v>MID/D</v>
      </c>
      <c r="V1384" s="76">
        <f t="array" ref="V1384">AVERAGEIFS($E$2:$E2565,$B$2:$B2565,$B1384,$P$2:$P2565,"&lt;="&amp;$P1384,$P$2:$P2565,"&gt;"&amp;$P1384-7)</f>
        <v>8.9600000000000009</v>
      </c>
      <c r="W1384" s="76">
        <f ca="1">IFERROR(__xludf.DUMMYFUNCTION("iferror(stdevp(filter($D$2:$D2568,$B$2:$B2568=$B1387,$O$2:$O2568&lt;=$O1387,$O$2:$O2568&gt;$O1387-7)),0)"),0)</f>
        <v>0</v>
      </c>
      <c r="X1384" s="77">
        <f t="shared" ca="1" si="252"/>
        <v>0</v>
      </c>
      <c r="Y1384" s="77">
        <f t="shared" ca="1" si="253"/>
        <v>3</v>
      </c>
      <c r="Z1384" s="76">
        <f t="array" ref="Z1384">AVERAGEIFS($F$2:$F2565,$B$2:$B2565,$B1384,$P$2:$P2565,"&lt;="&amp;$P1384,$P$2:$P2565,"&gt;"&amp;$P1384-7)</f>
        <v>7.48</v>
      </c>
      <c r="AA1384" s="76">
        <f ca="1">IFERROR(__xludf.DUMMYFUNCTION("iferror(stdevp(filter($E$2:$E2568,$B$2:$B2568=$B1387,$O$2:$O2568&lt;=$O1387,$O$2:$O2568&gt;$O1387-7)),0)"),0.471404520791031)</f>
        <v>0.47140452079103101</v>
      </c>
      <c r="AB1384" s="77">
        <f t="shared" ca="1" si="254"/>
        <v>1.1030865786510149</v>
      </c>
      <c r="AC1384" s="77">
        <f t="shared" ca="1" si="255"/>
        <v>4</v>
      </c>
      <c r="AD1384" s="76">
        <f t="array" ref="AD1384">AVERAGEIFS($G$2:$G2565,$B$2:$B2565,$B1384,$P$2:$P2565,"&lt;="&amp;$P1384,$P$2:$P2565,"&gt;"&amp;$P1384-7)</f>
        <v>7.56</v>
      </c>
      <c r="AE1384" s="76">
        <f ca="1">IFERROR(__xludf.DUMMYFUNCTION("iferror(stdevp(filter($F$2:$F2568,$B$2:$B2568=$B1387,$O$2:$O2568&lt;=$O1387,$O$2:$O2568&gt;$O1387-7)),0)"),0.471404520791031)</f>
        <v>0.47140452079103101</v>
      </c>
      <c r="AF1384" s="77">
        <f t="shared" ca="1" si="256"/>
        <v>0.93338095116624487</v>
      </c>
      <c r="AG1384" s="77">
        <f t="shared" ca="1" si="257"/>
        <v>3</v>
      </c>
      <c r="AH1384" s="76">
        <f t="array" ref="AH1384">AVERAGEIFS($I$2:$I2565,$B$2:$B2565,$B1384,$P$2:$P2565,"&lt;="&amp;$P1384,$P$2:$P2565,"&gt;"&amp;$P1384-7)</f>
        <v>5.8</v>
      </c>
      <c r="AI1384" s="76">
        <f ca="1">IFERROR(__xludf.DUMMYFUNCTION("iferror(stdevp(filter($H$2:$H2568,$B$2:$B2568=$B1387,$O$2:$O2568&lt;=$O1387,$O$2:$O2568&gt;$O1387-7)),0)"),0.942809041582063)</f>
        <v>0.94280904158206302</v>
      </c>
      <c r="AJ1384" s="77">
        <f t="shared" ca="1" si="258"/>
        <v>2.333452377915608</v>
      </c>
      <c r="AK1384" s="77">
        <f t="shared" ca="1" si="259"/>
        <v>4</v>
      </c>
      <c r="AL1384" s="76">
        <f t="array" ref="AL1384">AVERAGEIFS($J$2:$J2565,$B$2:$B2565,$B1384,$P$2:$P2565,"&lt;="&amp;$P1384,$P$2:$P2565,"&gt;"&amp;$P1384-7)</f>
        <v>7.8</v>
      </c>
      <c r="AM1384" s="76">
        <f ca="1">IFERROR(__xludf.DUMMYFUNCTION("iferror(stdevp(filter($I$2:$I2568,$B$2:$B2568=$B1387,$O$2:$O2568&lt;=$O1387,$O$2:$O2568&gt;$O1387-7)),0)"),0.816496580927726)</f>
        <v>0.81649658092772603</v>
      </c>
      <c r="AN1384" s="77">
        <f t="shared" ca="1" si="260"/>
        <v>1.4696938456699071</v>
      </c>
      <c r="AO1384" s="77">
        <f t="shared" ca="1" si="261"/>
        <v>4</v>
      </c>
      <c r="AP1384" s="76">
        <f t="array" ref="AP1384">AVERAGEIFS($K$2:$K2565,$B$2:$B2565,$B1384,$P$2:$P2565,"&lt;="&amp;$P1384,$P$2:$P2565,"&gt;"&amp;$P1384-7)</f>
        <v>8.6</v>
      </c>
      <c r="AQ1384" s="76">
        <f ca="1">IFERROR(__xludf.DUMMYFUNCTION("iferror(stdevp(filter($J$2:$J2568,$B$2:$B2568=$B1387,$O$2:$O2568&lt;=$O1387,$O$2:$O2568&gt;$O1387-7)),0)"),0.471404520791031)</f>
        <v>0.47140452079103101</v>
      </c>
      <c r="AR1384" s="77">
        <f t="shared" ca="1" si="262"/>
        <v>0.84852813742385902</v>
      </c>
      <c r="AS1384" s="77">
        <f t="shared" ca="1" si="263"/>
        <v>3</v>
      </c>
      <c r="AT1384" s="78">
        <f t="shared" ca="1" si="264"/>
        <v>0.875</v>
      </c>
    </row>
    <row r="1385" spans="1:46" ht="12.5" x14ac:dyDescent="0.25">
      <c r="A1385" s="75">
        <v>44998.49374549769</v>
      </c>
      <c r="B1385" s="1" t="s">
        <v>23</v>
      </c>
      <c r="C1385" s="1" t="str">
        <f>INDEX(TBL_Name,MATCH(Table2[[#This Row],[Athlete Name]],listNames,0),2)</f>
        <v>Athlete 15</v>
      </c>
      <c r="D1385" s="1" t="s">
        <v>150</v>
      </c>
      <c r="E1385" s="1">
        <v>5</v>
      </c>
      <c r="F1385" s="1">
        <v>7</v>
      </c>
      <c r="G1385" s="1">
        <v>6</v>
      </c>
      <c r="H1385" s="1" t="s">
        <v>1604</v>
      </c>
      <c r="I1385" s="1">
        <v>10</v>
      </c>
      <c r="J1385" s="1">
        <v>8</v>
      </c>
      <c r="K1385" s="1">
        <v>10</v>
      </c>
      <c r="L1385" s="1">
        <v>50</v>
      </c>
      <c r="M1385" s="1" t="e">
        <f t="shared" ref="M1385" ca="1" si="307">_xludf.concat($B1385,$P1385)</f>
        <v>#NAME?</v>
      </c>
      <c r="N1385" s="1" t="e">
        <f t="shared" si="248"/>
        <v>#VALUE!</v>
      </c>
      <c r="O1385" s="1" t="e">
        <f t="shared" ref="O1385" ca="1" si="308">IF($N1385=_xludf.MINIFS($N$2:$N2891,$R$2:$R2891,$R1385),1,
($N1385-_xludf.MINIFS($N$2:$N2891,$R$2:$R2891,$R1385))+1)</f>
        <v>#VALUE!</v>
      </c>
      <c r="P1385" s="13" t="e">
        <f t="shared" si="250"/>
        <v>#VALUE!</v>
      </c>
      <c r="Q1385" s="1" t="str">
        <f>RIGHT(YEAR($A1385),2)-(MONTH($A1385)&lt;=[3]Roster!$K$25)
 &amp;"-"&amp;
 RIGHT(YEAR($A1385),2)+(MONTH($A1385)&gt;=[3]Roster!$K$26)</f>
        <v>22-23</v>
      </c>
      <c r="R1385" s="1" t="e">
        <f>CHOOSE(MONTH($P1385),[3]Roster!$K$9,[3]Roster!$K$10,[3]Roster!$K$11,[3]Roster!$K$12,[3]Roster!$K$13,[3]Roster!$K$14,[3]Roster!$K$15,[3]Roster!$K$16,[3]Roster!$K$17,[3]Roster!$K$18,[3]Roster!$K$19,[3]Roster!$K$20)&amp;" "&amp;$Q1385</f>
        <v>#VALUE!</v>
      </c>
      <c r="S1385" s="1">
        <f t="shared" si="251"/>
        <v>3</v>
      </c>
      <c r="T1385" s="1" t="str">
        <f t="array" ref="T1385">IFERROR(INDEX([3]Roster!$D$3:$D$42,MATCH($B1385,[3]Roster!$C$3:$C$42,0)),"")</f>
        <v>D</v>
      </c>
      <c r="U1385" s="1" t="str">
        <f t="array" ref="U1385">IFERROR(INDEX([3]Roster!$E$3:$E$42,MATCH($B1385,[3]Roster!$C$3:$C$42,0)),"")</f>
        <v>D</v>
      </c>
      <c r="V1385" s="76">
        <f t="array" ref="V1385">AVERAGEIFS($E$2:$E2565,$B$2:$B2565,$B1385,$P$2:$P2565,"&lt;="&amp;$P1385,$P$2:$P2565,"&gt;"&amp;$P1385-7)</f>
        <v>4.7777777777777777</v>
      </c>
      <c r="W1385" s="76">
        <f ca="1">IFERROR(__xludf.DUMMYFUNCTION("iferror(stdevp(filter($D$2:$D2568,$B$2:$B2568=$B1388,$O$2:$O2568&lt;=$O1388,$O$2:$O2568&gt;$O1388-7)),0)"),0)</f>
        <v>0</v>
      </c>
      <c r="X1385" s="77">
        <f t="shared" ca="1" si="252"/>
        <v>0</v>
      </c>
      <c r="Y1385" s="77">
        <f t="shared" ca="1" si="253"/>
        <v>3</v>
      </c>
      <c r="Z1385" s="76">
        <f t="array" ref="Z1385">AVERAGEIFS($F$2:$F2565,$B$2:$B2565,$B1385,$P$2:$P2565,"&lt;="&amp;$P1385,$P$2:$P2565,"&gt;"&amp;$P1385-7)</f>
        <v>6.4444444444444446</v>
      </c>
      <c r="AA1385" s="76">
        <f ca="1">IFERROR(__xludf.DUMMYFUNCTION("iferror(stdevp(filter($E$2:$E2568,$B$2:$B2568=$B1388,$O$2:$O2568&lt;=$O1388,$O$2:$O2568&gt;$O1388-7)),0)"),0)</f>
        <v>0</v>
      </c>
      <c r="AB1385" s="77">
        <f t="shared" ca="1" si="254"/>
        <v>0</v>
      </c>
      <c r="AC1385" s="77">
        <f t="shared" ca="1" si="255"/>
        <v>3</v>
      </c>
      <c r="AD1385" s="76">
        <f t="array" ref="AD1385">AVERAGEIFS($G$2:$G2565,$B$2:$B2565,$B1385,$P$2:$P2565,"&lt;="&amp;$P1385,$P$2:$P2565,"&gt;"&amp;$P1385-7)</f>
        <v>7.4444444444444446</v>
      </c>
      <c r="AE1385" s="76">
        <f ca="1">IFERROR(__xludf.DUMMYFUNCTION("iferror(stdevp(filter($F$2:$F2568,$B$2:$B2568=$B1388,$O$2:$O2568&lt;=$O1388,$O$2:$O2568&gt;$O1388-7)),0)"),0)</f>
        <v>0</v>
      </c>
      <c r="AF1385" s="77">
        <f t="shared" ca="1" si="256"/>
        <v>0</v>
      </c>
      <c r="AG1385" s="77">
        <f t="shared" ca="1" si="257"/>
        <v>3</v>
      </c>
      <c r="AH1385" s="76">
        <f t="array" ref="AH1385">AVERAGEIFS($I$2:$I2565,$B$2:$B2565,$B1385,$P$2:$P2565,"&lt;="&amp;$P1385,$P$2:$P2565,"&gt;"&amp;$P1385-7)</f>
        <v>6.7777777777777777</v>
      </c>
      <c r="AI1385" s="76">
        <f ca="1">IFERROR(__xludf.DUMMYFUNCTION("iferror(stdevp(filter($H$2:$H2568,$B$2:$B2568=$B1388,$O$2:$O2568&lt;=$O1388,$O$2:$O2568&gt;$O1388-7)),0)"),0)</f>
        <v>0</v>
      </c>
      <c r="AJ1385" s="77">
        <f t="shared" ca="1" si="258"/>
        <v>0</v>
      </c>
      <c r="AK1385" s="77">
        <f t="shared" ca="1" si="259"/>
        <v>3</v>
      </c>
      <c r="AL1385" s="76">
        <f t="array" ref="AL1385">AVERAGEIFS($J$2:$J2565,$B$2:$B2565,$B1385,$P$2:$P2565,"&lt;="&amp;$P1385,$P$2:$P2565,"&gt;"&amp;$P1385-7)</f>
        <v>8.2222222222222214</v>
      </c>
      <c r="AM1385" s="76">
        <f ca="1">IFERROR(__xludf.DUMMYFUNCTION("iferror(stdevp(filter($I$2:$I2568,$B$2:$B2568=$B1388,$O$2:$O2568&lt;=$O1388,$O$2:$O2568&gt;$O1388-7)),0)"),0)</f>
        <v>0</v>
      </c>
      <c r="AN1385" s="77">
        <f t="shared" ca="1" si="260"/>
        <v>0</v>
      </c>
      <c r="AO1385" s="77">
        <f t="shared" ca="1" si="261"/>
        <v>3</v>
      </c>
      <c r="AP1385" s="76">
        <f t="array" ref="AP1385">AVERAGEIFS($K$2:$K2565,$B$2:$B2565,$B1385,$P$2:$P2565,"&lt;="&amp;$P1385,$P$2:$P2565,"&gt;"&amp;$P1385-7)</f>
        <v>8.1111111111111107</v>
      </c>
      <c r="AQ1385" s="76">
        <f ca="1">IFERROR(__xludf.DUMMYFUNCTION("iferror(stdevp(filter($J$2:$J2568,$B$2:$B2568=$B1388,$O$2:$O2568&lt;=$O1388,$O$2:$O2568&gt;$O1388-7)),0)"),0)</f>
        <v>0</v>
      </c>
      <c r="AR1385" s="77">
        <f t="shared" ca="1" si="262"/>
        <v>0</v>
      </c>
      <c r="AS1385" s="77">
        <f t="shared" ca="1" si="263"/>
        <v>3</v>
      </c>
      <c r="AT1385" s="78">
        <f t="shared" ca="1" si="264"/>
        <v>0.75</v>
      </c>
    </row>
    <row r="1386" spans="1:46" ht="12.5" x14ac:dyDescent="0.25">
      <c r="A1386" s="75">
        <v>44998.596563761574</v>
      </c>
      <c r="B1386" s="1" t="s">
        <v>22</v>
      </c>
      <c r="C1386" s="1" t="str">
        <f>INDEX(TBL_Name,MATCH(Table2[[#This Row],[Athlete Name]],listNames,0),2)</f>
        <v>Athlete 14</v>
      </c>
      <c r="D1386" s="1" t="s">
        <v>130</v>
      </c>
      <c r="E1386" s="1">
        <v>6</v>
      </c>
      <c r="F1386" s="1">
        <v>4</v>
      </c>
      <c r="G1386" s="1">
        <v>6</v>
      </c>
      <c r="H1386" s="1" t="s">
        <v>715</v>
      </c>
      <c r="I1386" s="1">
        <v>8</v>
      </c>
      <c r="J1386" s="1">
        <v>7</v>
      </c>
      <c r="K1386" s="1">
        <v>5</v>
      </c>
      <c r="L1386" s="1">
        <v>84</v>
      </c>
      <c r="M1386" s="1" t="e">
        <f t="shared" ref="M1386" ca="1" si="309">_xludf.concat($B1386,$P1386)</f>
        <v>#NAME?</v>
      </c>
      <c r="N1386" s="1" t="e">
        <f t="shared" si="248"/>
        <v>#VALUE!</v>
      </c>
      <c r="O1386" s="1" t="e">
        <f t="shared" ref="O1386" ca="1" si="310">IF($N1386=_xludf.MINIFS($N$2:$N2892,$R$2:$R2892,$R1386),1,
($N1386-_xludf.MINIFS($N$2:$N2892,$R$2:$R2892,$R1386))+1)</f>
        <v>#VALUE!</v>
      </c>
      <c r="P1386" s="13" t="e">
        <f t="shared" si="250"/>
        <v>#VALUE!</v>
      </c>
      <c r="Q1386" s="1" t="str">
        <f>RIGHT(YEAR($A1386),2)-(MONTH($A1386)&lt;=[3]Roster!$K$25)
 &amp;"-"&amp;
 RIGHT(YEAR($A1386),2)+(MONTH($A1386)&gt;=[3]Roster!$K$26)</f>
        <v>22-23</v>
      </c>
      <c r="R1386" s="1" t="e">
        <f>CHOOSE(MONTH($P1386),[3]Roster!$K$9,[3]Roster!$K$10,[3]Roster!$K$11,[3]Roster!$K$12,[3]Roster!$K$13,[3]Roster!$K$14,[3]Roster!$K$15,[3]Roster!$K$16,[3]Roster!$K$17,[3]Roster!$K$18,[3]Roster!$K$19,[3]Roster!$K$20)&amp;" "&amp;$Q1386</f>
        <v>#VALUE!</v>
      </c>
      <c r="S1386" s="1">
        <f t="shared" si="251"/>
        <v>1</v>
      </c>
      <c r="T1386" s="1" t="str">
        <f t="array" ref="T1386">IFERROR(INDEX([3]Roster!$D$3:$D$42,MATCH($B1386,[3]Roster!$C$3:$C$42,0)),"")</f>
        <v>D</v>
      </c>
      <c r="U1386" s="1" t="str">
        <f t="array" ref="U1386">IFERROR(INDEX([3]Roster!$E$3:$E$42,MATCH($B1386,[3]Roster!$C$3:$C$42,0)),"")</f>
        <v>D</v>
      </c>
      <c r="V1386" s="76">
        <f t="array" ref="V1386">AVERAGEIFS($E$2:$E2565,$B$2:$B2565,$B1386,$P$2:$P2565,"&lt;="&amp;$P1386,$P$2:$P2565,"&gt;"&amp;$P1386-7)</f>
        <v>5.791666666666667</v>
      </c>
      <c r="W1386" s="76">
        <f ca="1">IFERROR(__xludf.DUMMYFUNCTION("iferror(stdevp(filter($D$2:$D2568,$B$2:$B2568=$B1389,$O$2:$O2568&lt;=$O1389,$O$2:$O2568&gt;$O1389-7)),0)"),0.816496580927726)</f>
        <v>0.81649658092772603</v>
      </c>
      <c r="X1386" s="77">
        <f t="shared" ca="1" si="252"/>
        <v>0.25515518153991401</v>
      </c>
      <c r="Y1386" s="77">
        <f t="shared" ca="1" si="253"/>
        <v>3</v>
      </c>
      <c r="Z1386" s="76">
        <f t="array" ref="Z1386">AVERAGEIFS($F$2:$F2565,$B$2:$B2565,$B1386,$P$2:$P2565,"&lt;="&amp;$P1386,$P$2:$P2565,"&gt;"&amp;$P1386-7)</f>
        <v>5.458333333333333</v>
      </c>
      <c r="AA1386" s="76">
        <f ca="1">IFERROR(__xludf.DUMMYFUNCTION("iferror(stdevp(filter($E$2:$E2568,$B$2:$B2568=$B1389,$O$2:$O2568&lt;=$O1389,$O$2:$O2568&gt;$O1389-7)),0)"),0.471404520791031)</f>
        <v>0.47140452079103101</v>
      </c>
      <c r="AB1386" s="77">
        <f t="shared" ca="1" si="254"/>
        <v>-3.0935921676911491</v>
      </c>
      <c r="AC1386" s="77">
        <f t="shared" ca="1" si="255"/>
        <v>1</v>
      </c>
      <c r="AD1386" s="76">
        <f t="array" ref="AD1386">AVERAGEIFS($G$2:$G2565,$B$2:$B2565,$B1386,$P$2:$P2565,"&lt;="&amp;$P1386,$P$2:$P2565,"&gt;"&amp;$P1386-7)</f>
        <v>6.833333333333333</v>
      </c>
      <c r="AE1386" s="76">
        <f ca="1">IFERROR(__xludf.DUMMYFUNCTION("iferror(stdevp(filter($F$2:$F2568,$B$2:$B2568=$B1389,$O$2:$O2568&lt;=$O1389,$O$2:$O2568&gt;$O1389-7)),0)"),0.942809041582063)</f>
        <v>0.94280904158206302</v>
      </c>
      <c r="AF1386" s="77">
        <f t="shared" ca="1" si="256"/>
        <v>-0.88388347648318444</v>
      </c>
      <c r="AG1386" s="77">
        <f t="shared" ca="1" si="257"/>
        <v>2</v>
      </c>
      <c r="AH1386" s="76">
        <f t="array" ref="AH1386">AVERAGEIFS($I$2:$I2565,$B$2:$B2565,$B1386,$P$2:$P2565,"&lt;="&amp;$P1386,$P$2:$P2565,"&gt;"&amp;$P1386-7)</f>
        <v>5.125</v>
      </c>
      <c r="AI1386" s="76">
        <f ca="1">IFERROR(__xludf.DUMMYFUNCTION("iferror(stdevp(filter($H$2:$H2568,$B$2:$B2568=$B1389,$O$2:$O2568&lt;=$O1389,$O$2:$O2568&gt;$O1389-7)),0)"),1.24721912892464)</f>
        <v>1.2472191289246399</v>
      </c>
      <c r="AJ1386" s="77">
        <f t="shared" ca="1" si="258"/>
        <v>2.3051282114946736</v>
      </c>
      <c r="AK1386" s="77">
        <f t="shared" ca="1" si="259"/>
        <v>4</v>
      </c>
      <c r="AL1386" s="76">
        <f t="array" ref="AL1386">AVERAGEIFS($J$2:$J2565,$B$2:$B2565,$B1386,$P$2:$P2565,"&lt;="&amp;$P1386,$P$2:$P2565,"&gt;"&amp;$P1386-7)</f>
        <v>7.125</v>
      </c>
      <c r="AM1386" s="76">
        <f ca="1">IFERROR(__xludf.DUMMYFUNCTION("iferror(stdevp(filter($I$2:$I2568,$B$2:$B2568=$B1389,$O$2:$O2568&lt;=$O1389,$O$2:$O2568&gt;$O1389-7)),0)"),0.471404520791031)</f>
        <v>0.47140452079103101</v>
      </c>
      <c r="AN1386" s="77">
        <f t="shared" ca="1" si="260"/>
        <v>-0.26516504294495569</v>
      </c>
      <c r="AO1386" s="77">
        <f t="shared" ca="1" si="261"/>
        <v>2</v>
      </c>
      <c r="AP1386" s="76">
        <f t="array" ref="AP1386">AVERAGEIFS($K$2:$K2565,$B$2:$B2565,$B1386,$P$2:$P2565,"&lt;="&amp;$P1386,$P$2:$P2565,"&gt;"&amp;$P1386-7)</f>
        <v>7.083333333333333</v>
      </c>
      <c r="AQ1386" s="76">
        <f ca="1">IFERROR(__xludf.DUMMYFUNCTION("iferror(stdevp(filter($J$2:$J2568,$B$2:$B2568=$B1389,$O$2:$O2568&lt;=$O1389,$O$2:$O2568&gt;$O1389-7)),0)"),1.24721912892464)</f>
        <v>1.2472191289246399</v>
      </c>
      <c r="AR1386" s="77">
        <f t="shared" ca="1" si="262"/>
        <v>-1.6703827619526619</v>
      </c>
      <c r="AS1386" s="77">
        <f t="shared" ca="1" si="263"/>
        <v>1</v>
      </c>
      <c r="AT1386" s="78">
        <f t="shared" ca="1" si="264"/>
        <v>0.54166666666666663</v>
      </c>
    </row>
    <row r="1387" spans="1:46" ht="12.5" x14ac:dyDescent="0.25">
      <c r="A1387" s="75">
        <v>44998.599556562505</v>
      </c>
      <c r="B1387" s="1" t="s">
        <v>4</v>
      </c>
      <c r="C1387" s="1" t="str">
        <f>INDEX(TBL_Name,MATCH(Table2[[#This Row],[Athlete Name]],listNames,0),2)</f>
        <v>Athlete 1</v>
      </c>
      <c r="D1387" s="1" t="s">
        <v>130</v>
      </c>
      <c r="E1387" s="1">
        <v>9</v>
      </c>
      <c r="F1387" s="1">
        <v>8</v>
      </c>
      <c r="G1387" s="1">
        <v>4</v>
      </c>
      <c r="H1387" s="1" t="s">
        <v>715</v>
      </c>
      <c r="I1387" s="1">
        <v>9</v>
      </c>
      <c r="J1387" s="1">
        <v>7</v>
      </c>
      <c r="K1387" s="1">
        <v>5</v>
      </c>
      <c r="L1387" s="1">
        <v>85</v>
      </c>
      <c r="M1387" s="1" t="e">
        <f t="shared" ref="M1387" ca="1" si="311">_xludf.concat($B1387,$P1387)</f>
        <v>#NAME?</v>
      </c>
      <c r="N1387" s="1" t="e">
        <f t="shared" si="248"/>
        <v>#VALUE!</v>
      </c>
      <c r="O1387" s="1" t="e">
        <f t="shared" ref="O1387" ca="1" si="312">IF($N1387=_xludf.MINIFS($N$2:$N2893,$R$2:$R2893,$R1387),1,
($N1387-_xludf.MINIFS($N$2:$N2893,$R$2:$R2893,$R1387))+1)</f>
        <v>#VALUE!</v>
      </c>
      <c r="P1387" s="13" t="e">
        <f t="shared" si="250"/>
        <v>#VALUE!</v>
      </c>
      <c r="Q1387" s="1" t="str">
        <f>RIGHT(YEAR($A1387),2)-(MONTH($A1387)&lt;=[3]Roster!$K$25)
 &amp;"-"&amp;
 RIGHT(YEAR($A1387),2)+(MONTH($A1387)&gt;=[3]Roster!$K$26)</f>
        <v>22-23</v>
      </c>
      <c r="R1387" s="1" t="e">
        <f>CHOOSE(MONTH($P1387),[3]Roster!$K$9,[3]Roster!$K$10,[3]Roster!$K$11,[3]Roster!$K$12,[3]Roster!$K$13,[3]Roster!$K$14,[3]Roster!$K$15,[3]Roster!$K$16,[3]Roster!$K$17,[3]Roster!$K$18,[3]Roster!$K$19,[3]Roster!$K$20)&amp;" "&amp;$Q1387</f>
        <v>#VALUE!</v>
      </c>
      <c r="S1387" s="1">
        <f t="shared" si="251"/>
        <v>1</v>
      </c>
      <c r="T1387" s="1" t="str">
        <f t="array" ref="T1387">IFERROR(INDEX([3]Roster!$D$3:$D$42,MATCH($B1387,[3]Roster!$C$3:$C$42,0)),"")</f>
        <v>FWD</v>
      </c>
      <c r="U1387" s="1" t="str">
        <f t="array" ref="U1387">IFERROR(INDEX([3]Roster!$E$3:$E$42,MATCH($B1387,[3]Roster!$C$3:$C$42,0)),"")</f>
        <v>FWD</v>
      </c>
      <c r="V1387" s="76">
        <f t="array" ref="V1387">AVERAGEIFS($E$2:$E2565,$B$2:$B2565,$B1387,$P$2:$P2565,"&lt;="&amp;$P1387,$P$2:$P2565,"&gt;"&amp;$P1387-7)</f>
        <v>8.3809523809523814</v>
      </c>
      <c r="W1387" s="76">
        <f ca="1">IFERROR(__xludf.DUMMYFUNCTION("iferror(stdevp(filter($D$2:$D2568,$B$2:$B2568=$B1390,$O$2:$O2568&lt;=$O1390,$O$2:$O2568&gt;$O1390-7)),0)"),0)</f>
        <v>0</v>
      </c>
      <c r="X1387" s="77">
        <f t="shared" ca="1" si="252"/>
        <v>0</v>
      </c>
      <c r="Y1387" s="77">
        <f t="shared" ca="1" si="253"/>
        <v>3</v>
      </c>
      <c r="Z1387" s="76">
        <f t="array" ref="Z1387">AVERAGEIFS($F$2:$F2565,$B$2:$B2565,$B1387,$P$2:$P2565,"&lt;="&amp;$P1387,$P$2:$P2565,"&gt;"&amp;$P1387-7)</f>
        <v>6.8571428571428568</v>
      </c>
      <c r="AA1387" s="76">
        <f ca="1">IFERROR(__xludf.DUMMYFUNCTION("iferror(stdevp(filter($E$2:$E2568,$B$2:$B2568=$B1390,$O$2:$O2568&lt;=$O1390,$O$2:$O2568&gt;$O1390-7)),0)"),0.5)</f>
        <v>0.5</v>
      </c>
      <c r="AB1387" s="77">
        <f t="shared" ca="1" si="254"/>
        <v>2.2857142857142865</v>
      </c>
      <c r="AC1387" s="77">
        <f t="shared" ca="1" si="255"/>
        <v>4</v>
      </c>
      <c r="AD1387" s="76">
        <f t="array" ref="AD1387">AVERAGEIFS($G$2:$G2565,$B$2:$B2565,$B1387,$P$2:$P2565,"&lt;="&amp;$P1387,$P$2:$P2565,"&gt;"&amp;$P1387-7)</f>
        <v>5.7619047619047619</v>
      </c>
      <c r="AE1387" s="76">
        <f ca="1">IFERROR(__xludf.DUMMYFUNCTION("iferror(stdevp(filter($F$2:$F2568,$B$2:$B2568=$B1390,$O$2:$O2568&lt;=$O1390,$O$2:$O2568&gt;$O1390-7)),0)"),1.5)</f>
        <v>1.5</v>
      </c>
      <c r="AF1387" s="77">
        <f t="shared" ca="1" si="256"/>
        <v>-1.1746031746031746</v>
      </c>
      <c r="AG1387" s="77">
        <f t="shared" ca="1" si="257"/>
        <v>1</v>
      </c>
      <c r="AH1387" s="76">
        <f t="array" ref="AH1387">AVERAGEIFS($I$2:$I2565,$B$2:$B2565,$B1387,$P$2:$P2565,"&lt;="&amp;$P1387,$P$2:$P2565,"&gt;"&amp;$P1387-7)</f>
        <v>6.8571428571428568</v>
      </c>
      <c r="AI1387" s="76">
        <f ca="1">IFERROR(__xludf.DUMMYFUNCTION("iferror(stdevp(filter($H$2:$H2568,$B$2:$B2568=$B1390,$O$2:$O2568&lt;=$O1390,$O$2:$O2568&gt;$O1390-7)),0)"),2)</f>
        <v>2</v>
      </c>
      <c r="AJ1387" s="77">
        <f t="shared" ca="1" si="258"/>
        <v>1.0714285714285716</v>
      </c>
      <c r="AK1387" s="77">
        <f t="shared" ca="1" si="259"/>
        <v>4</v>
      </c>
      <c r="AL1387" s="76">
        <f t="array" ref="AL1387">AVERAGEIFS($J$2:$J2565,$B$2:$B2565,$B1387,$P$2:$P2565,"&lt;="&amp;$P1387,$P$2:$P2565,"&gt;"&amp;$P1387-7)</f>
        <v>5.0952380952380949</v>
      </c>
      <c r="AM1387" s="76">
        <f ca="1">IFERROR(__xludf.DUMMYFUNCTION("iferror(stdevp(filter($I$2:$I2568,$B$2:$B2568=$B1390,$O$2:$O2568&lt;=$O1390,$O$2:$O2568&gt;$O1390-7)),0)"),0.5)</f>
        <v>0.5</v>
      </c>
      <c r="AN1387" s="77">
        <f t="shared" ca="1" si="260"/>
        <v>3.8095238095238102</v>
      </c>
      <c r="AO1387" s="77">
        <f t="shared" ca="1" si="261"/>
        <v>4</v>
      </c>
      <c r="AP1387" s="76">
        <f t="array" ref="AP1387">AVERAGEIFS($K$2:$K2565,$B$2:$B2565,$B1387,$P$2:$P2565,"&lt;="&amp;$P1387,$P$2:$P2565,"&gt;"&amp;$P1387-7)</f>
        <v>5.3809523809523814</v>
      </c>
      <c r="AQ1387" s="76">
        <f ca="1">IFERROR(__xludf.DUMMYFUNCTION("iferror(stdevp(filter($J$2:$J2568,$B$2:$B2568=$B1390,$O$2:$O2568&lt;=$O1390,$O$2:$O2568&gt;$O1390-7)),0)"),1)</f>
        <v>1</v>
      </c>
      <c r="AR1387" s="77">
        <f t="shared" ca="1" si="262"/>
        <v>-0.38095238095238138</v>
      </c>
      <c r="AS1387" s="77">
        <f t="shared" ca="1" si="263"/>
        <v>2</v>
      </c>
      <c r="AT1387" s="78">
        <f t="shared" ca="1" si="264"/>
        <v>0.75</v>
      </c>
    </row>
    <row r="1388" spans="1:46" ht="12.5" x14ac:dyDescent="0.25">
      <c r="A1388" s="75">
        <v>44998.604058495373</v>
      </c>
      <c r="B1388" s="1" t="s">
        <v>24</v>
      </c>
      <c r="C1388" s="1" t="str">
        <f>INDEX(TBL_Name,MATCH(Table2[[#This Row],[Athlete Name]],listNames,0),2)</f>
        <v>Athlete 16</v>
      </c>
      <c r="D1388" s="1" t="s">
        <v>130</v>
      </c>
      <c r="E1388" s="1">
        <v>5</v>
      </c>
      <c r="F1388" s="1">
        <v>6</v>
      </c>
      <c r="G1388" s="1">
        <v>6</v>
      </c>
      <c r="H1388" s="1" t="s">
        <v>1065</v>
      </c>
      <c r="I1388" s="1">
        <v>4</v>
      </c>
      <c r="J1388" s="1">
        <v>6</v>
      </c>
      <c r="K1388" s="1">
        <v>6</v>
      </c>
      <c r="L1388" s="1">
        <v>87</v>
      </c>
      <c r="M1388" s="1" t="e">
        <f t="shared" ref="M1388" ca="1" si="313">_xludf.concat($B1388,$P1388)</f>
        <v>#NAME?</v>
      </c>
      <c r="N1388" s="1" t="e">
        <f t="shared" si="248"/>
        <v>#VALUE!</v>
      </c>
      <c r="O1388" s="1" t="e">
        <f t="shared" ref="O1388" ca="1" si="314">IF($N1388=_xludf.MINIFS($N$2:$N2894,$R$2:$R2894,$R1388),1,
($N1388-_xludf.MINIFS($N$2:$N2894,$R$2:$R2894,$R1388))+1)</f>
        <v>#VALUE!</v>
      </c>
      <c r="P1388" s="13" t="e">
        <f t="shared" si="250"/>
        <v>#VALUE!</v>
      </c>
      <c r="Q1388" s="1" t="str">
        <f>RIGHT(YEAR($A1388),2)-(MONTH($A1388)&lt;=[3]Roster!$K$25)
 &amp;"-"&amp;
 RIGHT(YEAR($A1388),2)+(MONTH($A1388)&gt;=[3]Roster!$K$26)</f>
        <v>22-23</v>
      </c>
      <c r="R1388" s="1" t="e">
        <f>CHOOSE(MONTH($P1388),[3]Roster!$K$9,[3]Roster!$K$10,[3]Roster!$K$11,[3]Roster!$K$12,[3]Roster!$K$13,[3]Roster!$K$14,[3]Roster!$K$15,[3]Roster!$K$16,[3]Roster!$K$17,[3]Roster!$K$18,[3]Roster!$K$19,[3]Roster!$K$20)&amp;" "&amp;$Q1388</f>
        <v>#VALUE!</v>
      </c>
      <c r="S1388" s="1">
        <f t="shared" si="251"/>
        <v>1</v>
      </c>
      <c r="T1388" s="1" t="str">
        <f t="array" ref="T1388">IFERROR(INDEX([3]Roster!$D$3:$D$42,MATCH($B1388,[3]Roster!$C$3:$C$42,0)),"")</f>
        <v>D</v>
      </c>
      <c r="U1388" s="1" t="str">
        <f t="array" ref="U1388">IFERROR(INDEX([3]Roster!$E$3:$E$42,MATCH($B1388,[3]Roster!$C$3:$C$42,0)),"")</f>
        <v>D</v>
      </c>
      <c r="V1388" s="76">
        <f t="array" ref="V1388">AVERAGEIFS($E$2:$E2565,$B$2:$B2565,$B1388,$P$2:$P2565,"&lt;="&amp;$P1388,$P$2:$P2565,"&gt;"&amp;$P1388-7)</f>
        <v>4.1818181818181817</v>
      </c>
      <c r="W1388" s="76">
        <f ca="1">IFERROR(__xludf.DUMMYFUNCTION("iferror(stdevp(filter($D$2:$D2568,$B$2:$B2568=$B1391,$O$2:$O2568&lt;=$O1391,$O$2:$O2568&gt;$O1391-7)),0)"),2.49443825784929)</f>
        <v>2.4944382578492901</v>
      </c>
      <c r="X1388" s="77">
        <f t="shared" ca="1" si="252"/>
        <v>0.3280024332561578</v>
      </c>
      <c r="Y1388" s="77">
        <f t="shared" ca="1" si="253"/>
        <v>3</v>
      </c>
      <c r="Z1388" s="76">
        <f t="array" ref="Z1388">AVERAGEIFS($F$2:$F2565,$B$2:$B2565,$B1388,$P$2:$P2565,"&lt;="&amp;$P1388,$P$2:$P2565,"&gt;"&amp;$P1388-7)</f>
        <v>6</v>
      </c>
      <c r="AA1388" s="76">
        <f ca="1">IFERROR(__xludf.DUMMYFUNCTION("iferror(stdevp(filter($E$2:$E2568,$B$2:$B2568=$B1391,$O$2:$O2568&lt;=$O1391,$O$2:$O2568&gt;$O1391-7)),0)"),2.05480466765632)</f>
        <v>2.0548046676563199</v>
      </c>
      <c r="AB1388" s="77">
        <f t="shared" ca="1" si="254"/>
        <v>0</v>
      </c>
      <c r="AC1388" s="77">
        <f t="shared" ca="1" si="255"/>
        <v>3</v>
      </c>
      <c r="AD1388" s="76">
        <f t="array" ref="AD1388">AVERAGEIFS($G$2:$G2565,$B$2:$B2565,$B1388,$P$2:$P2565,"&lt;="&amp;$P1388,$P$2:$P2565,"&gt;"&amp;$P1388-7)</f>
        <v>5.9090909090909092</v>
      </c>
      <c r="AE1388" s="76">
        <f ca="1">IFERROR(__xludf.DUMMYFUNCTION("iferror(stdevp(filter($F$2:$F2568,$B$2:$B2568=$B1391,$O$2:$O2568&lt;=$O1391,$O$2:$O2568&gt;$O1391-7)),0)"),0.942809041582063)</f>
        <v>0.94280904158206302</v>
      </c>
      <c r="AF1388" s="77">
        <f t="shared" ca="1" si="256"/>
        <v>9.6423651979983704E-2</v>
      </c>
      <c r="AG1388" s="77">
        <f t="shared" ca="1" si="257"/>
        <v>3</v>
      </c>
      <c r="AH1388" s="76">
        <f t="array" ref="AH1388">AVERAGEIFS($I$2:$I2565,$B$2:$B2565,$B1388,$P$2:$P2565,"&lt;="&amp;$P1388,$P$2:$P2565,"&gt;"&amp;$P1388-7)</f>
        <v>4.9545454545454541</v>
      </c>
      <c r="AI1388" s="76">
        <f ca="1">IFERROR(__xludf.DUMMYFUNCTION("iferror(stdevp(filter($H$2:$H2568,$B$2:$B2568=$B1391,$O$2:$O2568&lt;=$O1391,$O$2:$O2568&gt;$O1391-7)),0)"),1.69967317119759)</f>
        <v>1.6996731711975901</v>
      </c>
      <c r="AJ1388" s="77">
        <f t="shared" ca="1" si="258"/>
        <v>-0.5616052960775284</v>
      </c>
      <c r="AK1388" s="77">
        <f t="shared" ca="1" si="259"/>
        <v>2</v>
      </c>
      <c r="AL1388" s="76">
        <f t="array" ref="AL1388">AVERAGEIFS($J$2:$J2565,$B$2:$B2565,$B1388,$P$2:$P2565,"&lt;="&amp;$P1388,$P$2:$P2565,"&gt;"&amp;$P1388-7)</f>
        <v>6.9090909090909092</v>
      </c>
      <c r="AM1388" s="76">
        <f ca="1">IFERROR(__xludf.DUMMYFUNCTION("iferror(stdevp(filter($I$2:$I2568,$B$2:$B2568=$B1391,$O$2:$O2568&lt;=$O1391,$O$2:$O2568&gt;$O1391-7)),0)"),1.63299316185545)</f>
        <v>1.6329931618554501</v>
      </c>
      <c r="AN1388" s="77">
        <f t="shared" ca="1" si="260"/>
        <v>-0.55670221426890487</v>
      </c>
      <c r="AO1388" s="77">
        <f t="shared" ca="1" si="261"/>
        <v>2</v>
      </c>
      <c r="AP1388" s="76">
        <f t="array" ref="AP1388">AVERAGEIFS($K$2:$K2565,$B$2:$B2565,$B1388,$P$2:$P2565,"&lt;="&amp;$P1388,$P$2:$P2565,"&gt;"&amp;$P1388-7)</f>
        <v>6.7272727272727275</v>
      </c>
      <c r="AQ1388" s="76">
        <f ca="1">IFERROR(__xludf.DUMMYFUNCTION("iferror(stdevp(filter($J$2:$J2568,$B$2:$B2568=$B1391,$O$2:$O2568&lt;=$O1391,$O$2:$O2568&gt;$O1391-7)),0)"),0.816496580927726)</f>
        <v>0.81649658092772603</v>
      </c>
      <c r="AR1388" s="77">
        <f t="shared" ca="1" si="262"/>
        <v>-0.89072354283024691</v>
      </c>
      <c r="AS1388" s="77">
        <f t="shared" ca="1" si="263"/>
        <v>2</v>
      </c>
      <c r="AT1388" s="78">
        <f t="shared" ca="1" si="264"/>
        <v>0.625</v>
      </c>
    </row>
    <row r="1389" spans="1:46" ht="12.5" x14ac:dyDescent="0.25">
      <c r="A1389" s="75">
        <v>44998.644973668983</v>
      </c>
      <c r="B1389" s="1" t="s">
        <v>7</v>
      </c>
      <c r="C1389" s="1" t="str">
        <f>INDEX(TBL_Name,MATCH(Table2[[#This Row],[Athlete Name]],listNames,0),2)</f>
        <v>Athlete 3</v>
      </c>
      <c r="D1389" s="1" t="s">
        <v>130</v>
      </c>
      <c r="E1389" s="1">
        <v>5</v>
      </c>
      <c r="F1389" s="1">
        <v>7</v>
      </c>
      <c r="G1389" s="1">
        <v>7</v>
      </c>
      <c r="H1389" s="1" t="s">
        <v>786</v>
      </c>
      <c r="I1389" s="1">
        <v>5</v>
      </c>
      <c r="J1389" s="1">
        <v>4</v>
      </c>
      <c r="K1389" s="1">
        <v>7</v>
      </c>
      <c r="L1389" s="1">
        <v>85</v>
      </c>
      <c r="M1389" s="1" t="e">
        <f t="shared" ref="M1389" ca="1" si="315">_xludf.concat($B1389,$P1389)</f>
        <v>#NAME?</v>
      </c>
      <c r="N1389" s="1" t="e">
        <f t="shared" si="248"/>
        <v>#VALUE!</v>
      </c>
      <c r="O1389" s="1" t="e">
        <f t="shared" ref="O1389" ca="1" si="316">IF($N1389=_xludf.MINIFS($N$2:$N2895,$R$2:$R2895,$R1389),1,
($N1389-_xludf.MINIFS($N$2:$N2895,$R$2:$R2895,$R1389))+1)</f>
        <v>#VALUE!</v>
      </c>
      <c r="P1389" s="13" t="e">
        <f t="shared" si="250"/>
        <v>#VALUE!</v>
      </c>
      <c r="Q1389" s="1" t="str">
        <f>RIGHT(YEAR($A1389),2)-(MONTH($A1389)&lt;=[3]Roster!$K$25)
 &amp;"-"&amp;
 RIGHT(YEAR($A1389),2)+(MONTH($A1389)&gt;=[3]Roster!$K$26)</f>
        <v>22-23</v>
      </c>
      <c r="R1389" s="1" t="e">
        <f>CHOOSE(MONTH($P1389),[3]Roster!$K$9,[3]Roster!$K$10,[3]Roster!$K$11,[3]Roster!$K$12,[3]Roster!$K$13,[3]Roster!$K$14,[3]Roster!$K$15,[3]Roster!$K$16,[3]Roster!$K$17,[3]Roster!$K$18,[3]Roster!$K$19,[3]Roster!$K$20)&amp;" "&amp;$Q1389</f>
        <v>#VALUE!</v>
      </c>
      <c r="S1389" s="1">
        <f t="shared" si="251"/>
        <v>1</v>
      </c>
      <c r="T1389" s="1" t="str">
        <f t="array" ref="T1389">IFERROR(INDEX([3]Roster!$D$3:$D$42,MATCH($B1389,[3]Roster!$C$3:$C$42,0)),"")</f>
        <v>F/MID</v>
      </c>
      <c r="U1389" s="1" t="str">
        <f t="array" ref="U1389">IFERROR(INDEX([3]Roster!$E$3:$E$42,MATCH($B1389,[3]Roster!$C$3:$C$42,0)),"")</f>
        <v>F/MID</v>
      </c>
      <c r="V1389" s="76">
        <f t="array" ref="V1389">AVERAGEIFS($E$2:$E2565,$B$2:$B2565,$B1389,$P$2:$P2565,"&lt;="&amp;$P1389,$P$2:$P2565,"&gt;"&amp;$P1389-7)</f>
        <v>6</v>
      </c>
      <c r="W1389" s="76">
        <f ca="1">IFERROR(__xludf.DUMMYFUNCTION("iferror(stdevp(filter($D$2:$D2568,$B$2:$B2568=$B1392,$O$2:$O2568&lt;=$O1392,$O$2:$O2568&gt;$O1392-7)),0)"),0.999999999999999)</f>
        <v>0.999999999999999</v>
      </c>
      <c r="X1389" s="77">
        <f t="shared" ca="1" si="252"/>
        <v>-1.0000000000000009</v>
      </c>
      <c r="Y1389" s="77">
        <f t="shared" ca="1" si="253"/>
        <v>1</v>
      </c>
      <c r="Z1389" s="76">
        <f t="array" ref="Z1389">AVERAGEIFS($F$2:$F2565,$B$2:$B2565,$B1389,$P$2:$P2565,"&lt;="&amp;$P1389,$P$2:$P2565,"&gt;"&amp;$P1389-7)</f>
        <v>7.3703703703703702</v>
      </c>
      <c r="AA1389" s="76">
        <f ca="1">IFERROR(__xludf.DUMMYFUNCTION("iferror(stdevp(filter($E$2:$E2568,$B$2:$B2568=$B1392,$O$2:$O2568&lt;=$O1392,$O$2:$O2568&gt;$O1392-7)),0)"),0.433012701892219)</f>
        <v>0.43301270189221902</v>
      </c>
      <c r="AB1389" s="77">
        <f t="shared" ca="1" si="254"/>
        <v>-0.85533373213277919</v>
      </c>
      <c r="AC1389" s="77">
        <f t="shared" ca="1" si="255"/>
        <v>2</v>
      </c>
      <c r="AD1389" s="76">
        <f t="array" ref="AD1389">AVERAGEIFS($G$2:$G2565,$B$2:$B2565,$B1389,$P$2:$P2565,"&lt;="&amp;$P1389,$P$2:$P2565,"&gt;"&amp;$P1389-7)</f>
        <v>7.7777777777777777</v>
      </c>
      <c r="AE1389" s="76">
        <f ca="1">IFERROR(__xludf.DUMMYFUNCTION("iferror(stdevp(filter($F$2:$F2568,$B$2:$B2568=$B1392,$O$2:$O2568&lt;=$O1392,$O$2:$O2568&gt;$O1392-7)),0)"),0.707106781186547)</f>
        <v>0.70710678118654702</v>
      </c>
      <c r="AF1389" s="77">
        <f t="shared" ca="1" si="256"/>
        <v>-1.0999438818457412</v>
      </c>
      <c r="AG1389" s="77">
        <f t="shared" ca="1" si="257"/>
        <v>1</v>
      </c>
      <c r="AH1389" s="76">
        <f t="array" ref="AH1389">AVERAGEIFS($I$2:$I2565,$B$2:$B2565,$B1389,$P$2:$P2565,"&lt;="&amp;$P1389,$P$2:$P2565,"&gt;"&amp;$P1389-7)</f>
        <v>6.333333333333333</v>
      </c>
      <c r="AI1389" s="76">
        <f ca="1">IFERROR(__xludf.DUMMYFUNCTION("iferror(stdevp(filter($H$2:$H2568,$B$2:$B2568=$B1392,$O$2:$O2568&lt;=$O1392,$O$2:$O2568&gt;$O1392-7)),0)"),0.866025403784438)</f>
        <v>0.86602540378443804</v>
      </c>
      <c r="AJ1389" s="77">
        <f t="shared" ca="1" si="258"/>
        <v>-1.5396007178390028</v>
      </c>
      <c r="AK1389" s="77">
        <f t="shared" ca="1" si="259"/>
        <v>1</v>
      </c>
      <c r="AL1389" s="76">
        <f t="array" ref="AL1389">AVERAGEIFS($J$2:$J2565,$B$2:$B2565,$B1389,$P$2:$P2565,"&lt;="&amp;$P1389,$P$2:$P2565,"&gt;"&amp;$P1389-7)</f>
        <v>5.4230769230769234</v>
      </c>
      <c r="AM1389" s="76">
        <f ca="1">IFERROR(__xludf.DUMMYFUNCTION("iferror(stdevp(filter($I$2:$I2568,$B$2:$B2568=$B1392,$O$2:$O2568&lt;=$O1392,$O$2:$O2568&gt;$O1392-7)),0)"),2.27760839478607)</f>
        <v>2.2776083947860699</v>
      </c>
      <c r="AN1389" s="77">
        <f t="shared" ca="1" si="260"/>
        <v>-0.62481194147977726</v>
      </c>
      <c r="AO1389" s="77">
        <f t="shared" ca="1" si="261"/>
        <v>2</v>
      </c>
      <c r="AP1389" s="76">
        <f t="array" ref="AP1389">AVERAGEIFS($K$2:$K2565,$B$2:$B2565,$B1389,$P$2:$P2565,"&lt;="&amp;$P1389,$P$2:$P2565,"&gt;"&amp;$P1389-7)</f>
        <v>7.5769230769230766</v>
      </c>
      <c r="AQ1389" s="76">
        <f ca="1">IFERROR(__xludf.DUMMYFUNCTION("iferror(stdevp(filter($J$2:$J2568,$B$2:$B2568=$B1392,$O$2:$O2568&lt;=$O1392,$O$2:$O2568&gt;$O1392-7)),0)"),0.707106781186547)</f>
        <v>0.70710678118654702</v>
      </c>
      <c r="AR1389" s="77">
        <f t="shared" ca="1" si="262"/>
        <v>-0.81589243983063198</v>
      </c>
      <c r="AS1389" s="77">
        <f t="shared" ca="1" si="263"/>
        <v>2</v>
      </c>
      <c r="AT1389" s="78">
        <f t="shared" ca="1" si="264"/>
        <v>0.375</v>
      </c>
    </row>
    <row r="1390" spans="1:46" ht="12.5" x14ac:dyDescent="0.25">
      <c r="A1390" s="75">
        <v>44999.337271689816</v>
      </c>
      <c r="B1390" s="1" t="s">
        <v>24</v>
      </c>
      <c r="C1390" s="1" t="str">
        <f>INDEX(TBL_Name,MATCH(Table2[[#This Row],[Athlete Name]],listNames,0),2)</f>
        <v>Athlete 16</v>
      </c>
      <c r="D1390" s="1" t="s">
        <v>130</v>
      </c>
      <c r="E1390" s="1">
        <v>5</v>
      </c>
      <c r="F1390" s="1">
        <v>5</v>
      </c>
      <c r="G1390" s="1">
        <v>7</v>
      </c>
      <c r="H1390" s="1" t="s">
        <v>1349</v>
      </c>
      <c r="I1390" s="1">
        <v>5</v>
      </c>
      <c r="J1390" s="1">
        <v>8</v>
      </c>
      <c r="K1390" s="1">
        <v>10</v>
      </c>
      <c r="L1390" s="1">
        <v>90</v>
      </c>
      <c r="M1390" s="1" t="e">
        <f t="shared" ref="M1390" ca="1" si="317">_xludf.concat($B1390,$P1390)</f>
        <v>#NAME?</v>
      </c>
      <c r="N1390" s="1" t="e">
        <f t="shared" si="248"/>
        <v>#VALUE!</v>
      </c>
      <c r="O1390" s="1" t="e">
        <f t="shared" ref="O1390" ca="1" si="318">IF($N1390=_xludf.MINIFS($N$2:$N2896,$R$2:$R2896,$R1390),1,
($N1390-_xludf.MINIFS($N$2:$N2896,$R$2:$R2896,$R1390))+1)</f>
        <v>#VALUE!</v>
      </c>
      <c r="P1390" s="13" t="e">
        <f t="shared" si="250"/>
        <v>#VALUE!</v>
      </c>
      <c r="Q1390" s="1" t="str">
        <f>RIGHT(YEAR($A1390),2)-(MONTH($A1390)&lt;=[3]Roster!$K$25)
 &amp;"-"&amp;
 RIGHT(YEAR($A1390),2)+(MONTH($A1390)&gt;=[3]Roster!$K$26)</f>
        <v>22-23</v>
      </c>
      <c r="R1390" s="1" t="e">
        <f>CHOOSE(MONTH($P1390),[3]Roster!$K$9,[3]Roster!$K$10,[3]Roster!$K$11,[3]Roster!$K$12,[3]Roster!$K$13,[3]Roster!$K$14,[3]Roster!$K$15,[3]Roster!$K$16,[3]Roster!$K$17,[3]Roster!$K$18,[3]Roster!$K$19,[3]Roster!$K$20)&amp;" "&amp;$Q1390</f>
        <v>#VALUE!</v>
      </c>
      <c r="S1390" s="1">
        <f t="shared" si="251"/>
        <v>1</v>
      </c>
      <c r="T1390" s="1" t="str">
        <f t="array" ref="T1390">IFERROR(INDEX([3]Roster!$D$3:$D$42,MATCH($B1390,[3]Roster!$C$3:$C$42,0)),"")</f>
        <v>D</v>
      </c>
      <c r="U1390" s="1" t="str">
        <f t="array" ref="U1390">IFERROR(INDEX([3]Roster!$E$3:$E$42,MATCH($B1390,[3]Roster!$C$3:$C$42,0)),"")</f>
        <v>D</v>
      </c>
      <c r="V1390" s="76">
        <f t="array" ref="V1390">AVERAGEIFS($E$2:$E2565,$B$2:$B2565,$B1390,$P$2:$P2565,"&lt;="&amp;$P1390,$P$2:$P2565,"&gt;"&amp;$P1390-7)</f>
        <v>4.1818181818181817</v>
      </c>
      <c r="W1390" s="76">
        <f ca="1">IFERROR(__xludf.DUMMYFUNCTION("iferror(stdevp(filter($D$2:$D2568,$B$2:$B2568=$B1393,$O$2:$O2568&lt;=$O1393,$O$2:$O2568&gt;$O1393-7)),0)"),1.88561808316412)</f>
        <v>1.8856180831641201</v>
      </c>
      <c r="X1390" s="77">
        <f t="shared" ca="1" si="252"/>
        <v>0.4339064339099285</v>
      </c>
      <c r="Y1390" s="77">
        <f t="shared" ca="1" si="253"/>
        <v>3</v>
      </c>
      <c r="Z1390" s="76">
        <f t="array" ref="Z1390">AVERAGEIFS($F$2:$F2565,$B$2:$B2565,$B1390,$P$2:$P2565,"&lt;="&amp;$P1390,$P$2:$P2565,"&gt;"&amp;$P1390-7)</f>
        <v>6</v>
      </c>
      <c r="AA1390" s="76">
        <f ca="1">IFERROR(__xludf.DUMMYFUNCTION("iferror(stdevp(filter($E$2:$E2568,$B$2:$B2568=$B1393,$O$2:$O2568&lt;=$O1393,$O$2:$O2568&gt;$O1393-7)),0)"),1.24721912892464)</f>
        <v>1.2472191289246399</v>
      </c>
      <c r="AB1390" s="77">
        <f t="shared" ca="1" si="254"/>
        <v>-0.80178372573727774</v>
      </c>
      <c r="AC1390" s="77">
        <f t="shared" ca="1" si="255"/>
        <v>2</v>
      </c>
      <c r="AD1390" s="76">
        <f t="array" ref="AD1390">AVERAGEIFS($G$2:$G2565,$B$2:$B2565,$B1390,$P$2:$P2565,"&lt;="&amp;$P1390,$P$2:$P2565,"&gt;"&amp;$P1390-7)</f>
        <v>5.9090909090909092</v>
      </c>
      <c r="AE1390" s="76">
        <f ca="1">IFERROR(__xludf.DUMMYFUNCTION("iferror(stdevp(filter($F$2:$F2568,$B$2:$B2568=$B1393,$O$2:$O2568&lt;=$O1393,$O$2:$O2568&gt;$O1393-7)),0)"),1.24721912892464)</f>
        <v>1.2472191289246399</v>
      </c>
      <c r="AF1390" s="77">
        <f t="shared" ca="1" si="256"/>
        <v>0.87467315534975754</v>
      </c>
      <c r="AG1390" s="77">
        <f t="shared" ca="1" si="257"/>
        <v>3</v>
      </c>
      <c r="AH1390" s="76">
        <f t="array" ref="AH1390">AVERAGEIFS($I$2:$I2565,$B$2:$B2565,$B1390,$P$2:$P2565,"&lt;="&amp;$P1390,$P$2:$P2565,"&gt;"&amp;$P1390-7)</f>
        <v>4.9545454545454541</v>
      </c>
      <c r="AI1390" s="76">
        <f ca="1">IFERROR(__xludf.DUMMYFUNCTION("iferror(stdevp(filter($H$2:$H2568,$B$2:$B2568=$B1393,$O$2:$O2568&lt;=$O1393,$O$2:$O2568&gt;$O1393-7)),0)"),0.816496580927726)</f>
        <v>0.81649658092772603</v>
      </c>
      <c r="AJ1390" s="77">
        <f t="shared" ca="1" si="258"/>
        <v>5.5670221426890903E-2</v>
      </c>
      <c r="AK1390" s="77">
        <f t="shared" ca="1" si="259"/>
        <v>3</v>
      </c>
      <c r="AL1390" s="76">
        <f t="array" ref="AL1390">AVERAGEIFS($J$2:$J2565,$B$2:$B2565,$B1390,$P$2:$P2565,"&lt;="&amp;$P1390,$P$2:$P2565,"&gt;"&amp;$P1390-7)</f>
        <v>6.9090909090909092</v>
      </c>
      <c r="AM1390" s="76">
        <f ca="1">IFERROR(__xludf.DUMMYFUNCTION("iferror(stdevp(filter($I$2:$I2568,$B$2:$B2568=$B1393,$O$2:$O2568&lt;=$O1393,$O$2:$O2568&gt;$O1393-7)),0)"),1.63299316185545)</f>
        <v>1.6329931618554501</v>
      </c>
      <c r="AN1390" s="77">
        <f t="shared" ca="1" si="260"/>
        <v>0.66804265712268573</v>
      </c>
      <c r="AO1390" s="77">
        <f t="shared" ca="1" si="261"/>
        <v>3</v>
      </c>
      <c r="AP1390" s="76">
        <f t="array" ref="AP1390">AVERAGEIFS($K$2:$K2565,$B$2:$B2565,$B1390,$P$2:$P2565,"&lt;="&amp;$P1390,$P$2:$P2565,"&gt;"&amp;$P1390-7)</f>
        <v>6.7272727272727275</v>
      </c>
      <c r="AQ1390" s="76">
        <f ca="1">IFERROR(__xludf.DUMMYFUNCTION("iferror(stdevp(filter($J$2:$J2568,$B$2:$B2568=$B1393,$O$2:$O2568&lt;=$O1393,$O$2:$O2568&gt;$O1393-7)),0)"),2.16024689946928)</f>
        <v>2.1602468994692798</v>
      </c>
      <c r="AR1390" s="77">
        <f t="shared" ca="1" si="262"/>
        <v>1.5149783450823617</v>
      </c>
      <c r="AS1390" s="77">
        <f t="shared" ca="1" si="263"/>
        <v>4</v>
      </c>
      <c r="AT1390" s="78">
        <f t="shared" ca="1" si="264"/>
        <v>0.75</v>
      </c>
    </row>
    <row r="1391" spans="1:46" ht="12.5" x14ac:dyDescent="0.25">
      <c r="A1391" s="75">
        <v>44999.363787916664</v>
      </c>
      <c r="B1391" s="1" t="s">
        <v>10</v>
      </c>
      <c r="C1391" s="1" t="str">
        <f>INDEX(TBL_Name,MATCH(Table2[[#This Row],[Athlete Name]],listNames,0),2)</f>
        <v>Athlete 5</v>
      </c>
      <c r="D1391" s="1" t="s">
        <v>130</v>
      </c>
      <c r="E1391" s="1">
        <v>8</v>
      </c>
      <c r="F1391" s="1">
        <v>9</v>
      </c>
      <c r="G1391" s="1">
        <v>9</v>
      </c>
      <c r="H1391" s="1" t="s">
        <v>362</v>
      </c>
      <c r="I1391" s="1">
        <v>8</v>
      </c>
      <c r="J1391" s="1">
        <v>8</v>
      </c>
      <c r="K1391" s="1">
        <v>9</v>
      </c>
      <c r="L1391" s="1">
        <v>85</v>
      </c>
      <c r="M1391" s="1" t="e">
        <f t="shared" ref="M1391" ca="1" si="319">_xludf.concat($B1391,$P1391)</f>
        <v>#NAME?</v>
      </c>
      <c r="N1391" s="1" t="e">
        <f t="shared" si="248"/>
        <v>#VALUE!</v>
      </c>
      <c r="O1391" s="1" t="e">
        <f t="shared" ref="O1391" ca="1" si="320">IF($N1391=_xludf.MINIFS($N$2:$N2897,$R$2:$R2897,$R1391),1,
($N1391-_xludf.MINIFS($N$2:$N2897,$R$2:$R2897,$R1391))+1)</f>
        <v>#VALUE!</v>
      </c>
      <c r="P1391" s="13" t="e">
        <f t="shared" si="250"/>
        <v>#VALUE!</v>
      </c>
      <c r="Q1391" s="1" t="str">
        <f>RIGHT(YEAR($A1391),2)-(MONTH($A1391)&lt;=[3]Roster!$K$25)
 &amp;"-"&amp;
 RIGHT(YEAR($A1391),2)+(MONTH($A1391)&gt;=[3]Roster!$K$26)</f>
        <v>22-23</v>
      </c>
      <c r="R1391" s="1" t="e">
        <f>CHOOSE(MONTH($P1391),[3]Roster!$K$9,[3]Roster!$K$10,[3]Roster!$K$11,[3]Roster!$K$12,[3]Roster!$K$13,[3]Roster!$K$14,[3]Roster!$K$15,[3]Roster!$K$16,[3]Roster!$K$17,[3]Roster!$K$18,[3]Roster!$K$19,[3]Roster!$K$20)&amp;" "&amp;$Q1391</f>
        <v>#VALUE!</v>
      </c>
      <c r="S1391" s="1">
        <f t="shared" si="251"/>
        <v>1</v>
      </c>
      <c r="T1391" s="1" t="str">
        <f t="array" ref="T1391">IFERROR(INDEX([3]Roster!$D$3:$D$42,MATCH($B1391,[3]Roster!$C$3:$C$42,0)),"")</f>
        <v>MID</v>
      </c>
      <c r="U1391" s="1" t="str">
        <f t="array" ref="U1391">IFERROR(INDEX([3]Roster!$E$3:$E$42,MATCH($B1391,[3]Roster!$C$3:$C$42,0)),"")</f>
        <v>MID</v>
      </c>
      <c r="V1391" s="76">
        <f t="array" ref="V1391">AVERAGEIFS($E$2:$E2565,$B$2:$B2565,$B1391,$P$2:$P2565,"&lt;="&amp;$P1391,$P$2:$P2565,"&gt;"&amp;$P1391-7)</f>
        <v>8.4042553191489358</v>
      </c>
      <c r="W1391" s="76">
        <f ca="1">IFERROR(__xludf.DUMMYFUNCTION("iferror(stdevp(filter($D$2:$D2568,$B$2:$B2568=$B1394,$O$2:$O2568&lt;=$O1394,$O$2:$O2568&gt;$O1394-7)),0)"),0.489897948556635)</f>
        <v>0.48989794855663499</v>
      </c>
      <c r="X1391" s="77">
        <f t="shared" ca="1" si="252"/>
        <v>-0.82518271476738292</v>
      </c>
      <c r="Y1391" s="77">
        <f t="shared" ca="1" si="253"/>
        <v>2</v>
      </c>
      <c r="Z1391" s="76">
        <f t="array" ref="Z1391">AVERAGEIFS($F$2:$F2565,$B$2:$B2565,$B1391,$P$2:$P2565,"&lt;="&amp;$P1391,$P$2:$P2565,"&gt;"&amp;$P1391-7)</f>
        <v>8.085106382978724</v>
      </c>
      <c r="AA1391" s="76">
        <f ca="1">IFERROR(__xludf.DUMMYFUNCTION("iferror(stdevp(filter($E$2:$E2568,$B$2:$B2568=$B1394,$O$2:$O2568&lt;=$O1394,$O$2:$O2568&gt;$O1394-7)),0)"),1.16619037896906)</f>
        <v>1.16619037896906</v>
      </c>
      <c r="AB1391" s="77">
        <f t="shared" ca="1" si="254"/>
        <v>0.78451480437530596</v>
      </c>
      <c r="AC1391" s="77">
        <f t="shared" ca="1" si="255"/>
        <v>3</v>
      </c>
      <c r="AD1391" s="76">
        <f t="array" ref="AD1391">AVERAGEIFS($G$2:$G2565,$B$2:$B2565,$B1391,$P$2:$P2565,"&lt;="&amp;$P1391,$P$2:$P2565,"&gt;"&amp;$P1391-7)</f>
        <v>8.0638297872340434</v>
      </c>
      <c r="AE1391" s="76">
        <f ca="1">IFERROR(__xludf.DUMMYFUNCTION("iferror(stdevp(filter($F$2:$F2568,$B$2:$B2568=$B1394,$O$2:$O2568&lt;=$O1394,$O$2:$O2568&gt;$O1394-7)),0)"),1.16619037896906)</f>
        <v>1.16619037896906</v>
      </c>
      <c r="AF1391" s="77">
        <f t="shared" ca="1" si="256"/>
        <v>0.80275933470961514</v>
      </c>
      <c r="AG1391" s="77">
        <f t="shared" ca="1" si="257"/>
        <v>3</v>
      </c>
      <c r="AH1391" s="76">
        <f t="array" ref="AH1391">AVERAGEIFS($I$2:$I2565,$B$2:$B2565,$B1391,$P$2:$P2565,"&lt;="&amp;$P1391,$P$2:$P2565,"&gt;"&amp;$P1391-7)</f>
        <v>6.7446808510638299</v>
      </c>
      <c r="AI1391" s="76">
        <f ca="1">IFERROR(__xludf.DUMMYFUNCTION("iferror(stdevp(filter($H$2:$H2568,$B$2:$B2568=$B1394,$O$2:$O2568&lt;=$O1394,$O$2:$O2568&gt;$O1394-7)),0)"),1.85472369909914)</f>
        <v>1.85472369909914</v>
      </c>
      <c r="AJ1391" s="77">
        <f t="shared" ca="1" si="258"/>
        <v>0.6768227254258371</v>
      </c>
      <c r="AK1391" s="77">
        <f t="shared" ca="1" si="259"/>
        <v>3</v>
      </c>
      <c r="AL1391" s="76">
        <f t="array" ref="AL1391">AVERAGEIFS($J$2:$J2565,$B$2:$B2565,$B1391,$P$2:$P2565,"&lt;="&amp;$P1391,$P$2:$P2565,"&gt;"&amp;$P1391-7)</f>
        <v>8.1063829787234045</v>
      </c>
      <c r="AM1391" s="76">
        <f ca="1">IFERROR(__xludf.DUMMYFUNCTION("iferror(stdevp(filter($I$2:$I2568,$B$2:$B2568=$B1394,$O$2:$O2568&lt;=$O1394,$O$2:$O2568&gt;$O1394-7)),0)"),0.489897948556635)</f>
        <v>0.48989794855663499</v>
      </c>
      <c r="AN1391" s="77">
        <f t="shared" ca="1" si="260"/>
        <v>-0.21715334599141731</v>
      </c>
      <c r="AO1391" s="77">
        <f t="shared" ca="1" si="261"/>
        <v>2</v>
      </c>
      <c r="AP1391" s="76">
        <f t="array" ref="AP1391">AVERAGEIFS($K$2:$K2565,$B$2:$B2565,$B1391,$P$2:$P2565,"&lt;="&amp;$P1391,$P$2:$P2565,"&gt;"&amp;$P1391-7)</f>
        <v>8.2978723404255312</v>
      </c>
      <c r="AQ1391" s="76">
        <f ca="1">IFERROR(__xludf.DUMMYFUNCTION("iferror(stdevp(filter($J$2:$J2568,$B$2:$B2568=$B1394,$O$2:$O2568&lt;=$O1394,$O$2:$O2568&gt;$O1394-7)),0)"),0.399999999999999)</f>
        <v>0.39999999999999902</v>
      </c>
      <c r="AR1391" s="77">
        <f t="shared" ca="1" si="262"/>
        <v>1.7553191489361761</v>
      </c>
      <c r="AS1391" s="77">
        <f t="shared" ca="1" si="263"/>
        <v>4</v>
      </c>
      <c r="AT1391" s="78">
        <f t="shared" ca="1" si="264"/>
        <v>0.70833333333333337</v>
      </c>
    </row>
    <row r="1392" spans="1:46" ht="12.5" x14ac:dyDescent="0.25">
      <c r="A1392" s="75">
        <v>44999.386817233797</v>
      </c>
      <c r="B1392" s="1" t="s">
        <v>13</v>
      </c>
      <c r="C1392" s="1" t="str">
        <f>INDEX(TBL_Name,MATCH(Table2[[#This Row],[Athlete Name]],listNames,0),2)</f>
        <v>Athlete 7</v>
      </c>
      <c r="D1392" s="1" t="s">
        <v>130</v>
      </c>
      <c r="E1392" s="1">
        <v>8</v>
      </c>
      <c r="F1392" s="1">
        <v>6</v>
      </c>
      <c r="G1392" s="1">
        <v>7</v>
      </c>
      <c r="H1392" s="1" t="s">
        <v>71</v>
      </c>
      <c r="I1392" s="1">
        <v>7</v>
      </c>
      <c r="J1392" s="1">
        <v>10</v>
      </c>
      <c r="K1392" s="1">
        <v>10</v>
      </c>
      <c r="L1392" s="1">
        <v>80</v>
      </c>
      <c r="M1392" s="1" t="e">
        <f t="shared" ref="M1392" ca="1" si="321">_xludf.concat($B1392,$P1392)</f>
        <v>#NAME?</v>
      </c>
      <c r="N1392" s="1" t="e">
        <f t="shared" si="248"/>
        <v>#VALUE!</v>
      </c>
      <c r="O1392" s="1" t="e">
        <f t="shared" ref="O1392" ca="1" si="322">IF($N1392=_xludf.MINIFS($N$2:$N2898,$R$2:$R2898,$R1392),1,
($N1392-_xludf.MINIFS($N$2:$N2898,$R$2:$R2898,$R1392))+1)</f>
        <v>#VALUE!</v>
      </c>
      <c r="P1392" s="13" t="e">
        <f t="shared" si="250"/>
        <v>#VALUE!</v>
      </c>
      <c r="Q1392" s="1" t="str">
        <f>RIGHT(YEAR($A1392),2)-(MONTH($A1392)&lt;=[3]Roster!$K$25)
 &amp;"-"&amp;
 RIGHT(YEAR($A1392),2)+(MONTH($A1392)&gt;=[3]Roster!$K$26)</f>
        <v>22-23</v>
      </c>
      <c r="R1392" s="1" t="e">
        <f>CHOOSE(MONTH($P1392),[3]Roster!$K$9,[3]Roster!$K$10,[3]Roster!$K$11,[3]Roster!$K$12,[3]Roster!$K$13,[3]Roster!$K$14,[3]Roster!$K$15,[3]Roster!$K$16,[3]Roster!$K$17,[3]Roster!$K$18,[3]Roster!$K$19,[3]Roster!$K$20)&amp;" "&amp;$Q1392</f>
        <v>#VALUE!</v>
      </c>
      <c r="S1392" s="1">
        <f t="shared" si="251"/>
        <v>1</v>
      </c>
      <c r="T1392" s="1" t="str">
        <f t="array" ref="T1392">IFERROR(INDEX([3]Roster!$D$3:$D$42,MATCH($B1392,[3]Roster!$C$3:$C$42,0)),"")</f>
        <v>MID/D</v>
      </c>
      <c r="U1392" s="1" t="str">
        <f t="array" ref="U1392">IFERROR(INDEX([3]Roster!$E$3:$E$42,MATCH($B1392,[3]Roster!$C$3:$C$42,0)),"")</f>
        <v>MID/D</v>
      </c>
      <c r="V1392" s="76">
        <f t="array" ref="V1392">AVERAGEIFS($E$2:$E2565,$B$2:$B2565,$B1392,$P$2:$P2565,"&lt;="&amp;$P1392,$P$2:$P2565,"&gt;"&amp;$P1392-7)</f>
        <v>7.6857142857142859</v>
      </c>
      <c r="W1392" s="76">
        <f ca="1">IFERROR(__xludf.DUMMYFUNCTION("iferror(stdevp(filter($D$2:$D2568,$B$2:$B2568=$B1395,$O$2:$O2568&lt;=$O1395,$O$2:$O2568&gt;$O1395-7)),0)"),0.489897948556635)</f>
        <v>0.48989794855663499</v>
      </c>
      <c r="X1392" s="77">
        <f t="shared" ca="1" si="252"/>
        <v>0.64153302787178512</v>
      </c>
      <c r="Y1392" s="77">
        <f t="shared" ca="1" si="253"/>
        <v>3</v>
      </c>
      <c r="Z1392" s="76">
        <f t="array" ref="Z1392">AVERAGEIFS($F$2:$F2565,$B$2:$B2565,$B1392,$P$2:$P2565,"&lt;="&amp;$P1392,$P$2:$P2565,"&gt;"&amp;$P1392-7)</f>
        <v>7.0857142857142854</v>
      </c>
      <c r="AA1392" s="76">
        <f ca="1">IFERROR(__xludf.DUMMYFUNCTION("iferror(stdevp(filter($E$2:$E2568,$B$2:$B2568=$B1395,$O$2:$O2568&lt;=$O1395,$O$2:$O2568&gt;$O1395-7)),0)"),0.489897948556635)</f>
        <v>0.48989794855663499</v>
      </c>
      <c r="AB1392" s="77">
        <f t="shared" ca="1" si="254"/>
        <v>-2.2162050053752584</v>
      </c>
      <c r="AC1392" s="77">
        <f t="shared" ca="1" si="255"/>
        <v>1</v>
      </c>
      <c r="AD1392" s="76">
        <f t="array" ref="AD1392">AVERAGEIFS($G$2:$G2565,$B$2:$B2565,$B1392,$P$2:$P2565,"&lt;="&amp;$P1392,$P$2:$P2565,"&gt;"&amp;$P1392-7)</f>
        <v>7.1428571428571432</v>
      </c>
      <c r="AE1392" s="76">
        <f ca="1">IFERROR(__xludf.DUMMYFUNCTION("iferror(stdevp(filter($F$2:$F2568,$B$2:$B2568=$B1395,$O$2:$O2568&lt;=$O1395,$O$2:$O2568&gt;$O1395-7)),0)"),0.748331477354788)</f>
        <v>0.748331477354788</v>
      </c>
      <c r="AF1392" s="77">
        <f t="shared" ca="1" si="256"/>
        <v>-0.1909008870803037</v>
      </c>
      <c r="AG1392" s="77">
        <f t="shared" ca="1" si="257"/>
        <v>2</v>
      </c>
      <c r="AH1392" s="76">
        <f t="array" ref="AH1392">AVERAGEIFS($I$2:$I2565,$B$2:$B2565,$B1392,$P$2:$P2565,"&lt;="&amp;$P1392,$P$2:$P2565,"&gt;"&amp;$P1392-7)</f>
        <v>7.0285714285714285</v>
      </c>
      <c r="AI1392" s="76">
        <f ca="1">IFERROR(__xludf.DUMMYFUNCTION("iferror(stdevp(filter($H$2:$H2568,$B$2:$B2568=$B1395,$O$2:$O2568&lt;=$O1395,$O$2:$O2568&gt;$O1395-7)),0)"),0.748331477354788)</f>
        <v>0.748331477354788</v>
      </c>
      <c r="AJ1392" s="77">
        <f t="shared" ca="1" si="258"/>
        <v>-3.8180177416060508E-2</v>
      </c>
      <c r="AK1392" s="77">
        <f t="shared" ca="1" si="259"/>
        <v>2</v>
      </c>
      <c r="AL1392" s="76">
        <f t="array" ref="AL1392">AVERAGEIFS($J$2:$J2565,$B$2:$B2565,$B1392,$P$2:$P2565,"&lt;="&amp;$P1392,$P$2:$P2565,"&gt;"&amp;$P1392-7)</f>
        <v>9.742857142857142</v>
      </c>
      <c r="AM1392" s="76">
        <f ca="1">IFERROR(__xludf.DUMMYFUNCTION("iferror(stdevp(filter($I$2:$I2568,$B$2:$B2568=$B1395,$O$2:$O2568&lt;=$O1395,$O$2:$O2568&gt;$O1395-7)),0)"),1.26491106406735)</f>
        <v>1.26491106406735</v>
      </c>
      <c r="AN1392" s="77">
        <f t="shared" ca="1" si="260"/>
        <v>0.2032892781536825</v>
      </c>
      <c r="AO1392" s="77">
        <f t="shared" ca="1" si="261"/>
        <v>3</v>
      </c>
      <c r="AP1392" s="76">
        <f t="array" ref="AP1392">AVERAGEIFS($K$2:$K2565,$B$2:$B2565,$B1392,$P$2:$P2565,"&lt;="&amp;$P1392,$P$2:$P2565,"&gt;"&amp;$P1392-7)</f>
        <v>9.4285714285714288</v>
      </c>
      <c r="AQ1392" s="76">
        <f ca="1">IFERROR(__xludf.DUMMYFUNCTION("iferror(stdevp(filter($J$2:$J2568,$B$2:$B2568=$B1395,$O$2:$O2568&lt;=$O1395,$O$2:$O2568&gt;$O1395-7)),0)"),1.26491106406735)</f>
        <v>1.26491106406735</v>
      </c>
      <c r="AR1392" s="77">
        <f t="shared" ca="1" si="262"/>
        <v>0.45175395145262603</v>
      </c>
      <c r="AS1392" s="77">
        <f t="shared" ca="1" si="263"/>
        <v>3</v>
      </c>
      <c r="AT1392" s="78">
        <f t="shared" ca="1" si="264"/>
        <v>0.58333333333333337</v>
      </c>
    </row>
    <row r="1393" spans="1:46" ht="12.5" x14ac:dyDescent="0.25">
      <c r="A1393" s="75">
        <v>44999.388392222223</v>
      </c>
      <c r="B1393" s="1" t="s">
        <v>6</v>
      </c>
      <c r="C1393" s="1" t="str">
        <f>INDEX(TBL_Name,MATCH(Table2[[#This Row],[Athlete Name]],listNames,0),2)</f>
        <v>Athlete 2</v>
      </c>
      <c r="D1393" s="1" t="s">
        <v>130</v>
      </c>
      <c r="E1393" s="1">
        <v>9</v>
      </c>
      <c r="F1393" s="1">
        <v>9</v>
      </c>
      <c r="G1393" s="1">
        <v>8</v>
      </c>
      <c r="H1393" s="1" t="s">
        <v>71</v>
      </c>
      <c r="I1393" s="1">
        <v>8</v>
      </c>
      <c r="J1393" s="1">
        <v>10</v>
      </c>
      <c r="K1393" s="1">
        <v>10</v>
      </c>
      <c r="L1393" s="1">
        <v>95</v>
      </c>
      <c r="M1393" s="1" t="e">
        <f t="shared" ref="M1393" ca="1" si="323">_xludf.concat($B1393,$P1393)</f>
        <v>#NAME?</v>
      </c>
      <c r="N1393" s="1" t="e">
        <f t="shared" si="248"/>
        <v>#VALUE!</v>
      </c>
      <c r="O1393" s="1" t="e">
        <f t="shared" ref="O1393" ca="1" si="324">IF($N1393=_xludf.MINIFS($N$2:$N2899,$R$2:$R2899,$R1393),1,
($N1393-_xludf.MINIFS($N$2:$N2899,$R$2:$R2899,$R1393))+1)</f>
        <v>#VALUE!</v>
      </c>
      <c r="P1393" s="13" t="e">
        <f t="shared" si="250"/>
        <v>#VALUE!</v>
      </c>
      <c r="Q1393" s="1" t="str">
        <f>RIGHT(YEAR($A1393),2)-(MONTH($A1393)&lt;=[3]Roster!$K$25)
 &amp;"-"&amp;
 RIGHT(YEAR($A1393),2)+(MONTH($A1393)&gt;=[3]Roster!$K$26)</f>
        <v>22-23</v>
      </c>
      <c r="R1393" s="1" t="e">
        <f>CHOOSE(MONTH($P1393),[3]Roster!$K$9,[3]Roster!$K$10,[3]Roster!$K$11,[3]Roster!$K$12,[3]Roster!$K$13,[3]Roster!$K$14,[3]Roster!$K$15,[3]Roster!$K$16,[3]Roster!$K$17,[3]Roster!$K$18,[3]Roster!$K$19,[3]Roster!$K$20)&amp;" "&amp;$Q1393</f>
        <v>#VALUE!</v>
      </c>
      <c r="S1393" s="1">
        <f t="shared" si="251"/>
        <v>1</v>
      </c>
      <c r="T1393" s="1" t="str">
        <f t="array" ref="T1393">IFERROR(INDEX([3]Roster!$D$3:$D$42,MATCH($B1393,[3]Roster!$C$3:$C$42,0)),"")</f>
        <v>FWD</v>
      </c>
      <c r="U1393" s="1" t="str">
        <f t="array" ref="U1393">IFERROR(INDEX([3]Roster!$E$3:$E$42,MATCH($B1393,[3]Roster!$C$3:$C$42,0)),"")</f>
        <v>FWD</v>
      </c>
      <c r="V1393" s="76">
        <f t="array" ref="V1393">AVERAGEIFS($E$2:$E2565,$B$2:$B2565,$B1393,$P$2:$P2565,"&lt;="&amp;$P1393,$P$2:$P2565,"&gt;"&amp;$P1393-7)</f>
        <v>9.7441860465116275</v>
      </c>
      <c r="W1393" s="76">
        <f ca="1">IFERROR(__xludf.DUMMYFUNCTION("iferror(stdevp(filter($D$2:$D2568,$B$2:$B2568=$B1396,$O$2:$O2568&lt;=$O1396,$O$2:$O2568&gt;$O1396-7)),0)"),0.372677996249965)</f>
        <v>0.372677996249965</v>
      </c>
      <c r="X1393" s="77">
        <f t="shared" ca="1" si="252"/>
        <v>-1.9968607054881828</v>
      </c>
      <c r="Y1393" s="77">
        <f t="shared" ca="1" si="253"/>
        <v>1</v>
      </c>
      <c r="Z1393" s="76">
        <f t="array" ref="Z1393">AVERAGEIFS($F$2:$F2565,$B$2:$B2565,$B1393,$P$2:$P2565,"&lt;="&amp;$P1393,$P$2:$P2565,"&gt;"&amp;$P1393-7)</f>
        <v>8.279069767441861</v>
      </c>
      <c r="AA1393" s="76">
        <f ca="1">IFERROR(__xludf.DUMMYFUNCTION("iferror(stdevp(filter($E$2:$E2568,$B$2:$B2568=$B1396,$O$2:$O2568&lt;=$O1396,$O$2:$O2568&gt;$O1396-7)),0)"),0.471404520791032)</f>
        <v>0.47140452079103201</v>
      </c>
      <c r="AB1393" s="77">
        <f t="shared" ca="1" si="254"/>
        <v>1.5293239686127635</v>
      </c>
      <c r="AC1393" s="77">
        <f t="shared" ca="1" si="255"/>
        <v>4</v>
      </c>
      <c r="AD1393" s="76">
        <f t="array" ref="AD1393">AVERAGEIFS($G$2:$G2565,$B$2:$B2565,$B1393,$P$2:$P2565,"&lt;="&amp;$P1393,$P$2:$P2565,"&gt;"&amp;$P1393-7)</f>
        <v>8.604651162790697</v>
      </c>
      <c r="AE1393" s="76">
        <f ca="1">IFERROR(__xludf.DUMMYFUNCTION("iferror(stdevp(filter($F$2:$F2568,$B$2:$B2568=$B1396,$O$2:$O2568&lt;=$O1396,$O$2:$O2568&gt;$O1396-7)),0)"),0.745355992499929)</f>
        <v>0.74535599249992901</v>
      </c>
      <c r="AF1393" s="77">
        <f t="shared" ca="1" si="256"/>
        <v>-0.81122466160457485</v>
      </c>
      <c r="AG1393" s="77">
        <f t="shared" ca="1" si="257"/>
        <v>2</v>
      </c>
      <c r="AH1393" s="76">
        <f t="array" ref="AH1393">AVERAGEIFS($I$2:$I2565,$B$2:$B2565,$B1393,$P$2:$P2565,"&lt;="&amp;$P1393,$P$2:$P2565,"&gt;"&amp;$P1393-7)</f>
        <v>8.3488372093023262</v>
      </c>
      <c r="AI1393" s="76">
        <f ca="1">IFERROR(__xludf.DUMMYFUNCTION("iferror(stdevp(filter($H$2:$H2568,$B$2:$B2568=$B1396,$O$2:$O2568&lt;=$O1396,$O$2:$O2568&gt;$O1396-7)),0)"),0.745355992499929)</f>
        <v>0.74535599249992901</v>
      </c>
      <c r="AJ1393" s="77">
        <f t="shared" ca="1" si="258"/>
        <v>-0.4680142278487946</v>
      </c>
      <c r="AK1393" s="77">
        <f t="shared" ca="1" si="259"/>
        <v>2</v>
      </c>
      <c r="AL1393" s="76">
        <f t="array" ref="AL1393">AVERAGEIFS($J$2:$J2565,$B$2:$B2565,$B1393,$P$2:$P2565,"&lt;="&amp;$P1393,$P$2:$P2565,"&gt;"&amp;$P1393-7)</f>
        <v>8.3023255813953494</v>
      </c>
      <c r="AM1393" s="76">
        <f ca="1">IFERROR(__xludf.DUMMYFUNCTION("iferror(stdevp(filter($I$2:$I2568,$B$2:$B2568=$B1396,$O$2:$O2568&lt;=$O1396,$O$2:$O2568&gt;$O1396-7)),0)"),1.21335164821341)</f>
        <v>1.2133516482134099</v>
      </c>
      <c r="AN1393" s="77">
        <f t="shared" ca="1" si="260"/>
        <v>1.3991610932447966</v>
      </c>
      <c r="AO1393" s="77">
        <f t="shared" ca="1" si="261"/>
        <v>4</v>
      </c>
      <c r="AP1393" s="76">
        <f t="array" ref="AP1393">AVERAGEIFS($K$2:$K2565,$B$2:$B2565,$B1393,$P$2:$P2565,"&lt;="&amp;$P1393,$P$2:$P2565,"&gt;"&amp;$P1393-7)</f>
        <v>8.9069767441860463</v>
      </c>
      <c r="AQ1393" s="76">
        <f ca="1">IFERROR(__xludf.DUMMYFUNCTION("iferror(stdevp(filter($J$2:$J2568,$B$2:$B2568=$B1396,$O$2:$O2568&lt;=$O1396,$O$2:$O2568&gt;$O1396-7)),0)"),0.471404520791031)</f>
        <v>0.47140452079103101</v>
      </c>
      <c r="AR1393" s="77">
        <f t="shared" ca="1" si="262"/>
        <v>2.3186524685419387</v>
      </c>
      <c r="AS1393" s="77">
        <f t="shared" ca="1" si="263"/>
        <v>4</v>
      </c>
      <c r="AT1393" s="78">
        <f t="shared" ca="1" si="264"/>
        <v>0.70833333333333337</v>
      </c>
    </row>
    <row r="1394" spans="1:46" ht="12.5" x14ac:dyDescent="0.25">
      <c r="A1394" s="75">
        <v>44999.433588854168</v>
      </c>
      <c r="B1394" s="1" t="s">
        <v>9</v>
      </c>
      <c r="C1394" s="1" t="str">
        <f>INDEX(TBL_Name,MATCH(Table2[[#This Row],[Athlete Name]],listNames,0),2)</f>
        <v>Athlete 4</v>
      </c>
      <c r="D1394" s="1" t="s">
        <v>130</v>
      </c>
      <c r="E1394" s="1">
        <v>7</v>
      </c>
      <c r="F1394" s="1">
        <v>4</v>
      </c>
      <c r="G1394" s="1">
        <v>5</v>
      </c>
      <c r="H1394" s="1" t="s">
        <v>1616</v>
      </c>
      <c r="I1394" s="1">
        <v>5</v>
      </c>
      <c r="J1394" s="1">
        <v>7</v>
      </c>
      <c r="K1394" s="1">
        <v>8</v>
      </c>
      <c r="L1394" s="1">
        <v>90</v>
      </c>
      <c r="M1394" s="1" t="e">
        <f t="shared" ref="M1394" ca="1" si="325">_xludf.concat($B1394,$P1394)</f>
        <v>#NAME?</v>
      </c>
      <c r="N1394" s="1" t="e">
        <f t="shared" si="248"/>
        <v>#VALUE!</v>
      </c>
      <c r="O1394" s="1" t="e">
        <f t="shared" ref="O1394" ca="1" si="326">IF($N1394=_xludf.MINIFS($N$2:$N2900,$R$2:$R2900,$R1394),1,
($N1394-_xludf.MINIFS($N$2:$N2900,$R$2:$R2900,$R1394))+1)</f>
        <v>#VALUE!</v>
      </c>
      <c r="P1394" s="13" t="e">
        <f t="shared" si="250"/>
        <v>#VALUE!</v>
      </c>
      <c r="Q1394" s="1" t="str">
        <f>RIGHT(YEAR($A1394),2)-(MONTH($A1394)&lt;=[3]Roster!$K$25)
 &amp;"-"&amp;
 RIGHT(YEAR($A1394),2)+(MONTH($A1394)&gt;=[3]Roster!$K$26)</f>
        <v>22-23</v>
      </c>
      <c r="R1394" s="1" t="e">
        <f>CHOOSE(MONTH($P1394),[3]Roster!$K$9,[3]Roster!$K$10,[3]Roster!$K$11,[3]Roster!$K$12,[3]Roster!$K$13,[3]Roster!$K$14,[3]Roster!$K$15,[3]Roster!$K$16,[3]Roster!$K$17,[3]Roster!$K$18,[3]Roster!$K$19,[3]Roster!$K$20)&amp;" "&amp;$Q1394</f>
        <v>#VALUE!</v>
      </c>
      <c r="S1394" s="1">
        <f t="shared" si="251"/>
        <v>1</v>
      </c>
      <c r="T1394" s="1" t="str">
        <f t="array" ref="T1394">IFERROR(INDEX([3]Roster!$D$3:$D$42,MATCH($B1394,[3]Roster!$C$3:$C$42,0)),"")</f>
        <v>F/MID</v>
      </c>
      <c r="U1394" s="1" t="str">
        <f t="array" ref="U1394">IFERROR(INDEX([3]Roster!$E$3:$E$42,MATCH($B1394,[3]Roster!$C$3:$C$42,0)),"")</f>
        <v>F/MID</v>
      </c>
      <c r="V1394" s="76">
        <f t="array" ref="V1394">AVERAGEIFS($E$2:$E2565,$B$2:$B2565,$B1394,$P$2:$P2565,"&lt;="&amp;$P1394,$P$2:$P2565,"&gt;"&amp;$P1394-7)</f>
        <v>7.4230769230769234</v>
      </c>
      <c r="W1394" s="76">
        <f ca="1">IFERROR(__xludf.DUMMYFUNCTION("iferror(stdevp(filter($D$2:$D2568,$B$2:$B2568=$B1397,$O$2:$O2568&lt;=$O1397,$O$2:$O2568&gt;$O1397-7)),0)"),0.489897948556635)</f>
        <v>0.48989794855663499</v>
      </c>
      <c r="X1394" s="77">
        <f t="shared" ca="1" si="252"/>
        <v>-0.86360215290432729</v>
      </c>
      <c r="Y1394" s="77">
        <f t="shared" ca="1" si="253"/>
        <v>2</v>
      </c>
      <c r="Z1394" s="76">
        <f t="array" ref="Z1394">AVERAGEIFS($F$2:$F2565,$B$2:$B2565,$B1394,$P$2:$P2565,"&lt;="&amp;$P1394,$P$2:$P2565,"&gt;"&amp;$P1394-7)</f>
        <v>7.1538461538461542</v>
      </c>
      <c r="AA1394" s="76">
        <f ca="1">IFERROR(__xludf.DUMMYFUNCTION("iferror(stdevp(filter($E$2:$E2568,$B$2:$B2568=$B1397,$O$2:$O2568&lt;=$O1397,$O$2:$O2568&gt;$O1397-7)),0)"),1.74355957741626)</f>
        <v>1.74355957741626</v>
      </c>
      <c r="AB1394" s="77">
        <f t="shared" ca="1" si="254"/>
        <v>-1.80885482474867</v>
      </c>
      <c r="AC1394" s="77">
        <f t="shared" ca="1" si="255"/>
        <v>1</v>
      </c>
      <c r="AD1394" s="76">
        <f t="array" ref="AD1394">AVERAGEIFS($G$2:$G2565,$B$2:$B2565,$B1394,$P$2:$P2565,"&lt;="&amp;$P1394,$P$2:$P2565,"&gt;"&amp;$P1394-7)</f>
        <v>7.615384615384615</v>
      </c>
      <c r="AE1394" s="76">
        <f ca="1">IFERROR(__xludf.DUMMYFUNCTION("iferror(stdevp(filter($F$2:$F2568,$B$2:$B2568=$B1397,$O$2:$O2568&lt;=$O1397,$O$2:$O2568&gt;$O1397-7)),0)"),1.2)</f>
        <v>1.2</v>
      </c>
      <c r="AF1394" s="77">
        <f t="shared" ca="1" si="256"/>
        <v>-2.1794871794871793</v>
      </c>
      <c r="AG1394" s="77">
        <f t="shared" ca="1" si="257"/>
        <v>1</v>
      </c>
      <c r="AH1394" s="76">
        <f t="array" ref="AH1394">AVERAGEIFS($I$2:$I2565,$B$2:$B2565,$B1394,$P$2:$P2565,"&lt;="&amp;$P1394,$P$2:$P2565,"&gt;"&amp;$P1394-7)</f>
        <v>5.1923076923076925</v>
      </c>
      <c r="AI1394" s="76">
        <f ca="1">IFERROR(__xludf.DUMMYFUNCTION("iferror(stdevp(filter($H$2:$H2568,$B$2:$B2568=$B1397,$O$2:$O2568&lt;=$O1397,$O$2:$O2568&gt;$O1397-7)),0)"),0)</f>
        <v>0</v>
      </c>
      <c r="AJ1394" s="77">
        <f t="shared" ca="1" si="258"/>
        <v>0</v>
      </c>
      <c r="AK1394" s="77">
        <f t="shared" ca="1" si="259"/>
        <v>3</v>
      </c>
      <c r="AL1394" s="76">
        <f t="array" ref="AL1394">AVERAGEIFS($J$2:$J2565,$B$2:$B2565,$B1394,$P$2:$P2565,"&lt;="&amp;$P1394,$P$2:$P2565,"&gt;"&amp;$P1394-7)</f>
        <v>7.6923076923076925</v>
      </c>
      <c r="AM1394" s="76">
        <f ca="1">IFERROR(__xludf.DUMMYFUNCTION("iferror(stdevp(filter($I$2:$I2568,$B$2:$B2568=$B1397,$O$2:$O2568&lt;=$O1397,$O$2:$O2568&gt;$O1397-7)),0)"),0.489897948556635)</f>
        <v>0.48989794855663499</v>
      </c>
      <c r="AN1394" s="77">
        <f t="shared" ca="1" si="260"/>
        <v>-1.4131671592979895</v>
      </c>
      <c r="AO1394" s="77">
        <f t="shared" ca="1" si="261"/>
        <v>1</v>
      </c>
      <c r="AP1394" s="76">
        <f t="array" ref="AP1394">AVERAGEIFS($K$2:$K2565,$B$2:$B2565,$B1394,$P$2:$P2565,"&lt;="&amp;$P1394,$P$2:$P2565,"&gt;"&amp;$P1394-7)</f>
        <v>7.8461538461538458</v>
      </c>
      <c r="AQ1394" s="76">
        <f ca="1">IFERROR(__xludf.DUMMYFUNCTION("iferror(stdevp(filter($J$2:$J2568,$B$2:$B2568=$B1397,$O$2:$O2568&lt;=$O1397,$O$2:$O2568&gt;$O1397-7)),0)"),0)</f>
        <v>0</v>
      </c>
      <c r="AR1394" s="77">
        <f t="shared" ca="1" si="262"/>
        <v>0</v>
      </c>
      <c r="AS1394" s="77">
        <f t="shared" ca="1" si="263"/>
        <v>3</v>
      </c>
      <c r="AT1394" s="78">
        <f t="shared" ca="1" si="264"/>
        <v>0.45833333333333331</v>
      </c>
    </row>
    <row r="1395" spans="1:46" ht="12.5" x14ac:dyDescent="0.25">
      <c r="A1395" s="75">
        <v>44999.443204270836</v>
      </c>
      <c r="B1395" s="1" t="s">
        <v>29</v>
      </c>
      <c r="C1395" s="1" t="str">
        <f>INDEX(TBL_Name,MATCH(Table2[[#This Row],[Athlete Name]],listNames,0),2)</f>
        <v>Athlete 18</v>
      </c>
      <c r="D1395" s="1" t="s">
        <v>130</v>
      </c>
      <c r="E1395" s="1">
        <v>8</v>
      </c>
      <c r="F1395" s="1">
        <v>7</v>
      </c>
      <c r="G1395" s="1">
        <v>8</v>
      </c>
      <c r="H1395" s="1" t="s">
        <v>1617</v>
      </c>
      <c r="I1395" s="1">
        <v>8</v>
      </c>
      <c r="J1395" s="1">
        <v>8</v>
      </c>
      <c r="K1395" s="1">
        <v>9</v>
      </c>
      <c r="L1395" s="1">
        <v>98</v>
      </c>
      <c r="M1395" s="1" t="e">
        <f t="shared" ref="M1395" ca="1" si="327">_xludf.concat($B1395,$P1395)</f>
        <v>#NAME?</v>
      </c>
      <c r="N1395" s="1" t="e">
        <f t="shared" si="248"/>
        <v>#VALUE!</v>
      </c>
      <c r="O1395" s="1" t="e">
        <f t="shared" ref="O1395" ca="1" si="328">IF($N1395=_xludf.MINIFS($N$2:$N2901,$R$2:$R2901,$R1395),1,
($N1395-_xludf.MINIFS($N$2:$N2901,$R$2:$R2901,$R1395))+1)</f>
        <v>#VALUE!</v>
      </c>
      <c r="P1395" s="13" t="e">
        <f t="shared" si="250"/>
        <v>#VALUE!</v>
      </c>
      <c r="Q1395" s="1" t="str">
        <f>RIGHT(YEAR($A1395),2)-(MONTH($A1395)&lt;=[3]Roster!$K$25)
 &amp;"-"&amp;
 RIGHT(YEAR($A1395),2)+(MONTH($A1395)&gt;=[3]Roster!$K$26)</f>
        <v>22-23</v>
      </c>
      <c r="R1395" s="1" t="e">
        <f>CHOOSE(MONTH($P1395),[3]Roster!$K$9,[3]Roster!$K$10,[3]Roster!$K$11,[3]Roster!$K$12,[3]Roster!$K$13,[3]Roster!$K$14,[3]Roster!$K$15,[3]Roster!$K$16,[3]Roster!$K$17,[3]Roster!$K$18,[3]Roster!$K$19,[3]Roster!$K$20)&amp;" "&amp;$Q1395</f>
        <v>#VALUE!</v>
      </c>
      <c r="S1395" s="1">
        <f t="shared" si="251"/>
        <v>1</v>
      </c>
      <c r="T1395" s="1" t="str">
        <f t="array" ref="T1395">IFERROR(INDEX([3]Roster!$D$3:$D$42,MATCH($B1395,[3]Roster!$C$3:$C$42,0)),"")</f>
        <v>GK</v>
      </c>
      <c r="U1395" s="1" t="str">
        <f t="array" ref="U1395">IFERROR(INDEX([3]Roster!$E$3:$E$42,MATCH($B1395,[3]Roster!$C$3:$C$42,0)),"")</f>
        <v>GK</v>
      </c>
      <c r="V1395" s="76">
        <f t="array" ref="V1395">AVERAGEIFS($E$2:$E2565,$B$2:$B2565,$B1395,$P$2:$P2565,"&lt;="&amp;$P1395,$P$2:$P2565,"&gt;"&amp;$P1395-7)</f>
        <v>8.53125</v>
      </c>
      <c r="W1395" s="76">
        <f ca="1">IFERROR(__xludf.DUMMYFUNCTION("iferror(stdevp(filter($D$2:$D2568,$B$2:$B2568=$B1398,$O$2:$O2568&lt;=$O1398,$O$2:$O2568&gt;$O1398-7)),0)"),0.748331477354788)</f>
        <v>0.748331477354788</v>
      </c>
      <c r="X1395" s="77">
        <f t="shared" ca="1" si="252"/>
        <v>-0.70991267382987755</v>
      </c>
      <c r="Y1395" s="77">
        <f t="shared" ca="1" si="253"/>
        <v>2</v>
      </c>
      <c r="Z1395" s="76">
        <f t="array" ref="Z1395">AVERAGEIFS($F$2:$F2565,$B$2:$B2565,$B1395,$P$2:$P2565,"&lt;="&amp;$P1395,$P$2:$P2565,"&gt;"&amp;$P1395-7)</f>
        <v>8.125</v>
      </c>
      <c r="AA1395" s="76">
        <f ca="1">IFERROR(__xludf.DUMMYFUNCTION("iferror(stdevp(filter($E$2:$E2568,$B$2:$B2568=$B1398,$O$2:$O2568&lt;=$O1398,$O$2:$O2568&gt;$O1398-7)),0)"),0.748331477354788)</f>
        <v>0.748331477354788</v>
      </c>
      <c r="AB1395" s="77">
        <f t="shared" ca="1" si="254"/>
        <v>-1.5033444857573877</v>
      </c>
      <c r="AC1395" s="77">
        <f t="shared" ca="1" si="255"/>
        <v>1</v>
      </c>
      <c r="AD1395" s="76">
        <f t="array" ref="AD1395">AVERAGEIFS($G$2:$G2565,$B$2:$B2565,$B1395,$P$2:$P2565,"&lt;="&amp;$P1395,$P$2:$P2565,"&gt;"&amp;$P1395-7)</f>
        <v>8.09375</v>
      </c>
      <c r="AE1395" s="76">
        <f ca="1">IFERROR(__xludf.DUMMYFUNCTION("iferror(stdevp(filter($F$2:$F2568,$B$2:$B2568=$B1398,$O$2:$O2568&lt;=$O1398,$O$2:$O2568&gt;$O1398-7)),0)"),0.489897948556635)</f>
        <v>0.48989794855663499</v>
      </c>
      <c r="AF1395" s="77">
        <f t="shared" ca="1" si="256"/>
        <v>-0.19136638615493604</v>
      </c>
      <c r="AG1395" s="77">
        <f t="shared" ca="1" si="257"/>
        <v>2</v>
      </c>
      <c r="AH1395" s="76">
        <f t="array" ref="AH1395">AVERAGEIFS($I$2:$I2565,$B$2:$B2565,$B1395,$P$2:$P2565,"&lt;="&amp;$P1395,$P$2:$P2565,"&gt;"&amp;$P1395-7)</f>
        <v>7.875</v>
      </c>
      <c r="AI1395" s="76">
        <f ca="1">IFERROR(__xludf.DUMMYFUNCTION("iferror(stdevp(filter($H$2:$H2568,$B$2:$B2568=$B1398,$O$2:$O2568&lt;=$O1398,$O$2:$O2568&gt;$O1398-7)),0)"),1.09544511501033)</f>
        <v>1.0954451150103299</v>
      </c>
      <c r="AJ1395" s="77">
        <f t="shared" ca="1" si="258"/>
        <v>0.11410886614690985</v>
      </c>
      <c r="AK1395" s="77">
        <f t="shared" ca="1" si="259"/>
        <v>3</v>
      </c>
      <c r="AL1395" s="76">
        <f t="array" ref="AL1395">AVERAGEIFS($J$2:$J2565,$B$2:$B2565,$B1395,$P$2:$P2565,"&lt;="&amp;$P1395,$P$2:$P2565,"&gt;"&amp;$P1395-7)</f>
        <v>8.34375</v>
      </c>
      <c r="AM1395" s="76">
        <f ca="1">IFERROR(__xludf.DUMMYFUNCTION("iferror(stdevp(filter($I$2:$I2568,$B$2:$B2568=$B1398,$O$2:$O2568&lt;=$O1398,$O$2:$O2568&gt;$O1398-7)),0)"),0.399999999999999)</f>
        <v>0.39999999999999902</v>
      </c>
      <c r="AN1395" s="77">
        <f t="shared" ca="1" si="260"/>
        <v>-0.85937500000000211</v>
      </c>
      <c r="AO1395" s="77">
        <f t="shared" ca="1" si="261"/>
        <v>2</v>
      </c>
      <c r="AP1395" s="76">
        <f t="array" ref="AP1395">AVERAGEIFS($K$2:$K2565,$B$2:$B2565,$B1395,$P$2:$P2565,"&lt;="&amp;$P1395,$P$2:$P2565,"&gt;"&amp;$P1395-7)</f>
        <v>8.46875</v>
      </c>
      <c r="AQ1395" s="76">
        <f ca="1">IFERROR(__xludf.DUMMYFUNCTION("iferror(stdevp(filter($J$2:$J2568,$B$2:$B2568=$B1398,$O$2:$O2568&lt;=$O1398,$O$2:$O2568&gt;$O1398-7)),0)"),0.894427190999915)</f>
        <v>0.89442719099991497</v>
      </c>
      <c r="AR1395" s="77">
        <f t="shared" ca="1" si="262"/>
        <v>0.59395555652338228</v>
      </c>
      <c r="AS1395" s="77">
        <f t="shared" ca="1" si="263"/>
        <v>3</v>
      </c>
      <c r="AT1395" s="78">
        <f t="shared" ca="1" si="264"/>
        <v>0.54166666666666663</v>
      </c>
    </row>
    <row r="1396" spans="1:46" ht="12.5" x14ac:dyDescent="0.25">
      <c r="A1396" s="75">
        <v>44999.45825181713</v>
      </c>
      <c r="B1396" s="1" t="s">
        <v>22</v>
      </c>
      <c r="C1396" s="1" t="str">
        <f>INDEX(TBL_Name,MATCH(Table2[[#This Row],[Athlete Name]],listNames,0),2)</f>
        <v>Athlete 14</v>
      </c>
      <c r="D1396" s="1" t="s">
        <v>130</v>
      </c>
      <c r="E1396" s="1">
        <v>6</v>
      </c>
      <c r="F1396" s="1">
        <v>8</v>
      </c>
      <c r="G1396" s="1">
        <v>9</v>
      </c>
      <c r="H1396" s="1" t="s">
        <v>307</v>
      </c>
      <c r="I1396" s="1">
        <v>6</v>
      </c>
      <c r="J1396" s="1">
        <v>6</v>
      </c>
      <c r="K1396" s="1">
        <v>8</v>
      </c>
      <c r="L1396" s="1">
        <v>86</v>
      </c>
      <c r="M1396" s="1" t="e">
        <f t="shared" ref="M1396" ca="1" si="329">_xludf.concat($B1396,$P1396)</f>
        <v>#NAME?</v>
      </c>
      <c r="N1396" s="1" t="e">
        <f t="shared" si="248"/>
        <v>#VALUE!</v>
      </c>
      <c r="O1396" s="1" t="e">
        <f t="shared" ref="O1396" ca="1" si="330">IF($N1396=_xludf.MINIFS($N$2:$N2902,$R$2:$R2902,$R1396),1,
($N1396-_xludf.MINIFS($N$2:$N2902,$R$2:$R2902,$R1396))+1)</f>
        <v>#VALUE!</v>
      </c>
      <c r="P1396" s="13" t="e">
        <f t="shared" si="250"/>
        <v>#VALUE!</v>
      </c>
      <c r="Q1396" s="1" t="str">
        <f>RIGHT(YEAR($A1396),2)-(MONTH($A1396)&lt;=[3]Roster!$K$25)
 &amp;"-"&amp;
 RIGHT(YEAR($A1396),2)+(MONTH($A1396)&gt;=[3]Roster!$K$26)</f>
        <v>22-23</v>
      </c>
      <c r="R1396" s="1" t="e">
        <f>CHOOSE(MONTH($P1396),[3]Roster!$K$9,[3]Roster!$K$10,[3]Roster!$K$11,[3]Roster!$K$12,[3]Roster!$K$13,[3]Roster!$K$14,[3]Roster!$K$15,[3]Roster!$K$16,[3]Roster!$K$17,[3]Roster!$K$18,[3]Roster!$K$19,[3]Roster!$K$20)&amp;" "&amp;$Q1396</f>
        <v>#VALUE!</v>
      </c>
      <c r="S1396" s="1">
        <f t="shared" si="251"/>
        <v>1</v>
      </c>
      <c r="T1396" s="1" t="str">
        <f t="array" ref="T1396">IFERROR(INDEX([3]Roster!$D$3:$D$42,MATCH($B1396,[3]Roster!$C$3:$C$42,0)),"")</f>
        <v>D</v>
      </c>
      <c r="U1396" s="1" t="str">
        <f t="array" ref="U1396">IFERROR(INDEX([3]Roster!$E$3:$E$42,MATCH($B1396,[3]Roster!$C$3:$C$42,0)),"")</f>
        <v>D</v>
      </c>
      <c r="V1396" s="76">
        <f t="array" ref="V1396">AVERAGEIFS($E$2:$E2565,$B$2:$B2565,$B1396,$P$2:$P2565,"&lt;="&amp;$P1396,$P$2:$P2565,"&gt;"&amp;$P1396-7)</f>
        <v>5.791666666666667</v>
      </c>
      <c r="W1396" s="76">
        <f ca="1">IFERROR(__xludf.DUMMYFUNCTION("iferror(stdevp(filter($D$2:$D2568,$B$2:$B2568=$B1399,$O$2:$O2568&lt;=$O1399,$O$2:$O2568&gt;$O1399-7)),0)"),0.942809041582063)</f>
        <v>0.94280904158206302</v>
      </c>
      <c r="X1396" s="77">
        <f t="shared" ca="1" si="252"/>
        <v>0.22097086912079586</v>
      </c>
      <c r="Y1396" s="77">
        <f t="shared" ca="1" si="253"/>
        <v>3</v>
      </c>
      <c r="Z1396" s="76">
        <f t="array" ref="Z1396">AVERAGEIFS($F$2:$F2565,$B$2:$B2565,$B1396,$P$2:$P2565,"&lt;="&amp;$P1396,$P$2:$P2565,"&gt;"&amp;$P1396-7)</f>
        <v>5.458333333333333</v>
      </c>
      <c r="AA1396" s="76">
        <f ca="1">IFERROR(__xludf.DUMMYFUNCTION("iferror(stdevp(filter($E$2:$E2568,$B$2:$B2568=$B1399,$O$2:$O2568&lt;=$O1399,$O$2:$O2568&gt;$O1399-7)),0)"),1.69967317119759)</f>
        <v>1.6996731711975901</v>
      </c>
      <c r="AB1396" s="77">
        <f t="shared" ca="1" si="254"/>
        <v>1.4953855304286576</v>
      </c>
      <c r="AC1396" s="77">
        <f t="shared" ca="1" si="255"/>
        <v>4</v>
      </c>
      <c r="AD1396" s="76">
        <f t="array" ref="AD1396">AVERAGEIFS($G$2:$G2565,$B$2:$B2565,$B1396,$P$2:$P2565,"&lt;="&amp;$P1396,$P$2:$P2565,"&gt;"&amp;$P1396-7)</f>
        <v>6.833333333333333</v>
      </c>
      <c r="AE1396" s="76">
        <f ca="1">IFERROR(__xludf.DUMMYFUNCTION("iferror(stdevp(filter($F$2:$F2568,$B$2:$B2568=$B1399,$O$2:$O2568&lt;=$O1399,$O$2:$O2568&gt;$O1399-7)),0)"),1.41421356237309)</f>
        <v>1.41421356237309</v>
      </c>
      <c r="AF1396" s="77">
        <f t="shared" ca="1" si="256"/>
        <v>1.5320646925708585</v>
      </c>
      <c r="AG1396" s="77">
        <f t="shared" ca="1" si="257"/>
        <v>4</v>
      </c>
      <c r="AH1396" s="76">
        <f t="array" ref="AH1396">AVERAGEIFS($I$2:$I2565,$B$2:$B2565,$B1396,$P$2:$P2565,"&lt;="&amp;$P1396,$P$2:$P2565,"&gt;"&amp;$P1396-7)</f>
        <v>5.125</v>
      </c>
      <c r="AI1396" s="76">
        <f ca="1">IFERROR(__xludf.DUMMYFUNCTION("iferror(stdevp(filter($H$2:$H2568,$B$2:$B2568=$B1399,$O$2:$O2568&lt;=$O1399,$O$2:$O2568&gt;$O1399-7)),0)"),1.24721912892464)</f>
        <v>1.2472191289246399</v>
      </c>
      <c r="AJ1396" s="77">
        <f t="shared" ca="1" si="258"/>
        <v>0.70156076002011802</v>
      </c>
      <c r="AK1396" s="77">
        <f t="shared" ca="1" si="259"/>
        <v>3</v>
      </c>
      <c r="AL1396" s="76">
        <f t="array" ref="AL1396">AVERAGEIFS($J$2:$J2565,$B$2:$B2565,$B1396,$P$2:$P2565,"&lt;="&amp;$P1396,$P$2:$P2565,"&gt;"&amp;$P1396-7)</f>
        <v>7.125</v>
      </c>
      <c r="AM1396" s="76">
        <f ca="1">IFERROR(__xludf.DUMMYFUNCTION("iferror(stdevp(filter($I$2:$I2568,$B$2:$B2568=$B1399,$O$2:$O2568&lt;=$O1399,$O$2:$O2568&gt;$O1399-7)),0)"),0.816496580927726)</f>
        <v>0.81649658092772603</v>
      </c>
      <c r="AN1396" s="77">
        <f t="shared" ca="1" si="260"/>
        <v>-1.3778379803155376</v>
      </c>
      <c r="AO1396" s="77">
        <f t="shared" ca="1" si="261"/>
        <v>1</v>
      </c>
      <c r="AP1396" s="76">
        <f t="array" ref="AP1396">AVERAGEIFS($K$2:$K2565,$B$2:$B2565,$B1396,$P$2:$P2565,"&lt;="&amp;$P1396,$P$2:$P2565,"&gt;"&amp;$P1396-7)</f>
        <v>7.083333333333333</v>
      </c>
      <c r="AQ1396" s="76">
        <f ca="1">IFERROR(__xludf.DUMMYFUNCTION("iferror(stdevp(filter($J$2:$J2568,$B$2:$B2568=$B1399,$O$2:$O2568&lt;=$O1399,$O$2:$O2568&gt;$O1399-7)),0)"),1.41421356237309)</f>
        <v>1.41421356237309</v>
      </c>
      <c r="AR1396" s="77">
        <f t="shared" ca="1" si="262"/>
        <v>0.6481812160876711</v>
      </c>
      <c r="AS1396" s="77">
        <f t="shared" ca="1" si="263"/>
        <v>3</v>
      </c>
      <c r="AT1396" s="78">
        <f t="shared" ca="1" si="264"/>
        <v>0.75</v>
      </c>
    </row>
    <row r="1397" spans="1:46" ht="12.5" x14ac:dyDescent="0.25">
      <c r="A1397" s="75">
        <v>44999.469295509261</v>
      </c>
      <c r="B1397" s="1" t="s">
        <v>21</v>
      </c>
      <c r="C1397" s="1" t="str">
        <f>INDEX(TBL_Name,MATCH(Table2[[#This Row],[Athlete Name]],listNames,0),2)</f>
        <v>Athlete 13</v>
      </c>
      <c r="D1397" s="1" t="s">
        <v>130</v>
      </c>
      <c r="E1397" s="1">
        <v>7</v>
      </c>
      <c r="F1397" s="1">
        <v>9</v>
      </c>
      <c r="G1397" s="1">
        <v>9</v>
      </c>
      <c r="H1397" s="1" t="s">
        <v>1349</v>
      </c>
      <c r="I1397" s="1">
        <v>5</v>
      </c>
      <c r="J1397" s="1">
        <v>8</v>
      </c>
      <c r="K1397" s="1">
        <v>7</v>
      </c>
      <c r="L1397" s="1">
        <v>75</v>
      </c>
      <c r="M1397" s="1" t="e">
        <f t="shared" ref="M1397" ca="1" si="331">_xludf.concat($B1397,$P1397)</f>
        <v>#NAME?</v>
      </c>
      <c r="N1397" s="1" t="e">
        <f t="shared" si="248"/>
        <v>#VALUE!</v>
      </c>
      <c r="O1397" s="1" t="e">
        <f t="shared" ref="O1397" ca="1" si="332">IF($N1397=_xludf.MINIFS($N$2:$N2903,$R$2:$R2903,$R1397),1,
($N1397-_xludf.MINIFS($N$2:$N2903,$R$2:$R2903,$R1397))+1)</f>
        <v>#VALUE!</v>
      </c>
      <c r="P1397" s="13" t="e">
        <f t="shared" si="250"/>
        <v>#VALUE!</v>
      </c>
      <c r="Q1397" s="1" t="str">
        <f>RIGHT(YEAR($A1397),2)-(MONTH($A1397)&lt;=[3]Roster!$K$25)
 &amp;"-"&amp;
 RIGHT(YEAR($A1397),2)+(MONTH($A1397)&gt;=[3]Roster!$K$26)</f>
        <v>22-23</v>
      </c>
      <c r="R1397" s="1" t="e">
        <f>CHOOSE(MONTH($P1397),[3]Roster!$K$9,[3]Roster!$K$10,[3]Roster!$K$11,[3]Roster!$K$12,[3]Roster!$K$13,[3]Roster!$K$14,[3]Roster!$K$15,[3]Roster!$K$16,[3]Roster!$K$17,[3]Roster!$K$18,[3]Roster!$K$19,[3]Roster!$K$20)&amp;" "&amp;$Q1397</f>
        <v>#VALUE!</v>
      </c>
      <c r="S1397" s="1">
        <f t="shared" si="251"/>
        <v>1</v>
      </c>
      <c r="T1397" s="1" t="str">
        <f t="array" ref="T1397">IFERROR(INDEX([3]Roster!$D$3:$D$42,MATCH($B1397,[3]Roster!$C$3:$C$42,0)),"")</f>
        <v>D</v>
      </c>
      <c r="U1397" s="1" t="str">
        <f t="array" ref="U1397">IFERROR(INDEX([3]Roster!$E$3:$E$42,MATCH($B1397,[3]Roster!$C$3:$C$42,0)),"")</f>
        <v>D</v>
      </c>
      <c r="V1397" s="76">
        <f t="array" ref="V1397">AVERAGEIFS($E$2:$E2565,$B$2:$B2565,$B1397,$P$2:$P2565,"&lt;="&amp;$P1397,$P$2:$P2565,"&gt;"&amp;$P1397-7)</f>
        <v>6.6304347826086953</v>
      </c>
      <c r="W1397" s="76">
        <f ca="1">IFERROR(__xludf.DUMMYFUNCTION("iferror(stdevp(filter($D$2:$D2568,$B$2:$B2568=$B1400,$O$2:$O2568&lt;=$O1400,$O$2:$O2568&gt;$O1400-7)),0)"),0.471404520791031)</f>
        <v>0.47140452079103101</v>
      </c>
      <c r="X1397" s="77">
        <f t="shared" ca="1" si="252"/>
        <v>0.7839662139242175</v>
      </c>
      <c r="Y1397" s="77">
        <f t="shared" ca="1" si="253"/>
        <v>3</v>
      </c>
      <c r="Z1397" s="76">
        <f t="array" ref="Z1397">AVERAGEIFS($F$2:$F2565,$B$2:$B2565,$B1397,$P$2:$P2565,"&lt;="&amp;$P1397,$P$2:$P2565,"&gt;"&amp;$P1397-7)</f>
        <v>7.6956521739130439</v>
      </c>
      <c r="AA1397" s="76">
        <f ca="1">IFERROR(__xludf.DUMMYFUNCTION("iferror(stdevp(filter($E$2:$E2568,$B$2:$B2568=$B1400,$O$2:$O2568&lt;=$O1400,$O$2:$O2568&gt;$O1400-7)),0)"),0.745355992499929)</f>
        <v>0.74535599249992901</v>
      </c>
      <c r="AB1397" s="77">
        <f t="shared" ca="1" si="254"/>
        <v>1.7499662432607066</v>
      </c>
      <c r="AC1397" s="77">
        <f t="shared" ca="1" si="255"/>
        <v>4</v>
      </c>
      <c r="AD1397" s="76">
        <f t="array" ref="AD1397">AVERAGEIFS($G$2:$G2565,$B$2:$B2565,$B1397,$P$2:$P2565,"&lt;="&amp;$P1397,$P$2:$P2565,"&gt;"&amp;$P1397-7)</f>
        <v>8.2608695652173907</v>
      </c>
      <c r="AE1397" s="76">
        <f ca="1">IFERROR(__xludf.DUMMYFUNCTION("iferror(stdevp(filter($F$2:$F2568,$B$2:$B2568=$B1400,$O$2:$O2568&lt;=$O1400,$O$2:$O2568&gt;$O1400-7)),0)"),0.687184270936277)</f>
        <v>0.68718427093627699</v>
      </c>
      <c r="AF1397" s="77">
        <f t="shared" ca="1" si="256"/>
        <v>1.0755927719002598</v>
      </c>
      <c r="AG1397" s="77">
        <f t="shared" ca="1" si="257"/>
        <v>4</v>
      </c>
      <c r="AH1397" s="76">
        <f t="array" ref="AH1397">AVERAGEIFS($I$2:$I2565,$B$2:$B2565,$B1397,$P$2:$P2565,"&lt;="&amp;$P1397,$P$2:$P2565,"&gt;"&amp;$P1397-7)</f>
        <v>5.7391304347826084</v>
      </c>
      <c r="AI1397" s="76">
        <f ca="1">IFERROR(__xludf.DUMMYFUNCTION("iferror(stdevp(filter($H$2:$H2568,$B$2:$B2568=$B1400,$O$2:$O2568&lt;=$O1400,$O$2:$O2568&gt;$O1400-7)),0)"),0.471404520791031)</f>
        <v>0.47140452079103101</v>
      </c>
      <c r="AJ1397" s="77">
        <f t="shared" ca="1" si="258"/>
        <v>-1.5679324278484332</v>
      </c>
      <c r="AK1397" s="77">
        <f t="shared" ca="1" si="259"/>
        <v>1</v>
      </c>
      <c r="AL1397" s="76">
        <f t="array" ref="AL1397">AVERAGEIFS($J$2:$J2565,$B$2:$B2565,$B1397,$P$2:$P2565,"&lt;="&amp;$P1397,$P$2:$P2565,"&gt;"&amp;$P1397-7)</f>
        <v>6.5434782608695654</v>
      </c>
      <c r="AM1397" s="76">
        <f ca="1">IFERROR(__xludf.DUMMYFUNCTION("iferror(stdevp(filter($I$2:$I2568,$B$2:$B2568=$B1400,$O$2:$O2568&lt;=$O1400,$O$2:$O2568&gt;$O1400-7)),0)"),0.687184270936276)</f>
        <v>0.68718427093627599</v>
      </c>
      <c r="AN1397" s="77">
        <f t="shared" ca="1" si="260"/>
        <v>2.1195504622740424</v>
      </c>
      <c r="AO1397" s="77">
        <f t="shared" ca="1" si="261"/>
        <v>4</v>
      </c>
      <c r="AP1397" s="76">
        <f t="array" ref="AP1397">AVERAGEIFS($K$2:$K2565,$B$2:$B2565,$B1397,$P$2:$P2565,"&lt;="&amp;$P1397,$P$2:$P2565,"&gt;"&amp;$P1397-7)</f>
        <v>6.6086956521739131</v>
      </c>
      <c r="AQ1397" s="76">
        <f ca="1">IFERROR(__xludf.DUMMYFUNCTION("iferror(stdevp(filter($J$2:$J2568,$B$2:$B2568=$B1400,$O$2:$O2568&lt;=$O1400,$O$2:$O2568&gt;$O1400-7)),0)"),0.372677996249964)</f>
        <v>0.37267799624996401</v>
      </c>
      <c r="AR1397" s="77">
        <f t="shared" ca="1" si="262"/>
        <v>1.0499797459564255</v>
      </c>
      <c r="AS1397" s="77">
        <f t="shared" ca="1" si="263"/>
        <v>4</v>
      </c>
      <c r="AT1397" s="78">
        <f t="shared" ca="1" si="264"/>
        <v>0.83333333333333337</v>
      </c>
    </row>
    <row r="1398" spans="1:46" ht="12.5" x14ac:dyDescent="0.25">
      <c r="A1398" s="75">
        <v>44999.483698402779</v>
      </c>
      <c r="B1398" s="1" t="s">
        <v>15</v>
      </c>
      <c r="C1398" s="1" t="str">
        <f>INDEX(TBL_Name,MATCH(Table2[[#This Row],[Athlete Name]],listNames,0),2)</f>
        <v>Athlete 8</v>
      </c>
      <c r="D1398" s="1" t="s">
        <v>130</v>
      </c>
      <c r="E1398" s="1">
        <v>10</v>
      </c>
      <c r="F1398" s="1">
        <v>7</v>
      </c>
      <c r="G1398" s="1">
        <v>7</v>
      </c>
      <c r="H1398" s="1" t="s">
        <v>1292</v>
      </c>
      <c r="I1398" s="1">
        <v>8</v>
      </c>
      <c r="J1398" s="1">
        <v>10</v>
      </c>
      <c r="K1398" s="1">
        <v>10</v>
      </c>
      <c r="L1398" s="1">
        <v>93</v>
      </c>
      <c r="M1398" s="1" t="e">
        <f t="shared" ref="M1398" ca="1" si="333">_xludf.concat($B1398,$P1398)</f>
        <v>#NAME?</v>
      </c>
      <c r="N1398" s="1" t="e">
        <f t="shared" si="248"/>
        <v>#VALUE!</v>
      </c>
      <c r="O1398" s="1" t="e">
        <f t="shared" ref="O1398" ca="1" si="334">IF($N1398=_xludf.MINIFS($N$2:$N2904,$R$2:$R2904,$R1398),1,
($N1398-_xludf.MINIFS($N$2:$N2904,$R$2:$R2904,$R1398))+1)</f>
        <v>#VALUE!</v>
      </c>
      <c r="P1398" s="13" t="e">
        <f t="shared" si="250"/>
        <v>#VALUE!</v>
      </c>
      <c r="Q1398" s="1" t="str">
        <f>RIGHT(YEAR($A1398),2)-(MONTH($A1398)&lt;=[3]Roster!$K$25)
 &amp;"-"&amp;
 RIGHT(YEAR($A1398),2)+(MONTH($A1398)&gt;=[3]Roster!$K$26)</f>
        <v>22-23</v>
      </c>
      <c r="R1398" s="1" t="e">
        <f>CHOOSE(MONTH($P1398),[3]Roster!$K$9,[3]Roster!$K$10,[3]Roster!$K$11,[3]Roster!$K$12,[3]Roster!$K$13,[3]Roster!$K$14,[3]Roster!$K$15,[3]Roster!$K$16,[3]Roster!$K$17,[3]Roster!$K$18,[3]Roster!$K$19,[3]Roster!$K$20)&amp;" "&amp;$Q1398</f>
        <v>#VALUE!</v>
      </c>
      <c r="S1398" s="1">
        <f t="shared" si="251"/>
        <v>1</v>
      </c>
      <c r="T1398" s="1" t="str">
        <f t="array" ref="T1398">IFERROR(INDEX([3]Roster!$D$3:$D$42,MATCH($B1398,[3]Roster!$C$3:$C$42,0)),"")</f>
        <v>MID/D</v>
      </c>
      <c r="U1398" s="1" t="str">
        <f t="array" ref="U1398">IFERROR(INDEX([3]Roster!$E$3:$E$42,MATCH($B1398,[3]Roster!$C$3:$C$42,0)),"")</f>
        <v>MID/D</v>
      </c>
      <c r="V1398" s="76">
        <f t="array" ref="V1398">AVERAGEIFS($E$2:$E2565,$B$2:$B2565,$B1398,$P$2:$P2565,"&lt;="&amp;$P1398,$P$2:$P2565,"&gt;"&amp;$P1398-7)</f>
        <v>8.935483870967742</v>
      </c>
      <c r="W1398" s="76">
        <f ca="1">IFERROR(__xludf.DUMMYFUNCTION("iferror(stdevp(filter($D$2:$D2568,$B$2:$B2568=$B1401,$O$2:$O2568&lt;=$O1401,$O$2:$O2568&gt;$O1401-7)),0)"),0)</f>
        <v>0</v>
      </c>
      <c r="X1398" s="77">
        <f t="shared" ca="1" si="252"/>
        <v>0</v>
      </c>
      <c r="Y1398" s="77">
        <f t="shared" ca="1" si="253"/>
        <v>3</v>
      </c>
      <c r="Z1398" s="76">
        <f t="array" ref="Z1398">AVERAGEIFS($F$2:$F2565,$B$2:$B2565,$B1398,$P$2:$P2565,"&lt;="&amp;$P1398,$P$2:$P2565,"&gt;"&amp;$P1398-7)</f>
        <v>8.741935483870968</v>
      </c>
      <c r="AA1398" s="76">
        <f ca="1">IFERROR(__xludf.DUMMYFUNCTION("iferror(stdevp(filter($E$2:$E2568,$B$2:$B2568=$B1401,$O$2:$O2568&lt;=$O1401,$O$2:$O2568&gt;$O1401-7)),0)"),1.78535710713571)</f>
        <v>1.7853571071357099</v>
      </c>
      <c r="AB1398" s="77">
        <f t="shared" ca="1" si="254"/>
        <v>-0.97567902629048575</v>
      </c>
      <c r="AC1398" s="77">
        <f t="shared" ca="1" si="255"/>
        <v>2</v>
      </c>
      <c r="AD1398" s="76">
        <f t="array" ref="AD1398">AVERAGEIFS($G$2:$G2565,$B$2:$B2565,$B1398,$P$2:$P2565,"&lt;="&amp;$P1398,$P$2:$P2565,"&gt;"&amp;$P1398-7)</f>
        <v>7.32258064516129</v>
      </c>
      <c r="AE1398" s="76">
        <f ca="1">IFERROR(__xludf.DUMMYFUNCTION("iferror(stdevp(filter($F$2:$F2568,$B$2:$B2568=$B1401,$O$2:$O2568&lt;=$O1401,$O$2:$O2568&gt;$O1401-7)),0)"),0.433012701892219)</f>
        <v>0.43301270189221902</v>
      </c>
      <c r="AF1398" s="77">
        <f t="shared" ca="1" si="256"/>
        <v>-0.74496808927693636</v>
      </c>
      <c r="AG1398" s="77">
        <f t="shared" ca="1" si="257"/>
        <v>2</v>
      </c>
      <c r="AH1398" s="76">
        <f t="array" ref="AH1398">AVERAGEIFS($I$2:$I2565,$B$2:$B2565,$B1398,$P$2:$P2565,"&lt;="&amp;$P1398,$P$2:$P2565,"&gt;"&amp;$P1398-7)</f>
        <v>6.419354838709677</v>
      </c>
      <c r="AI1398" s="76">
        <f ca="1">IFERROR(__xludf.DUMMYFUNCTION("iferror(stdevp(filter($H$2:$H2568,$B$2:$B2568=$B1401,$O$2:$O2568&lt;=$O1401,$O$2:$O2568&gt;$O1401-7)),0)"),1.5)</f>
        <v>1.5</v>
      </c>
      <c r="AJ1398" s="77">
        <f t="shared" ca="1" si="258"/>
        <v>1.0537634408602152</v>
      </c>
      <c r="AK1398" s="77">
        <f t="shared" ca="1" si="259"/>
        <v>4</v>
      </c>
      <c r="AL1398" s="76">
        <f t="array" ref="AL1398">AVERAGEIFS($J$2:$J2565,$B$2:$B2565,$B1398,$P$2:$P2565,"&lt;="&amp;$P1398,$P$2:$P2565,"&gt;"&amp;$P1398-7)</f>
        <v>9.612903225806452</v>
      </c>
      <c r="AM1398" s="76">
        <f ca="1">IFERROR(__xludf.DUMMYFUNCTION("iferror(stdevp(filter($I$2:$I2568,$B$2:$B2568=$B1401,$O$2:$O2568&lt;=$O1401,$O$2:$O2568&gt;$O1401-7)),0)"),0)</f>
        <v>0</v>
      </c>
      <c r="AN1398" s="77">
        <f t="shared" ca="1" si="260"/>
        <v>0</v>
      </c>
      <c r="AO1398" s="77">
        <f t="shared" ca="1" si="261"/>
        <v>3</v>
      </c>
      <c r="AP1398" s="76">
        <f t="array" ref="AP1398">AVERAGEIFS($K$2:$K2565,$B$2:$B2565,$B1398,$P$2:$P2565,"&lt;="&amp;$P1398,$P$2:$P2565,"&gt;"&amp;$P1398-7)</f>
        <v>10</v>
      </c>
      <c r="AQ1398" s="76">
        <f ca="1">IFERROR(__xludf.DUMMYFUNCTION("iferror(stdevp(filter($J$2:$J2568,$B$2:$B2568=$B1401,$O$2:$O2568&lt;=$O1401,$O$2:$O2568&gt;$O1401-7)),0)"),0)</f>
        <v>0</v>
      </c>
      <c r="AR1398" s="77">
        <f t="shared" ca="1" si="262"/>
        <v>0</v>
      </c>
      <c r="AS1398" s="77">
        <f t="shared" ca="1" si="263"/>
        <v>3</v>
      </c>
      <c r="AT1398" s="78">
        <f t="shared" ca="1" si="264"/>
        <v>0.70833333333333337</v>
      </c>
    </row>
    <row r="1399" spans="1:46" ht="12.5" x14ac:dyDescent="0.25">
      <c r="A1399" s="75">
        <v>45000.316723692129</v>
      </c>
      <c r="B1399" s="1" t="s">
        <v>7</v>
      </c>
      <c r="C1399" s="1" t="str">
        <f>INDEX(TBL_Name,MATCH(Table2[[#This Row],[Athlete Name]],listNames,0),2)</f>
        <v>Athlete 3</v>
      </c>
      <c r="D1399" s="1" t="s">
        <v>130</v>
      </c>
      <c r="E1399" s="1">
        <v>6</v>
      </c>
      <c r="F1399" s="1">
        <v>3</v>
      </c>
      <c r="G1399" s="1">
        <v>6</v>
      </c>
      <c r="H1399" s="1" t="s">
        <v>72</v>
      </c>
      <c r="I1399" s="1">
        <v>6</v>
      </c>
      <c r="J1399" s="1">
        <v>6</v>
      </c>
      <c r="K1399" s="1">
        <v>8</v>
      </c>
      <c r="L1399" s="1">
        <v>92</v>
      </c>
      <c r="M1399" s="1" t="e">
        <f t="shared" ref="M1399" ca="1" si="335">_xludf.concat($B1399,$P1399)</f>
        <v>#NAME?</v>
      </c>
      <c r="N1399" s="1" t="e">
        <f t="shared" si="248"/>
        <v>#VALUE!</v>
      </c>
      <c r="O1399" s="1" t="e">
        <f t="shared" ref="O1399" ca="1" si="336">IF($N1399=_xludf.MINIFS($N$2:$N2905,$R$2:$R2905,$R1399),1,
($N1399-_xludf.MINIFS($N$2:$N2905,$R$2:$R2905,$R1399))+1)</f>
        <v>#VALUE!</v>
      </c>
      <c r="P1399" s="13" t="e">
        <f t="shared" si="250"/>
        <v>#VALUE!</v>
      </c>
      <c r="Q1399" s="1" t="str">
        <f>RIGHT(YEAR($A1399),2)-(MONTH($A1399)&lt;=[3]Roster!$K$25)
 &amp;"-"&amp;
 RIGHT(YEAR($A1399),2)+(MONTH($A1399)&gt;=[3]Roster!$K$26)</f>
        <v>22-23</v>
      </c>
      <c r="R1399" s="1" t="e">
        <f>CHOOSE(MONTH($P1399),[3]Roster!$K$9,[3]Roster!$K$10,[3]Roster!$K$11,[3]Roster!$K$12,[3]Roster!$K$13,[3]Roster!$K$14,[3]Roster!$K$15,[3]Roster!$K$16,[3]Roster!$K$17,[3]Roster!$K$18,[3]Roster!$K$19,[3]Roster!$K$20)&amp;" "&amp;$Q1399</f>
        <v>#VALUE!</v>
      </c>
      <c r="S1399" s="1">
        <f t="shared" si="251"/>
        <v>1</v>
      </c>
      <c r="T1399" s="1" t="str">
        <f t="array" ref="T1399">IFERROR(INDEX([3]Roster!$D$3:$D$42,MATCH($B1399,[3]Roster!$C$3:$C$42,0)),"")</f>
        <v>F/MID</v>
      </c>
      <c r="U1399" s="1" t="str">
        <f t="array" ref="U1399">IFERROR(INDEX([3]Roster!$E$3:$E$42,MATCH($B1399,[3]Roster!$C$3:$C$42,0)),"")</f>
        <v>F/MID</v>
      </c>
      <c r="V1399" s="76">
        <f t="array" ref="V1399">AVERAGEIFS($E$2:$E2565,$B$2:$B2565,$B1399,$P$2:$P2565,"&lt;="&amp;$P1399,$P$2:$P2565,"&gt;"&amp;$P1399-7)</f>
        <v>6</v>
      </c>
      <c r="W1399" s="76">
        <f ca="1">IFERROR(__xludf.DUMMYFUNCTION("iferror(stdevp(filter($D$2:$D2568,$B$2:$B2568=$B1402,$O$2:$O2568&lt;=$O1402,$O$2:$O2568&gt;$O1402-7)),0)"),0.471404520791031)</f>
        <v>0.47140452079103101</v>
      </c>
      <c r="X1399" s="77">
        <f t="shared" ca="1" si="252"/>
        <v>0</v>
      </c>
      <c r="Y1399" s="77">
        <f t="shared" ca="1" si="253"/>
        <v>3</v>
      </c>
      <c r="Z1399" s="76">
        <f t="array" ref="Z1399">AVERAGEIFS($F$2:$F2565,$B$2:$B2565,$B1399,$P$2:$P2565,"&lt;="&amp;$P1399,$P$2:$P2565,"&gt;"&amp;$P1399-7)</f>
        <v>7.3703703703703702</v>
      </c>
      <c r="AA1399" s="76">
        <f ca="1">IFERROR(__xludf.DUMMYFUNCTION("iferror(stdevp(filter($E$2:$E2568,$B$2:$B2568=$B1402,$O$2:$O2568&lt;=$O1402,$O$2:$O2568&gt;$O1402-7)),0)"),2.16024689946928)</f>
        <v>2.1602468994692798</v>
      </c>
      <c r="AB1399" s="77">
        <f t="shared" ca="1" si="254"/>
        <v>-2.0230883661696559</v>
      </c>
      <c r="AC1399" s="77">
        <f t="shared" ca="1" si="255"/>
        <v>1</v>
      </c>
      <c r="AD1399" s="76">
        <f t="array" ref="AD1399">AVERAGEIFS($G$2:$G2565,$B$2:$B2565,$B1399,$P$2:$P2565,"&lt;="&amp;$P1399,$P$2:$P2565,"&gt;"&amp;$P1399-7)</f>
        <v>7.7777777777777777</v>
      </c>
      <c r="AE1399" s="76">
        <f ca="1">IFERROR(__xludf.DUMMYFUNCTION("iferror(stdevp(filter($F$2:$F2568,$B$2:$B2568=$B1402,$O$2:$O2568&lt;=$O1402,$O$2:$O2568&gt;$O1402-7)),0)"),1.24721912892464)</f>
        <v>1.2472191289246399</v>
      </c>
      <c r="AF1399" s="77">
        <f t="shared" ca="1" si="256"/>
        <v>-1.4253932901996049</v>
      </c>
      <c r="AG1399" s="77">
        <f t="shared" ca="1" si="257"/>
        <v>1</v>
      </c>
      <c r="AH1399" s="76">
        <f t="array" ref="AH1399">AVERAGEIFS($I$2:$I2565,$B$2:$B2565,$B1399,$P$2:$P2565,"&lt;="&amp;$P1399,$P$2:$P2565,"&gt;"&amp;$P1399-7)</f>
        <v>6.333333333333333</v>
      </c>
      <c r="AI1399" s="76">
        <f ca="1">IFERROR(__xludf.DUMMYFUNCTION("iferror(stdevp(filter($H$2:$H2568,$B$2:$B2568=$B1402,$O$2:$O2568&lt;=$O1402,$O$2:$O2568&gt;$O1402-7)),0)"),0.816496580927726)</f>
        <v>0.81649658092772603</v>
      </c>
      <c r="AJ1399" s="77">
        <f t="shared" ca="1" si="258"/>
        <v>-0.40824829046386263</v>
      </c>
      <c r="AK1399" s="77">
        <f t="shared" ca="1" si="259"/>
        <v>2</v>
      </c>
      <c r="AL1399" s="76">
        <f t="array" ref="AL1399">AVERAGEIFS($J$2:$J2565,$B$2:$B2565,$B1399,$P$2:$P2565,"&lt;="&amp;$P1399,$P$2:$P2565,"&gt;"&amp;$P1399-7)</f>
        <v>5.4230769230769234</v>
      </c>
      <c r="AM1399" s="76">
        <f ca="1">IFERROR(__xludf.DUMMYFUNCTION("iferror(stdevp(filter($I$2:$I2568,$B$2:$B2568=$B1402,$O$2:$O2568&lt;=$O1402,$O$2:$O2568&gt;$O1402-7)),0)"),1.63299316185545)</f>
        <v>1.6329931618554501</v>
      </c>
      <c r="AN1399" s="77">
        <f t="shared" ca="1" si="260"/>
        <v>0.3532917898244971</v>
      </c>
      <c r="AO1399" s="77">
        <f t="shared" ca="1" si="261"/>
        <v>3</v>
      </c>
      <c r="AP1399" s="76">
        <f t="array" ref="AP1399">AVERAGEIFS($K$2:$K2565,$B$2:$B2565,$B1399,$P$2:$P2565,"&lt;="&amp;$P1399,$P$2:$P2565,"&gt;"&amp;$P1399-7)</f>
        <v>7.5769230769230766</v>
      </c>
      <c r="AQ1399" s="76">
        <f ca="1">IFERROR(__xludf.DUMMYFUNCTION("iferror(stdevp(filter($J$2:$J2568,$B$2:$B2568=$B1402,$O$2:$O2568&lt;=$O1402,$O$2:$O2568&gt;$O1402-7)),0)"),0.471404520791031)</f>
        <v>0.47140452079103101</v>
      </c>
      <c r="AR1399" s="77">
        <f t="shared" ca="1" si="262"/>
        <v>0.89748168381369675</v>
      </c>
      <c r="AS1399" s="77">
        <f t="shared" ca="1" si="263"/>
        <v>3</v>
      </c>
      <c r="AT1399" s="78">
        <f t="shared" ca="1" si="264"/>
        <v>0.54166666666666663</v>
      </c>
    </row>
    <row r="1400" spans="1:46" ht="12.5" x14ac:dyDescent="0.25">
      <c r="A1400" s="75">
        <v>45000.356968900465</v>
      </c>
      <c r="B1400" s="1" t="s">
        <v>29</v>
      </c>
      <c r="C1400" s="1" t="str">
        <f>INDEX(TBL_Name,MATCH(Table2[[#This Row],[Athlete Name]],listNames,0),2)</f>
        <v>Athlete 18</v>
      </c>
      <c r="D1400" s="1" t="s">
        <v>130</v>
      </c>
      <c r="E1400" s="1">
        <v>6</v>
      </c>
      <c r="F1400" s="1">
        <v>7</v>
      </c>
      <c r="G1400" s="1">
        <v>7</v>
      </c>
      <c r="H1400" s="1" t="s">
        <v>1617</v>
      </c>
      <c r="I1400" s="1">
        <v>8</v>
      </c>
      <c r="J1400" s="1">
        <v>6</v>
      </c>
      <c r="K1400" s="1">
        <v>9</v>
      </c>
      <c r="L1400" s="1">
        <v>91</v>
      </c>
      <c r="M1400" s="1" t="e">
        <f t="shared" ref="M1400" ca="1" si="337">_xludf.concat($B1400,$P1400)</f>
        <v>#NAME?</v>
      </c>
      <c r="N1400" s="1" t="e">
        <f t="shared" si="248"/>
        <v>#VALUE!</v>
      </c>
      <c r="O1400" s="1" t="e">
        <f t="shared" ref="O1400" ca="1" si="338">IF($N1400=_xludf.MINIFS($N$2:$N2906,$R$2:$R2906,$R1400),1,
($N1400-_xludf.MINIFS($N$2:$N2906,$R$2:$R2906,$R1400))+1)</f>
        <v>#VALUE!</v>
      </c>
      <c r="P1400" s="13" t="e">
        <f t="shared" si="250"/>
        <v>#VALUE!</v>
      </c>
      <c r="Q1400" s="1" t="str">
        <f>RIGHT(YEAR($A1400),2)-(MONTH($A1400)&lt;=[3]Roster!$K$25)
 &amp;"-"&amp;
 RIGHT(YEAR($A1400),2)+(MONTH($A1400)&gt;=[3]Roster!$K$26)</f>
        <v>22-23</v>
      </c>
      <c r="R1400" s="1" t="e">
        <f>CHOOSE(MONTH($P1400),[3]Roster!$K$9,[3]Roster!$K$10,[3]Roster!$K$11,[3]Roster!$K$12,[3]Roster!$K$13,[3]Roster!$K$14,[3]Roster!$K$15,[3]Roster!$K$16,[3]Roster!$K$17,[3]Roster!$K$18,[3]Roster!$K$19,[3]Roster!$K$20)&amp;" "&amp;$Q1400</f>
        <v>#VALUE!</v>
      </c>
      <c r="S1400" s="1">
        <f t="shared" si="251"/>
        <v>1</v>
      </c>
      <c r="T1400" s="1" t="str">
        <f t="array" ref="T1400">IFERROR(INDEX([3]Roster!$D$3:$D$42,MATCH($B1400,[3]Roster!$C$3:$C$42,0)),"")</f>
        <v>GK</v>
      </c>
      <c r="U1400" s="1" t="str">
        <f t="array" ref="U1400">IFERROR(INDEX([3]Roster!$E$3:$E$42,MATCH($B1400,[3]Roster!$C$3:$C$42,0)),"")</f>
        <v>GK</v>
      </c>
      <c r="V1400" s="76">
        <f t="array" ref="V1400">AVERAGEIFS($E$2:$E2565,$B$2:$B2565,$B1400,$P$2:$P2565,"&lt;="&amp;$P1400,$P$2:$P2565,"&gt;"&amp;$P1400-7)</f>
        <v>8.53125</v>
      </c>
      <c r="W1400" s="76">
        <f ca="1">IFERROR(__xludf.DUMMYFUNCTION("iferror(stdevp(filter($D$2:$D2568,$B$2:$B2568=$B1403,$O$2:$O2568&lt;=$O1403,$O$2:$O2568&gt;$O1403-7)),0)"),1.01980390271855)</f>
        <v>1.0198039027185499</v>
      </c>
      <c r="X1400" s="77">
        <f t="shared" ca="1" si="252"/>
        <v>-2.4820948353426586</v>
      </c>
      <c r="Y1400" s="77">
        <f t="shared" ca="1" si="253"/>
        <v>1</v>
      </c>
      <c r="Z1400" s="76">
        <f t="array" ref="Z1400">AVERAGEIFS($F$2:$F2565,$B$2:$B2565,$B1400,$P$2:$P2565,"&lt;="&amp;$P1400,$P$2:$P2565,"&gt;"&amp;$P1400-7)</f>
        <v>8.125</v>
      </c>
      <c r="AA1400" s="76">
        <f ca="1">IFERROR(__xludf.DUMMYFUNCTION("iferror(stdevp(filter($E$2:$E2568,$B$2:$B2568=$B1403,$O$2:$O2568&lt;=$O1403,$O$2:$O2568&gt;$O1403-7)),0)"),0.632455532033675)</f>
        <v>0.63245553203367499</v>
      </c>
      <c r="AB1400" s="77">
        <f t="shared" ca="1" si="254"/>
        <v>-1.7787811838447158</v>
      </c>
      <c r="AC1400" s="77">
        <f t="shared" ca="1" si="255"/>
        <v>1</v>
      </c>
      <c r="AD1400" s="76">
        <f t="array" ref="AD1400">AVERAGEIFS($G$2:$G2565,$B$2:$B2565,$B1400,$P$2:$P2565,"&lt;="&amp;$P1400,$P$2:$P2565,"&gt;"&amp;$P1400-7)</f>
        <v>8.09375</v>
      </c>
      <c r="AE1400" s="76">
        <f ca="1">IFERROR(__xludf.DUMMYFUNCTION("iferror(stdevp(filter($F$2:$F2568,$B$2:$B2568=$B1403,$O$2:$O2568&lt;=$O1403,$O$2:$O2568&gt;$O1403-7)),0)"),0.489897948556635)</f>
        <v>0.48989794855663499</v>
      </c>
      <c r="AF1400" s="77">
        <f t="shared" ca="1" si="256"/>
        <v>-2.2326078384742538</v>
      </c>
      <c r="AG1400" s="77">
        <f t="shared" ca="1" si="257"/>
        <v>1</v>
      </c>
      <c r="AH1400" s="76">
        <f t="array" ref="AH1400">AVERAGEIFS($I$2:$I2565,$B$2:$B2565,$B1400,$P$2:$P2565,"&lt;="&amp;$P1400,$P$2:$P2565,"&gt;"&amp;$P1400-7)</f>
        <v>7.875</v>
      </c>
      <c r="AI1400" s="76">
        <f ca="1">IFERROR(__xludf.DUMMYFUNCTION("iferror(stdevp(filter($H$2:$H2568,$B$2:$B2568=$B1403,$O$2:$O2568&lt;=$O1403,$O$2:$O2568&gt;$O1403-7)),0)"),0.979795897113271)</f>
        <v>0.97979589711327097</v>
      </c>
      <c r="AJ1400" s="77">
        <f t="shared" ca="1" si="258"/>
        <v>0.12757759076995723</v>
      </c>
      <c r="AK1400" s="77">
        <f t="shared" ca="1" si="259"/>
        <v>3</v>
      </c>
      <c r="AL1400" s="76">
        <f t="array" ref="AL1400">AVERAGEIFS($J$2:$J2565,$B$2:$B2565,$B1400,$P$2:$P2565,"&lt;="&amp;$P1400,$P$2:$P2565,"&gt;"&amp;$P1400-7)</f>
        <v>8.34375</v>
      </c>
      <c r="AM1400" s="76">
        <f ca="1">IFERROR(__xludf.DUMMYFUNCTION("iferror(stdevp(filter($I$2:$I2568,$B$2:$B2568=$B1403,$O$2:$O2568&lt;=$O1403,$O$2:$O2568&gt;$O1403-7)),0)"),0.632455532033675)</f>
        <v>0.63245553203367499</v>
      </c>
      <c r="AN1400" s="77">
        <f t="shared" ca="1" si="260"/>
        <v>-3.7057941330098245</v>
      </c>
      <c r="AO1400" s="77">
        <f t="shared" ca="1" si="261"/>
        <v>1</v>
      </c>
      <c r="AP1400" s="76">
        <f t="array" ref="AP1400">AVERAGEIFS($K$2:$K2565,$B$2:$B2565,$B1400,$P$2:$P2565,"&lt;="&amp;$P1400,$P$2:$P2565,"&gt;"&amp;$P1400-7)</f>
        <v>8.46875</v>
      </c>
      <c r="AQ1400" s="76">
        <f ca="1">IFERROR(__xludf.DUMMYFUNCTION("iferror(stdevp(filter($J$2:$J2568,$B$2:$B2568=$B1403,$O$2:$O2568&lt;=$O1403,$O$2:$O2568&gt;$O1403-7)),0)"),0.894427190999915)</f>
        <v>0.89442719099991497</v>
      </c>
      <c r="AR1400" s="77">
        <f t="shared" ca="1" si="262"/>
        <v>0.59395555652338228</v>
      </c>
      <c r="AS1400" s="77">
        <f t="shared" ca="1" si="263"/>
        <v>3</v>
      </c>
      <c r="AT1400" s="78">
        <f t="shared" ca="1" si="264"/>
        <v>0.41666666666666669</v>
      </c>
    </row>
    <row r="1401" spans="1:46" ht="12.5" x14ac:dyDescent="0.25">
      <c r="A1401" s="75">
        <v>45000.359197905098</v>
      </c>
      <c r="B1401" s="1" t="s">
        <v>13</v>
      </c>
      <c r="C1401" s="1" t="str">
        <f>INDEX(TBL_Name,MATCH(Table2[[#This Row],[Athlete Name]],listNames,0),2)</f>
        <v>Athlete 7</v>
      </c>
      <c r="D1401" s="1" t="s">
        <v>130</v>
      </c>
      <c r="E1401" s="1">
        <v>10</v>
      </c>
      <c r="F1401" s="1">
        <v>7</v>
      </c>
      <c r="G1401" s="1">
        <v>8</v>
      </c>
      <c r="H1401" s="1" t="s">
        <v>71</v>
      </c>
      <c r="I1401" s="1">
        <v>7</v>
      </c>
      <c r="J1401" s="1">
        <v>10</v>
      </c>
      <c r="K1401" s="1">
        <v>10</v>
      </c>
      <c r="L1401" s="1">
        <v>70</v>
      </c>
      <c r="M1401" s="1" t="e">
        <f t="shared" ref="M1401" ca="1" si="339">_xludf.concat($B1401,$P1401)</f>
        <v>#NAME?</v>
      </c>
      <c r="N1401" s="1" t="e">
        <f t="shared" si="248"/>
        <v>#VALUE!</v>
      </c>
      <c r="O1401" s="1" t="e">
        <f t="shared" ref="O1401" ca="1" si="340">IF($N1401=_xludf.MINIFS($N$2:$N2907,$R$2:$R2907,$R1401),1,
($N1401-_xludf.MINIFS($N$2:$N2907,$R$2:$R2907,$R1401))+1)</f>
        <v>#VALUE!</v>
      </c>
      <c r="P1401" s="13" t="e">
        <f t="shared" si="250"/>
        <v>#VALUE!</v>
      </c>
      <c r="Q1401" s="1" t="str">
        <f>RIGHT(YEAR($A1401),2)-(MONTH($A1401)&lt;=[3]Roster!$K$25)
 &amp;"-"&amp;
 RIGHT(YEAR($A1401),2)+(MONTH($A1401)&gt;=[3]Roster!$K$26)</f>
        <v>22-23</v>
      </c>
      <c r="R1401" s="1" t="e">
        <f>CHOOSE(MONTH($P1401),[3]Roster!$K$9,[3]Roster!$K$10,[3]Roster!$K$11,[3]Roster!$K$12,[3]Roster!$K$13,[3]Roster!$K$14,[3]Roster!$K$15,[3]Roster!$K$16,[3]Roster!$K$17,[3]Roster!$K$18,[3]Roster!$K$19,[3]Roster!$K$20)&amp;" "&amp;$Q1401</f>
        <v>#VALUE!</v>
      </c>
      <c r="S1401" s="1">
        <f t="shared" si="251"/>
        <v>1</v>
      </c>
      <c r="T1401" s="1" t="str">
        <f t="array" ref="T1401">IFERROR(INDEX([3]Roster!$D$3:$D$42,MATCH($B1401,[3]Roster!$C$3:$C$42,0)),"")</f>
        <v>MID/D</v>
      </c>
      <c r="U1401" s="1" t="str">
        <f t="array" ref="U1401">IFERROR(INDEX([3]Roster!$E$3:$E$42,MATCH($B1401,[3]Roster!$C$3:$C$42,0)),"")</f>
        <v>MID/D</v>
      </c>
      <c r="V1401" s="76">
        <f t="array" ref="V1401">AVERAGEIFS($E$2:$E2565,$B$2:$B2565,$B1401,$P$2:$P2565,"&lt;="&amp;$P1401,$P$2:$P2565,"&gt;"&amp;$P1401-7)</f>
        <v>7.6857142857142859</v>
      </c>
      <c r="W1401" s="76">
        <f ca="1">IFERROR(__xludf.DUMMYFUNCTION("iferror(stdevp(filter($D$2:$D2568,$B$2:$B2568=$B1404,$O$2:$O2568&lt;=$O1404,$O$2:$O2568&gt;$O1404-7)),0)"),1.09544511501033)</f>
        <v>1.0954451150103299</v>
      </c>
      <c r="X1401" s="77">
        <f t="shared" ca="1" si="252"/>
        <v>2.1126441503770734</v>
      </c>
      <c r="Y1401" s="77">
        <f t="shared" ca="1" si="253"/>
        <v>4</v>
      </c>
      <c r="Z1401" s="76">
        <f t="array" ref="Z1401">AVERAGEIFS($F$2:$F2565,$B$2:$B2565,$B1401,$P$2:$P2565,"&lt;="&amp;$P1401,$P$2:$P2565,"&gt;"&amp;$P1401-7)</f>
        <v>7.0857142857142854</v>
      </c>
      <c r="AA1401" s="76">
        <f ca="1">IFERROR(__xludf.DUMMYFUNCTION("iferror(stdevp(filter($E$2:$E2568,$B$2:$B2568=$B1404,$O$2:$O2568&lt;=$O1404,$O$2:$O2568&gt;$O1404-7)),0)"),0.489897948556635)</f>
        <v>0.48989794855663499</v>
      </c>
      <c r="AB1401" s="77">
        <f t="shared" ca="1" si="254"/>
        <v>-0.17496355305594088</v>
      </c>
      <c r="AC1401" s="77">
        <f t="shared" ca="1" si="255"/>
        <v>2</v>
      </c>
      <c r="AD1401" s="76">
        <f t="array" ref="AD1401">AVERAGEIFS($G$2:$G2565,$B$2:$B2565,$B1401,$P$2:$P2565,"&lt;="&amp;$P1401,$P$2:$P2565,"&gt;"&amp;$P1401-7)</f>
        <v>7.1428571428571432</v>
      </c>
      <c r="AE1401" s="76">
        <f ca="1">IFERROR(__xludf.DUMMYFUNCTION("iferror(stdevp(filter($F$2:$F2568,$B$2:$B2568=$B1404,$O$2:$O2568&lt;=$O1404,$O$2:$O2568&gt;$O1404-7)),0)"),0.894427190999915)</f>
        <v>0.89442719099991497</v>
      </c>
      <c r="AF1401" s="77">
        <f t="shared" ca="1" si="256"/>
        <v>0.95831484749991047</v>
      </c>
      <c r="AG1401" s="77">
        <f t="shared" ca="1" si="257"/>
        <v>3</v>
      </c>
      <c r="AH1401" s="76">
        <f t="array" ref="AH1401">AVERAGEIFS($I$2:$I2565,$B$2:$B2565,$B1401,$P$2:$P2565,"&lt;="&amp;$P1401,$P$2:$P2565,"&gt;"&amp;$P1401-7)</f>
        <v>7.0285714285714285</v>
      </c>
      <c r="AI1401" s="76">
        <f ca="1">IFERROR(__xludf.DUMMYFUNCTION("iferror(stdevp(filter($H$2:$H2568,$B$2:$B2568=$B1404,$O$2:$O2568&lt;=$O1404,$O$2:$O2568&gt;$O1404-7)),0)"),0.799999999999999)</f>
        <v>0.79999999999999905</v>
      </c>
      <c r="AJ1401" s="77">
        <f t="shared" ca="1" si="258"/>
        <v>-3.5714285714285629E-2</v>
      </c>
      <c r="AK1401" s="77">
        <f t="shared" ca="1" si="259"/>
        <v>2</v>
      </c>
      <c r="AL1401" s="76">
        <f t="array" ref="AL1401">AVERAGEIFS($J$2:$J2565,$B$2:$B2565,$B1401,$P$2:$P2565,"&lt;="&amp;$P1401,$P$2:$P2565,"&gt;"&amp;$P1401-7)</f>
        <v>9.742857142857142</v>
      </c>
      <c r="AM1401" s="76">
        <f ca="1">IFERROR(__xludf.DUMMYFUNCTION("iferror(stdevp(filter($I$2:$I2568,$B$2:$B2568=$B1404,$O$2:$O2568&lt;=$O1404,$O$2:$O2568&gt;$O1404-7)),0)"),1.26491106406735)</f>
        <v>1.26491106406735</v>
      </c>
      <c r="AN1401" s="77">
        <f t="shared" ca="1" si="260"/>
        <v>0.2032892781536825</v>
      </c>
      <c r="AO1401" s="77">
        <f t="shared" ca="1" si="261"/>
        <v>3</v>
      </c>
      <c r="AP1401" s="76">
        <f t="array" ref="AP1401">AVERAGEIFS($K$2:$K2565,$B$2:$B2565,$B1401,$P$2:$P2565,"&lt;="&amp;$P1401,$P$2:$P2565,"&gt;"&amp;$P1401-7)</f>
        <v>9.4285714285714288</v>
      </c>
      <c r="AQ1401" s="76">
        <f ca="1">IFERROR(__xludf.DUMMYFUNCTION("iferror(stdevp(filter($J$2:$J2568,$B$2:$B2568=$B1404,$O$2:$O2568&lt;=$O1404,$O$2:$O2568&gt;$O1404-7)),0)"),1.35646599662505)</f>
        <v>1.3564659966250501</v>
      </c>
      <c r="AR1401" s="77">
        <f t="shared" ca="1" si="262"/>
        <v>0.42126273187113561</v>
      </c>
      <c r="AS1401" s="77">
        <f t="shared" ca="1" si="263"/>
        <v>3</v>
      </c>
      <c r="AT1401" s="78">
        <f t="shared" ca="1" si="264"/>
        <v>0.70833333333333337</v>
      </c>
    </row>
    <row r="1402" spans="1:46" ht="12.5" x14ac:dyDescent="0.25">
      <c r="A1402" s="75">
        <v>45000.361218240738</v>
      </c>
      <c r="B1402" s="1" t="s">
        <v>9</v>
      </c>
      <c r="C1402" s="1" t="str">
        <f>INDEX(TBL_Name,MATCH(Table2[[#This Row],[Athlete Name]],listNames,0),2)</f>
        <v>Athlete 4</v>
      </c>
      <c r="D1402" s="1" t="s">
        <v>130</v>
      </c>
      <c r="E1402" s="1">
        <v>7</v>
      </c>
      <c r="F1402" s="1">
        <v>8</v>
      </c>
      <c r="G1402" s="1">
        <v>7</v>
      </c>
      <c r="H1402" s="1" t="s">
        <v>1335</v>
      </c>
      <c r="I1402" s="1">
        <v>5</v>
      </c>
      <c r="J1402" s="1">
        <v>8</v>
      </c>
      <c r="K1402" s="1">
        <v>8</v>
      </c>
      <c r="L1402" s="1">
        <v>95</v>
      </c>
      <c r="M1402" s="1" t="e">
        <f t="shared" ref="M1402" ca="1" si="341">_xludf.concat($B1402,$P1402)</f>
        <v>#NAME?</v>
      </c>
      <c r="N1402" s="1" t="e">
        <f t="shared" si="248"/>
        <v>#VALUE!</v>
      </c>
      <c r="O1402" s="1" t="e">
        <f t="shared" ref="O1402" ca="1" si="342">IF($N1402=_xludf.MINIFS($N$2:$N2908,$R$2:$R2908,$R1402),1,
($N1402-_xludf.MINIFS($N$2:$N2908,$R$2:$R2908,$R1402))+1)</f>
        <v>#VALUE!</v>
      </c>
      <c r="P1402" s="13" t="e">
        <f t="shared" si="250"/>
        <v>#VALUE!</v>
      </c>
      <c r="Q1402" s="1" t="str">
        <f>RIGHT(YEAR($A1402),2)-(MONTH($A1402)&lt;=[3]Roster!$K$25)
 &amp;"-"&amp;
 RIGHT(YEAR($A1402),2)+(MONTH($A1402)&gt;=[3]Roster!$K$26)</f>
        <v>22-23</v>
      </c>
      <c r="R1402" s="1" t="e">
        <f>CHOOSE(MONTH($P1402),[3]Roster!$K$9,[3]Roster!$K$10,[3]Roster!$K$11,[3]Roster!$K$12,[3]Roster!$K$13,[3]Roster!$K$14,[3]Roster!$K$15,[3]Roster!$K$16,[3]Roster!$K$17,[3]Roster!$K$18,[3]Roster!$K$19,[3]Roster!$K$20)&amp;" "&amp;$Q1402</f>
        <v>#VALUE!</v>
      </c>
      <c r="S1402" s="1">
        <f t="shared" si="251"/>
        <v>1</v>
      </c>
      <c r="T1402" s="1" t="str">
        <f t="array" ref="T1402">IFERROR(INDEX([3]Roster!$D$3:$D$42,MATCH($B1402,[3]Roster!$C$3:$C$42,0)),"")</f>
        <v>F/MID</v>
      </c>
      <c r="U1402" s="1" t="str">
        <f t="array" ref="U1402">IFERROR(INDEX([3]Roster!$E$3:$E$42,MATCH($B1402,[3]Roster!$C$3:$C$42,0)),"")</f>
        <v>F/MID</v>
      </c>
      <c r="V1402" s="76">
        <f t="array" ref="V1402">AVERAGEIFS($E$2:$E2565,$B$2:$B2565,$B1402,$P$2:$P2565,"&lt;="&amp;$P1402,$P$2:$P2565,"&gt;"&amp;$P1402-7)</f>
        <v>7.4230769230769234</v>
      </c>
      <c r="W1402" s="76">
        <f ca="1">IFERROR(__xludf.DUMMYFUNCTION("iferror(stdevp(filter($D$2:$D2568,$B$2:$B2568=$B1405,$O$2:$O2568&lt;=$O1405,$O$2:$O2568&gt;$O1405-7)),0)"),0.489897948556635)</f>
        <v>0.48989794855663499</v>
      </c>
      <c r="X1402" s="77">
        <f t="shared" ca="1" si="252"/>
        <v>-0.86360215290432729</v>
      </c>
      <c r="Y1402" s="77">
        <f t="shared" ca="1" si="253"/>
        <v>2</v>
      </c>
      <c r="Z1402" s="76">
        <f t="array" ref="Z1402">AVERAGEIFS($F$2:$F2565,$B$2:$B2565,$B1402,$P$2:$P2565,"&lt;="&amp;$P1402,$P$2:$P2565,"&gt;"&amp;$P1402-7)</f>
        <v>7.1538461538461542</v>
      </c>
      <c r="AA1402" s="76">
        <f ca="1">IFERROR(__xludf.DUMMYFUNCTION("iferror(stdevp(filter($E$2:$E2568,$B$2:$B2568=$B1405,$O$2:$O2568&lt;=$O1405,$O$2:$O2568&gt;$O1405-7)),0)"),1.74355957741626)</f>
        <v>1.74355957741626</v>
      </c>
      <c r="AB1402" s="77">
        <f t="shared" ca="1" si="254"/>
        <v>0.48530251395696</v>
      </c>
      <c r="AC1402" s="77">
        <f t="shared" ca="1" si="255"/>
        <v>3</v>
      </c>
      <c r="AD1402" s="76">
        <f t="array" ref="AD1402">AVERAGEIFS($G$2:$G2565,$B$2:$B2565,$B1402,$P$2:$P2565,"&lt;="&amp;$P1402,$P$2:$P2565,"&gt;"&amp;$P1402-7)</f>
        <v>7.615384615384615</v>
      </c>
      <c r="AE1402" s="76">
        <f ca="1">IFERROR(__xludf.DUMMYFUNCTION("iferror(stdevp(filter($F$2:$F2568,$B$2:$B2568=$B1405,$O$2:$O2568&lt;=$O1405,$O$2:$O2568&gt;$O1405-7)),0)"),1.16619037896906)</f>
        <v>1.16619037896906</v>
      </c>
      <c r="AF1402" s="77">
        <f t="shared" ca="1" si="256"/>
        <v>-0.52768795428464232</v>
      </c>
      <c r="AG1402" s="77">
        <f t="shared" ca="1" si="257"/>
        <v>2</v>
      </c>
      <c r="AH1402" s="76">
        <f t="array" ref="AH1402">AVERAGEIFS($I$2:$I2565,$B$2:$B2565,$B1402,$P$2:$P2565,"&lt;="&amp;$P1402,$P$2:$P2565,"&gt;"&amp;$P1402-7)</f>
        <v>5.1923076923076925</v>
      </c>
      <c r="AI1402" s="76">
        <f ca="1">IFERROR(__xludf.DUMMYFUNCTION("iferror(stdevp(filter($H$2:$H2568,$B$2:$B2568=$B1405,$O$2:$O2568&lt;=$O1405,$O$2:$O2568&gt;$O1405-7)),0)"),0)</f>
        <v>0</v>
      </c>
      <c r="AJ1402" s="77">
        <f t="shared" ca="1" si="258"/>
        <v>0</v>
      </c>
      <c r="AK1402" s="77">
        <f t="shared" ca="1" si="259"/>
        <v>3</v>
      </c>
      <c r="AL1402" s="76">
        <f t="array" ref="AL1402">AVERAGEIFS($J$2:$J2565,$B$2:$B2565,$B1402,$P$2:$P2565,"&lt;="&amp;$P1402,$P$2:$P2565,"&gt;"&amp;$P1402-7)</f>
        <v>7.6923076923076925</v>
      </c>
      <c r="AM1402" s="76">
        <f ca="1">IFERROR(__xludf.DUMMYFUNCTION("iferror(stdevp(filter($I$2:$I2568,$B$2:$B2568=$B1405,$O$2:$O2568&lt;=$O1405,$O$2:$O2568&gt;$O1405-7)),0)"),0.489897948556635)</f>
        <v>0.48989794855663499</v>
      </c>
      <c r="AN1402" s="77">
        <f t="shared" ca="1" si="260"/>
        <v>0.62807429302132811</v>
      </c>
      <c r="AO1402" s="77">
        <f t="shared" ca="1" si="261"/>
        <v>3</v>
      </c>
      <c r="AP1402" s="76">
        <f t="array" ref="AP1402">AVERAGEIFS($K$2:$K2565,$B$2:$B2565,$B1402,$P$2:$P2565,"&lt;="&amp;$P1402,$P$2:$P2565,"&gt;"&amp;$P1402-7)</f>
        <v>7.8461538461538458</v>
      </c>
      <c r="AQ1402" s="76">
        <f ca="1">IFERROR(__xludf.DUMMYFUNCTION("iferror(stdevp(filter($J$2:$J2568,$B$2:$B2568=$B1405,$O$2:$O2568&lt;=$O1405,$O$2:$O2568&gt;$O1405-7)),0)"),0)</f>
        <v>0</v>
      </c>
      <c r="AR1402" s="77">
        <f t="shared" ca="1" si="262"/>
        <v>0</v>
      </c>
      <c r="AS1402" s="77">
        <f t="shared" ca="1" si="263"/>
        <v>3</v>
      </c>
      <c r="AT1402" s="78">
        <f t="shared" ca="1" si="264"/>
        <v>0.66666666666666663</v>
      </c>
    </row>
    <row r="1403" spans="1:46" ht="12.5" x14ac:dyDescent="0.25">
      <c r="A1403" s="75">
        <v>45000.36135924769</v>
      </c>
      <c r="B1403" s="1" t="s">
        <v>21</v>
      </c>
      <c r="C1403" s="1" t="str">
        <f>INDEX(TBL_Name,MATCH(Table2[[#This Row],[Athlete Name]],listNames,0),2)</f>
        <v>Athlete 13</v>
      </c>
      <c r="D1403" s="1" t="s">
        <v>130</v>
      </c>
      <c r="E1403" s="1">
        <v>7</v>
      </c>
      <c r="F1403" s="1">
        <v>8</v>
      </c>
      <c r="G1403" s="1">
        <v>8</v>
      </c>
      <c r="H1403" s="1" t="s">
        <v>1549</v>
      </c>
      <c r="I1403" s="1">
        <v>5</v>
      </c>
      <c r="J1403" s="1">
        <v>7</v>
      </c>
      <c r="K1403" s="1">
        <v>7</v>
      </c>
      <c r="L1403" s="1">
        <v>75</v>
      </c>
      <c r="M1403" s="1" t="e">
        <f t="shared" ref="M1403" ca="1" si="343">_xludf.concat($B1403,$P1403)</f>
        <v>#NAME?</v>
      </c>
      <c r="N1403" s="1" t="e">
        <f t="shared" si="248"/>
        <v>#VALUE!</v>
      </c>
      <c r="O1403" s="1" t="e">
        <f t="shared" ref="O1403" ca="1" si="344">IF($N1403=_xludf.MINIFS($N$2:$N2909,$R$2:$R2909,$R1403),1,
($N1403-_xludf.MINIFS($N$2:$N2909,$R$2:$R2909,$R1403))+1)</f>
        <v>#VALUE!</v>
      </c>
      <c r="P1403" s="13" t="e">
        <f t="shared" si="250"/>
        <v>#VALUE!</v>
      </c>
      <c r="Q1403" s="1" t="str">
        <f>RIGHT(YEAR($A1403),2)-(MONTH($A1403)&lt;=[3]Roster!$K$25)
 &amp;"-"&amp;
 RIGHT(YEAR($A1403),2)+(MONTH($A1403)&gt;=[3]Roster!$K$26)</f>
        <v>22-23</v>
      </c>
      <c r="R1403" s="1" t="e">
        <f>CHOOSE(MONTH($P1403),[3]Roster!$K$9,[3]Roster!$K$10,[3]Roster!$K$11,[3]Roster!$K$12,[3]Roster!$K$13,[3]Roster!$K$14,[3]Roster!$K$15,[3]Roster!$K$16,[3]Roster!$K$17,[3]Roster!$K$18,[3]Roster!$K$19,[3]Roster!$K$20)&amp;" "&amp;$Q1403</f>
        <v>#VALUE!</v>
      </c>
      <c r="S1403" s="1">
        <f t="shared" si="251"/>
        <v>1</v>
      </c>
      <c r="T1403" s="1" t="str">
        <f t="array" ref="T1403">IFERROR(INDEX([3]Roster!$D$3:$D$42,MATCH($B1403,[3]Roster!$C$3:$C$42,0)),"")</f>
        <v>D</v>
      </c>
      <c r="U1403" s="1" t="str">
        <f t="array" ref="U1403">IFERROR(INDEX([3]Roster!$E$3:$E$42,MATCH($B1403,[3]Roster!$C$3:$C$42,0)),"")</f>
        <v>D</v>
      </c>
      <c r="V1403" s="76">
        <f t="array" ref="V1403">AVERAGEIFS($E$2:$E2565,$B$2:$B2565,$B1403,$P$2:$P2565,"&lt;="&amp;$P1403,$P$2:$P2565,"&gt;"&amp;$P1403-7)</f>
        <v>6.6304347826086953</v>
      </c>
      <c r="W1403" s="76">
        <f ca="1">IFERROR(__xludf.DUMMYFUNCTION("iferror(stdevp(filter($D$2:$D2568,$B$2:$B2568=$B1406,$O$2:$O2568&lt;=$O1406,$O$2:$O2568&gt;$O1406-7)),0)"),0.471404520791031)</f>
        <v>0.47140452079103101</v>
      </c>
      <c r="X1403" s="77">
        <f t="shared" ca="1" si="252"/>
        <v>0.7839662139242175</v>
      </c>
      <c r="Y1403" s="77">
        <f t="shared" ca="1" si="253"/>
        <v>3</v>
      </c>
      <c r="Z1403" s="76">
        <f t="array" ref="Z1403">AVERAGEIFS($F$2:$F2565,$B$2:$B2565,$B1403,$P$2:$P2565,"&lt;="&amp;$P1403,$P$2:$P2565,"&gt;"&amp;$P1403-7)</f>
        <v>7.6956521739130439</v>
      </c>
      <c r="AA1403" s="76">
        <f ca="1">IFERROR(__xludf.DUMMYFUNCTION("iferror(stdevp(filter($E$2:$E2568,$B$2:$B2568=$B1406,$O$2:$O2568&lt;=$O1406,$O$2:$O2568&gt;$O1406-7)),0)"),0.687184270936276)</f>
        <v>0.68718427093627599</v>
      </c>
      <c r="AB1403" s="77">
        <f t="shared" ca="1" si="254"/>
        <v>0.44289114137069485</v>
      </c>
      <c r="AC1403" s="77">
        <f t="shared" ca="1" si="255"/>
        <v>3</v>
      </c>
      <c r="AD1403" s="76">
        <f t="array" ref="AD1403">AVERAGEIFS($G$2:$G2565,$B$2:$B2565,$B1403,$P$2:$P2565,"&lt;="&amp;$P1403,$P$2:$P2565,"&gt;"&amp;$P1403-7)</f>
        <v>8.2608695652173907</v>
      </c>
      <c r="AE1403" s="76">
        <f ca="1">IFERROR(__xludf.DUMMYFUNCTION("iferror(stdevp(filter($F$2:$F2568,$B$2:$B2568=$B1406,$O$2:$O2568&lt;=$O1406,$O$2:$O2568&gt;$O1406-7)),0)"),0.577350269189625)</f>
        <v>0.57735026918962495</v>
      </c>
      <c r="AF1403" s="77">
        <f t="shared" ca="1" si="256"/>
        <v>-0.45183934110492407</v>
      </c>
      <c r="AG1403" s="77">
        <f t="shared" ca="1" si="257"/>
        <v>2</v>
      </c>
      <c r="AH1403" s="76">
        <f t="array" ref="AH1403">AVERAGEIFS($I$2:$I2565,$B$2:$B2565,$B1403,$P$2:$P2565,"&lt;="&amp;$P1403,$P$2:$P2565,"&gt;"&amp;$P1403-7)</f>
        <v>5.7391304347826084</v>
      </c>
      <c r="AI1403" s="76">
        <f ca="1">IFERROR(__xludf.DUMMYFUNCTION("iferror(stdevp(filter($H$2:$H2568,$B$2:$B2568=$B1406,$O$2:$O2568&lt;=$O1406,$O$2:$O2568&gt;$O1406-7)),0)"),0.499999999999999)</f>
        <v>0.499999999999999</v>
      </c>
      <c r="AJ1403" s="77">
        <f t="shared" ca="1" si="258"/>
        <v>-1.4782608695652197</v>
      </c>
      <c r="AK1403" s="77">
        <f t="shared" ca="1" si="259"/>
        <v>1</v>
      </c>
      <c r="AL1403" s="76">
        <f t="array" ref="AL1403">AVERAGEIFS($J$2:$J2565,$B$2:$B2565,$B1403,$P$2:$P2565,"&lt;="&amp;$P1403,$P$2:$P2565,"&gt;"&amp;$P1403-7)</f>
        <v>6.5434782608695654</v>
      </c>
      <c r="AM1403" s="76">
        <f ca="1">IFERROR(__xludf.DUMMYFUNCTION("iferror(stdevp(filter($I$2:$I2568,$B$2:$B2568=$B1406,$O$2:$O2568&lt;=$O1406,$O$2:$O2568&gt;$O1406-7)),0)"),0.471404520791031)</f>
        <v>0.47140452079103101</v>
      </c>
      <c r="AN1403" s="77">
        <f t="shared" ca="1" si="260"/>
        <v>0.96842885249462041</v>
      </c>
      <c r="AO1403" s="77">
        <f t="shared" ca="1" si="261"/>
        <v>3</v>
      </c>
      <c r="AP1403" s="76">
        <f t="array" ref="AP1403">AVERAGEIFS($K$2:$K2565,$B$2:$B2565,$B1403,$P$2:$P2565,"&lt;="&amp;$P1403,$P$2:$P2565,"&gt;"&amp;$P1403-7)</f>
        <v>6.6086956521739131</v>
      </c>
      <c r="AQ1403" s="76">
        <f ca="1">IFERROR(__xludf.DUMMYFUNCTION("iferror(stdevp(filter($J$2:$J2568,$B$2:$B2568=$B1406,$O$2:$O2568&lt;=$O1406,$O$2:$O2568&gt;$O1406-7)),0)"),0)</f>
        <v>0</v>
      </c>
      <c r="AR1403" s="77">
        <f t="shared" ca="1" si="262"/>
        <v>0</v>
      </c>
      <c r="AS1403" s="77">
        <f t="shared" ca="1" si="263"/>
        <v>3</v>
      </c>
      <c r="AT1403" s="78">
        <f t="shared" ca="1" si="264"/>
        <v>0.625</v>
      </c>
    </row>
    <row r="1404" spans="1:46" ht="12.5" x14ac:dyDescent="0.25">
      <c r="A1404" s="75">
        <v>45000.397505474539</v>
      </c>
      <c r="B1404" s="1" t="s">
        <v>6</v>
      </c>
      <c r="C1404" s="1" t="str">
        <f>INDEX(TBL_Name,MATCH(Table2[[#This Row],[Athlete Name]],listNames,0),2)</f>
        <v>Athlete 2</v>
      </c>
      <c r="D1404" s="1" t="s">
        <v>130</v>
      </c>
      <c r="E1404" s="1">
        <v>10</v>
      </c>
      <c r="F1404" s="1">
        <v>10</v>
      </c>
      <c r="G1404" s="1">
        <v>10</v>
      </c>
      <c r="H1404" s="1" t="s">
        <v>181</v>
      </c>
      <c r="I1404" s="1">
        <v>9</v>
      </c>
      <c r="J1404" s="1">
        <v>9</v>
      </c>
      <c r="K1404" s="1">
        <v>10</v>
      </c>
      <c r="L1404" s="1">
        <v>95</v>
      </c>
      <c r="M1404" s="1" t="e">
        <f t="shared" ref="M1404" ca="1" si="345">_xludf.concat($B1404,$P1404)</f>
        <v>#NAME?</v>
      </c>
      <c r="N1404" s="1" t="e">
        <f t="shared" si="248"/>
        <v>#VALUE!</v>
      </c>
      <c r="O1404" s="1" t="e">
        <f t="shared" ref="O1404" ca="1" si="346">IF($N1404=_xludf.MINIFS($N$2:$N2910,$R$2:$R2910,$R1404),1,
($N1404-_xludf.MINIFS($N$2:$N2910,$R$2:$R2910,$R1404))+1)</f>
        <v>#VALUE!</v>
      </c>
      <c r="P1404" s="13" t="e">
        <f t="shared" si="250"/>
        <v>#VALUE!</v>
      </c>
      <c r="Q1404" s="1" t="str">
        <f>RIGHT(YEAR($A1404),2)-(MONTH($A1404)&lt;=[3]Roster!$K$25)
 &amp;"-"&amp;
 RIGHT(YEAR($A1404),2)+(MONTH($A1404)&gt;=[3]Roster!$K$26)</f>
        <v>22-23</v>
      </c>
      <c r="R1404" s="1" t="e">
        <f>CHOOSE(MONTH($P1404),[3]Roster!$K$9,[3]Roster!$K$10,[3]Roster!$K$11,[3]Roster!$K$12,[3]Roster!$K$13,[3]Roster!$K$14,[3]Roster!$K$15,[3]Roster!$K$16,[3]Roster!$K$17,[3]Roster!$K$18,[3]Roster!$K$19,[3]Roster!$K$20)&amp;" "&amp;$Q1404</f>
        <v>#VALUE!</v>
      </c>
      <c r="S1404" s="1">
        <f t="shared" si="251"/>
        <v>1</v>
      </c>
      <c r="T1404" s="1" t="str">
        <f t="array" ref="T1404">IFERROR(INDEX([3]Roster!$D$3:$D$42,MATCH($B1404,[3]Roster!$C$3:$C$42,0)),"")</f>
        <v>FWD</v>
      </c>
      <c r="U1404" s="1" t="str">
        <f t="array" ref="U1404">IFERROR(INDEX([3]Roster!$E$3:$E$42,MATCH($B1404,[3]Roster!$C$3:$C$42,0)),"")</f>
        <v>FWD</v>
      </c>
      <c r="V1404" s="76">
        <f t="array" ref="V1404">AVERAGEIFS($E$2:$E2565,$B$2:$B2565,$B1404,$P$2:$P2565,"&lt;="&amp;$P1404,$P$2:$P2565,"&gt;"&amp;$P1404-7)</f>
        <v>9.7441860465116275</v>
      </c>
      <c r="W1404" s="76">
        <f ca="1">IFERROR(__xludf.DUMMYFUNCTION("iferror(stdevp(filter($D$2:$D2568,$B$2:$B2568=$B1407,$O$2:$O2568&lt;=$O1407,$O$2:$O2568&gt;$O1407-7)),0)"),0.372677996249965)</f>
        <v>0.372677996249965</v>
      </c>
      <c r="X1404" s="77">
        <f t="shared" ca="1" si="252"/>
        <v>0.6864208675115645</v>
      </c>
      <c r="Y1404" s="77">
        <f t="shared" ca="1" si="253"/>
        <v>3</v>
      </c>
      <c r="Z1404" s="76">
        <f t="array" ref="Z1404">AVERAGEIFS($F$2:$F2565,$B$2:$B2565,$B1404,$P$2:$P2565,"&lt;="&amp;$P1404,$P$2:$P2565,"&gt;"&amp;$P1404-7)</f>
        <v>8.279069767441861</v>
      </c>
      <c r="AA1404" s="76">
        <f ca="1">IFERROR(__xludf.DUMMYFUNCTION("iferror(stdevp(filter($E$2:$E2568,$B$2:$B2568=$B1407,$O$2:$O2568&lt;=$O1407,$O$2:$O2568&gt;$O1407-7)),0)"),0.471404520791031)</f>
        <v>0.47140452079103101</v>
      </c>
      <c r="AB1404" s="77">
        <f t="shared" ca="1" si="254"/>
        <v>3.6506443121724121</v>
      </c>
      <c r="AC1404" s="77">
        <f t="shared" ca="1" si="255"/>
        <v>4</v>
      </c>
      <c r="AD1404" s="76">
        <f t="array" ref="AD1404">AVERAGEIFS($G$2:$G2565,$B$2:$B2565,$B1404,$P$2:$P2565,"&lt;="&amp;$P1404,$P$2:$P2565,"&gt;"&amp;$P1404-7)</f>
        <v>8.604651162790697</v>
      </c>
      <c r="AE1404" s="76">
        <f ca="1">IFERROR(__xludf.DUMMYFUNCTION("iferror(stdevp(filter($F$2:$F2568,$B$2:$B2568=$B1407,$O$2:$O2568&lt;=$O1407,$O$2:$O2568&gt;$O1407-7)),0)"),0.74535599249993)</f>
        <v>0.74535599249993001</v>
      </c>
      <c r="AF1404" s="77">
        <f t="shared" ca="1" si="256"/>
        <v>1.8720569113951735</v>
      </c>
      <c r="AG1404" s="77">
        <f t="shared" ca="1" si="257"/>
        <v>4</v>
      </c>
      <c r="AH1404" s="76">
        <f t="array" ref="AH1404">AVERAGEIFS($I$2:$I2565,$B$2:$B2565,$B1404,$P$2:$P2565,"&lt;="&amp;$P1404,$P$2:$P2565,"&gt;"&amp;$P1404-7)</f>
        <v>8.3488372093023262</v>
      </c>
      <c r="AI1404" s="76">
        <f ca="1">IFERROR(__xludf.DUMMYFUNCTION("iferror(stdevp(filter($H$2:$H2568,$B$2:$B2568=$B1407,$O$2:$O2568&lt;=$O1407,$O$2:$O2568&gt;$O1407-7)),0)"),0.763762615825973)</f>
        <v>0.76376261582597305</v>
      </c>
      <c r="AJ1404" s="77">
        <f t="shared" ca="1" si="258"/>
        <v>0.85257222231736507</v>
      </c>
      <c r="AK1404" s="77">
        <f t="shared" ca="1" si="259"/>
        <v>3</v>
      </c>
      <c r="AL1404" s="76">
        <f t="array" ref="AL1404">AVERAGEIFS($J$2:$J2565,$B$2:$B2565,$B1404,$P$2:$P2565,"&lt;="&amp;$P1404,$P$2:$P2565,"&gt;"&amp;$P1404-7)</f>
        <v>8.3023255813953494</v>
      </c>
      <c r="AM1404" s="76">
        <f ca="1">IFERROR(__xludf.DUMMYFUNCTION("iferror(stdevp(filter($I$2:$I2568,$B$2:$B2568=$B1407,$O$2:$O2568&lt;=$O1407,$O$2:$O2568&gt;$O1407-7)),0)"),1.24721912892464)</f>
        <v>1.2472191289246399</v>
      </c>
      <c r="AN1404" s="77">
        <f t="shared" ca="1" si="260"/>
        <v>0.55938399470042588</v>
      </c>
      <c r="AO1404" s="77">
        <f t="shared" ca="1" si="261"/>
        <v>3</v>
      </c>
      <c r="AP1404" s="76">
        <f t="array" ref="AP1404">AVERAGEIFS($K$2:$K2565,$B$2:$B2565,$B1404,$P$2:$P2565,"&lt;="&amp;$P1404,$P$2:$P2565,"&gt;"&amp;$P1404-7)</f>
        <v>8.9069767441860463</v>
      </c>
      <c r="AQ1404" s="76">
        <f ca="1">IFERROR(__xludf.DUMMYFUNCTION("iferror(stdevp(filter($J$2:$J2568,$B$2:$B2568=$B1407,$O$2:$O2568&lt;=$O1407,$O$2:$O2568&gt;$O1407-7)),0)"),0.471404520791031)</f>
        <v>0.47140452079103101</v>
      </c>
      <c r="AR1404" s="77">
        <f t="shared" ca="1" si="262"/>
        <v>2.3186524685419387</v>
      </c>
      <c r="AS1404" s="77">
        <f t="shared" ca="1" si="263"/>
        <v>4</v>
      </c>
      <c r="AT1404" s="78">
        <f t="shared" ca="1" si="264"/>
        <v>0.875</v>
      </c>
    </row>
    <row r="1405" spans="1:46" ht="12.5" x14ac:dyDescent="0.25">
      <c r="A1405" s="75">
        <v>45000.399507951384</v>
      </c>
      <c r="B1405" s="1" t="s">
        <v>19</v>
      </c>
      <c r="C1405" s="1" t="str">
        <f>INDEX(TBL_Name,MATCH(Table2[[#This Row],[Athlete Name]],listNames,0),2)</f>
        <v>Athlete 11</v>
      </c>
      <c r="D1405" s="1" t="s">
        <v>130</v>
      </c>
      <c r="E1405" s="1">
        <v>4</v>
      </c>
      <c r="F1405" s="1">
        <v>7</v>
      </c>
      <c r="G1405" s="1">
        <v>7</v>
      </c>
      <c r="H1405" s="1" t="s">
        <v>435</v>
      </c>
      <c r="I1405" s="1">
        <v>4</v>
      </c>
      <c r="J1405" s="1">
        <v>8</v>
      </c>
      <c r="K1405" s="1">
        <v>8</v>
      </c>
      <c r="L1405" s="1">
        <v>56</v>
      </c>
      <c r="M1405" s="1" t="e">
        <f t="shared" ref="M1405" ca="1" si="347">_xludf.concat($B1405,$P1405)</f>
        <v>#NAME?</v>
      </c>
      <c r="N1405" s="1" t="e">
        <f t="shared" si="248"/>
        <v>#VALUE!</v>
      </c>
      <c r="O1405" s="1" t="e">
        <f t="shared" ref="O1405" ca="1" si="348">IF($N1405=_xludf.MINIFS($N$2:$N2911,$R$2:$R2911,$R1405),1,
($N1405-_xludf.MINIFS($N$2:$N2911,$R$2:$R2911,$R1405))+1)</f>
        <v>#VALUE!</v>
      </c>
      <c r="P1405" s="13" t="e">
        <f t="shared" si="250"/>
        <v>#VALUE!</v>
      </c>
      <c r="Q1405" s="1" t="str">
        <f>RIGHT(YEAR($A1405),2)-(MONTH($A1405)&lt;=[3]Roster!$K$25)
 &amp;"-"&amp;
 RIGHT(YEAR($A1405),2)+(MONTH($A1405)&gt;=[3]Roster!$K$26)</f>
        <v>22-23</v>
      </c>
      <c r="R1405" s="1" t="e">
        <f>CHOOSE(MONTH($P1405),[3]Roster!$K$9,[3]Roster!$K$10,[3]Roster!$K$11,[3]Roster!$K$12,[3]Roster!$K$13,[3]Roster!$K$14,[3]Roster!$K$15,[3]Roster!$K$16,[3]Roster!$K$17,[3]Roster!$K$18,[3]Roster!$K$19,[3]Roster!$K$20)&amp;" "&amp;$Q1405</f>
        <v>#VALUE!</v>
      </c>
      <c r="S1405" s="1">
        <f t="shared" si="251"/>
        <v>1</v>
      </c>
      <c r="T1405" s="1" t="str">
        <f t="array" ref="T1405">IFERROR(INDEX([3]Roster!$D$3:$D$42,MATCH($B1405,[3]Roster!$C$3:$C$42,0)),"")</f>
        <v>D</v>
      </c>
      <c r="U1405" s="1" t="str">
        <f t="array" ref="U1405">IFERROR(INDEX([3]Roster!$E$3:$E$42,MATCH($B1405,[3]Roster!$C$3:$C$42,0)),"")</f>
        <v>D</v>
      </c>
      <c r="V1405" s="76">
        <f t="array" ref="V1405">AVERAGEIFS($E$2:$E2565,$B$2:$B2565,$B1405,$P$2:$P2565,"&lt;="&amp;$P1405,$P$2:$P2565,"&gt;"&amp;$P1405-7)</f>
        <v>4.6538461538461542</v>
      </c>
      <c r="W1405" s="76">
        <f ca="1">IFERROR(__xludf.DUMMYFUNCTION("iferror(stdevp(filter($D$2:$D2568,$B$2:$B2568=$B1408,$O$2:$O2568&lt;=$O1408,$O$2:$O2568&gt;$O1408-7)),0)"),0.816496580927726)</f>
        <v>0.81649658092772603</v>
      </c>
      <c r="X1405" s="77">
        <f t="shared" ca="1" si="252"/>
        <v>-0.80079472360219328</v>
      </c>
      <c r="Y1405" s="77">
        <f t="shared" ca="1" si="253"/>
        <v>2</v>
      </c>
      <c r="Z1405" s="76">
        <f t="array" ref="Z1405">AVERAGEIFS($F$2:$F2565,$B$2:$B2565,$B1405,$P$2:$P2565,"&lt;="&amp;$P1405,$P$2:$P2565,"&gt;"&amp;$P1405-7)</f>
        <v>6.8461538461538458</v>
      </c>
      <c r="AA1405" s="76">
        <f ca="1">IFERROR(__xludf.DUMMYFUNCTION("iferror(stdevp(filter($E$2:$E2568,$B$2:$B2568=$B1408,$O$2:$O2568&lt;=$O1408,$O$2:$O2568&gt;$O1408-7)),0)"),0.816496580927726)</f>
        <v>0.81649658092772603</v>
      </c>
      <c r="AB1405" s="77">
        <f t="shared" ca="1" si="254"/>
        <v>0.18842228790639873</v>
      </c>
      <c r="AC1405" s="77">
        <f t="shared" ca="1" si="255"/>
        <v>3</v>
      </c>
      <c r="AD1405" s="76">
        <f t="array" ref="AD1405">AVERAGEIFS($G$2:$G2565,$B$2:$B2565,$B1405,$P$2:$P2565,"&lt;="&amp;$P1405,$P$2:$P2565,"&gt;"&amp;$P1405-7)</f>
        <v>7.2692307692307692</v>
      </c>
      <c r="AE1405" s="76">
        <f ca="1">IFERROR(__xludf.DUMMYFUNCTION("iferror(stdevp(filter($F$2:$F2568,$B$2:$B2568=$B1408,$O$2:$O2568&lt;=$O1408,$O$2:$O2568&gt;$O1408-7)),0)"),0.471404520791031)</f>
        <v>0.47140452079103101</v>
      </c>
      <c r="AF1405" s="77">
        <f t="shared" ca="1" si="256"/>
        <v>-0.57112470788144287</v>
      </c>
      <c r="AG1405" s="77">
        <f t="shared" ca="1" si="257"/>
        <v>2</v>
      </c>
      <c r="AH1405" s="76">
        <f t="array" ref="AH1405">AVERAGEIFS($I$2:$I2565,$B$2:$B2565,$B1405,$P$2:$P2565,"&lt;="&amp;$P1405,$P$2:$P2565,"&gt;"&amp;$P1405-7)</f>
        <v>4.9230769230769234</v>
      </c>
      <c r="AI1405" s="76">
        <f ca="1">IFERROR(__xludf.DUMMYFUNCTION("iferror(stdevp(filter($H$2:$H2568,$B$2:$B2568=$B1408,$O$2:$O2568&lt;=$O1408,$O$2:$O2568&gt;$O1408-7)),0)"),0.942809041582063)</f>
        <v>0.94280904158206302</v>
      </c>
      <c r="AJ1405" s="77">
        <f t="shared" ca="1" si="258"/>
        <v>-0.97907092779675875</v>
      </c>
      <c r="AK1405" s="77">
        <f t="shared" ca="1" si="259"/>
        <v>2</v>
      </c>
      <c r="AL1405" s="76">
        <f t="array" ref="AL1405">AVERAGEIFS($J$2:$J2565,$B$2:$B2565,$B1405,$P$2:$P2565,"&lt;="&amp;$P1405,$P$2:$P2565,"&gt;"&amp;$P1405-7)</f>
        <v>7.5769230769230766</v>
      </c>
      <c r="AM1405" s="76">
        <f ca="1">IFERROR(__xludf.DUMMYFUNCTION("iferror(stdevp(filter($I$2:$I2568,$B$2:$B2568=$B1408,$O$2:$O2568&lt;=$O1408,$O$2:$O2568&gt;$O1408-7)),0)"),0)</f>
        <v>0</v>
      </c>
      <c r="AN1405" s="77">
        <f t="shared" ca="1" si="260"/>
        <v>0</v>
      </c>
      <c r="AO1405" s="77">
        <f t="shared" ca="1" si="261"/>
        <v>3</v>
      </c>
      <c r="AP1405" s="76">
        <f t="array" ref="AP1405">AVERAGEIFS($K$2:$K2565,$B$2:$B2565,$B1405,$P$2:$P2565,"&lt;="&amp;$P1405,$P$2:$P2565,"&gt;"&amp;$P1405-7)</f>
        <v>8</v>
      </c>
      <c r="AQ1405" s="76">
        <f ca="1">IFERROR(__xludf.DUMMYFUNCTION("iferror(stdevp(filter($J$2:$J2568,$B$2:$B2568=$B1408,$O$2:$O2568&lt;=$O1408,$O$2:$O2568&gt;$O1408-7)),0)"),0.942809041582063)</f>
        <v>0.94280904158206302</v>
      </c>
      <c r="AR1405" s="77">
        <f t="shared" ca="1" si="262"/>
        <v>0</v>
      </c>
      <c r="AS1405" s="77">
        <f t="shared" ca="1" si="263"/>
        <v>3</v>
      </c>
      <c r="AT1405" s="78">
        <f t="shared" ca="1" si="264"/>
        <v>0.625</v>
      </c>
    </row>
    <row r="1406" spans="1:46" ht="12.5" x14ac:dyDescent="0.25">
      <c r="A1406" s="75">
        <v>45000.402261655094</v>
      </c>
      <c r="B1406" s="1" t="s">
        <v>15</v>
      </c>
      <c r="C1406" s="1" t="str">
        <f>INDEX(TBL_Name,MATCH(Table2[[#This Row],[Athlete Name]],listNames,0),2)</f>
        <v>Athlete 8</v>
      </c>
      <c r="D1406" s="1" t="s">
        <v>130</v>
      </c>
      <c r="E1406" s="1">
        <v>4</v>
      </c>
      <c r="F1406" s="1">
        <v>6</v>
      </c>
      <c r="G1406" s="1">
        <v>7</v>
      </c>
      <c r="H1406" s="1" t="s">
        <v>362</v>
      </c>
      <c r="I1406" s="1">
        <v>7</v>
      </c>
      <c r="J1406" s="1">
        <v>10</v>
      </c>
      <c r="K1406" s="1">
        <v>10</v>
      </c>
      <c r="L1406" s="1">
        <v>77</v>
      </c>
      <c r="M1406" s="1" t="e">
        <f t="shared" ref="M1406" ca="1" si="349">_xludf.concat($B1406,$P1406)</f>
        <v>#NAME?</v>
      </c>
      <c r="N1406" s="1" t="e">
        <f t="shared" si="248"/>
        <v>#VALUE!</v>
      </c>
      <c r="O1406" s="1" t="e">
        <f t="shared" ref="O1406" ca="1" si="350">IF($N1406=_xludf.MINIFS($N$2:$N2912,$R$2:$R2912,$R1406),1,
($N1406-_xludf.MINIFS($N$2:$N2912,$R$2:$R2912,$R1406))+1)</f>
        <v>#VALUE!</v>
      </c>
      <c r="P1406" s="13" t="e">
        <f t="shared" si="250"/>
        <v>#VALUE!</v>
      </c>
      <c r="Q1406" s="1" t="str">
        <f>RIGHT(YEAR($A1406),2)-(MONTH($A1406)&lt;=[3]Roster!$K$25)
 &amp;"-"&amp;
 RIGHT(YEAR($A1406),2)+(MONTH($A1406)&gt;=[3]Roster!$K$26)</f>
        <v>22-23</v>
      </c>
      <c r="R1406" s="1" t="e">
        <f>CHOOSE(MONTH($P1406),[3]Roster!$K$9,[3]Roster!$K$10,[3]Roster!$K$11,[3]Roster!$K$12,[3]Roster!$K$13,[3]Roster!$K$14,[3]Roster!$K$15,[3]Roster!$K$16,[3]Roster!$K$17,[3]Roster!$K$18,[3]Roster!$K$19,[3]Roster!$K$20)&amp;" "&amp;$Q1406</f>
        <v>#VALUE!</v>
      </c>
      <c r="S1406" s="1">
        <f t="shared" si="251"/>
        <v>1</v>
      </c>
      <c r="T1406" s="1" t="str">
        <f t="array" ref="T1406">IFERROR(INDEX([3]Roster!$D$3:$D$42,MATCH($B1406,[3]Roster!$C$3:$C$42,0)),"")</f>
        <v>MID/D</v>
      </c>
      <c r="U1406" s="1" t="str">
        <f t="array" ref="U1406">IFERROR(INDEX([3]Roster!$E$3:$E$42,MATCH($B1406,[3]Roster!$C$3:$C$42,0)),"")</f>
        <v>MID/D</v>
      </c>
      <c r="V1406" s="76">
        <f t="array" ref="V1406">AVERAGEIFS($E$2:$E2565,$B$2:$B2565,$B1406,$P$2:$P2565,"&lt;="&amp;$P1406,$P$2:$P2565,"&gt;"&amp;$P1406-7)</f>
        <v>8.935483870967742</v>
      </c>
      <c r="W1406" s="76">
        <f ca="1">IFERROR(__xludf.DUMMYFUNCTION("iferror(stdevp(filter($D$2:$D2568,$B$2:$B2568=$B1409,$O$2:$O2568&lt;=$O1409,$O$2:$O2568&gt;$O1409-7)),0)"),2.59807621135331)</f>
        <v>2.5980762113533098</v>
      </c>
      <c r="X1406" s="77">
        <f t="shared" ca="1" si="252"/>
        <v>-1.8996686276561925</v>
      </c>
      <c r="Y1406" s="77">
        <f t="shared" ca="1" si="253"/>
        <v>1</v>
      </c>
      <c r="Z1406" s="76">
        <f t="array" ref="Z1406">AVERAGEIFS($F$2:$F2565,$B$2:$B2565,$B1406,$P$2:$P2565,"&lt;="&amp;$P1406,$P$2:$P2565,"&gt;"&amp;$P1406-7)</f>
        <v>8.741935483870968</v>
      </c>
      <c r="AA1406" s="76">
        <f ca="1">IFERROR(__xludf.DUMMYFUNCTION("iferror(stdevp(filter($E$2:$E2568,$B$2:$B2568=$B1409,$O$2:$O2568&lt;=$O1409,$O$2:$O2568&gt;$O1409-7)),0)"),0.82915619758885)</f>
        <v>0.82915619758884995</v>
      </c>
      <c r="AB1406" s="77">
        <f t="shared" ca="1" si="254"/>
        <v>-3.306898617949666</v>
      </c>
      <c r="AC1406" s="77">
        <f t="shared" ca="1" si="255"/>
        <v>1</v>
      </c>
      <c r="AD1406" s="76">
        <f t="array" ref="AD1406">AVERAGEIFS($G$2:$G2565,$B$2:$B2565,$B1406,$P$2:$P2565,"&lt;="&amp;$P1406,$P$2:$P2565,"&gt;"&amp;$P1406-7)</f>
        <v>7.32258064516129</v>
      </c>
      <c r="AE1406" s="76">
        <f ca="1">IFERROR(__xludf.DUMMYFUNCTION("iferror(stdevp(filter($F$2:$F2568,$B$2:$B2568=$B1409,$O$2:$O2568&lt;=$O1409,$O$2:$O2568&gt;$O1409-7)),0)"),0.433012701892219)</f>
        <v>0.43301270189221902</v>
      </c>
      <c r="AF1406" s="77">
        <f t="shared" ca="1" si="256"/>
        <v>-0.74496808927693636</v>
      </c>
      <c r="AG1406" s="77">
        <f t="shared" ca="1" si="257"/>
        <v>2</v>
      </c>
      <c r="AH1406" s="76">
        <f t="array" ref="AH1406">AVERAGEIFS($I$2:$I2565,$B$2:$B2565,$B1406,$P$2:$P2565,"&lt;="&amp;$P1406,$P$2:$P2565,"&gt;"&amp;$P1406-7)</f>
        <v>6.419354838709677</v>
      </c>
      <c r="AI1406" s="76">
        <f ca="1">IFERROR(__xludf.DUMMYFUNCTION("iferror(stdevp(filter($H$2:$H2568,$B$2:$B2568=$B1409,$O$2:$O2568&lt;=$O1409,$O$2:$O2568&gt;$O1409-7)),0)"),1.22474487139158)</f>
        <v>1.2247448713915801</v>
      </c>
      <c r="AJ1406" s="77">
        <f t="shared" ca="1" si="258"/>
        <v>0.47409478892578016</v>
      </c>
      <c r="AK1406" s="77">
        <f t="shared" ca="1" si="259"/>
        <v>3</v>
      </c>
      <c r="AL1406" s="76">
        <f t="array" ref="AL1406">AVERAGEIFS($J$2:$J2565,$B$2:$B2565,$B1406,$P$2:$P2565,"&lt;="&amp;$P1406,$P$2:$P2565,"&gt;"&amp;$P1406-7)</f>
        <v>9.612903225806452</v>
      </c>
      <c r="AM1406" s="76">
        <f ca="1">IFERROR(__xludf.DUMMYFUNCTION("iferror(stdevp(filter($I$2:$I2568,$B$2:$B2568=$B1409,$O$2:$O2568&lt;=$O1409,$O$2:$O2568&gt;$O1409-7)),0)"),0)</f>
        <v>0</v>
      </c>
      <c r="AN1406" s="77">
        <f t="shared" ca="1" si="260"/>
        <v>0</v>
      </c>
      <c r="AO1406" s="77">
        <f t="shared" ca="1" si="261"/>
        <v>3</v>
      </c>
      <c r="AP1406" s="76">
        <f t="array" ref="AP1406">AVERAGEIFS($K$2:$K2565,$B$2:$B2565,$B1406,$P$2:$P2565,"&lt;="&amp;$P1406,$P$2:$P2565,"&gt;"&amp;$P1406-7)</f>
        <v>10</v>
      </c>
      <c r="AQ1406" s="76">
        <f ca="1">IFERROR(__xludf.DUMMYFUNCTION("iferror(stdevp(filter($J$2:$J2568,$B$2:$B2568=$B1409,$O$2:$O2568&lt;=$O1409,$O$2:$O2568&gt;$O1409-7)),0)"),0)</f>
        <v>0</v>
      </c>
      <c r="AR1406" s="77">
        <f t="shared" ca="1" si="262"/>
        <v>0</v>
      </c>
      <c r="AS1406" s="77">
        <f t="shared" ca="1" si="263"/>
        <v>3</v>
      </c>
      <c r="AT1406" s="78">
        <f t="shared" ca="1" si="264"/>
        <v>0.54166666666666663</v>
      </c>
    </row>
    <row r="1407" spans="1:46" ht="12.5" x14ac:dyDescent="0.25">
      <c r="A1407" s="75">
        <v>45000.414600752316</v>
      </c>
      <c r="B1407" s="1" t="s">
        <v>17</v>
      </c>
      <c r="C1407" s="1" t="str">
        <f>INDEX(TBL_Name,MATCH(Table2[[#This Row],[Athlete Name]],listNames,0),2)</f>
        <v>Athlete 10</v>
      </c>
      <c r="D1407" s="1" t="s">
        <v>130</v>
      </c>
      <c r="E1407" s="1">
        <v>8</v>
      </c>
      <c r="F1407" s="1">
        <v>4</v>
      </c>
      <c r="G1407" s="1">
        <v>10</v>
      </c>
      <c r="H1407" s="1" t="s">
        <v>131</v>
      </c>
      <c r="I1407" s="1">
        <v>5</v>
      </c>
      <c r="J1407" s="1">
        <v>8</v>
      </c>
      <c r="K1407" s="1">
        <v>6</v>
      </c>
      <c r="L1407" s="1">
        <v>79</v>
      </c>
      <c r="M1407" s="1" t="e">
        <f t="shared" ref="M1407" ca="1" si="351">_xludf.concat($B1407,$P1407)</f>
        <v>#NAME?</v>
      </c>
      <c r="N1407" s="1" t="e">
        <f t="shared" si="248"/>
        <v>#VALUE!</v>
      </c>
      <c r="O1407" s="1" t="e">
        <f t="shared" ref="O1407" ca="1" si="352">IF($N1407=_xludf.MINIFS($N$2:$N2913,$R$2:$R2913,$R1407),1,
($N1407-_xludf.MINIFS($N$2:$N2913,$R$2:$R2913,$R1407))+1)</f>
        <v>#VALUE!</v>
      </c>
      <c r="P1407" s="13" t="e">
        <f t="shared" si="250"/>
        <v>#VALUE!</v>
      </c>
      <c r="Q1407" s="1" t="str">
        <f>RIGHT(YEAR($A1407),2)-(MONTH($A1407)&lt;=[3]Roster!$K$25)
 &amp;"-"&amp;
 RIGHT(YEAR($A1407),2)+(MONTH($A1407)&gt;=[3]Roster!$K$26)</f>
        <v>22-23</v>
      </c>
      <c r="R1407" s="1" t="e">
        <f>CHOOSE(MONTH($P1407),[3]Roster!$K$9,[3]Roster!$K$10,[3]Roster!$K$11,[3]Roster!$K$12,[3]Roster!$K$13,[3]Roster!$K$14,[3]Roster!$K$15,[3]Roster!$K$16,[3]Roster!$K$17,[3]Roster!$K$18,[3]Roster!$K$19,[3]Roster!$K$20)&amp;" "&amp;$Q1407</f>
        <v>#VALUE!</v>
      </c>
      <c r="S1407" s="1">
        <f t="shared" si="251"/>
        <v>1</v>
      </c>
      <c r="T1407" s="1" t="str">
        <f t="array" ref="T1407">IFERROR(INDEX([3]Roster!$D$3:$D$42,MATCH($B1407,[3]Roster!$C$3:$C$42,0)),"")</f>
        <v>D</v>
      </c>
      <c r="U1407" s="1" t="str">
        <f t="array" ref="U1407">IFERROR(INDEX([3]Roster!$E$3:$E$42,MATCH($B1407,[3]Roster!$C$3:$C$42,0)),"")</f>
        <v>D</v>
      </c>
      <c r="V1407" s="76">
        <f t="array" ref="V1407">AVERAGEIFS($E$2:$E2565,$B$2:$B2565,$B1407,$P$2:$P2565,"&lt;="&amp;$P1407,$P$2:$P2565,"&gt;"&amp;$P1407-7)</f>
        <v>6.9024390243902438</v>
      </c>
      <c r="W1407" s="76">
        <f ca="1">IFERROR(__xludf.DUMMYFUNCTION("iferror(stdevp(filter($D$2:$D2568,$B$2:$B2568=$B1410,$O$2:$O2568&lt;=$O1410,$O$2:$O2568&gt;$O1410-7)),0)"),0.942809041582063)</f>
        <v>0.94280904158206302</v>
      </c>
      <c r="X1407" s="77">
        <f t="shared" ca="1" si="252"/>
        <v>1.1641392129290726</v>
      </c>
      <c r="Y1407" s="77">
        <f t="shared" ca="1" si="253"/>
        <v>4</v>
      </c>
      <c r="Z1407" s="76">
        <f t="array" ref="Z1407">AVERAGEIFS($F$2:$F2565,$B$2:$B2565,$B1407,$P$2:$P2565,"&lt;="&amp;$P1407,$P$2:$P2565,"&gt;"&amp;$P1407-7)</f>
        <v>7.2926829268292686</v>
      </c>
      <c r="AA1407" s="76">
        <f ca="1">IFERROR(__xludf.DUMMYFUNCTION("iferror(stdevp(filter($E$2:$E2568,$B$2:$B2568=$B1410,$O$2:$O2568&lt;=$O1410,$O$2:$O2568&gt;$O1410-7)),0)"),2.05480466765632)</f>
        <v>2.0548046676563199</v>
      </c>
      <c r="AB1407" s="77">
        <f t="shared" ca="1" si="254"/>
        <v>-1.602431111169732</v>
      </c>
      <c r="AC1407" s="77">
        <f t="shared" ca="1" si="255"/>
        <v>1</v>
      </c>
      <c r="AD1407" s="76">
        <f t="array" ref="AD1407">AVERAGEIFS($G$2:$G2565,$B$2:$B2565,$B1407,$P$2:$P2565,"&lt;="&amp;$P1407,$P$2:$P2565,"&gt;"&amp;$P1407-7)</f>
        <v>7.8048780487804876</v>
      </c>
      <c r="AE1407" s="76">
        <f ca="1">IFERROR(__xludf.DUMMYFUNCTION("iferror(stdevp(filter($F$2:$F2568,$B$2:$B2568=$B1410,$O$2:$O2568&lt;=$O1410,$O$2:$O2568&gt;$O1410-7)),0)"),2.05480466765632)</f>
        <v>2.0548046676563199</v>
      </c>
      <c r="AF1407" s="77">
        <f t="shared" ca="1" si="256"/>
        <v>1.0682874074464881</v>
      </c>
      <c r="AG1407" s="77">
        <f t="shared" ca="1" si="257"/>
        <v>4</v>
      </c>
      <c r="AH1407" s="76">
        <f t="array" ref="AH1407">AVERAGEIFS($I$2:$I2565,$B$2:$B2565,$B1407,$P$2:$P2565,"&lt;="&amp;$P1407,$P$2:$P2565,"&gt;"&amp;$P1407-7)</f>
        <v>6.3170731707317076</v>
      </c>
      <c r="AI1407" s="76">
        <f ca="1">IFERROR(__xludf.DUMMYFUNCTION("iferror(stdevp(filter($H$2:$H2568,$B$2:$B2568=$B1410,$O$2:$O2568&lt;=$O1410,$O$2:$O2568&gt;$O1410-7)),0)"),1.41421356237309)</f>
        <v>1.41421356237309</v>
      </c>
      <c r="AJ1407" s="77">
        <f t="shared" ca="1" si="258"/>
        <v>-0.93131137034326117</v>
      </c>
      <c r="AK1407" s="77">
        <f t="shared" ca="1" si="259"/>
        <v>2</v>
      </c>
      <c r="AL1407" s="76">
        <f t="array" ref="AL1407">AVERAGEIFS($J$2:$J2565,$B$2:$B2565,$B1407,$P$2:$P2565,"&lt;="&amp;$P1407,$P$2:$P2565,"&gt;"&amp;$P1407-7)</f>
        <v>6.9024390243902438</v>
      </c>
      <c r="AM1407" s="76">
        <f ca="1">IFERROR(__xludf.DUMMYFUNCTION("iferror(stdevp(filter($I$2:$I2568,$B$2:$B2568=$B1410,$O$2:$O2568&lt;=$O1410,$O$2:$O2568&gt;$O1410-7)),0)"),0.471404520791031)</f>
        <v>0.47140452079103101</v>
      </c>
      <c r="AN1407" s="77">
        <f t="shared" ca="1" si="260"/>
        <v>2.3282784258581479</v>
      </c>
      <c r="AO1407" s="77">
        <f t="shared" ca="1" si="261"/>
        <v>4</v>
      </c>
      <c r="AP1407" s="76">
        <f t="array" ref="AP1407">AVERAGEIFS($K$2:$K2565,$B$2:$B2565,$B1407,$P$2:$P2565,"&lt;="&amp;$P1407,$P$2:$P2565,"&gt;"&amp;$P1407-7)</f>
        <v>8</v>
      </c>
      <c r="AQ1407" s="76">
        <f ca="1">IFERROR(__xludf.DUMMYFUNCTION("iferror(stdevp(filter($J$2:$J2568,$B$2:$B2568=$B1410,$O$2:$O2568&lt;=$O1410,$O$2:$O2568&gt;$O1410-7)),0)"),1.41421356237309)</f>
        <v>1.41421356237309</v>
      </c>
      <c r="AR1407" s="77">
        <f t="shared" ca="1" si="262"/>
        <v>-1.4142135623731</v>
      </c>
      <c r="AS1407" s="77">
        <f t="shared" ca="1" si="263"/>
        <v>1</v>
      </c>
      <c r="AT1407" s="78">
        <f t="shared" ca="1" si="264"/>
        <v>0.66666666666666663</v>
      </c>
    </row>
    <row r="1408" spans="1:46" ht="12.5" x14ac:dyDescent="0.25">
      <c r="A1408" s="75">
        <v>45000.578279583337</v>
      </c>
      <c r="B1408" s="1" t="s">
        <v>4</v>
      </c>
      <c r="C1408" s="1" t="str">
        <f>INDEX(TBL_Name,MATCH(Table2[[#This Row],[Athlete Name]],listNames,0),2)</f>
        <v>Athlete 1</v>
      </c>
      <c r="D1408" s="1" t="s">
        <v>130</v>
      </c>
      <c r="E1408" s="1">
        <v>9</v>
      </c>
      <c r="F1408" s="1">
        <v>8</v>
      </c>
      <c r="G1408" s="1">
        <v>6</v>
      </c>
      <c r="H1408" s="1" t="s">
        <v>506</v>
      </c>
      <c r="I1408" s="1">
        <v>8</v>
      </c>
      <c r="J1408" s="1">
        <v>4</v>
      </c>
      <c r="K1408" s="1">
        <v>4</v>
      </c>
      <c r="L1408" s="1">
        <v>85</v>
      </c>
      <c r="M1408" s="1" t="e">
        <f t="shared" ref="M1408" ca="1" si="353">_xludf.concat($B1408,$P1408)</f>
        <v>#NAME?</v>
      </c>
      <c r="N1408" s="1" t="e">
        <f t="shared" si="248"/>
        <v>#VALUE!</v>
      </c>
      <c r="O1408" s="1" t="e">
        <f t="shared" ref="O1408" ca="1" si="354">IF($N1408=_xludf.MINIFS($N$2:$N2914,$R$2:$R2914,$R1408),1,
($N1408-_xludf.MINIFS($N$2:$N2914,$R$2:$R2914,$R1408))+1)</f>
        <v>#VALUE!</v>
      </c>
      <c r="P1408" s="13" t="e">
        <f t="shared" si="250"/>
        <v>#VALUE!</v>
      </c>
      <c r="Q1408" s="1" t="str">
        <f>RIGHT(YEAR($A1408),2)-(MONTH($A1408)&lt;=[3]Roster!$K$25)
 &amp;"-"&amp;
 RIGHT(YEAR($A1408),2)+(MONTH($A1408)&gt;=[3]Roster!$K$26)</f>
        <v>22-23</v>
      </c>
      <c r="R1408" s="1" t="e">
        <f>CHOOSE(MONTH($P1408),[3]Roster!$K$9,[3]Roster!$K$10,[3]Roster!$K$11,[3]Roster!$K$12,[3]Roster!$K$13,[3]Roster!$K$14,[3]Roster!$K$15,[3]Roster!$K$16,[3]Roster!$K$17,[3]Roster!$K$18,[3]Roster!$K$19,[3]Roster!$K$20)&amp;" "&amp;$Q1408</f>
        <v>#VALUE!</v>
      </c>
      <c r="S1408" s="1">
        <f t="shared" si="251"/>
        <v>1</v>
      </c>
      <c r="T1408" s="1" t="str">
        <f t="array" ref="T1408">IFERROR(INDEX([3]Roster!$D$3:$D$42,MATCH($B1408,[3]Roster!$C$3:$C$42,0)),"")</f>
        <v>FWD</v>
      </c>
      <c r="U1408" s="1" t="str">
        <f t="array" ref="U1408">IFERROR(INDEX([3]Roster!$E$3:$E$42,MATCH($B1408,[3]Roster!$C$3:$C$42,0)),"")</f>
        <v>FWD</v>
      </c>
      <c r="V1408" s="76">
        <f t="array" ref="V1408">AVERAGEIFS($E$2:$E2565,$B$2:$B2565,$B1408,$P$2:$P2565,"&lt;="&amp;$P1408,$P$2:$P2565,"&gt;"&amp;$P1408-7)</f>
        <v>8.3809523809523814</v>
      </c>
      <c r="W1408" s="76">
        <f ca="1">IFERROR(__xludf.DUMMYFUNCTION("iferror(stdevp(filter($D$2:$D2568,$B$2:$B2568=$B1411,$O$2:$O2568&lt;=$O1411,$O$2:$O2568&gt;$O1411-7)),0)"),0)</f>
        <v>0</v>
      </c>
      <c r="X1408" s="77">
        <f t="shared" ca="1" si="252"/>
        <v>0</v>
      </c>
      <c r="Y1408" s="77">
        <f t="shared" ca="1" si="253"/>
        <v>3</v>
      </c>
      <c r="Z1408" s="76">
        <f t="array" ref="Z1408">AVERAGEIFS($F$2:$F2565,$B$2:$B2565,$B1408,$P$2:$P2565,"&lt;="&amp;$P1408,$P$2:$P2565,"&gt;"&amp;$P1408-7)</f>
        <v>6.8571428571428568</v>
      </c>
      <c r="AA1408" s="76">
        <f ca="1">IFERROR(__xludf.DUMMYFUNCTION("iferror(stdevp(filter($E$2:$E2568,$B$2:$B2568=$B1411,$O$2:$O2568&lt;=$O1411,$O$2:$O2568&gt;$O1411-7)),0)"),0)</f>
        <v>0</v>
      </c>
      <c r="AB1408" s="77">
        <f t="shared" ca="1" si="254"/>
        <v>0</v>
      </c>
      <c r="AC1408" s="77">
        <f t="shared" ca="1" si="255"/>
        <v>3</v>
      </c>
      <c r="AD1408" s="76">
        <f t="array" ref="AD1408">AVERAGEIFS($G$2:$G2565,$B$2:$B2565,$B1408,$P$2:$P2565,"&lt;="&amp;$P1408,$P$2:$P2565,"&gt;"&amp;$P1408-7)</f>
        <v>5.7619047619047619</v>
      </c>
      <c r="AE1408" s="76">
        <f ca="1">IFERROR(__xludf.DUMMYFUNCTION("iferror(stdevp(filter($F$2:$F2568,$B$2:$B2568=$B1411,$O$2:$O2568&lt;=$O1411,$O$2:$O2568&gt;$O1411-7)),0)"),1)</f>
        <v>1</v>
      </c>
      <c r="AF1408" s="77">
        <f t="shared" ca="1" si="256"/>
        <v>0.23809523809523814</v>
      </c>
      <c r="AG1408" s="77">
        <f t="shared" ca="1" si="257"/>
        <v>3</v>
      </c>
      <c r="AH1408" s="76">
        <f t="array" ref="AH1408">AVERAGEIFS($I$2:$I2565,$B$2:$B2565,$B1408,$P$2:$P2565,"&lt;="&amp;$P1408,$P$2:$P2565,"&gt;"&amp;$P1408-7)</f>
        <v>6.8571428571428568</v>
      </c>
      <c r="AI1408" s="76">
        <f ca="1">IFERROR(__xludf.DUMMYFUNCTION("iferror(stdevp(filter($H$2:$H2568,$B$2:$B2568=$B1411,$O$2:$O2568&lt;=$O1411,$O$2:$O2568&gt;$O1411-7)),0)"),0.5)</f>
        <v>0.5</v>
      </c>
      <c r="AJ1408" s="77">
        <f t="shared" ca="1" si="258"/>
        <v>2.2857142857142865</v>
      </c>
      <c r="AK1408" s="77">
        <f t="shared" ca="1" si="259"/>
        <v>4</v>
      </c>
      <c r="AL1408" s="76">
        <f t="array" ref="AL1408">AVERAGEIFS($J$2:$J2565,$B$2:$B2565,$B1408,$P$2:$P2565,"&lt;="&amp;$P1408,$P$2:$P2565,"&gt;"&amp;$P1408-7)</f>
        <v>5.0952380952380949</v>
      </c>
      <c r="AM1408" s="76">
        <f ca="1">IFERROR(__xludf.DUMMYFUNCTION("iferror(stdevp(filter($I$2:$I2568,$B$2:$B2568=$B1411,$O$2:$O2568&lt;=$O1411,$O$2:$O2568&gt;$O1411-7)),0)"),1.5)</f>
        <v>1.5</v>
      </c>
      <c r="AN1408" s="77">
        <f t="shared" ca="1" si="260"/>
        <v>-0.7301587301587299</v>
      </c>
      <c r="AO1408" s="77">
        <f t="shared" ca="1" si="261"/>
        <v>2</v>
      </c>
      <c r="AP1408" s="76">
        <f t="array" ref="AP1408">AVERAGEIFS($K$2:$K2565,$B$2:$B2565,$B1408,$P$2:$P2565,"&lt;="&amp;$P1408,$P$2:$P2565,"&gt;"&amp;$P1408-7)</f>
        <v>5.3809523809523814</v>
      </c>
      <c r="AQ1408" s="76">
        <f ca="1">IFERROR(__xludf.DUMMYFUNCTION("iferror(stdevp(filter($J$2:$J2568,$B$2:$B2568=$B1411,$O$2:$O2568&lt;=$O1411,$O$2:$O2568&gt;$O1411-7)),0)"),0.5)</f>
        <v>0.5</v>
      </c>
      <c r="AR1408" s="77">
        <f t="shared" ca="1" si="262"/>
        <v>-2.7619047619047628</v>
      </c>
      <c r="AS1408" s="77">
        <f t="shared" ca="1" si="263"/>
        <v>1</v>
      </c>
      <c r="AT1408" s="78">
        <f t="shared" ca="1" si="264"/>
        <v>0.66666666666666663</v>
      </c>
    </row>
    <row r="1409" spans="1:46" ht="12.5" x14ac:dyDescent="0.25">
      <c r="A1409" s="75">
        <v>45000.588974629631</v>
      </c>
      <c r="B1409" s="1" t="s">
        <v>24</v>
      </c>
      <c r="C1409" s="1" t="str">
        <f>INDEX(TBL_Name,MATCH(Table2[[#This Row],[Athlete Name]],listNames,0),2)</f>
        <v>Athlete 16</v>
      </c>
      <c r="D1409" s="1" t="s">
        <v>130</v>
      </c>
      <c r="E1409" s="1">
        <v>3</v>
      </c>
      <c r="F1409" s="1">
        <v>4</v>
      </c>
      <c r="G1409" s="1">
        <v>5</v>
      </c>
      <c r="H1409" s="1" t="s">
        <v>1544</v>
      </c>
      <c r="I1409" s="1">
        <v>5</v>
      </c>
      <c r="J1409" s="1">
        <v>4</v>
      </c>
      <c r="K1409" s="1">
        <v>5</v>
      </c>
      <c r="L1409" s="1">
        <v>80</v>
      </c>
      <c r="M1409" s="1" t="e">
        <f t="shared" ref="M1409" ca="1" si="355">_xludf.concat($B1409,$P1409)</f>
        <v>#NAME?</v>
      </c>
      <c r="N1409" s="1" t="e">
        <f t="shared" si="248"/>
        <v>#VALUE!</v>
      </c>
      <c r="O1409" s="1" t="e">
        <f t="shared" ref="O1409" ca="1" si="356">IF($N1409=_xludf.MINIFS($N$2:$N2915,$R$2:$R2915,$R1409),1,
($N1409-_xludf.MINIFS($N$2:$N2915,$R$2:$R2915,$R1409))+1)</f>
        <v>#VALUE!</v>
      </c>
      <c r="P1409" s="13" t="e">
        <f t="shared" si="250"/>
        <v>#VALUE!</v>
      </c>
      <c r="Q1409" s="1" t="str">
        <f>RIGHT(YEAR($A1409),2)-(MONTH($A1409)&lt;=[3]Roster!$K$25)
 &amp;"-"&amp;
 RIGHT(YEAR($A1409),2)+(MONTH($A1409)&gt;=[3]Roster!$K$26)</f>
        <v>22-23</v>
      </c>
      <c r="R1409" s="1" t="e">
        <f>CHOOSE(MONTH($P1409),[3]Roster!$K$9,[3]Roster!$K$10,[3]Roster!$K$11,[3]Roster!$K$12,[3]Roster!$K$13,[3]Roster!$K$14,[3]Roster!$K$15,[3]Roster!$K$16,[3]Roster!$K$17,[3]Roster!$K$18,[3]Roster!$K$19,[3]Roster!$K$20)&amp;" "&amp;$Q1409</f>
        <v>#VALUE!</v>
      </c>
      <c r="S1409" s="1">
        <f t="shared" si="251"/>
        <v>1</v>
      </c>
      <c r="T1409" s="1" t="str">
        <f t="array" ref="T1409">IFERROR(INDEX([3]Roster!$D$3:$D$42,MATCH($B1409,[3]Roster!$C$3:$C$42,0)),"")</f>
        <v>D</v>
      </c>
      <c r="U1409" s="1" t="str">
        <f t="array" ref="U1409">IFERROR(INDEX([3]Roster!$E$3:$E$42,MATCH($B1409,[3]Roster!$C$3:$C$42,0)),"")</f>
        <v>D</v>
      </c>
      <c r="V1409" s="76">
        <f t="array" ref="V1409">AVERAGEIFS($E$2:$E2565,$B$2:$B2565,$B1409,$P$2:$P2565,"&lt;="&amp;$P1409,$P$2:$P2565,"&gt;"&amp;$P1409-7)</f>
        <v>4.1818181818181817</v>
      </c>
      <c r="W1409" s="76">
        <f ca="1">IFERROR(__xludf.DUMMYFUNCTION("iferror(stdevp(filter($D$2:$D2568,$B$2:$B2568=$B1412,$O$2:$O2568&lt;=$O1412,$O$2:$O2568&gt;$O1412-7)),0)"),0.942809041582063)</f>
        <v>0.94280904158206302</v>
      </c>
      <c r="X1409" s="77">
        <f t="shared" ca="1" si="252"/>
        <v>-1.253507475739789</v>
      </c>
      <c r="Y1409" s="77">
        <f t="shared" ca="1" si="253"/>
        <v>1</v>
      </c>
      <c r="Z1409" s="76">
        <f t="array" ref="Z1409">AVERAGEIFS($F$2:$F2565,$B$2:$B2565,$B1409,$P$2:$P2565,"&lt;="&amp;$P1409,$P$2:$P2565,"&gt;"&amp;$P1409-7)</f>
        <v>6</v>
      </c>
      <c r="AA1409" s="76">
        <f ca="1">IFERROR(__xludf.DUMMYFUNCTION("iferror(stdevp(filter($E$2:$E2568,$B$2:$B2568=$B1412,$O$2:$O2568&lt;=$O1412,$O$2:$O2568&gt;$O1412-7)),0)"),0.816496580927726)</f>
        <v>0.81649658092772603</v>
      </c>
      <c r="AB1409" s="77">
        <f t="shared" ca="1" si="254"/>
        <v>-2.4494897427831779</v>
      </c>
      <c r="AC1409" s="77">
        <f t="shared" ca="1" si="255"/>
        <v>1</v>
      </c>
      <c r="AD1409" s="76">
        <f t="array" ref="AD1409">AVERAGEIFS($G$2:$G2565,$B$2:$B2565,$B1409,$P$2:$P2565,"&lt;="&amp;$P1409,$P$2:$P2565,"&gt;"&amp;$P1409-7)</f>
        <v>5.9090909090909092</v>
      </c>
      <c r="AE1409" s="76">
        <f ca="1">IFERROR(__xludf.DUMMYFUNCTION("iferror(stdevp(filter($F$2:$F2568,$B$2:$B2568=$B1412,$O$2:$O2568&lt;=$O1412,$O$2:$O2568&gt;$O1412-7)),0)"),0.816496580927726)</f>
        <v>0.81649658092772603</v>
      </c>
      <c r="AF1409" s="77">
        <f t="shared" ca="1" si="256"/>
        <v>-1.1134044285378084</v>
      </c>
      <c r="AG1409" s="77">
        <f t="shared" ca="1" si="257"/>
        <v>1</v>
      </c>
      <c r="AH1409" s="76">
        <f t="array" ref="AH1409">AVERAGEIFS($I$2:$I2565,$B$2:$B2565,$B1409,$P$2:$P2565,"&lt;="&amp;$P1409,$P$2:$P2565,"&gt;"&amp;$P1409-7)</f>
        <v>4.9545454545454541</v>
      </c>
      <c r="AI1409" s="76">
        <f ca="1">IFERROR(__xludf.DUMMYFUNCTION("iferror(stdevp(filter($H$2:$H2568,$B$2:$B2568=$B1412,$O$2:$O2568&lt;=$O1412,$O$2:$O2568&gt;$O1412-7)),0)"),0.471404520791031)</f>
        <v>0.47140452079103101</v>
      </c>
      <c r="AJ1409" s="77">
        <f t="shared" ca="1" si="258"/>
        <v>9.6423651979984745E-2</v>
      </c>
      <c r="AK1409" s="77">
        <f t="shared" ca="1" si="259"/>
        <v>3</v>
      </c>
      <c r="AL1409" s="76">
        <f t="array" ref="AL1409">AVERAGEIFS($J$2:$J2565,$B$2:$B2565,$B1409,$P$2:$P2565,"&lt;="&amp;$P1409,$P$2:$P2565,"&gt;"&amp;$P1409-7)</f>
        <v>6.9090909090909092</v>
      </c>
      <c r="AM1409" s="76">
        <f ca="1">IFERROR(__xludf.DUMMYFUNCTION("iferror(stdevp(filter($I$2:$I2568,$B$2:$B2568=$B1412,$O$2:$O2568&lt;=$O1412,$O$2:$O2568&gt;$O1412-7)),0)"),1.63299316185545)</f>
        <v>1.6329931618554501</v>
      </c>
      <c r="AN1409" s="77">
        <f t="shared" ca="1" si="260"/>
        <v>-1.7814470856604954</v>
      </c>
      <c r="AO1409" s="77">
        <f t="shared" ca="1" si="261"/>
        <v>1</v>
      </c>
      <c r="AP1409" s="76">
        <f t="array" ref="AP1409">AVERAGEIFS($K$2:$K2565,$B$2:$B2565,$B1409,$P$2:$P2565,"&lt;="&amp;$P1409,$P$2:$P2565,"&gt;"&amp;$P1409-7)</f>
        <v>6.7272727272727275</v>
      </c>
      <c r="AQ1409" s="76">
        <f ca="1">IFERROR(__xludf.DUMMYFUNCTION("iferror(stdevp(filter($J$2:$J2568,$B$2:$B2568=$B1412,$O$2:$O2568&lt;=$O1412,$O$2:$O2568&gt;$O1412-7)),0)"),2.16024689946928)</f>
        <v>2.1602468994692798</v>
      </c>
      <c r="AR1409" s="77">
        <f t="shared" ca="1" si="262"/>
        <v>-0.79957190434902436</v>
      </c>
      <c r="AS1409" s="77">
        <f t="shared" ca="1" si="263"/>
        <v>2</v>
      </c>
      <c r="AT1409" s="78">
        <f t="shared" ca="1" si="264"/>
        <v>0.375</v>
      </c>
    </row>
    <row r="1410" spans="1:46" ht="12.5" x14ac:dyDescent="0.25">
      <c r="A1410" s="75">
        <v>45000.588998738429</v>
      </c>
      <c r="B1410" s="1" t="s">
        <v>23</v>
      </c>
      <c r="C1410" s="1" t="str">
        <f>INDEX(TBL_Name,MATCH(Table2[[#This Row],[Athlete Name]],listNames,0),2)</f>
        <v>Athlete 15</v>
      </c>
      <c r="D1410" s="1" t="s">
        <v>150</v>
      </c>
      <c r="E1410" s="1">
        <v>2</v>
      </c>
      <c r="F1410" s="1">
        <v>6</v>
      </c>
      <c r="G1410" s="1">
        <v>7</v>
      </c>
      <c r="H1410" s="1" t="s">
        <v>1618</v>
      </c>
      <c r="I1410" s="1">
        <v>5</v>
      </c>
      <c r="J1410" s="1">
        <v>10</v>
      </c>
      <c r="K1410" s="1">
        <v>7</v>
      </c>
      <c r="L1410" s="1">
        <v>65</v>
      </c>
      <c r="M1410" s="1" t="e">
        <f t="shared" ref="M1410" ca="1" si="357">_xludf.concat($B1410,$P1410)</f>
        <v>#NAME?</v>
      </c>
      <c r="N1410" s="1" t="e">
        <f t="shared" si="248"/>
        <v>#VALUE!</v>
      </c>
      <c r="O1410" s="1" t="e">
        <f t="shared" ref="O1410" ca="1" si="358">IF($N1410=_xludf.MINIFS($N$2:$N2916,$R$2:$R2916,$R1410),1,
($N1410-_xludf.MINIFS($N$2:$N2916,$R$2:$R2916,$R1410))+1)</f>
        <v>#VALUE!</v>
      </c>
      <c r="P1410" s="13" t="e">
        <f t="shared" si="250"/>
        <v>#VALUE!</v>
      </c>
      <c r="Q1410" s="1" t="str">
        <f>RIGHT(YEAR($A1410),2)-(MONTH($A1410)&lt;=[3]Roster!$K$25)
 &amp;"-"&amp;
 RIGHT(YEAR($A1410),2)+(MONTH($A1410)&gt;=[3]Roster!$K$26)</f>
        <v>22-23</v>
      </c>
      <c r="R1410" s="1" t="e">
        <f>CHOOSE(MONTH($P1410),[3]Roster!$K$9,[3]Roster!$K$10,[3]Roster!$K$11,[3]Roster!$K$12,[3]Roster!$K$13,[3]Roster!$K$14,[3]Roster!$K$15,[3]Roster!$K$16,[3]Roster!$K$17,[3]Roster!$K$18,[3]Roster!$K$19,[3]Roster!$K$20)&amp;" "&amp;$Q1410</f>
        <v>#VALUE!</v>
      </c>
      <c r="S1410" s="1">
        <f t="shared" si="251"/>
        <v>3</v>
      </c>
      <c r="T1410" s="1" t="str">
        <f t="array" ref="T1410">IFERROR(INDEX([3]Roster!$D$3:$D$42,MATCH($B1410,[3]Roster!$C$3:$C$42,0)),"")</f>
        <v>D</v>
      </c>
      <c r="U1410" s="1" t="str">
        <f t="array" ref="U1410">IFERROR(INDEX([3]Roster!$E$3:$E$42,MATCH($B1410,[3]Roster!$C$3:$C$42,0)),"")</f>
        <v>D</v>
      </c>
      <c r="V1410" s="76">
        <f t="array" ref="V1410">AVERAGEIFS($E$2:$E2565,$B$2:$B2565,$B1410,$P$2:$P2565,"&lt;="&amp;$P1410,$P$2:$P2565,"&gt;"&amp;$P1410-7)</f>
        <v>4.7777777777777777</v>
      </c>
      <c r="W1410" s="76">
        <f ca="1">IFERROR(__xludf.DUMMYFUNCTION("iferror(stdevp(filter($D$2:$D2568,$B$2:$B2568=$B1413,$O$2:$O2568&lt;=$O1413,$O$2:$O2568&gt;$O1413-7)),0)"),1.5)</f>
        <v>1.5</v>
      </c>
      <c r="X1410" s="77">
        <f t="shared" ca="1" si="252"/>
        <v>-1.8518518518518519</v>
      </c>
      <c r="Y1410" s="77">
        <f t="shared" ca="1" si="253"/>
        <v>1</v>
      </c>
      <c r="Z1410" s="76">
        <f t="array" ref="Z1410">AVERAGEIFS($F$2:$F2565,$B$2:$B2565,$B1410,$P$2:$P2565,"&lt;="&amp;$P1410,$P$2:$P2565,"&gt;"&amp;$P1410-7)</f>
        <v>6.4444444444444446</v>
      </c>
      <c r="AA1410" s="76">
        <f ca="1">IFERROR(__xludf.DUMMYFUNCTION("iferror(stdevp(filter($E$2:$E2568,$B$2:$B2568=$B1413,$O$2:$O2568&lt;=$O1413,$O$2:$O2568&gt;$O1413-7)),0)"),0.5)</f>
        <v>0.5</v>
      </c>
      <c r="AB1410" s="77">
        <f t="shared" ca="1" si="254"/>
        <v>-0.88888888888888928</v>
      </c>
      <c r="AC1410" s="77">
        <f t="shared" ca="1" si="255"/>
        <v>2</v>
      </c>
      <c r="AD1410" s="76">
        <f t="array" ref="AD1410">AVERAGEIFS($G$2:$G2565,$B$2:$B2565,$B1410,$P$2:$P2565,"&lt;="&amp;$P1410,$P$2:$P2565,"&gt;"&amp;$P1410-7)</f>
        <v>7.4444444444444446</v>
      </c>
      <c r="AE1410" s="76">
        <f ca="1">IFERROR(__xludf.DUMMYFUNCTION("iferror(stdevp(filter($F$2:$F2568,$B$2:$B2568=$B1413,$O$2:$O2568&lt;=$O1413,$O$2:$O2568&gt;$O1413-7)),0)"),0.5)</f>
        <v>0.5</v>
      </c>
      <c r="AF1410" s="77">
        <f t="shared" ca="1" si="256"/>
        <v>-0.88888888888888928</v>
      </c>
      <c r="AG1410" s="77">
        <f t="shared" ca="1" si="257"/>
        <v>2</v>
      </c>
      <c r="AH1410" s="76">
        <f t="array" ref="AH1410">AVERAGEIFS($I$2:$I2565,$B$2:$B2565,$B1410,$P$2:$P2565,"&lt;="&amp;$P1410,$P$2:$P2565,"&gt;"&amp;$P1410-7)</f>
        <v>6.7777777777777777</v>
      </c>
      <c r="AI1410" s="76">
        <f ca="1">IFERROR(__xludf.DUMMYFUNCTION("iferror(stdevp(filter($H$2:$H2568,$B$2:$B2568=$B1413,$O$2:$O2568&lt;=$O1413,$O$2:$O2568&gt;$O1413-7)),0)"),2.5)</f>
        <v>2.5</v>
      </c>
      <c r="AJ1410" s="77">
        <f t="shared" ca="1" si="258"/>
        <v>-0.71111111111111103</v>
      </c>
      <c r="AK1410" s="77">
        <f t="shared" ca="1" si="259"/>
        <v>2</v>
      </c>
      <c r="AL1410" s="76">
        <f t="array" ref="AL1410">AVERAGEIFS($J$2:$J2565,$B$2:$B2565,$B1410,$P$2:$P2565,"&lt;="&amp;$P1410,$P$2:$P2565,"&gt;"&amp;$P1410-7)</f>
        <v>8.2222222222222214</v>
      </c>
      <c r="AM1410" s="76">
        <f ca="1">IFERROR(__xludf.DUMMYFUNCTION("iferror(stdevp(filter($I$2:$I2568,$B$2:$B2568=$B1413,$O$2:$O2568&lt;=$O1413,$O$2:$O2568&gt;$O1413-7)),0)"),1)</f>
        <v>1</v>
      </c>
      <c r="AN1410" s="77">
        <f t="shared" ca="1" si="260"/>
        <v>1.7777777777777786</v>
      </c>
      <c r="AO1410" s="77">
        <f t="shared" ca="1" si="261"/>
        <v>4</v>
      </c>
      <c r="AP1410" s="76">
        <f t="array" ref="AP1410">AVERAGEIFS($K$2:$K2565,$B$2:$B2565,$B1410,$P$2:$P2565,"&lt;="&amp;$P1410,$P$2:$P2565,"&gt;"&amp;$P1410-7)</f>
        <v>8.1111111111111107</v>
      </c>
      <c r="AQ1410" s="76">
        <f ca="1">IFERROR(__xludf.DUMMYFUNCTION("iferror(stdevp(filter($J$2:$J2568,$B$2:$B2568=$B1413,$O$2:$O2568&lt;=$O1413,$O$2:$O2568&gt;$O1413-7)),0)"),1.5)</f>
        <v>1.5</v>
      </c>
      <c r="AR1410" s="77">
        <f t="shared" ca="1" si="262"/>
        <v>-0.74074074074074048</v>
      </c>
      <c r="AS1410" s="77">
        <f t="shared" ca="1" si="263"/>
        <v>2</v>
      </c>
      <c r="AT1410" s="78">
        <f t="shared" ca="1" si="264"/>
        <v>0.54166666666666663</v>
      </c>
    </row>
    <row r="1411" spans="1:46" ht="12.5" x14ac:dyDescent="0.25">
      <c r="A1411" s="75">
        <v>45000.59131423611</v>
      </c>
      <c r="B1411" s="1" t="s">
        <v>16</v>
      </c>
      <c r="C1411" s="1" t="str">
        <f>INDEX(TBL_Name,MATCH(Table2[[#This Row],[Athlete Name]],listNames,0),2)</f>
        <v>Athlete 9</v>
      </c>
      <c r="D1411" s="1" t="s">
        <v>130</v>
      </c>
      <c r="E1411" s="1">
        <v>9</v>
      </c>
      <c r="F1411" s="1">
        <v>8</v>
      </c>
      <c r="G1411" s="1">
        <v>8</v>
      </c>
      <c r="H1411" s="1" t="s">
        <v>298</v>
      </c>
      <c r="I1411" s="1">
        <v>3</v>
      </c>
      <c r="J1411" s="1">
        <v>8</v>
      </c>
      <c r="K1411" s="1">
        <v>8</v>
      </c>
      <c r="L1411" s="1">
        <v>78</v>
      </c>
      <c r="M1411" s="1" t="e">
        <f t="shared" ref="M1411" ca="1" si="359">_xludf.concat($B1411,$P1411)</f>
        <v>#NAME?</v>
      </c>
      <c r="N1411" s="1" t="e">
        <f t="shared" si="248"/>
        <v>#VALUE!</v>
      </c>
      <c r="O1411" s="1" t="e">
        <f t="shared" ref="O1411" ca="1" si="360">IF($N1411=_xludf.MINIFS($N$2:$N2917,$R$2:$R2917,$R1411),1,
($N1411-_xludf.MINIFS($N$2:$N2917,$R$2:$R2917,$R1411))+1)</f>
        <v>#VALUE!</v>
      </c>
      <c r="P1411" s="13" t="e">
        <f t="shared" si="250"/>
        <v>#VALUE!</v>
      </c>
      <c r="Q1411" s="1" t="str">
        <f>RIGHT(YEAR($A1411),2)-(MONTH($A1411)&lt;=[3]Roster!$K$25)
 &amp;"-"&amp;
 RIGHT(YEAR($A1411),2)+(MONTH($A1411)&gt;=[3]Roster!$K$26)</f>
        <v>22-23</v>
      </c>
      <c r="R1411" s="1" t="e">
        <f>CHOOSE(MONTH($P1411),[3]Roster!$K$9,[3]Roster!$K$10,[3]Roster!$K$11,[3]Roster!$K$12,[3]Roster!$K$13,[3]Roster!$K$14,[3]Roster!$K$15,[3]Roster!$K$16,[3]Roster!$K$17,[3]Roster!$K$18,[3]Roster!$K$19,[3]Roster!$K$20)&amp;" "&amp;$Q1411</f>
        <v>#VALUE!</v>
      </c>
      <c r="S1411" s="1">
        <f t="shared" si="251"/>
        <v>1</v>
      </c>
      <c r="T1411" s="1" t="str">
        <f t="array" ref="T1411">IFERROR(INDEX([3]Roster!$D$3:$D$42,MATCH($B1411,[3]Roster!$C$3:$C$42,0)),"")</f>
        <v>MID/D</v>
      </c>
      <c r="U1411" s="1" t="str">
        <f t="array" ref="U1411">IFERROR(INDEX([3]Roster!$E$3:$E$42,MATCH($B1411,[3]Roster!$C$3:$C$42,0)),"")</f>
        <v>MID/D</v>
      </c>
      <c r="V1411" s="76">
        <f t="array" ref="V1411">AVERAGEIFS($E$2:$E2565,$B$2:$B2565,$B1411,$P$2:$P2565,"&lt;="&amp;$P1411,$P$2:$P2565,"&gt;"&amp;$P1411-7)</f>
        <v>8.9600000000000009</v>
      </c>
      <c r="W1411" s="76">
        <f ca="1">IFERROR(__xludf.DUMMYFUNCTION("iferror(stdevp(filter($D$2:$D2568,$B$2:$B2568=$B1414,$O$2:$O2568&lt;=$O1414,$O$2:$O2568&gt;$O1414-7)),0)"),0)</f>
        <v>0</v>
      </c>
      <c r="X1411" s="77">
        <f t="shared" ca="1" si="252"/>
        <v>0</v>
      </c>
      <c r="Y1411" s="77">
        <f t="shared" ca="1" si="253"/>
        <v>3</v>
      </c>
      <c r="Z1411" s="76">
        <f t="array" ref="Z1411">AVERAGEIFS($F$2:$F2565,$B$2:$B2565,$B1411,$P$2:$P2565,"&lt;="&amp;$P1411,$P$2:$P2565,"&gt;"&amp;$P1411-7)</f>
        <v>7.48</v>
      </c>
      <c r="AA1411" s="76">
        <f ca="1">IFERROR(__xludf.DUMMYFUNCTION("iferror(stdevp(filter($E$2:$E2568,$B$2:$B2568=$B1414,$O$2:$O2568&lt;=$O1414,$O$2:$O2568&gt;$O1414-7)),0)"),0)</f>
        <v>0</v>
      </c>
      <c r="AB1411" s="77">
        <f t="shared" ca="1" si="254"/>
        <v>0</v>
      </c>
      <c r="AC1411" s="77">
        <f t="shared" ca="1" si="255"/>
        <v>3</v>
      </c>
      <c r="AD1411" s="76">
        <f t="array" ref="AD1411">AVERAGEIFS($G$2:$G2565,$B$2:$B2565,$B1411,$P$2:$P2565,"&lt;="&amp;$P1411,$P$2:$P2565,"&gt;"&amp;$P1411-7)</f>
        <v>7.56</v>
      </c>
      <c r="AE1411" s="76">
        <f ca="1">IFERROR(__xludf.DUMMYFUNCTION("iferror(stdevp(filter($F$2:$F2568,$B$2:$B2568=$B1414,$O$2:$O2568&lt;=$O1414,$O$2:$O2568&gt;$O1414-7)),0)"),0)</f>
        <v>0</v>
      </c>
      <c r="AF1411" s="77">
        <f t="shared" ca="1" si="256"/>
        <v>0</v>
      </c>
      <c r="AG1411" s="77">
        <f t="shared" ca="1" si="257"/>
        <v>3</v>
      </c>
      <c r="AH1411" s="76">
        <f t="array" ref="AH1411">AVERAGEIFS($I$2:$I2565,$B$2:$B2565,$B1411,$P$2:$P2565,"&lt;="&amp;$P1411,$P$2:$P2565,"&gt;"&amp;$P1411-7)</f>
        <v>5.8</v>
      </c>
      <c r="AI1411" s="76">
        <f ca="1">IFERROR(__xludf.DUMMYFUNCTION("iferror(stdevp(filter($H$2:$H2568,$B$2:$B2568=$B1414,$O$2:$O2568&lt;=$O1414,$O$2:$O2568&gt;$O1414-7)),0)"),2.5)</f>
        <v>2.5</v>
      </c>
      <c r="AJ1411" s="77">
        <f t="shared" ca="1" si="258"/>
        <v>-1.1199999999999999</v>
      </c>
      <c r="AK1411" s="77">
        <f t="shared" ca="1" si="259"/>
        <v>1</v>
      </c>
      <c r="AL1411" s="76">
        <f t="array" ref="AL1411">AVERAGEIFS($J$2:$J2565,$B$2:$B2565,$B1411,$P$2:$P2565,"&lt;="&amp;$P1411,$P$2:$P2565,"&gt;"&amp;$P1411-7)</f>
        <v>7.8</v>
      </c>
      <c r="AM1411" s="76">
        <f ca="1">IFERROR(__xludf.DUMMYFUNCTION("iferror(stdevp(filter($I$2:$I2568,$B$2:$B2568=$B1414,$O$2:$O2568&lt;=$O1414,$O$2:$O2568&gt;$O1414-7)),0)"),0.5)</f>
        <v>0.5</v>
      </c>
      <c r="AN1411" s="77">
        <f t="shared" ca="1" si="260"/>
        <v>0.40000000000000036</v>
      </c>
      <c r="AO1411" s="77">
        <f t="shared" ca="1" si="261"/>
        <v>3</v>
      </c>
      <c r="AP1411" s="76">
        <f t="array" ref="AP1411">AVERAGEIFS($K$2:$K2565,$B$2:$B2565,$B1411,$P$2:$P2565,"&lt;="&amp;$P1411,$P$2:$P2565,"&gt;"&amp;$P1411-7)</f>
        <v>8.6</v>
      </c>
      <c r="AQ1411" s="76">
        <f ca="1">IFERROR(__xludf.DUMMYFUNCTION("iferror(stdevp(filter($J$2:$J2568,$B$2:$B2568=$B1414,$O$2:$O2568&lt;=$O1414,$O$2:$O2568&gt;$O1414-7)),0)"),0.5)</f>
        <v>0.5</v>
      </c>
      <c r="AR1411" s="77">
        <f t="shared" ca="1" si="262"/>
        <v>-1.1999999999999993</v>
      </c>
      <c r="AS1411" s="77">
        <f t="shared" ca="1" si="263"/>
        <v>1</v>
      </c>
      <c r="AT1411" s="78">
        <f t="shared" ca="1" si="264"/>
        <v>0.58333333333333337</v>
      </c>
    </row>
    <row r="1412" spans="1:46" ht="12.5" x14ac:dyDescent="0.25">
      <c r="A1412" s="75">
        <v>45000.604160752315</v>
      </c>
      <c r="B1412" s="1" t="s">
        <v>22</v>
      </c>
      <c r="C1412" s="1" t="str">
        <f>INDEX(TBL_Name,MATCH(Table2[[#This Row],[Athlete Name]],listNames,0),2)</f>
        <v>Athlete 14</v>
      </c>
      <c r="D1412" s="1" t="s">
        <v>130</v>
      </c>
      <c r="E1412" s="1">
        <v>6</v>
      </c>
      <c r="F1412" s="1">
        <v>8</v>
      </c>
      <c r="G1412" s="1">
        <v>6</v>
      </c>
      <c r="H1412" s="1" t="s">
        <v>1619</v>
      </c>
      <c r="I1412" s="1">
        <v>5</v>
      </c>
      <c r="J1412" s="1">
        <v>8</v>
      </c>
      <c r="K1412" s="1">
        <v>7</v>
      </c>
      <c r="L1412" s="1">
        <v>75</v>
      </c>
      <c r="M1412" s="1" t="e">
        <f t="shared" ref="M1412" ca="1" si="361">_xludf.concat($B1412,$P1412)</f>
        <v>#NAME?</v>
      </c>
      <c r="N1412" s="1" t="e">
        <f t="shared" si="248"/>
        <v>#VALUE!</v>
      </c>
      <c r="O1412" s="1" t="e">
        <f t="shared" ref="O1412" ca="1" si="362">IF($N1412=_xludf.MINIFS($N$2:$N2918,$R$2:$R2918,$R1412),1,
($N1412-_xludf.MINIFS($N$2:$N2918,$R$2:$R2918,$R1412))+1)</f>
        <v>#VALUE!</v>
      </c>
      <c r="P1412" s="13" t="e">
        <f t="shared" si="250"/>
        <v>#VALUE!</v>
      </c>
      <c r="Q1412" s="1" t="str">
        <f>RIGHT(YEAR($A1412),2)-(MONTH($A1412)&lt;=[3]Roster!$K$25)
 &amp;"-"&amp;
 RIGHT(YEAR($A1412),2)+(MONTH($A1412)&gt;=[3]Roster!$K$26)</f>
        <v>22-23</v>
      </c>
      <c r="R1412" s="1" t="e">
        <f>CHOOSE(MONTH($P1412),[3]Roster!$K$9,[3]Roster!$K$10,[3]Roster!$K$11,[3]Roster!$K$12,[3]Roster!$K$13,[3]Roster!$K$14,[3]Roster!$K$15,[3]Roster!$K$16,[3]Roster!$K$17,[3]Roster!$K$18,[3]Roster!$K$19,[3]Roster!$K$20)&amp;" "&amp;$Q1412</f>
        <v>#VALUE!</v>
      </c>
      <c r="S1412" s="1">
        <f t="shared" si="251"/>
        <v>1</v>
      </c>
      <c r="T1412" s="1" t="str">
        <f t="array" ref="T1412">IFERROR(INDEX([3]Roster!$D$3:$D$42,MATCH($B1412,[3]Roster!$C$3:$C$42,0)),"")</f>
        <v>D</v>
      </c>
      <c r="U1412" s="1" t="str">
        <f t="array" ref="U1412">IFERROR(INDEX([3]Roster!$E$3:$E$42,MATCH($B1412,[3]Roster!$C$3:$C$42,0)),"")</f>
        <v>D</v>
      </c>
      <c r="V1412" s="76">
        <f t="array" ref="V1412">AVERAGEIFS($E$2:$E2565,$B$2:$B2565,$B1412,$P$2:$P2565,"&lt;="&amp;$P1412,$P$2:$P2565,"&gt;"&amp;$P1412-7)</f>
        <v>5.791666666666667</v>
      </c>
      <c r="W1412" s="76">
        <f ca="1">IFERROR(__xludf.DUMMYFUNCTION("iferror(stdevp(filter($D$2:$D2568,$B$2:$B2568=$B1415,$O$2:$O2568&lt;=$O1415,$O$2:$O2568&gt;$O1415-7)),0)"),0)</f>
        <v>0</v>
      </c>
      <c r="X1412" s="77">
        <f t="shared" ca="1" si="252"/>
        <v>0</v>
      </c>
      <c r="Y1412" s="77">
        <f t="shared" ca="1" si="253"/>
        <v>3</v>
      </c>
      <c r="Z1412" s="76">
        <f t="array" ref="Z1412">AVERAGEIFS($F$2:$F2565,$B$2:$B2565,$B1412,$P$2:$P2565,"&lt;="&amp;$P1412,$P$2:$P2565,"&gt;"&amp;$P1412-7)</f>
        <v>5.458333333333333</v>
      </c>
      <c r="AA1412" s="76">
        <f ca="1">IFERROR(__xludf.DUMMYFUNCTION("iferror(stdevp(filter($E$2:$E2568,$B$2:$B2568=$B1415,$O$2:$O2568&lt;=$O1415,$O$2:$O2568&gt;$O1415-7)),0)"),1.88561808316412)</f>
        <v>1.8856180831641201</v>
      </c>
      <c r="AB1412" s="77">
        <f t="shared" ca="1" si="254"/>
        <v>1.3479223016368611</v>
      </c>
      <c r="AC1412" s="77">
        <f t="shared" ca="1" si="255"/>
        <v>4</v>
      </c>
      <c r="AD1412" s="76">
        <f t="array" ref="AD1412">AVERAGEIFS($G$2:$G2565,$B$2:$B2565,$B1412,$P$2:$P2565,"&lt;="&amp;$P1412,$P$2:$P2565,"&gt;"&amp;$P1412-7)</f>
        <v>6.833333333333333</v>
      </c>
      <c r="AE1412" s="76">
        <f ca="1">IFERROR(__xludf.DUMMYFUNCTION("iferror(stdevp(filter($F$2:$F2568,$B$2:$B2568=$B1415,$O$2:$O2568&lt;=$O1415,$O$2:$O2568&gt;$O1415-7)),0)"),1.41421356237309)</f>
        <v>1.41421356237309</v>
      </c>
      <c r="AF1412" s="77">
        <f t="shared" ca="1" si="256"/>
        <v>-0.58925565098879151</v>
      </c>
      <c r="AG1412" s="77">
        <f t="shared" ca="1" si="257"/>
        <v>2</v>
      </c>
      <c r="AH1412" s="76">
        <f t="array" ref="AH1412">AVERAGEIFS($I$2:$I2565,$B$2:$B2565,$B1412,$P$2:$P2565,"&lt;="&amp;$P1412,$P$2:$P2565,"&gt;"&amp;$P1412-7)</f>
        <v>5.125</v>
      </c>
      <c r="AI1412" s="76">
        <f ca="1">IFERROR(__xludf.DUMMYFUNCTION("iferror(stdevp(filter($H$2:$H2568,$B$2:$B2568=$B1415,$O$2:$O2568&lt;=$O1415,$O$2:$O2568&gt;$O1415-7)),0)"),1.24721912892464)</f>
        <v>1.2472191289246399</v>
      </c>
      <c r="AJ1412" s="77">
        <f t="shared" ca="1" si="258"/>
        <v>-0.10022296571715972</v>
      </c>
      <c r="AK1412" s="77">
        <f t="shared" ca="1" si="259"/>
        <v>2</v>
      </c>
      <c r="AL1412" s="76">
        <f t="array" ref="AL1412">AVERAGEIFS($J$2:$J2565,$B$2:$B2565,$B1412,$P$2:$P2565,"&lt;="&amp;$P1412,$P$2:$P2565,"&gt;"&amp;$P1412-7)</f>
        <v>7.125</v>
      </c>
      <c r="AM1412" s="76">
        <f ca="1">IFERROR(__xludf.DUMMYFUNCTION("iferror(stdevp(filter($I$2:$I2568,$B$2:$B2568=$B1415,$O$2:$O2568&lt;=$O1415,$O$2:$O2568&gt;$O1415-7)),0)"),0.816496580927726)</f>
        <v>0.81649658092772603</v>
      </c>
      <c r="AN1412" s="77">
        <f t="shared" ca="1" si="260"/>
        <v>1.0716517624676405</v>
      </c>
      <c r="AO1412" s="77">
        <f t="shared" ca="1" si="261"/>
        <v>4</v>
      </c>
      <c r="AP1412" s="76">
        <f t="array" ref="AP1412">AVERAGEIFS($K$2:$K2565,$B$2:$B2565,$B1412,$P$2:$P2565,"&lt;="&amp;$P1412,$P$2:$P2565,"&gt;"&amp;$P1412-7)</f>
        <v>7.083333333333333</v>
      </c>
      <c r="AQ1412" s="76">
        <f ca="1">IFERROR(__xludf.DUMMYFUNCTION("iferror(stdevp(filter($J$2:$J2568,$B$2:$B2568=$B1415,$O$2:$O2568&lt;=$O1415,$O$2:$O2568&gt;$O1415-7)),0)"),1.24721912892464)</f>
        <v>1.2472191289246399</v>
      </c>
      <c r="AR1412" s="77">
        <f t="shared" ca="1" si="262"/>
        <v>-6.6815310478106238E-2</v>
      </c>
      <c r="AS1412" s="77">
        <f t="shared" ca="1" si="263"/>
        <v>2</v>
      </c>
      <c r="AT1412" s="78">
        <f t="shared" ca="1" si="264"/>
        <v>0.70833333333333337</v>
      </c>
    </row>
    <row r="1413" spans="1:46" ht="12.5" x14ac:dyDescent="0.25">
      <c r="A1413" s="75">
        <v>45000.604455509259</v>
      </c>
      <c r="B1413" s="1" t="s">
        <v>20</v>
      </c>
      <c r="C1413" s="1" t="str">
        <f>INDEX(TBL_Name,MATCH(Table2[[#This Row],[Athlete Name]],listNames,0),2)</f>
        <v>Athlete 12</v>
      </c>
      <c r="D1413" s="1" t="s">
        <v>143</v>
      </c>
      <c r="E1413" s="1">
        <v>8</v>
      </c>
      <c r="F1413" s="1">
        <v>8</v>
      </c>
      <c r="G1413" s="1">
        <v>9</v>
      </c>
      <c r="H1413" s="1" t="s">
        <v>446</v>
      </c>
      <c r="I1413" s="1">
        <v>5</v>
      </c>
      <c r="J1413" s="1">
        <v>8</v>
      </c>
      <c r="K1413" s="1">
        <v>8</v>
      </c>
      <c r="L1413" s="1">
        <v>80</v>
      </c>
      <c r="M1413" s="1" t="e">
        <f t="shared" ref="M1413" ca="1" si="363">_xludf.concat($B1413,$P1413)</f>
        <v>#NAME?</v>
      </c>
      <c r="N1413" s="1" t="e">
        <f t="shared" si="248"/>
        <v>#VALUE!</v>
      </c>
      <c r="O1413" s="1" t="e">
        <f t="shared" ref="O1413" ca="1" si="364">IF($N1413=_xludf.MINIFS($N$2:$N2919,$R$2:$R2919,$R1413),1,
($N1413-_xludf.MINIFS($N$2:$N2919,$R$2:$R2919,$R1413))+1)</f>
        <v>#VALUE!</v>
      </c>
      <c r="P1413" s="13" t="e">
        <f t="shared" si="250"/>
        <v>#VALUE!</v>
      </c>
      <c r="Q1413" s="1" t="str">
        <f>RIGHT(YEAR($A1413),2)-(MONTH($A1413)&lt;=[3]Roster!$K$25)
 &amp;"-"&amp;
 RIGHT(YEAR($A1413),2)+(MONTH($A1413)&gt;=[3]Roster!$K$26)</f>
        <v>22-23</v>
      </c>
      <c r="R1413" s="1" t="e">
        <f>CHOOSE(MONTH($P1413),[3]Roster!$K$9,[3]Roster!$K$10,[3]Roster!$K$11,[3]Roster!$K$12,[3]Roster!$K$13,[3]Roster!$K$14,[3]Roster!$K$15,[3]Roster!$K$16,[3]Roster!$K$17,[3]Roster!$K$18,[3]Roster!$K$19,[3]Roster!$K$20)&amp;" "&amp;$Q1413</f>
        <v>#VALUE!</v>
      </c>
      <c r="S1413" s="1">
        <f t="shared" si="251"/>
        <v>2</v>
      </c>
      <c r="T1413" s="1" t="str">
        <f t="array" ref="T1413">IFERROR(INDEX([3]Roster!$D$3:$D$42,MATCH($B1413,[3]Roster!$C$3:$C$42,0)),"")</f>
        <v>D</v>
      </c>
      <c r="U1413" s="1" t="str">
        <f t="array" ref="U1413">IFERROR(INDEX([3]Roster!$E$3:$E$42,MATCH($B1413,[3]Roster!$C$3:$C$42,0)),"")</f>
        <v>D</v>
      </c>
      <c r="V1413" s="76">
        <f t="array" ref="V1413">AVERAGEIFS($E$2:$E2565,$B$2:$B2565,$B1413,$P$2:$P2565,"&lt;="&amp;$P1413,$P$2:$P2565,"&gt;"&amp;$P1413-7)</f>
        <v>7.4761904761904763</v>
      </c>
      <c r="W1413" s="76">
        <f ca="1">IFERROR(__xludf.DUMMYFUNCTION("iferror(stdevp(filter($D$2:$D2568,$B$2:$B2568=$B1416,$O$2:$O2568&lt;=$O1416,$O$2:$O2568&gt;$O1416-7)),0)"),0)</f>
        <v>0</v>
      </c>
      <c r="X1413" s="77">
        <f t="shared" ca="1" si="252"/>
        <v>0</v>
      </c>
      <c r="Y1413" s="77">
        <f t="shared" ca="1" si="253"/>
        <v>3</v>
      </c>
      <c r="Z1413" s="76">
        <f t="array" ref="Z1413">AVERAGEIFS($F$2:$F2565,$B$2:$B2565,$B1413,$P$2:$P2565,"&lt;="&amp;$P1413,$P$2:$P2565,"&gt;"&amp;$P1413-7)</f>
        <v>8.1904761904761898</v>
      </c>
      <c r="AA1413" s="76">
        <f ca="1">IFERROR(__xludf.DUMMYFUNCTION("iferror(stdevp(filter($E$2:$E2568,$B$2:$B2568=$B1416,$O$2:$O2568&lt;=$O1416,$O$2:$O2568&gt;$O1416-7)),0)"),0)</f>
        <v>0</v>
      </c>
      <c r="AB1413" s="77">
        <f t="shared" ca="1" si="254"/>
        <v>0</v>
      </c>
      <c r="AC1413" s="77">
        <f t="shared" ca="1" si="255"/>
        <v>3</v>
      </c>
      <c r="AD1413" s="76">
        <f t="array" ref="AD1413">AVERAGEIFS($G$2:$G2565,$B$2:$B2565,$B1413,$P$2:$P2565,"&lt;="&amp;$P1413,$P$2:$P2565,"&gt;"&amp;$P1413-7)</f>
        <v>8.5714285714285712</v>
      </c>
      <c r="AE1413" s="76">
        <f ca="1">IFERROR(__xludf.DUMMYFUNCTION("iferror(stdevp(filter($F$2:$F2568,$B$2:$B2568=$B1416,$O$2:$O2568&lt;=$O1416,$O$2:$O2568&gt;$O1416-7)),0)"),0)</f>
        <v>0</v>
      </c>
      <c r="AF1413" s="77">
        <f t="shared" ca="1" si="256"/>
        <v>0</v>
      </c>
      <c r="AG1413" s="77">
        <f t="shared" ca="1" si="257"/>
        <v>3</v>
      </c>
      <c r="AH1413" s="76">
        <f t="array" ref="AH1413">AVERAGEIFS($I$2:$I2565,$B$2:$B2565,$B1413,$P$2:$P2565,"&lt;="&amp;$P1413,$P$2:$P2565,"&gt;"&amp;$P1413-7)</f>
        <v>5.6190476190476186</v>
      </c>
      <c r="AI1413" s="76">
        <f ca="1">IFERROR(__xludf.DUMMYFUNCTION("iferror(stdevp(filter($H$2:$H2568,$B$2:$B2568=$B1416,$O$2:$O2568&lt;=$O1416,$O$2:$O2568&gt;$O1416-7)),0)"),0)</f>
        <v>0</v>
      </c>
      <c r="AJ1413" s="77">
        <f t="shared" ca="1" si="258"/>
        <v>0</v>
      </c>
      <c r="AK1413" s="77">
        <f t="shared" ca="1" si="259"/>
        <v>3</v>
      </c>
      <c r="AL1413" s="76">
        <f t="array" ref="AL1413">AVERAGEIFS($J$2:$J2565,$B$2:$B2565,$B1413,$P$2:$P2565,"&lt;="&amp;$P1413,$P$2:$P2565,"&gt;"&amp;$P1413-7)</f>
        <v>7</v>
      </c>
      <c r="AM1413" s="76">
        <f ca="1">IFERROR(__xludf.DUMMYFUNCTION("iferror(stdevp(filter($I$2:$I2568,$B$2:$B2568=$B1416,$O$2:$O2568&lt;=$O1416,$O$2:$O2568&gt;$O1416-7)),0)"),0)</f>
        <v>0</v>
      </c>
      <c r="AN1413" s="77">
        <f t="shared" ca="1" si="260"/>
        <v>0</v>
      </c>
      <c r="AO1413" s="77">
        <f t="shared" ca="1" si="261"/>
        <v>3</v>
      </c>
      <c r="AP1413" s="76">
        <f t="array" ref="AP1413">AVERAGEIFS($K$2:$K2565,$B$2:$B2565,$B1413,$P$2:$P2565,"&lt;="&amp;$P1413,$P$2:$P2565,"&gt;"&amp;$P1413-7)</f>
        <v>7.4285714285714288</v>
      </c>
      <c r="AQ1413" s="76">
        <f ca="1">IFERROR(__xludf.DUMMYFUNCTION("iferror(stdevp(filter($J$2:$J2568,$B$2:$B2568=$B1416,$O$2:$O2568&lt;=$O1416,$O$2:$O2568&gt;$O1416-7)),0)"),0)</f>
        <v>0</v>
      </c>
      <c r="AR1413" s="77">
        <f t="shared" ca="1" si="262"/>
        <v>0</v>
      </c>
      <c r="AS1413" s="77">
        <f t="shared" ca="1" si="263"/>
        <v>3</v>
      </c>
      <c r="AT1413" s="78">
        <f t="shared" ca="1" si="264"/>
        <v>0.75</v>
      </c>
    </row>
    <row r="1414" spans="1:46" ht="12.5" x14ac:dyDescent="0.25">
      <c r="A1414" s="75">
        <v>45001.34296444444</v>
      </c>
      <c r="B1414" s="1" t="s">
        <v>13</v>
      </c>
      <c r="C1414" s="1" t="str">
        <f>INDEX(TBL_Name,MATCH(Table2[[#This Row],[Athlete Name]],listNames,0),2)</f>
        <v>Athlete 7</v>
      </c>
      <c r="D1414" s="1" t="s">
        <v>130</v>
      </c>
      <c r="E1414" s="1">
        <v>10</v>
      </c>
      <c r="F1414" s="1">
        <v>8</v>
      </c>
      <c r="G1414" s="1">
        <v>8</v>
      </c>
      <c r="H1414" s="1" t="s">
        <v>226</v>
      </c>
      <c r="I1414" s="1">
        <v>8</v>
      </c>
      <c r="J1414" s="1">
        <v>10</v>
      </c>
      <c r="K1414" s="1">
        <v>10</v>
      </c>
      <c r="L1414" s="1">
        <v>70</v>
      </c>
      <c r="M1414" s="1" t="e">
        <f t="shared" ref="M1414" ca="1" si="365">_xludf.concat($B1414,$P1414)</f>
        <v>#NAME?</v>
      </c>
      <c r="N1414" s="1" t="e">
        <f t="shared" si="248"/>
        <v>#VALUE!</v>
      </c>
      <c r="O1414" s="1" t="e">
        <f t="shared" ref="O1414" ca="1" si="366">IF($N1414=_xludf.MINIFS($N$2:$N2920,$R$2:$R2920,$R1414),1,
($N1414-_xludf.MINIFS($N$2:$N2920,$R$2:$R2920,$R1414))+1)</f>
        <v>#VALUE!</v>
      </c>
      <c r="P1414" s="13" t="e">
        <f t="shared" si="250"/>
        <v>#VALUE!</v>
      </c>
      <c r="Q1414" s="1" t="str">
        <f>RIGHT(YEAR($A1414),2)-(MONTH($A1414)&lt;=[3]Roster!$K$25)
 &amp;"-"&amp;
 RIGHT(YEAR($A1414),2)+(MONTH($A1414)&gt;=[3]Roster!$K$26)</f>
        <v>22-23</v>
      </c>
      <c r="R1414" s="1" t="e">
        <f>CHOOSE(MONTH($P1414),[3]Roster!$K$9,[3]Roster!$K$10,[3]Roster!$K$11,[3]Roster!$K$12,[3]Roster!$K$13,[3]Roster!$K$14,[3]Roster!$K$15,[3]Roster!$K$16,[3]Roster!$K$17,[3]Roster!$K$18,[3]Roster!$K$19,[3]Roster!$K$20)&amp;" "&amp;$Q1414</f>
        <v>#VALUE!</v>
      </c>
      <c r="S1414" s="1">
        <f t="shared" si="251"/>
        <v>1</v>
      </c>
      <c r="T1414" s="1" t="str">
        <f t="array" ref="T1414">IFERROR(INDEX([3]Roster!$D$3:$D$42,MATCH($B1414,[3]Roster!$C$3:$C$42,0)),"")</f>
        <v>MID/D</v>
      </c>
      <c r="U1414" s="1" t="str">
        <f t="array" ref="U1414">IFERROR(INDEX([3]Roster!$E$3:$E$42,MATCH($B1414,[3]Roster!$C$3:$C$42,0)),"")</f>
        <v>MID/D</v>
      </c>
      <c r="V1414" s="76">
        <f t="array" ref="V1414">AVERAGEIFS($E$2:$E2565,$B$2:$B2565,$B1414,$P$2:$P2565,"&lt;="&amp;$P1414,$P$2:$P2565,"&gt;"&amp;$P1414-7)</f>
        <v>7.6857142857142859</v>
      </c>
      <c r="W1414" s="76">
        <f ca="1">IFERROR(__xludf.DUMMYFUNCTION("iferror(stdevp(filter($D$2:$D2568,$B$2:$B2568=$B1417,$O$2:$O2568&lt;=$O1417,$O$2:$O2568&gt;$O1417-7)),0)"),1.24721912892464)</f>
        <v>1.2472191289246399</v>
      </c>
      <c r="X1414" s="77">
        <f t="shared" ca="1" si="252"/>
        <v>1.8555566224205571</v>
      </c>
      <c r="Y1414" s="77">
        <f t="shared" ca="1" si="253"/>
        <v>4</v>
      </c>
      <c r="Z1414" s="76">
        <f t="array" ref="Z1414">AVERAGEIFS($F$2:$F2565,$B$2:$B2565,$B1414,$P$2:$P2565,"&lt;="&amp;$P1414,$P$2:$P2565,"&gt;"&amp;$P1414-7)</f>
        <v>7.0857142857142854</v>
      </c>
      <c r="AA1414" s="76">
        <f ca="1">IFERROR(__xludf.DUMMYFUNCTION("iferror(stdevp(filter($E$2:$E2568,$B$2:$B2568=$B1417,$O$2:$O2568&lt;=$O1417,$O$2:$O2568&gt;$O1417-7)),0)"),0.745355992499929)</f>
        <v>0.74535599249992901</v>
      </c>
      <c r="AB1414" s="77">
        <f t="shared" ca="1" si="254"/>
        <v>1.2266430047998864</v>
      </c>
      <c r="AC1414" s="77">
        <f t="shared" ca="1" si="255"/>
        <v>4</v>
      </c>
      <c r="AD1414" s="76">
        <f t="array" ref="AD1414">AVERAGEIFS($G$2:$G2565,$B$2:$B2565,$B1414,$P$2:$P2565,"&lt;="&amp;$P1414,$P$2:$P2565,"&gt;"&amp;$P1414-7)</f>
        <v>7.1428571428571432</v>
      </c>
      <c r="AE1414" s="76">
        <f ca="1">IFERROR(__xludf.DUMMYFUNCTION("iferror(stdevp(filter($F$2:$F2568,$B$2:$B2568=$B1417,$O$2:$O2568&lt;=$O1417,$O$2:$O2568&gt;$O1417-7)),0)"),0.89752746785575)</f>
        <v>0.89752746785574999</v>
      </c>
      <c r="AF1414" s="77">
        <f t="shared" ca="1" si="256"/>
        <v>0.95500459633912416</v>
      </c>
      <c r="AG1414" s="77">
        <f t="shared" ca="1" si="257"/>
        <v>3</v>
      </c>
      <c r="AH1414" s="76">
        <f t="array" ref="AH1414">AVERAGEIFS($I$2:$I2565,$B$2:$B2565,$B1414,$P$2:$P2565,"&lt;="&amp;$P1414,$P$2:$P2565,"&gt;"&amp;$P1414-7)</f>
        <v>7.0285714285714285</v>
      </c>
      <c r="AI1414" s="76">
        <f ca="1">IFERROR(__xludf.DUMMYFUNCTION("iferror(stdevp(filter($H$2:$H2568,$B$2:$B2568=$B1417,$O$2:$O2568&lt;=$O1417,$O$2:$O2568&gt;$O1417-7)),0)"),0.942809041582063)</f>
        <v>0.94280904158206302</v>
      </c>
      <c r="AJ1414" s="77">
        <f t="shared" ca="1" si="258"/>
        <v>1.0303555954432555</v>
      </c>
      <c r="AK1414" s="77">
        <f t="shared" ca="1" si="259"/>
        <v>4</v>
      </c>
      <c r="AL1414" s="76">
        <f t="array" ref="AL1414">AVERAGEIFS($J$2:$J2565,$B$2:$B2565,$B1414,$P$2:$P2565,"&lt;="&amp;$P1414,$P$2:$P2565,"&gt;"&amp;$P1414-7)</f>
        <v>9.742857142857142</v>
      </c>
      <c r="AM1414" s="76">
        <f ca="1">IFERROR(__xludf.DUMMYFUNCTION("iferror(stdevp(filter($I$2:$I2568,$B$2:$B2568=$B1417,$O$2:$O2568&lt;=$O1417,$O$2:$O2568&gt;$O1417-7)),0)"),1.21335164821341)</f>
        <v>1.2133516482134099</v>
      </c>
      <c r="AN1414" s="77">
        <f t="shared" ca="1" si="260"/>
        <v>0.21192772723512263</v>
      </c>
      <c r="AO1414" s="77">
        <f t="shared" ca="1" si="261"/>
        <v>3</v>
      </c>
      <c r="AP1414" s="76">
        <f t="array" ref="AP1414">AVERAGEIFS($K$2:$K2565,$B$2:$B2565,$B1414,$P$2:$P2565,"&lt;="&amp;$P1414,$P$2:$P2565,"&gt;"&amp;$P1414-7)</f>
        <v>9.4285714285714288</v>
      </c>
      <c r="AQ1414" s="76">
        <f ca="1">IFERROR(__xludf.DUMMYFUNCTION("iferror(stdevp(filter($J$2:$J2568,$B$2:$B2568=$B1417,$O$2:$O2568&lt;=$O1417,$O$2:$O2568&gt;$O1417-7)),0)"),1.34370962471642)</f>
        <v>1.34370962471642</v>
      </c>
      <c r="AR1414" s="77">
        <f t="shared" ca="1" si="262"/>
        <v>0.42526194716300181</v>
      </c>
      <c r="AS1414" s="77">
        <f t="shared" ca="1" si="263"/>
        <v>3</v>
      </c>
      <c r="AT1414" s="78">
        <f t="shared" ca="1" si="264"/>
        <v>0.875</v>
      </c>
    </row>
    <row r="1415" spans="1:46" ht="12.5" x14ac:dyDescent="0.25">
      <c r="A1415" s="75">
        <v>45001.379714722221</v>
      </c>
      <c r="B1415" s="1" t="s">
        <v>17</v>
      </c>
      <c r="C1415" s="1" t="str">
        <f>INDEX(TBL_Name,MATCH(Table2[[#This Row],[Athlete Name]],listNames,0),2)</f>
        <v>Athlete 10</v>
      </c>
      <c r="D1415" s="1" t="s">
        <v>130</v>
      </c>
      <c r="E1415" s="1">
        <v>7</v>
      </c>
      <c r="F1415" s="1">
        <v>6</v>
      </c>
      <c r="G1415" s="1">
        <v>6</v>
      </c>
      <c r="H1415" s="1" t="s">
        <v>131</v>
      </c>
      <c r="I1415" s="1">
        <v>6</v>
      </c>
      <c r="J1415" s="1">
        <v>8</v>
      </c>
      <c r="K1415" s="1">
        <v>9</v>
      </c>
      <c r="L1415" s="1">
        <v>64</v>
      </c>
      <c r="M1415" s="1" t="e">
        <f t="shared" ref="M1415" ca="1" si="367">_xludf.concat($B1415,$P1415)</f>
        <v>#NAME?</v>
      </c>
      <c r="N1415" s="1" t="e">
        <f t="shared" si="248"/>
        <v>#VALUE!</v>
      </c>
      <c r="O1415" s="1" t="e">
        <f t="shared" ref="O1415" ca="1" si="368">IF($N1415=_xludf.MINIFS($N$2:$N2921,$R$2:$R2921,$R1415),1,
($N1415-_xludf.MINIFS($N$2:$N2921,$R$2:$R2921,$R1415))+1)</f>
        <v>#VALUE!</v>
      </c>
      <c r="P1415" s="13" t="e">
        <f t="shared" si="250"/>
        <v>#VALUE!</v>
      </c>
      <c r="Q1415" s="1" t="str">
        <f>RIGHT(YEAR($A1415),2)-(MONTH($A1415)&lt;=[3]Roster!$K$25)
 &amp;"-"&amp;
 RIGHT(YEAR($A1415),2)+(MONTH($A1415)&gt;=[3]Roster!$K$26)</f>
        <v>22-23</v>
      </c>
      <c r="R1415" s="1" t="e">
        <f>CHOOSE(MONTH($P1415),[3]Roster!$K$9,[3]Roster!$K$10,[3]Roster!$K$11,[3]Roster!$K$12,[3]Roster!$K$13,[3]Roster!$K$14,[3]Roster!$K$15,[3]Roster!$K$16,[3]Roster!$K$17,[3]Roster!$K$18,[3]Roster!$K$19,[3]Roster!$K$20)&amp;" "&amp;$Q1415</f>
        <v>#VALUE!</v>
      </c>
      <c r="S1415" s="1">
        <f t="shared" si="251"/>
        <v>1</v>
      </c>
      <c r="T1415" s="1" t="str">
        <f t="array" ref="T1415">IFERROR(INDEX([3]Roster!$D$3:$D$42,MATCH($B1415,[3]Roster!$C$3:$C$42,0)),"")</f>
        <v>D</v>
      </c>
      <c r="U1415" s="1" t="str">
        <f t="array" ref="U1415">IFERROR(INDEX([3]Roster!$E$3:$E$42,MATCH($B1415,[3]Roster!$C$3:$C$42,0)),"")</f>
        <v>D</v>
      </c>
      <c r="V1415" s="76">
        <f t="array" ref="V1415">AVERAGEIFS($E$2:$E2565,$B$2:$B2565,$B1415,$P$2:$P2565,"&lt;="&amp;$P1415,$P$2:$P2565,"&gt;"&amp;$P1415-7)</f>
        <v>6.9024390243902438</v>
      </c>
      <c r="W1415" s="76">
        <f ca="1">IFERROR(__xludf.DUMMYFUNCTION("iferror(stdevp(filter($D$2:$D2568,$B$2:$B2568=$B1418,$O$2:$O2568&lt;=$O1418,$O$2:$O2568&gt;$O1418-7)),0)"),0.816496580927726)</f>
        <v>0.81649658092772603</v>
      </c>
      <c r="X1415" s="77">
        <f t="shared" ca="1" si="252"/>
        <v>0.11948730452600879</v>
      </c>
      <c r="Y1415" s="77">
        <f t="shared" ca="1" si="253"/>
        <v>3</v>
      </c>
      <c r="Z1415" s="76">
        <f t="array" ref="Z1415">AVERAGEIFS($F$2:$F2565,$B$2:$B2565,$B1415,$P$2:$P2565,"&lt;="&amp;$P1415,$P$2:$P2565,"&gt;"&amp;$P1415-7)</f>
        <v>7.2926829268292686</v>
      </c>
      <c r="AA1415" s="76">
        <f ca="1">IFERROR(__xludf.DUMMYFUNCTION("iferror(stdevp(filter($E$2:$E2568,$B$2:$B2568=$B1418,$O$2:$O2568&lt;=$O1418,$O$2:$O2568&gt;$O1418-7)),0)"),0.942809041582063)</f>
        <v>0.94280904158206302</v>
      </c>
      <c r="AB1415" s="77">
        <f t="shared" ca="1" si="254"/>
        <v>-1.3710972952275746</v>
      </c>
      <c r="AC1415" s="77">
        <f t="shared" ca="1" si="255"/>
        <v>1</v>
      </c>
      <c r="AD1415" s="76">
        <f t="array" ref="AD1415">AVERAGEIFS($G$2:$G2565,$B$2:$B2565,$B1415,$P$2:$P2565,"&lt;="&amp;$P1415,$P$2:$P2565,"&gt;"&amp;$P1415-7)</f>
        <v>7.8048780487804876</v>
      </c>
      <c r="AE1415" s="76">
        <f ca="1">IFERROR(__xludf.DUMMYFUNCTION("iferror(stdevp(filter($F$2:$F2568,$B$2:$B2568=$B1418,$O$2:$O2568&lt;=$O1418,$O$2:$O2568&gt;$O1418-7)),0)"),2.16024689946928)</f>
        <v>2.1602468994692798</v>
      </c>
      <c r="AF1415" s="77">
        <f t="shared" ca="1" si="256"/>
        <v>-0.83549618759962219</v>
      </c>
      <c r="AG1415" s="77">
        <f t="shared" ca="1" si="257"/>
        <v>2</v>
      </c>
      <c r="AH1415" s="76">
        <f t="array" ref="AH1415">AVERAGEIFS($I$2:$I2565,$B$2:$B2565,$B1415,$P$2:$P2565,"&lt;="&amp;$P1415,$P$2:$P2565,"&gt;"&amp;$P1415-7)</f>
        <v>6.3170731707317076</v>
      </c>
      <c r="AI1415" s="76">
        <f ca="1">IFERROR(__xludf.DUMMYFUNCTION("iferror(stdevp(filter($H$2:$H2568,$B$2:$B2568=$B1418,$O$2:$O2568&lt;=$O1418,$O$2:$O2568&gt;$O1418-7)),0)"),1.24721912892464)</f>
        <v>1.2472191289246399</v>
      </c>
      <c r="AJ1415" s="77">
        <f t="shared" ca="1" si="258"/>
        <v>-0.25422410816060048</v>
      </c>
      <c r="AK1415" s="77">
        <f t="shared" ca="1" si="259"/>
        <v>2</v>
      </c>
      <c r="AL1415" s="76">
        <f t="array" ref="AL1415">AVERAGEIFS($J$2:$J2565,$B$2:$B2565,$B1415,$P$2:$P2565,"&lt;="&amp;$P1415,$P$2:$P2565,"&gt;"&amp;$P1415-7)</f>
        <v>6.9024390243902438</v>
      </c>
      <c r="AM1415" s="76">
        <f ca="1">IFERROR(__xludf.DUMMYFUNCTION("iferror(stdevp(filter($I$2:$I2568,$B$2:$B2568=$B1418,$O$2:$O2568&lt;=$O1418,$O$2:$O2568&gt;$O1418-7)),0)"),0)</f>
        <v>0</v>
      </c>
      <c r="AN1415" s="77">
        <f t="shared" ca="1" si="260"/>
        <v>0</v>
      </c>
      <c r="AO1415" s="77">
        <f t="shared" ca="1" si="261"/>
        <v>3</v>
      </c>
      <c r="AP1415" s="76">
        <f t="array" ref="AP1415">AVERAGEIFS($K$2:$K2565,$B$2:$B2565,$B1415,$P$2:$P2565,"&lt;="&amp;$P1415,$P$2:$P2565,"&gt;"&amp;$P1415-7)</f>
        <v>8</v>
      </c>
      <c r="AQ1415" s="76">
        <f ca="1">IFERROR(__xludf.DUMMYFUNCTION("iferror(stdevp(filter($J$2:$J2568,$B$2:$B2568=$B1418,$O$2:$O2568&lt;=$O1418,$O$2:$O2568&gt;$O1418-7)),0)"),1.41421356237309)</f>
        <v>1.41421356237309</v>
      </c>
      <c r="AR1415" s="77">
        <f t="shared" ca="1" si="262"/>
        <v>0.70710678118655002</v>
      </c>
      <c r="AS1415" s="77">
        <f t="shared" ca="1" si="263"/>
        <v>3</v>
      </c>
      <c r="AT1415" s="78">
        <f t="shared" ca="1" si="264"/>
        <v>0.58333333333333337</v>
      </c>
    </row>
    <row r="1416" spans="1:46" ht="12.5" x14ac:dyDescent="0.25">
      <c r="A1416" s="75">
        <v>45001.383559155089</v>
      </c>
      <c r="B1416" s="1" t="s">
        <v>21</v>
      </c>
      <c r="C1416" s="1" t="str">
        <f>INDEX(TBL_Name,MATCH(Table2[[#This Row],[Athlete Name]],listNames,0),2)</f>
        <v>Athlete 13</v>
      </c>
      <c r="D1416" s="1" t="s">
        <v>130</v>
      </c>
      <c r="E1416" s="1">
        <v>5</v>
      </c>
      <c r="F1416" s="1">
        <v>7</v>
      </c>
      <c r="G1416" s="1">
        <v>8</v>
      </c>
      <c r="H1416" s="1" t="s">
        <v>1620</v>
      </c>
      <c r="I1416" s="1">
        <v>5</v>
      </c>
      <c r="J1416" s="1">
        <v>7</v>
      </c>
      <c r="K1416" s="1">
        <v>7</v>
      </c>
      <c r="L1416" s="1">
        <v>70</v>
      </c>
      <c r="M1416" s="1" t="e">
        <f t="shared" ref="M1416" ca="1" si="369">_xludf.concat($B1416,$P1416)</f>
        <v>#NAME?</v>
      </c>
      <c r="N1416" s="1" t="e">
        <f t="shared" si="248"/>
        <v>#VALUE!</v>
      </c>
      <c r="O1416" s="1" t="e">
        <f t="shared" ref="O1416" ca="1" si="370">IF($N1416=_xludf.MINIFS($N$2:$N2922,$R$2:$R2922,$R1416),1,
($N1416-_xludf.MINIFS($N$2:$N2922,$R$2:$R2922,$R1416))+1)</f>
        <v>#VALUE!</v>
      </c>
      <c r="P1416" s="13" t="e">
        <f t="shared" si="250"/>
        <v>#VALUE!</v>
      </c>
      <c r="Q1416" s="1" t="str">
        <f>RIGHT(YEAR($A1416),2)-(MONTH($A1416)&lt;=[3]Roster!$K$25)
 &amp;"-"&amp;
 RIGHT(YEAR($A1416),2)+(MONTH($A1416)&gt;=[3]Roster!$K$26)</f>
        <v>22-23</v>
      </c>
      <c r="R1416" s="1" t="e">
        <f>CHOOSE(MONTH($P1416),[3]Roster!$K$9,[3]Roster!$K$10,[3]Roster!$K$11,[3]Roster!$K$12,[3]Roster!$K$13,[3]Roster!$K$14,[3]Roster!$K$15,[3]Roster!$K$16,[3]Roster!$K$17,[3]Roster!$K$18,[3]Roster!$K$19,[3]Roster!$K$20)&amp;" "&amp;$Q1416</f>
        <v>#VALUE!</v>
      </c>
      <c r="S1416" s="1">
        <f t="shared" si="251"/>
        <v>1</v>
      </c>
      <c r="T1416" s="1" t="str">
        <f t="array" ref="T1416">IFERROR(INDEX([3]Roster!$D$3:$D$42,MATCH($B1416,[3]Roster!$C$3:$C$42,0)),"")</f>
        <v>D</v>
      </c>
      <c r="U1416" s="1" t="str">
        <f t="array" ref="U1416">IFERROR(INDEX([3]Roster!$E$3:$E$42,MATCH($B1416,[3]Roster!$C$3:$C$42,0)),"")</f>
        <v>D</v>
      </c>
      <c r="V1416" s="76">
        <f t="array" ref="V1416">AVERAGEIFS($E$2:$E2565,$B$2:$B2565,$B1416,$P$2:$P2565,"&lt;="&amp;$P1416,$P$2:$P2565,"&gt;"&amp;$P1416-7)</f>
        <v>6.6304347826086953</v>
      </c>
      <c r="W1416" s="76">
        <f ca="1">IFERROR(__xludf.DUMMYFUNCTION("iferror(stdevp(filter($D$2:$D2568,$B$2:$B2568=$B1419,$O$2:$O2568&lt;=$O1419,$O$2:$O2568&gt;$O1419-7)),0)"),0.763762615825973)</f>
        <v>0.76376261582597305</v>
      </c>
      <c r="X1416" s="77">
        <f t="shared" ca="1" si="252"/>
        <v>-2.1347402305694909</v>
      </c>
      <c r="Y1416" s="77">
        <f t="shared" ca="1" si="253"/>
        <v>1</v>
      </c>
      <c r="Z1416" s="76">
        <f t="array" ref="Z1416">AVERAGEIFS($F$2:$F2565,$B$2:$B2565,$B1416,$P$2:$P2565,"&lt;="&amp;$P1416,$P$2:$P2565,"&gt;"&amp;$P1416-7)</f>
        <v>7.6956521739130439</v>
      </c>
      <c r="AA1416" s="76">
        <f ca="1">IFERROR(__xludf.DUMMYFUNCTION("iferror(stdevp(filter($E$2:$E2568,$B$2:$B2568=$B1419,$O$2:$O2568&lt;=$O1419,$O$2:$O2568&gt;$O1419-7)),0)"),0.687184270936276)</f>
        <v>0.68718427093627599</v>
      </c>
      <c r="AB1416" s="77">
        <f t="shared" ca="1" si="254"/>
        <v>-1.0123226088473045</v>
      </c>
      <c r="AC1416" s="77">
        <f t="shared" ca="1" si="255"/>
        <v>1</v>
      </c>
      <c r="AD1416" s="76">
        <f t="array" ref="AD1416">AVERAGEIFS($G$2:$G2565,$B$2:$B2565,$B1416,$P$2:$P2565,"&lt;="&amp;$P1416,$P$2:$P2565,"&gt;"&amp;$P1416-7)</f>
        <v>8.2608695652173907</v>
      </c>
      <c r="AE1416" s="76">
        <f ca="1">IFERROR(__xludf.DUMMYFUNCTION("iferror(stdevp(filter($F$2:$F2568,$B$2:$B2568=$B1419,$O$2:$O2568&lt;=$O1419,$O$2:$O2568&gt;$O1419-7)),0)"),0.372677996249964)</f>
        <v>0.37267799624996401</v>
      </c>
      <c r="AF1416" s="77">
        <f t="shared" ca="1" si="256"/>
        <v>-0.69998649730428208</v>
      </c>
      <c r="AG1416" s="77">
        <f t="shared" ca="1" si="257"/>
        <v>2</v>
      </c>
      <c r="AH1416" s="76">
        <f t="array" ref="AH1416">AVERAGEIFS($I$2:$I2565,$B$2:$B2565,$B1416,$P$2:$P2565,"&lt;="&amp;$P1416,$P$2:$P2565,"&gt;"&amp;$P1416-7)</f>
        <v>5.7391304347826084</v>
      </c>
      <c r="AI1416" s="76">
        <f ca="1">IFERROR(__xludf.DUMMYFUNCTION("iferror(stdevp(filter($H$2:$H2568,$B$2:$B2568=$B1419,$O$2:$O2568&lt;=$O1419,$O$2:$O2568&gt;$O1419-7)),0)"),0.499999999999999)</f>
        <v>0.499999999999999</v>
      </c>
      <c r="AJ1416" s="77">
        <f t="shared" ca="1" si="258"/>
        <v>-1.4782608695652197</v>
      </c>
      <c r="AK1416" s="77">
        <f t="shared" ca="1" si="259"/>
        <v>1</v>
      </c>
      <c r="AL1416" s="76">
        <f t="array" ref="AL1416">AVERAGEIFS($J$2:$J2565,$B$2:$B2565,$B1416,$P$2:$P2565,"&lt;="&amp;$P1416,$P$2:$P2565,"&gt;"&amp;$P1416-7)</f>
        <v>6.5434782608695654</v>
      </c>
      <c r="AM1416" s="76">
        <f ca="1">IFERROR(__xludf.DUMMYFUNCTION("iferror(stdevp(filter($I$2:$I2568,$B$2:$B2568=$B1419,$O$2:$O2568&lt;=$O1419,$O$2:$O2568&gt;$O1419-7)),0)"),0.372677996249965)</f>
        <v>0.372677996249965</v>
      </c>
      <c r="AN1416" s="77">
        <f t="shared" ca="1" si="260"/>
        <v>1.2249763702824927</v>
      </c>
      <c r="AO1416" s="77">
        <f t="shared" ca="1" si="261"/>
        <v>4</v>
      </c>
      <c r="AP1416" s="76">
        <f t="array" ref="AP1416">AVERAGEIFS($K$2:$K2565,$B$2:$B2565,$B1416,$P$2:$P2565,"&lt;="&amp;$P1416,$P$2:$P2565,"&gt;"&amp;$P1416-7)</f>
        <v>6.6086956521739131</v>
      </c>
      <c r="AQ1416" s="76">
        <f ca="1">IFERROR(__xludf.DUMMYFUNCTION("iferror(stdevp(filter($J$2:$J2568,$B$2:$B2568=$B1419,$O$2:$O2568&lt;=$O1419,$O$2:$O2568&gt;$O1419-7)),0)"),0)</f>
        <v>0</v>
      </c>
      <c r="AR1416" s="77">
        <f t="shared" ca="1" si="262"/>
        <v>0</v>
      </c>
      <c r="AS1416" s="77">
        <f t="shared" ca="1" si="263"/>
        <v>3</v>
      </c>
      <c r="AT1416" s="78">
        <f t="shared" ca="1" si="264"/>
        <v>0.5</v>
      </c>
    </row>
    <row r="1417" spans="1:46" ht="12.5" x14ac:dyDescent="0.25">
      <c r="A1417" s="75">
        <v>45001.419428541667</v>
      </c>
      <c r="B1417" s="1" t="s">
        <v>10</v>
      </c>
      <c r="C1417" s="1" t="str">
        <f>INDEX(TBL_Name,MATCH(Table2[[#This Row],[Athlete Name]],listNames,0),2)</f>
        <v>Athlete 5</v>
      </c>
      <c r="D1417" s="1" t="s">
        <v>130</v>
      </c>
      <c r="E1417" s="1">
        <v>9</v>
      </c>
      <c r="F1417" s="1">
        <v>9</v>
      </c>
      <c r="G1417" s="1">
        <v>8</v>
      </c>
      <c r="H1417" s="1" t="s">
        <v>342</v>
      </c>
      <c r="I1417" s="1">
        <v>8</v>
      </c>
      <c r="J1417" s="1">
        <v>8</v>
      </c>
      <c r="K1417" s="1">
        <v>9</v>
      </c>
      <c r="L1417" s="1">
        <v>85</v>
      </c>
      <c r="M1417" s="1" t="e">
        <f t="shared" ref="M1417" ca="1" si="371">_xludf.concat($B1417,$P1417)</f>
        <v>#NAME?</v>
      </c>
      <c r="N1417" s="1" t="e">
        <f t="shared" si="248"/>
        <v>#VALUE!</v>
      </c>
      <c r="O1417" s="1" t="e">
        <f t="shared" ref="O1417" ca="1" si="372">IF($N1417=_xludf.MINIFS($N$2:$N2923,$R$2:$R2923,$R1417),1,
($N1417-_xludf.MINIFS($N$2:$N2923,$R$2:$R2923,$R1417))+1)</f>
        <v>#VALUE!</v>
      </c>
      <c r="P1417" s="13" t="e">
        <f t="shared" si="250"/>
        <v>#VALUE!</v>
      </c>
      <c r="Q1417" s="1" t="str">
        <f>RIGHT(YEAR($A1417),2)-(MONTH($A1417)&lt;=[3]Roster!$K$25)
 &amp;"-"&amp;
 RIGHT(YEAR($A1417),2)+(MONTH($A1417)&gt;=[3]Roster!$K$26)</f>
        <v>22-23</v>
      </c>
      <c r="R1417" s="1" t="e">
        <f>CHOOSE(MONTH($P1417),[3]Roster!$K$9,[3]Roster!$K$10,[3]Roster!$K$11,[3]Roster!$K$12,[3]Roster!$K$13,[3]Roster!$K$14,[3]Roster!$K$15,[3]Roster!$K$16,[3]Roster!$K$17,[3]Roster!$K$18,[3]Roster!$K$19,[3]Roster!$K$20)&amp;" "&amp;$Q1417</f>
        <v>#VALUE!</v>
      </c>
      <c r="S1417" s="1">
        <f t="shared" si="251"/>
        <v>1</v>
      </c>
      <c r="T1417" s="1" t="str">
        <f t="array" ref="T1417">IFERROR(INDEX([3]Roster!$D$3:$D$42,MATCH($B1417,[3]Roster!$C$3:$C$42,0)),"")</f>
        <v>MID</v>
      </c>
      <c r="U1417" s="1" t="str">
        <f t="array" ref="U1417">IFERROR(INDEX([3]Roster!$E$3:$E$42,MATCH($B1417,[3]Roster!$C$3:$C$42,0)),"")</f>
        <v>MID</v>
      </c>
      <c r="V1417" s="76">
        <f t="array" ref="V1417">AVERAGEIFS($E$2:$E2565,$B$2:$B2565,$B1417,$P$2:$P2565,"&lt;="&amp;$P1417,$P$2:$P2565,"&gt;"&amp;$P1417-7)</f>
        <v>8.4042553191489358</v>
      </c>
      <c r="W1417" s="76">
        <f ca="1">IFERROR(__xludf.DUMMYFUNCTION("iferror(stdevp(filter($D$2:$D2568,$B$2:$B2568=$B1420,$O$2:$O2568&lt;=$O1420,$O$2:$O2568&gt;$O1420-7)),0)"),0.5)</f>
        <v>0.5</v>
      </c>
      <c r="X1417" s="77">
        <f t="shared" ca="1" si="252"/>
        <v>1.1914893617021285</v>
      </c>
      <c r="Y1417" s="77">
        <f t="shared" ca="1" si="253"/>
        <v>4</v>
      </c>
      <c r="Z1417" s="76">
        <f t="array" ref="Z1417">AVERAGEIFS($F$2:$F2565,$B$2:$B2565,$B1417,$P$2:$P2565,"&lt;="&amp;$P1417,$P$2:$P2565,"&gt;"&amp;$P1417-7)</f>
        <v>8.085106382978724</v>
      </c>
      <c r="AA1417" s="76">
        <f ca="1">IFERROR(__xludf.DUMMYFUNCTION("iferror(stdevp(filter($E$2:$E2568,$B$2:$B2568=$B1420,$O$2:$O2568&lt;=$O1420,$O$2:$O2568&gt;$O1420-7)),0)"),1.29903810567665)</f>
        <v>1.29903810567665</v>
      </c>
      <c r="AB1417" s="77">
        <f t="shared" ca="1" si="254"/>
        <v>0.70428543475614314</v>
      </c>
      <c r="AC1417" s="77">
        <f t="shared" ca="1" si="255"/>
        <v>3</v>
      </c>
      <c r="AD1417" s="76">
        <f t="array" ref="AD1417">AVERAGEIFS($G$2:$G2565,$B$2:$B2565,$B1417,$P$2:$P2565,"&lt;="&amp;$P1417,$P$2:$P2565,"&gt;"&amp;$P1417-7)</f>
        <v>8.0638297872340434</v>
      </c>
      <c r="AE1417" s="76">
        <f ca="1">IFERROR(__xludf.DUMMYFUNCTION("iferror(stdevp(filter($F$2:$F2568,$B$2:$B2568=$B1420,$O$2:$O2568&lt;=$O1420,$O$2:$O2568&gt;$O1420-7)),0)"),1.22474487139158)</f>
        <v>1.2247448713915801</v>
      </c>
      <c r="AF1417" s="77">
        <f t="shared" ca="1" si="256"/>
        <v>-5.2116803037941049E-2</v>
      </c>
      <c r="AG1417" s="77">
        <f t="shared" ca="1" si="257"/>
        <v>2</v>
      </c>
      <c r="AH1417" s="76">
        <f t="array" ref="AH1417">AVERAGEIFS($I$2:$I2565,$B$2:$B2565,$B1417,$P$2:$P2565,"&lt;="&amp;$P1417,$P$2:$P2565,"&gt;"&amp;$P1417-7)</f>
        <v>6.7446808510638299</v>
      </c>
      <c r="AI1417" s="76">
        <f ca="1">IFERROR(__xludf.DUMMYFUNCTION("iferror(stdevp(filter($H$2:$H2568,$B$2:$B2568=$B1420,$O$2:$O2568&lt;=$O1420,$O$2:$O2568&gt;$O1420-7)),0)"),0.433012701892219)</f>
        <v>0.43301270189221902</v>
      </c>
      <c r="AJ1417" s="77">
        <f t="shared" ca="1" si="258"/>
        <v>2.8990353942287612</v>
      </c>
      <c r="AK1417" s="77">
        <f t="shared" ca="1" si="259"/>
        <v>4</v>
      </c>
      <c r="AL1417" s="76">
        <f t="array" ref="AL1417">AVERAGEIFS($J$2:$J2565,$B$2:$B2565,$B1417,$P$2:$P2565,"&lt;="&amp;$P1417,$P$2:$P2565,"&gt;"&amp;$P1417-7)</f>
        <v>8.1063829787234045</v>
      </c>
      <c r="AM1417" s="76">
        <f ca="1">IFERROR(__xludf.DUMMYFUNCTION("iferror(stdevp(filter($I$2:$I2568,$B$2:$B2568=$B1420,$O$2:$O2568&lt;=$O1420,$O$2:$O2568&gt;$O1420-7)),0)"),0.433012701892219)</f>
        <v>0.43301270189221902</v>
      </c>
      <c r="AN1417" s="77">
        <f t="shared" ca="1" si="260"/>
        <v>-0.24568096561260749</v>
      </c>
      <c r="AO1417" s="77">
        <f t="shared" ca="1" si="261"/>
        <v>2</v>
      </c>
      <c r="AP1417" s="76">
        <f t="array" ref="AP1417">AVERAGEIFS($K$2:$K2565,$B$2:$B2565,$B1417,$P$2:$P2565,"&lt;="&amp;$P1417,$P$2:$P2565,"&gt;"&amp;$P1417-7)</f>
        <v>8.2978723404255312</v>
      </c>
      <c r="AQ1417" s="76">
        <f ca="1">IFERROR(__xludf.DUMMYFUNCTION("iferror(stdevp(filter($J$2:$J2568,$B$2:$B2568=$B1420,$O$2:$O2568&lt;=$O1420,$O$2:$O2568&gt;$O1420-7)),0)"),0.433012701892219)</f>
        <v>0.43301270189221902</v>
      </c>
      <c r="AR1417" s="77">
        <f t="shared" ca="1" si="262"/>
        <v>1.621494373043207</v>
      </c>
      <c r="AS1417" s="77">
        <f t="shared" ca="1" si="263"/>
        <v>4</v>
      </c>
      <c r="AT1417" s="78">
        <f t="shared" ca="1" si="264"/>
        <v>0.79166666666666663</v>
      </c>
    </row>
    <row r="1418" spans="1:46" ht="12.5" x14ac:dyDescent="0.25">
      <c r="A1418" s="75">
        <v>45001.421802233795</v>
      </c>
      <c r="B1418" s="1" t="s">
        <v>29</v>
      </c>
      <c r="C1418" s="1" t="str">
        <f>INDEX(TBL_Name,MATCH(Table2[[#This Row],[Athlete Name]],listNames,0),2)</f>
        <v>Athlete 18</v>
      </c>
      <c r="D1418" s="1" t="s">
        <v>130</v>
      </c>
      <c r="E1418" s="1">
        <v>8</v>
      </c>
      <c r="F1418" s="1">
        <v>9</v>
      </c>
      <c r="G1418" s="1">
        <v>9</v>
      </c>
      <c r="H1418" s="1" t="s">
        <v>1621</v>
      </c>
      <c r="I1418" s="1">
        <v>8</v>
      </c>
      <c r="J1418" s="1">
        <v>8</v>
      </c>
      <c r="K1418" s="1">
        <v>9</v>
      </c>
      <c r="L1418" s="1">
        <v>96</v>
      </c>
      <c r="M1418" s="1" t="e">
        <f t="shared" ref="M1418" ca="1" si="373">_xludf.concat($B1418,$P1418)</f>
        <v>#NAME?</v>
      </c>
      <c r="N1418" s="1" t="e">
        <f t="shared" si="248"/>
        <v>#VALUE!</v>
      </c>
      <c r="O1418" s="1" t="e">
        <f t="shared" ref="O1418" ca="1" si="374">IF($N1418=_xludf.MINIFS($N$2:$N2924,$R$2:$R2924,$R1418),1,
($N1418-_xludf.MINIFS($N$2:$N2924,$R$2:$R2924,$R1418))+1)</f>
        <v>#VALUE!</v>
      </c>
      <c r="P1418" s="13" t="e">
        <f t="shared" si="250"/>
        <v>#VALUE!</v>
      </c>
      <c r="Q1418" s="1" t="str">
        <f>RIGHT(YEAR($A1418),2)-(MONTH($A1418)&lt;=[3]Roster!$K$25)
 &amp;"-"&amp;
 RIGHT(YEAR($A1418),2)+(MONTH($A1418)&gt;=[3]Roster!$K$26)</f>
        <v>22-23</v>
      </c>
      <c r="R1418" s="1" t="e">
        <f>CHOOSE(MONTH($P1418),[3]Roster!$K$9,[3]Roster!$K$10,[3]Roster!$K$11,[3]Roster!$K$12,[3]Roster!$K$13,[3]Roster!$K$14,[3]Roster!$K$15,[3]Roster!$K$16,[3]Roster!$K$17,[3]Roster!$K$18,[3]Roster!$K$19,[3]Roster!$K$20)&amp;" "&amp;$Q1418</f>
        <v>#VALUE!</v>
      </c>
      <c r="S1418" s="1">
        <f t="shared" si="251"/>
        <v>1</v>
      </c>
      <c r="T1418" s="1" t="str">
        <f t="array" ref="T1418">IFERROR(INDEX([3]Roster!$D$3:$D$42,MATCH($B1418,[3]Roster!$C$3:$C$42,0)),"")</f>
        <v>GK</v>
      </c>
      <c r="U1418" s="1" t="str">
        <f t="array" ref="U1418">IFERROR(INDEX([3]Roster!$E$3:$E$42,MATCH($B1418,[3]Roster!$C$3:$C$42,0)),"")</f>
        <v>GK</v>
      </c>
      <c r="V1418" s="76">
        <f t="array" ref="V1418">AVERAGEIFS($E$2:$E2565,$B$2:$B2565,$B1418,$P$2:$P2565,"&lt;="&amp;$P1418,$P$2:$P2565,"&gt;"&amp;$P1418-7)</f>
        <v>8.53125</v>
      </c>
      <c r="W1418" s="76">
        <f ca="1">IFERROR(__xludf.DUMMYFUNCTION("iferror(stdevp(filter($D$2:$D2568,$B$2:$B2568=$B1421,$O$2:$O2568&lt;=$O1421,$O$2:$O2568&gt;$O1421-7)),0)"),1.01980390271855)</f>
        <v>1.0198039027185499</v>
      </c>
      <c r="X1418" s="77">
        <f t="shared" ca="1" si="252"/>
        <v>-0.52093348396080497</v>
      </c>
      <c r="Y1418" s="77">
        <f t="shared" ca="1" si="253"/>
        <v>2</v>
      </c>
      <c r="Z1418" s="76">
        <f t="array" ref="Z1418">AVERAGEIFS($F$2:$F2565,$B$2:$B2565,$B1418,$P$2:$P2565,"&lt;="&amp;$P1418,$P$2:$P2565,"&gt;"&amp;$P1418-7)</f>
        <v>8.125</v>
      </c>
      <c r="AA1418" s="76">
        <f ca="1">IFERROR(__xludf.DUMMYFUNCTION("iferror(stdevp(filter($E$2:$E2568,$B$2:$B2568=$B1421,$O$2:$O2568&lt;=$O1421,$O$2:$O2568&gt;$O1421-7)),0)"),0.979795897113271)</f>
        <v>0.97979589711327097</v>
      </c>
      <c r="AB1418" s="77">
        <f t="shared" ca="1" si="254"/>
        <v>0.89304313538970059</v>
      </c>
      <c r="AC1418" s="77">
        <f t="shared" ca="1" si="255"/>
        <v>3</v>
      </c>
      <c r="AD1418" s="76">
        <f t="array" ref="AD1418">AVERAGEIFS($G$2:$G2565,$B$2:$B2565,$B1418,$P$2:$P2565,"&lt;="&amp;$P1418,$P$2:$P2565,"&gt;"&amp;$P1418-7)</f>
        <v>8.09375</v>
      </c>
      <c r="AE1418" s="76">
        <f ca="1">IFERROR(__xludf.DUMMYFUNCTION("iferror(stdevp(filter($F$2:$F2568,$B$2:$B2568=$B1421,$O$2:$O2568&lt;=$O1421,$O$2:$O2568&gt;$O1421-7)),0)"),0.748331477354788)</f>
        <v>0.748331477354788</v>
      </c>
      <c r="AF1418" s="77">
        <f t="shared" ca="1" si="256"/>
        <v>1.2110275024156734</v>
      </c>
      <c r="AG1418" s="77">
        <f t="shared" ca="1" si="257"/>
        <v>4</v>
      </c>
      <c r="AH1418" s="76">
        <f t="array" ref="AH1418">AVERAGEIFS($I$2:$I2565,$B$2:$B2565,$B1418,$P$2:$P2565,"&lt;="&amp;$P1418,$P$2:$P2565,"&gt;"&amp;$P1418-7)</f>
        <v>7.875</v>
      </c>
      <c r="AI1418" s="76">
        <f ca="1">IFERROR(__xludf.DUMMYFUNCTION("iferror(stdevp(filter($H$2:$H2568,$B$2:$B2568=$B1421,$O$2:$O2568&lt;=$O1421,$O$2:$O2568&gt;$O1421-7)),0)"),0.799999999999999)</f>
        <v>0.79999999999999905</v>
      </c>
      <c r="AJ1418" s="77">
        <f t="shared" ca="1" si="258"/>
        <v>0.15625000000000019</v>
      </c>
      <c r="AK1418" s="77">
        <f t="shared" ca="1" si="259"/>
        <v>3</v>
      </c>
      <c r="AL1418" s="76">
        <f t="array" ref="AL1418">AVERAGEIFS($J$2:$J2565,$B$2:$B2565,$B1418,$P$2:$P2565,"&lt;="&amp;$P1418,$P$2:$P2565,"&gt;"&amp;$P1418-7)</f>
        <v>8.34375</v>
      </c>
      <c r="AM1418" s="76">
        <f ca="1">IFERROR(__xludf.DUMMYFUNCTION("iferror(stdevp(filter($I$2:$I2568,$B$2:$B2568=$B1421,$O$2:$O2568&lt;=$O1421,$O$2:$O2568&gt;$O1421-7)),0)"),0.748331477354788)</f>
        <v>0.748331477354788</v>
      </c>
      <c r="AN1418" s="77">
        <f t="shared" ca="1" si="260"/>
        <v>-0.45935525953697959</v>
      </c>
      <c r="AO1418" s="77">
        <f t="shared" ca="1" si="261"/>
        <v>2</v>
      </c>
      <c r="AP1418" s="76">
        <f t="array" ref="AP1418">AVERAGEIFS($K$2:$K2565,$B$2:$B2565,$B1418,$P$2:$P2565,"&lt;="&amp;$P1418,$P$2:$P2565,"&gt;"&amp;$P1418-7)</f>
        <v>8.46875</v>
      </c>
      <c r="AQ1418" s="76">
        <f ca="1">IFERROR(__xludf.DUMMYFUNCTION("iferror(stdevp(filter($J$2:$J2568,$B$2:$B2568=$B1421,$O$2:$O2568&lt;=$O1421,$O$2:$O2568&gt;$O1421-7)),0)"),0.979795897113271)</f>
        <v>0.97979589711327097</v>
      </c>
      <c r="AR1418" s="77">
        <f t="shared" ca="1" si="262"/>
        <v>0.54220476077231816</v>
      </c>
      <c r="AS1418" s="77">
        <f t="shared" ca="1" si="263"/>
        <v>3</v>
      </c>
      <c r="AT1418" s="78">
        <f t="shared" ca="1" si="264"/>
        <v>0.70833333333333337</v>
      </c>
    </row>
    <row r="1419" spans="1:46" ht="12.5" x14ac:dyDescent="0.25">
      <c r="A1419" s="75">
        <v>45001.429051053245</v>
      </c>
      <c r="B1419" s="1" t="s">
        <v>15</v>
      </c>
      <c r="C1419" s="1" t="str">
        <f>INDEX(TBL_Name,MATCH(Table2[[#This Row],[Athlete Name]],listNames,0),2)</f>
        <v>Athlete 8</v>
      </c>
      <c r="D1419" s="1" t="s">
        <v>130</v>
      </c>
      <c r="E1419" s="1">
        <v>9</v>
      </c>
      <c r="F1419" s="1">
        <v>10</v>
      </c>
      <c r="G1419" s="1">
        <v>8</v>
      </c>
      <c r="H1419" s="1" t="s">
        <v>362</v>
      </c>
      <c r="I1419" s="1">
        <v>6</v>
      </c>
      <c r="J1419" s="1">
        <v>10</v>
      </c>
      <c r="K1419" s="1">
        <v>10</v>
      </c>
      <c r="L1419" s="1">
        <v>82</v>
      </c>
      <c r="M1419" s="1" t="e">
        <f t="shared" ref="M1419" ca="1" si="375">_xludf.concat($B1419,$P1419)</f>
        <v>#NAME?</v>
      </c>
      <c r="N1419" s="1" t="e">
        <f t="shared" si="248"/>
        <v>#VALUE!</v>
      </c>
      <c r="O1419" s="1" t="e">
        <f t="shared" ref="O1419" ca="1" si="376">IF($N1419=_xludf.MINIFS($N$2:$N2925,$R$2:$R2925,$R1419),1,
($N1419-_xludf.MINIFS($N$2:$N2925,$R$2:$R2925,$R1419))+1)</f>
        <v>#VALUE!</v>
      </c>
      <c r="P1419" s="13" t="e">
        <f t="shared" si="250"/>
        <v>#VALUE!</v>
      </c>
      <c r="Q1419" s="1" t="str">
        <f>RIGHT(YEAR($A1419),2)-(MONTH($A1419)&lt;=[3]Roster!$K$25)
 &amp;"-"&amp;
 RIGHT(YEAR($A1419),2)+(MONTH($A1419)&gt;=[3]Roster!$K$26)</f>
        <v>22-23</v>
      </c>
      <c r="R1419" s="1" t="e">
        <f>CHOOSE(MONTH($P1419),[3]Roster!$K$9,[3]Roster!$K$10,[3]Roster!$K$11,[3]Roster!$K$12,[3]Roster!$K$13,[3]Roster!$K$14,[3]Roster!$K$15,[3]Roster!$K$16,[3]Roster!$K$17,[3]Roster!$K$18,[3]Roster!$K$19,[3]Roster!$K$20)&amp;" "&amp;$Q1419</f>
        <v>#VALUE!</v>
      </c>
      <c r="S1419" s="1">
        <f t="shared" si="251"/>
        <v>1</v>
      </c>
      <c r="T1419" s="1" t="str">
        <f t="array" ref="T1419">IFERROR(INDEX([3]Roster!$D$3:$D$42,MATCH($B1419,[3]Roster!$C$3:$C$42,0)),"")</f>
        <v>MID/D</v>
      </c>
      <c r="U1419" s="1" t="str">
        <f t="array" ref="U1419">IFERROR(INDEX([3]Roster!$E$3:$E$42,MATCH($B1419,[3]Roster!$C$3:$C$42,0)),"")</f>
        <v>MID/D</v>
      </c>
      <c r="V1419" s="76">
        <f t="array" ref="V1419">AVERAGEIFS($E$2:$E2565,$B$2:$B2565,$B1419,$P$2:$P2565,"&lt;="&amp;$P1419,$P$2:$P2565,"&gt;"&amp;$P1419-7)</f>
        <v>8.935483870967742</v>
      </c>
      <c r="W1419" s="76">
        <f ca="1">IFERROR(__xludf.DUMMYFUNCTION("iferror(stdevp(filter($D$2:$D2568,$B$2:$B2568=$B1422,$O$2:$O2568&lt;=$O1422,$O$2:$O2568&gt;$O1422-7)),0)"),2.48746859276655)</f>
        <v>2.4874685927665499</v>
      </c>
      <c r="X1419" s="77">
        <f t="shared" ca="1" si="252"/>
        <v>2.5936459748624806E-2</v>
      </c>
      <c r="Y1419" s="77">
        <f t="shared" ca="1" si="253"/>
        <v>3</v>
      </c>
      <c r="Z1419" s="76">
        <f t="array" ref="Z1419">AVERAGEIFS($F$2:$F2565,$B$2:$B2565,$B1419,$P$2:$P2565,"&lt;="&amp;$P1419,$P$2:$P2565,"&gt;"&amp;$P1419-7)</f>
        <v>8.741935483870968</v>
      </c>
      <c r="AA1419" s="76">
        <f ca="1">IFERROR(__xludf.DUMMYFUNCTION("iferror(stdevp(filter($E$2:$E2568,$B$2:$B2568=$B1422,$O$2:$O2568&lt;=$O1422,$O$2:$O2568&gt;$O1422-7)),0)"),1.5)</f>
        <v>1.5</v>
      </c>
      <c r="AB1419" s="77">
        <f t="shared" ca="1" si="254"/>
        <v>0.83870967741935465</v>
      </c>
      <c r="AC1419" s="77">
        <f t="shared" ca="1" si="255"/>
        <v>3</v>
      </c>
      <c r="AD1419" s="76">
        <f t="array" ref="AD1419">AVERAGEIFS($G$2:$G2565,$B$2:$B2565,$B1419,$P$2:$P2565,"&lt;="&amp;$P1419,$P$2:$P2565,"&gt;"&amp;$P1419-7)</f>
        <v>7.32258064516129</v>
      </c>
      <c r="AE1419" s="76">
        <f ca="1">IFERROR(__xludf.DUMMYFUNCTION("iferror(stdevp(filter($F$2:$F2568,$B$2:$B2568=$B1422,$O$2:$O2568&lt;=$O1422,$O$2:$O2568&gt;$O1422-7)),0)"),0.433012701892219)</f>
        <v>0.43301270189221902</v>
      </c>
      <c r="AF1419" s="77">
        <f t="shared" ca="1" si="256"/>
        <v>1.5644329874815683</v>
      </c>
      <c r="AG1419" s="77">
        <f t="shared" ca="1" si="257"/>
        <v>4</v>
      </c>
      <c r="AH1419" s="76">
        <f t="array" ref="AH1419">AVERAGEIFS($I$2:$I2565,$B$2:$B2565,$B1419,$P$2:$P2565,"&lt;="&amp;$P1419,$P$2:$P2565,"&gt;"&amp;$P1419-7)</f>
        <v>6.419354838709677</v>
      </c>
      <c r="AI1419" s="76">
        <f ca="1">IFERROR(__xludf.DUMMYFUNCTION("iferror(stdevp(filter($H$2:$H2568,$B$2:$B2568=$B1422,$O$2:$O2568&lt;=$O1422,$O$2:$O2568&gt;$O1422-7)),0)"),0.82915619758885)</f>
        <v>0.82915619758884995</v>
      </c>
      <c r="AJ1419" s="77">
        <f t="shared" ca="1" si="258"/>
        <v>-0.50576096509818369</v>
      </c>
      <c r="AK1419" s="77">
        <f t="shared" ca="1" si="259"/>
        <v>2</v>
      </c>
      <c r="AL1419" s="76">
        <f t="array" ref="AL1419">AVERAGEIFS($J$2:$J2565,$B$2:$B2565,$B1419,$P$2:$P2565,"&lt;="&amp;$P1419,$P$2:$P2565,"&gt;"&amp;$P1419-7)</f>
        <v>9.612903225806452</v>
      </c>
      <c r="AM1419" s="76">
        <f ca="1">IFERROR(__xludf.DUMMYFUNCTION("iferror(stdevp(filter($I$2:$I2568,$B$2:$B2568=$B1422,$O$2:$O2568&lt;=$O1422,$O$2:$O2568&gt;$O1422-7)),0)"),0)</f>
        <v>0</v>
      </c>
      <c r="AN1419" s="77">
        <f t="shared" ca="1" si="260"/>
        <v>0</v>
      </c>
      <c r="AO1419" s="77">
        <f t="shared" ca="1" si="261"/>
        <v>3</v>
      </c>
      <c r="AP1419" s="76">
        <f t="array" ref="AP1419">AVERAGEIFS($K$2:$K2565,$B$2:$B2565,$B1419,$P$2:$P2565,"&lt;="&amp;$P1419,$P$2:$P2565,"&gt;"&amp;$P1419-7)</f>
        <v>10</v>
      </c>
      <c r="AQ1419" s="76">
        <f ca="1">IFERROR(__xludf.DUMMYFUNCTION("iferror(stdevp(filter($J$2:$J2568,$B$2:$B2568=$B1422,$O$2:$O2568&lt;=$O1422,$O$2:$O2568&gt;$O1422-7)),0)"),0)</f>
        <v>0</v>
      </c>
      <c r="AR1419" s="77">
        <f t="shared" ca="1" si="262"/>
        <v>0</v>
      </c>
      <c r="AS1419" s="77">
        <f t="shared" ca="1" si="263"/>
        <v>3</v>
      </c>
      <c r="AT1419" s="78">
        <f t="shared" ca="1" si="264"/>
        <v>0.75</v>
      </c>
    </row>
    <row r="1420" spans="1:46" ht="12.5" x14ac:dyDescent="0.25">
      <c r="A1420" s="75">
        <v>45001.464683483791</v>
      </c>
      <c r="B1420" s="1" t="s">
        <v>6</v>
      </c>
      <c r="C1420" s="1" t="str">
        <f>INDEX(TBL_Name,MATCH(Table2[[#This Row],[Athlete Name]],listNames,0),2)</f>
        <v>Athlete 2</v>
      </c>
      <c r="D1420" s="1" t="s">
        <v>130</v>
      </c>
      <c r="E1420" s="1">
        <v>10</v>
      </c>
      <c r="F1420" s="1">
        <v>9</v>
      </c>
      <c r="G1420" s="1">
        <v>10</v>
      </c>
      <c r="H1420" s="1" t="s">
        <v>181</v>
      </c>
      <c r="I1420" s="1">
        <v>9</v>
      </c>
      <c r="J1420" s="1">
        <v>8</v>
      </c>
      <c r="K1420" s="1">
        <v>10</v>
      </c>
      <c r="L1420" s="1">
        <v>96</v>
      </c>
      <c r="M1420" s="1" t="e">
        <f t="shared" ref="M1420" ca="1" si="377">_xludf.concat($B1420,$P1420)</f>
        <v>#NAME?</v>
      </c>
      <c r="N1420" s="1" t="e">
        <f t="shared" si="248"/>
        <v>#VALUE!</v>
      </c>
      <c r="O1420" s="1" t="e">
        <f t="shared" ref="O1420" ca="1" si="378">IF($N1420=_xludf.MINIFS($N$2:$N2926,$R$2:$R2926,$R1420),1,
($N1420-_xludf.MINIFS($N$2:$N2926,$R$2:$R2926,$R1420))+1)</f>
        <v>#VALUE!</v>
      </c>
      <c r="P1420" s="13" t="e">
        <f t="shared" si="250"/>
        <v>#VALUE!</v>
      </c>
      <c r="Q1420" s="1" t="str">
        <f>RIGHT(YEAR($A1420),2)-(MONTH($A1420)&lt;=[3]Roster!$K$25)
 &amp;"-"&amp;
 RIGHT(YEAR($A1420),2)+(MONTH($A1420)&gt;=[3]Roster!$K$26)</f>
        <v>22-23</v>
      </c>
      <c r="R1420" s="1" t="e">
        <f>CHOOSE(MONTH($P1420),[3]Roster!$K$9,[3]Roster!$K$10,[3]Roster!$K$11,[3]Roster!$K$12,[3]Roster!$K$13,[3]Roster!$K$14,[3]Roster!$K$15,[3]Roster!$K$16,[3]Roster!$K$17,[3]Roster!$K$18,[3]Roster!$K$19,[3]Roster!$K$20)&amp;" "&amp;$Q1420</f>
        <v>#VALUE!</v>
      </c>
      <c r="S1420" s="1">
        <f t="shared" si="251"/>
        <v>1</v>
      </c>
      <c r="T1420" s="1" t="str">
        <f t="array" ref="T1420">IFERROR(INDEX([3]Roster!$D$3:$D$42,MATCH($B1420,[3]Roster!$C$3:$C$42,0)),"")</f>
        <v>FWD</v>
      </c>
      <c r="U1420" s="1" t="str">
        <f t="array" ref="U1420">IFERROR(INDEX([3]Roster!$E$3:$E$42,MATCH($B1420,[3]Roster!$C$3:$C$42,0)),"")</f>
        <v>FWD</v>
      </c>
      <c r="V1420" s="76">
        <f t="array" ref="V1420">AVERAGEIFS($E$2:$E2565,$B$2:$B2565,$B1420,$P$2:$P2565,"&lt;="&amp;$P1420,$P$2:$P2565,"&gt;"&amp;$P1420-7)</f>
        <v>9.7441860465116275</v>
      </c>
      <c r="W1420" s="76">
        <f ca="1">IFERROR(__xludf.DUMMYFUNCTION("iferror(stdevp(filter($D$2:$D2568,$B$2:$B2568=$B1423,$O$2:$O2568&lt;=$O1423,$O$2:$O2568&gt;$O1423-7)),0)"),0.372677996249964)</f>
        <v>0.37267799624996401</v>
      </c>
      <c r="X1420" s="77">
        <f t="shared" ca="1" si="252"/>
        <v>0.68642086751156628</v>
      </c>
      <c r="Y1420" s="77">
        <f t="shared" ca="1" si="253"/>
        <v>3</v>
      </c>
      <c r="Z1420" s="76">
        <f t="array" ref="Z1420">AVERAGEIFS($F$2:$F2565,$B$2:$B2565,$B1420,$P$2:$P2565,"&lt;="&amp;$P1420,$P$2:$P2565,"&gt;"&amp;$P1420-7)</f>
        <v>8.279069767441861</v>
      </c>
      <c r="AA1420" s="76">
        <f ca="1">IFERROR(__xludf.DUMMYFUNCTION("iferror(stdevp(filter($E$2:$E2568,$B$2:$B2568=$B1423,$O$2:$O2568&lt;=$O1423,$O$2:$O2568&gt;$O1423-7)),0)"),0.471404520791031)</f>
        <v>0.47140452079103101</v>
      </c>
      <c r="AB1420" s="77">
        <f t="shared" ca="1" si="254"/>
        <v>1.5293239686127666</v>
      </c>
      <c r="AC1420" s="77">
        <f t="shared" ca="1" si="255"/>
        <v>4</v>
      </c>
      <c r="AD1420" s="76">
        <f t="array" ref="AD1420">AVERAGEIFS($G$2:$G2565,$B$2:$B2565,$B1420,$P$2:$P2565,"&lt;="&amp;$P1420,$P$2:$P2565,"&gt;"&amp;$P1420-7)</f>
        <v>8.604651162790697</v>
      </c>
      <c r="AE1420" s="76">
        <f ca="1">IFERROR(__xludf.DUMMYFUNCTION("iferror(stdevp(filter($F$2:$F2568,$B$2:$B2568=$B1423,$O$2:$O2568&lt;=$O1423,$O$2:$O2568&gt;$O1423-7)),0)"),0.763762615825973)</f>
        <v>0.76376261582597305</v>
      </c>
      <c r="AF1420" s="77">
        <f t="shared" ca="1" si="256"/>
        <v>1.8269404763943564</v>
      </c>
      <c r="AG1420" s="77">
        <f t="shared" ca="1" si="257"/>
        <v>4</v>
      </c>
      <c r="AH1420" s="76">
        <f t="array" ref="AH1420">AVERAGEIFS($I$2:$I2565,$B$2:$B2565,$B1420,$P$2:$P2565,"&lt;="&amp;$P1420,$P$2:$P2565,"&gt;"&amp;$P1420-7)</f>
        <v>8.3488372093023262</v>
      </c>
      <c r="AI1420" s="76">
        <f ca="1">IFERROR(__xludf.DUMMYFUNCTION("iferror(stdevp(filter($H$2:$H2568,$B$2:$B2568=$B1423,$O$2:$O2568&lt;=$O1423,$O$2:$O2568&gt;$O1423-7)),0)"),0.372677996249964)</f>
        <v>0.37267799624996401</v>
      </c>
      <c r="AJ1420" s="77">
        <f t="shared" ca="1" si="258"/>
        <v>1.7472531173021639</v>
      </c>
      <c r="AK1420" s="77">
        <f t="shared" ca="1" si="259"/>
        <v>4</v>
      </c>
      <c r="AL1420" s="76">
        <f t="array" ref="AL1420">AVERAGEIFS($J$2:$J2565,$B$2:$B2565,$B1420,$P$2:$P2565,"&lt;="&amp;$P1420,$P$2:$P2565,"&gt;"&amp;$P1420-7)</f>
        <v>8.3023255813953494</v>
      </c>
      <c r="AM1420" s="76">
        <f ca="1">IFERROR(__xludf.DUMMYFUNCTION("iferror(stdevp(filter($I$2:$I2568,$B$2:$B2568=$B1423,$O$2:$O2568&lt;=$O1423,$O$2:$O2568&gt;$O1423-7)),0)"),1.24721912892464)</f>
        <v>1.2472191289246399</v>
      </c>
      <c r="AN1420" s="77">
        <f t="shared" ca="1" si="260"/>
        <v>-0.24239973103685186</v>
      </c>
      <c r="AO1420" s="77">
        <f t="shared" ca="1" si="261"/>
        <v>2</v>
      </c>
      <c r="AP1420" s="76">
        <f t="array" ref="AP1420">AVERAGEIFS($K$2:$K2565,$B$2:$B2565,$B1420,$P$2:$P2565,"&lt;="&amp;$P1420,$P$2:$P2565,"&gt;"&amp;$P1420-7)</f>
        <v>8.9069767441860463</v>
      </c>
      <c r="AQ1420" s="76">
        <f ca="1">IFERROR(__xludf.DUMMYFUNCTION("iferror(stdevp(filter($J$2:$J2568,$B$2:$B2568=$B1423,$O$2:$O2568&lt;=$O1423,$O$2:$O2568&gt;$O1423-7)),0)"),0.372677996249964)</f>
        <v>0.37267799624996401</v>
      </c>
      <c r="AR1420" s="77">
        <f t="shared" ca="1" si="262"/>
        <v>2.9328891611857784</v>
      </c>
      <c r="AS1420" s="77">
        <f t="shared" ca="1" si="263"/>
        <v>4</v>
      </c>
      <c r="AT1420" s="78">
        <f t="shared" ca="1" si="264"/>
        <v>0.875</v>
      </c>
    </row>
    <row r="1421" spans="1:46" ht="12.5" x14ac:dyDescent="0.25">
      <c r="A1421" s="75">
        <v>45001.465979710643</v>
      </c>
      <c r="B1421" s="1" t="s">
        <v>7</v>
      </c>
      <c r="C1421" s="1" t="str">
        <f>INDEX(TBL_Name,MATCH(Table2[[#This Row],[Athlete Name]],listNames,0),2)</f>
        <v>Athlete 3</v>
      </c>
      <c r="D1421" s="1" t="s">
        <v>130</v>
      </c>
      <c r="E1421" s="1">
        <v>8</v>
      </c>
      <c r="F1421" s="1">
        <v>9</v>
      </c>
      <c r="G1421" s="1">
        <v>9</v>
      </c>
      <c r="H1421" s="1" t="s">
        <v>296</v>
      </c>
      <c r="I1421" s="1">
        <v>4</v>
      </c>
      <c r="J1421" s="1">
        <v>8</v>
      </c>
      <c r="K1421" s="1">
        <v>8</v>
      </c>
      <c r="L1421" s="1">
        <v>82</v>
      </c>
      <c r="M1421" s="1" t="e">
        <f t="shared" ref="M1421" ca="1" si="379">_xludf.concat($B1421,$P1421)</f>
        <v>#NAME?</v>
      </c>
      <c r="N1421" s="1" t="e">
        <f t="shared" si="248"/>
        <v>#VALUE!</v>
      </c>
      <c r="O1421" s="1" t="e">
        <f t="shared" ref="O1421" ca="1" si="380">IF($N1421=_xludf.MINIFS($N$2:$N2927,$R$2:$R2927,$R1421),1,
($N1421-_xludf.MINIFS($N$2:$N2927,$R$2:$R2927,$R1421))+1)</f>
        <v>#VALUE!</v>
      </c>
      <c r="P1421" s="13" t="e">
        <f t="shared" si="250"/>
        <v>#VALUE!</v>
      </c>
      <c r="Q1421" s="1" t="str">
        <f>RIGHT(YEAR($A1421),2)-(MONTH($A1421)&lt;=[3]Roster!$K$25)
 &amp;"-"&amp;
 RIGHT(YEAR($A1421),2)+(MONTH($A1421)&gt;=[3]Roster!$K$26)</f>
        <v>22-23</v>
      </c>
      <c r="R1421" s="1" t="e">
        <f>CHOOSE(MONTH($P1421),[3]Roster!$K$9,[3]Roster!$K$10,[3]Roster!$K$11,[3]Roster!$K$12,[3]Roster!$K$13,[3]Roster!$K$14,[3]Roster!$K$15,[3]Roster!$K$16,[3]Roster!$K$17,[3]Roster!$K$18,[3]Roster!$K$19,[3]Roster!$K$20)&amp;" "&amp;$Q1421</f>
        <v>#VALUE!</v>
      </c>
      <c r="S1421" s="1">
        <f t="shared" si="251"/>
        <v>1</v>
      </c>
      <c r="T1421" s="1" t="str">
        <f t="array" ref="T1421">IFERROR(INDEX([3]Roster!$D$3:$D$42,MATCH($B1421,[3]Roster!$C$3:$C$42,0)),"")</f>
        <v>F/MID</v>
      </c>
      <c r="U1421" s="1" t="str">
        <f t="array" ref="U1421">IFERROR(INDEX([3]Roster!$E$3:$E$42,MATCH($B1421,[3]Roster!$C$3:$C$42,0)),"")</f>
        <v>F/MID</v>
      </c>
      <c r="V1421" s="76">
        <f t="array" ref="V1421">AVERAGEIFS($E$2:$E2565,$B$2:$B2565,$B1421,$P$2:$P2565,"&lt;="&amp;$P1421,$P$2:$P2565,"&gt;"&amp;$P1421-7)</f>
        <v>6</v>
      </c>
      <c r="W1421" s="76">
        <f ca="1">IFERROR(__xludf.DUMMYFUNCTION("iferror(stdevp(filter($D$2:$D2568,$B$2:$B2568=$B1424,$O$2:$O2568&lt;=$O1424,$O$2:$O2568&gt;$O1424-7)),0)"),1.22474487139158)</f>
        <v>1.2247448713915801</v>
      </c>
      <c r="X1421" s="77">
        <f t="shared" ca="1" si="252"/>
        <v>1.6329931618554641</v>
      </c>
      <c r="Y1421" s="77">
        <f t="shared" ca="1" si="253"/>
        <v>4</v>
      </c>
      <c r="Z1421" s="76">
        <f t="array" ref="Z1421">AVERAGEIFS($F$2:$F2565,$B$2:$B2565,$B1421,$P$2:$P2565,"&lt;="&amp;$P1421,$P$2:$P2565,"&gt;"&amp;$P1421-7)</f>
        <v>7.3703703703703702</v>
      </c>
      <c r="AA1421" s="76">
        <f ca="1">IFERROR(__xludf.DUMMYFUNCTION("iferror(stdevp(filter($E$2:$E2568,$B$2:$B2568=$B1424,$O$2:$O2568&lt;=$O1424,$O$2:$O2568&gt;$O1424-7)),0)"),2.27760839478607)</f>
        <v>2.2776083947860699</v>
      </c>
      <c r="AB1421" s="77">
        <f t="shared" ca="1" si="254"/>
        <v>0.71550036141427942</v>
      </c>
      <c r="AC1421" s="77">
        <f t="shared" ca="1" si="255"/>
        <v>3</v>
      </c>
      <c r="AD1421" s="76">
        <f t="array" ref="AD1421">AVERAGEIFS($G$2:$G2565,$B$2:$B2565,$B1421,$P$2:$P2565,"&lt;="&amp;$P1421,$P$2:$P2565,"&gt;"&amp;$P1421-7)</f>
        <v>7.7777777777777777</v>
      </c>
      <c r="AE1421" s="76">
        <f ca="1">IFERROR(__xludf.DUMMYFUNCTION("iferror(stdevp(filter($F$2:$F2568,$B$2:$B2568=$B1424,$O$2:$O2568&lt;=$O1424,$O$2:$O2568&gt;$O1424-7)),0)"),1.29903810567665)</f>
        <v>1.29903810567665</v>
      </c>
      <c r="AF1421" s="77">
        <f t="shared" ca="1" si="256"/>
        <v>0.94086710534606266</v>
      </c>
      <c r="AG1421" s="77">
        <f t="shared" ca="1" si="257"/>
        <v>3</v>
      </c>
      <c r="AH1421" s="76">
        <f t="array" ref="AH1421">AVERAGEIFS($I$2:$I2565,$B$2:$B2565,$B1421,$P$2:$P2565,"&lt;="&amp;$P1421,$P$2:$P2565,"&gt;"&amp;$P1421-7)</f>
        <v>6.333333333333333</v>
      </c>
      <c r="AI1421" s="76">
        <f ca="1">IFERROR(__xludf.DUMMYFUNCTION("iferror(stdevp(filter($H$2:$H2568,$B$2:$B2568=$B1424,$O$2:$O2568&lt;=$O1424,$O$2:$O2568&gt;$O1424-7)),0)"),1.11803398874989)</f>
        <v>1.11803398874989</v>
      </c>
      <c r="AJ1421" s="77">
        <f t="shared" ca="1" si="258"/>
        <v>-2.0869967789998123</v>
      </c>
      <c r="AK1421" s="77">
        <f t="shared" ca="1" si="259"/>
        <v>1</v>
      </c>
      <c r="AL1421" s="76">
        <f t="array" ref="AL1421">AVERAGEIFS($J$2:$J2565,$B$2:$B2565,$B1421,$P$2:$P2565,"&lt;="&amp;$P1421,$P$2:$P2565,"&gt;"&amp;$P1421-7)</f>
        <v>5.4230769230769234</v>
      </c>
      <c r="AM1421" s="76">
        <f ca="1">IFERROR(__xludf.DUMMYFUNCTION("iferror(stdevp(filter($I$2:$I2568,$B$2:$B2568=$B1424,$O$2:$O2568&lt;=$O1424,$O$2:$O2568&gt;$O1424-7)),0)"),1.6583123951777)</f>
        <v>1.6583123951776999</v>
      </c>
      <c r="AN1421" s="77">
        <f t="shared" ca="1" si="260"/>
        <v>1.5539430835930892</v>
      </c>
      <c r="AO1421" s="77">
        <f t="shared" ca="1" si="261"/>
        <v>4</v>
      </c>
      <c r="AP1421" s="76">
        <f t="array" ref="AP1421">AVERAGEIFS($K$2:$K2565,$B$2:$B2565,$B1421,$P$2:$P2565,"&lt;="&amp;$P1421,$P$2:$P2565,"&gt;"&amp;$P1421-7)</f>
        <v>7.5769230769230766</v>
      </c>
      <c r="AQ1421" s="76">
        <f ca="1">IFERROR(__xludf.DUMMYFUNCTION("iferror(stdevp(filter($J$2:$J2568,$B$2:$B2568=$B1424,$O$2:$O2568&lt;=$O1424,$O$2:$O2568&gt;$O1424-7)),0)"),0.433012701892219)</f>
        <v>0.43301270189221902</v>
      </c>
      <c r="AR1421" s="77">
        <f t="shared" ca="1" si="262"/>
        <v>0.97705430170552188</v>
      </c>
      <c r="AS1421" s="77">
        <f t="shared" ca="1" si="263"/>
        <v>3</v>
      </c>
      <c r="AT1421" s="78">
        <f t="shared" ca="1" si="264"/>
        <v>0.75</v>
      </c>
    </row>
    <row r="1422" spans="1:46" ht="12.5" x14ac:dyDescent="0.25">
      <c r="A1422" s="75">
        <v>45002.337419768519</v>
      </c>
      <c r="B1422" s="1" t="s">
        <v>21</v>
      </c>
      <c r="C1422" s="1" t="str">
        <f>INDEX(TBL_Name,MATCH(Table2[[#This Row],[Athlete Name]],listNames,0),2)</f>
        <v>Athlete 13</v>
      </c>
      <c r="D1422" s="1" t="s">
        <v>130</v>
      </c>
      <c r="E1422" s="1">
        <v>6</v>
      </c>
      <c r="F1422" s="1">
        <v>6</v>
      </c>
      <c r="G1422" s="1">
        <v>8</v>
      </c>
      <c r="H1422" s="1" t="s">
        <v>1549</v>
      </c>
      <c r="I1422" s="1">
        <v>6</v>
      </c>
      <c r="J1422" s="1">
        <v>7</v>
      </c>
      <c r="K1422" s="1">
        <v>7</v>
      </c>
      <c r="L1422" s="1">
        <v>75</v>
      </c>
      <c r="M1422" s="1" t="e">
        <f t="shared" ref="M1422" ca="1" si="381">_xludf.concat($B1422,$P1422)</f>
        <v>#NAME?</v>
      </c>
      <c r="N1422" s="1" t="e">
        <f t="shared" si="248"/>
        <v>#VALUE!</v>
      </c>
      <c r="O1422" s="1" t="e">
        <f t="shared" ref="O1422" ca="1" si="382">IF($N1422=_xludf.MINIFS($N$2:$N2928,$R$2:$R2928,$R1422),1,
($N1422-_xludf.MINIFS($N$2:$N2928,$R$2:$R2928,$R1422))+1)</f>
        <v>#VALUE!</v>
      </c>
      <c r="P1422" s="13" t="e">
        <f t="shared" si="250"/>
        <v>#VALUE!</v>
      </c>
      <c r="Q1422" s="1" t="str">
        <f>RIGHT(YEAR($A1422),2)-(MONTH($A1422)&lt;=[3]Roster!$K$25)
 &amp;"-"&amp;
 RIGHT(YEAR($A1422),2)+(MONTH($A1422)&gt;=[3]Roster!$K$26)</f>
        <v>22-23</v>
      </c>
      <c r="R1422" s="1" t="e">
        <f>CHOOSE(MONTH($P1422),[3]Roster!$K$9,[3]Roster!$K$10,[3]Roster!$K$11,[3]Roster!$K$12,[3]Roster!$K$13,[3]Roster!$K$14,[3]Roster!$K$15,[3]Roster!$K$16,[3]Roster!$K$17,[3]Roster!$K$18,[3]Roster!$K$19,[3]Roster!$K$20)&amp;" "&amp;$Q1422</f>
        <v>#VALUE!</v>
      </c>
      <c r="S1422" s="1">
        <f t="shared" si="251"/>
        <v>1</v>
      </c>
      <c r="T1422" s="1" t="str">
        <f t="array" ref="T1422">IFERROR(INDEX([3]Roster!$D$3:$D$42,MATCH($B1422,[3]Roster!$C$3:$C$42,0)),"")</f>
        <v>D</v>
      </c>
      <c r="U1422" s="1" t="str">
        <f t="array" ref="U1422">IFERROR(INDEX([3]Roster!$E$3:$E$42,MATCH($B1422,[3]Roster!$C$3:$C$42,0)),"")</f>
        <v>D</v>
      </c>
      <c r="V1422" s="76">
        <f t="array" ref="V1422">AVERAGEIFS($E$2:$E2565,$B$2:$B2565,$B1422,$P$2:$P2565,"&lt;="&amp;$P1422,$P$2:$P2565,"&gt;"&amp;$P1422-7)</f>
        <v>6.6304347826086953</v>
      </c>
      <c r="W1422" s="76">
        <f ca="1">IFERROR(__xludf.DUMMYFUNCTION("iferror(stdevp(filter($D$2:$D2568,$B$2:$B2568=$B1425,$O$2:$O2568&lt;=$O1425,$O$2:$O2568&gt;$O1425-7)),0)"),0.74535599249993)</f>
        <v>0.74535599249993001</v>
      </c>
      <c r="X1422" s="77">
        <f t="shared" ca="1" si="252"/>
        <v>-0.84581701757600691</v>
      </c>
      <c r="Y1422" s="77">
        <f t="shared" ca="1" si="253"/>
        <v>2</v>
      </c>
      <c r="Z1422" s="76">
        <f t="array" ref="Z1422">AVERAGEIFS($F$2:$F2565,$B$2:$B2565,$B1422,$P$2:$P2565,"&lt;="&amp;$P1422,$P$2:$P2565,"&gt;"&amp;$P1422-7)</f>
        <v>7.6956521739130439</v>
      </c>
      <c r="AA1422" s="76">
        <f ca="1">IFERROR(__xludf.DUMMYFUNCTION("iferror(stdevp(filter($E$2:$E2568,$B$2:$B2568=$B1425,$O$2:$O2568&lt;=$O1425,$O$2:$O2568&gt;$O1425-7)),0)"),0.942809041582063)</f>
        <v>0.94280904158206302</v>
      </c>
      <c r="AB1422" s="77">
        <f t="shared" ca="1" si="254"/>
        <v>-1.7985107260614372</v>
      </c>
      <c r="AC1422" s="77">
        <f t="shared" ca="1" si="255"/>
        <v>1</v>
      </c>
      <c r="AD1422" s="76">
        <f t="array" ref="AD1422">AVERAGEIFS($G$2:$G2565,$B$2:$B2565,$B1422,$P$2:$P2565,"&lt;="&amp;$P1422,$P$2:$P2565,"&gt;"&amp;$P1422-7)</f>
        <v>8.2608695652173907</v>
      </c>
      <c r="AE1422" s="76">
        <f ca="1">IFERROR(__xludf.DUMMYFUNCTION("iferror(stdevp(filter($F$2:$F2568,$B$2:$B2568=$B1425,$O$2:$O2568&lt;=$O1425,$O$2:$O2568&gt;$O1425-7)),0)"),0.372677996249964)</f>
        <v>0.37267799624996401</v>
      </c>
      <c r="AF1422" s="77">
        <f t="shared" ca="1" si="256"/>
        <v>-0.69998649730428208</v>
      </c>
      <c r="AG1422" s="77">
        <f t="shared" ca="1" si="257"/>
        <v>2</v>
      </c>
      <c r="AH1422" s="76">
        <f t="array" ref="AH1422">AVERAGEIFS($I$2:$I2565,$B$2:$B2565,$B1422,$P$2:$P2565,"&lt;="&amp;$P1422,$P$2:$P2565,"&gt;"&amp;$P1422-7)</f>
        <v>5.7391304347826084</v>
      </c>
      <c r="AI1422" s="76">
        <f ca="1">IFERROR(__xludf.DUMMYFUNCTION("iferror(stdevp(filter($H$2:$H2568,$B$2:$B2568=$B1425,$O$2:$O2568&lt;=$O1425,$O$2:$O2568&gt;$O1425-7)),0)"),0.5)</f>
        <v>0.5</v>
      </c>
      <c r="AJ1422" s="77">
        <f t="shared" ca="1" si="258"/>
        <v>0.52173913043478315</v>
      </c>
      <c r="AK1422" s="77">
        <f t="shared" ca="1" si="259"/>
        <v>3</v>
      </c>
      <c r="AL1422" s="76">
        <f t="array" ref="AL1422">AVERAGEIFS($J$2:$J2565,$B$2:$B2565,$B1422,$P$2:$P2565,"&lt;="&amp;$P1422,$P$2:$P2565,"&gt;"&amp;$P1422-7)</f>
        <v>6.5434782608695654</v>
      </c>
      <c r="AM1422" s="76">
        <f ca="1">IFERROR(__xludf.DUMMYFUNCTION("iferror(stdevp(filter($I$2:$I2568,$B$2:$B2568=$B1425,$O$2:$O2568&lt;=$O1425,$O$2:$O2568&gt;$O1425-7)),0)"),0.372677996249965)</f>
        <v>0.372677996249965</v>
      </c>
      <c r="AN1422" s="77">
        <f t="shared" ca="1" si="260"/>
        <v>1.2249763702824927</v>
      </c>
      <c r="AO1422" s="77">
        <f t="shared" ca="1" si="261"/>
        <v>4</v>
      </c>
      <c r="AP1422" s="76">
        <f t="array" ref="AP1422">AVERAGEIFS($K$2:$K2565,$B$2:$B2565,$B1422,$P$2:$P2565,"&lt;="&amp;$P1422,$P$2:$P2565,"&gt;"&amp;$P1422-7)</f>
        <v>6.6086956521739131</v>
      </c>
      <c r="AQ1422" s="76">
        <f ca="1">IFERROR(__xludf.DUMMYFUNCTION("iferror(stdevp(filter($J$2:$J2568,$B$2:$B2568=$B1425,$O$2:$O2568&lt;=$O1425,$O$2:$O2568&gt;$O1425-7)),0)"),0)</f>
        <v>0</v>
      </c>
      <c r="AR1422" s="77">
        <f t="shared" ca="1" si="262"/>
        <v>0</v>
      </c>
      <c r="AS1422" s="77">
        <f t="shared" ca="1" si="263"/>
        <v>3</v>
      </c>
      <c r="AT1422" s="78">
        <f t="shared" ca="1" si="264"/>
        <v>0.625</v>
      </c>
    </row>
    <row r="1423" spans="1:46" ht="12.5" x14ac:dyDescent="0.25">
      <c r="A1423" s="75">
        <v>45002.430077106481</v>
      </c>
      <c r="B1423" s="1" t="s">
        <v>13</v>
      </c>
      <c r="C1423" s="1" t="str">
        <f>INDEX(TBL_Name,MATCH(Table2[[#This Row],[Athlete Name]],listNames,0),2)</f>
        <v>Athlete 7</v>
      </c>
      <c r="D1423" s="1" t="s">
        <v>130</v>
      </c>
      <c r="E1423" s="1">
        <v>8</v>
      </c>
      <c r="F1423" s="1">
        <v>7</v>
      </c>
      <c r="G1423" s="1">
        <v>7</v>
      </c>
      <c r="H1423" s="1" t="s">
        <v>131</v>
      </c>
      <c r="I1423" s="1">
        <v>8</v>
      </c>
      <c r="J1423" s="1">
        <v>10</v>
      </c>
      <c r="K1423" s="1">
        <v>8</v>
      </c>
      <c r="L1423" s="1">
        <v>65</v>
      </c>
      <c r="M1423" s="1" t="e">
        <f t="shared" ref="M1423" ca="1" si="383">_xludf.concat($B1423,$P1423)</f>
        <v>#NAME?</v>
      </c>
      <c r="N1423" s="1" t="e">
        <f t="shared" si="248"/>
        <v>#VALUE!</v>
      </c>
      <c r="O1423" s="1" t="e">
        <f t="shared" ref="O1423" ca="1" si="384">IF($N1423=_xludf.MINIFS($N$2:$N2929,$R$2:$R2929,$R1423),1,
($N1423-_xludf.MINIFS($N$2:$N2929,$R$2:$R2929,$R1423))+1)</f>
        <v>#VALUE!</v>
      </c>
      <c r="P1423" s="13" t="e">
        <f t="shared" si="250"/>
        <v>#VALUE!</v>
      </c>
      <c r="Q1423" s="1" t="str">
        <f>RIGHT(YEAR($A1423),2)-(MONTH($A1423)&lt;=[3]Roster!$K$25)
 &amp;"-"&amp;
 RIGHT(YEAR($A1423),2)+(MONTH($A1423)&gt;=[3]Roster!$K$26)</f>
        <v>22-23</v>
      </c>
      <c r="R1423" s="1" t="e">
        <f>CHOOSE(MONTH($P1423),[3]Roster!$K$9,[3]Roster!$K$10,[3]Roster!$K$11,[3]Roster!$K$12,[3]Roster!$K$13,[3]Roster!$K$14,[3]Roster!$K$15,[3]Roster!$K$16,[3]Roster!$K$17,[3]Roster!$K$18,[3]Roster!$K$19,[3]Roster!$K$20)&amp;" "&amp;$Q1423</f>
        <v>#VALUE!</v>
      </c>
      <c r="S1423" s="1">
        <f t="shared" si="251"/>
        <v>1</v>
      </c>
      <c r="T1423" s="1" t="str">
        <f t="array" ref="T1423">IFERROR(INDEX([3]Roster!$D$3:$D$42,MATCH($B1423,[3]Roster!$C$3:$C$42,0)),"")</f>
        <v>MID/D</v>
      </c>
      <c r="U1423" s="1" t="str">
        <f t="array" ref="U1423">IFERROR(INDEX([3]Roster!$E$3:$E$42,MATCH($B1423,[3]Roster!$C$3:$C$42,0)),"")</f>
        <v>MID/D</v>
      </c>
      <c r="V1423" s="76">
        <f t="array" ref="V1423">AVERAGEIFS($E$2:$E2565,$B$2:$B2565,$B1423,$P$2:$P2565,"&lt;="&amp;$P1423,$P$2:$P2565,"&gt;"&amp;$P1423-7)</f>
        <v>7.6857142857142859</v>
      </c>
      <c r="W1423" s="76">
        <f ca="1">IFERROR(__xludf.DUMMYFUNCTION("iferror(stdevp(filter($D$2:$D2568,$B$2:$B2568=$B1426,$O$2:$O2568&lt;=$O1426,$O$2:$O2568&gt;$O1426-7)),0)"),0.979795897113271)</f>
        <v>0.97979589711327097</v>
      </c>
      <c r="X1423" s="77">
        <f t="shared" ca="1" si="252"/>
        <v>0.32076651393589223</v>
      </c>
      <c r="Y1423" s="77">
        <f t="shared" ca="1" si="253"/>
        <v>3</v>
      </c>
      <c r="Z1423" s="76">
        <f t="array" ref="Z1423">AVERAGEIFS($F$2:$F2565,$B$2:$B2565,$B1423,$P$2:$P2565,"&lt;="&amp;$P1423,$P$2:$P2565,"&gt;"&amp;$P1423-7)</f>
        <v>7.0857142857142854</v>
      </c>
      <c r="AA1423" s="76">
        <f ca="1">IFERROR(__xludf.DUMMYFUNCTION("iferror(stdevp(filter($E$2:$E2568,$B$2:$B2568=$B1426,$O$2:$O2568&lt;=$O1426,$O$2:$O2568&gt;$O1426-7)),0)"),0.632455532033675)</f>
        <v>0.63245553203367499</v>
      </c>
      <c r="AB1423" s="77">
        <f t="shared" ca="1" si="254"/>
        <v>-0.1355261854357874</v>
      </c>
      <c r="AC1423" s="77">
        <f t="shared" ca="1" si="255"/>
        <v>2</v>
      </c>
      <c r="AD1423" s="76">
        <f t="array" ref="AD1423">AVERAGEIFS($G$2:$G2565,$B$2:$B2565,$B1423,$P$2:$P2565,"&lt;="&amp;$P1423,$P$2:$P2565,"&gt;"&amp;$P1423-7)</f>
        <v>7.1428571428571432</v>
      </c>
      <c r="AE1423" s="76">
        <f ca="1">IFERROR(__xludf.DUMMYFUNCTION("iferror(stdevp(filter($F$2:$F2568,$B$2:$B2568=$B1426,$O$2:$O2568&lt;=$O1426,$O$2:$O2568&gt;$O1426-7)),0)"),0.489897948556635)</f>
        <v>0.48989794855663499</v>
      </c>
      <c r="AF1423" s="77">
        <f t="shared" ca="1" si="256"/>
        <v>-0.2916059217599033</v>
      </c>
      <c r="AG1423" s="77">
        <f t="shared" ca="1" si="257"/>
        <v>2</v>
      </c>
      <c r="AH1423" s="76">
        <f t="array" ref="AH1423">AVERAGEIFS($I$2:$I2565,$B$2:$B2565,$B1423,$P$2:$P2565,"&lt;="&amp;$P1423,$P$2:$P2565,"&gt;"&amp;$P1423-7)</f>
        <v>7.0285714285714285</v>
      </c>
      <c r="AI1423" s="76">
        <f ca="1">IFERROR(__xludf.DUMMYFUNCTION("iferror(stdevp(filter($H$2:$H2568,$B$2:$B2568=$B1426,$O$2:$O2568&lt;=$O1426,$O$2:$O2568&gt;$O1426-7)),0)"),0.489897948556635)</f>
        <v>0.48989794855663499</v>
      </c>
      <c r="AJ1423" s="77">
        <f t="shared" ca="1" si="258"/>
        <v>1.9829202679673374</v>
      </c>
      <c r="AK1423" s="77">
        <f t="shared" ca="1" si="259"/>
        <v>4</v>
      </c>
      <c r="AL1423" s="76">
        <f t="array" ref="AL1423">AVERAGEIFS($J$2:$J2565,$B$2:$B2565,$B1423,$P$2:$P2565,"&lt;="&amp;$P1423,$P$2:$P2565,"&gt;"&amp;$P1423-7)</f>
        <v>9.742857142857142</v>
      </c>
      <c r="AM1423" s="76">
        <f ca="1">IFERROR(__xludf.DUMMYFUNCTION("iferror(stdevp(filter($I$2:$I2568,$B$2:$B2568=$B1426,$O$2:$O2568&lt;=$O1426,$O$2:$O2568&gt;$O1426-7)),0)"),0.799999999999999)</f>
        <v>0.79999999999999905</v>
      </c>
      <c r="AN1423" s="77">
        <f t="shared" ca="1" si="260"/>
        <v>0.3214285714285729</v>
      </c>
      <c r="AO1423" s="77">
        <f t="shared" ca="1" si="261"/>
        <v>3</v>
      </c>
      <c r="AP1423" s="76">
        <f t="array" ref="AP1423">AVERAGEIFS($K$2:$K2565,$B$2:$B2565,$B1423,$P$2:$P2565,"&lt;="&amp;$P1423,$P$2:$P2565,"&gt;"&amp;$P1423-7)</f>
        <v>9.4285714285714288</v>
      </c>
      <c r="AQ1423" s="76">
        <f ca="1">IFERROR(__xludf.DUMMYFUNCTION("iferror(stdevp(filter($J$2:$J2568,$B$2:$B2568=$B1426,$O$2:$O2568&lt;=$O1426,$O$2:$O2568&gt;$O1426-7)),0)"),0.8)</f>
        <v>0.8</v>
      </c>
      <c r="AR1423" s="77">
        <f t="shared" ca="1" si="262"/>
        <v>-1.785714285714286</v>
      </c>
      <c r="AS1423" s="77">
        <f t="shared" ca="1" si="263"/>
        <v>1</v>
      </c>
      <c r="AT1423" s="78">
        <f t="shared" ca="1" si="264"/>
        <v>0.625</v>
      </c>
    </row>
    <row r="1424" spans="1:46" ht="12.5" x14ac:dyDescent="0.25">
      <c r="A1424" s="75">
        <v>45002.501797048608</v>
      </c>
      <c r="B1424" s="1" t="s">
        <v>6</v>
      </c>
      <c r="C1424" s="1" t="str">
        <f>INDEX(TBL_Name,MATCH(Table2[[#This Row],[Athlete Name]],listNames,0),2)</f>
        <v>Athlete 2</v>
      </c>
      <c r="D1424" s="1" t="s">
        <v>130</v>
      </c>
      <c r="E1424" s="1">
        <v>10</v>
      </c>
      <c r="F1424" s="1">
        <v>9</v>
      </c>
      <c r="G1424" s="1">
        <v>9</v>
      </c>
      <c r="H1424" s="1" t="s">
        <v>181</v>
      </c>
      <c r="I1424" s="1">
        <v>8</v>
      </c>
      <c r="J1424" s="1">
        <v>10</v>
      </c>
      <c r="K1424" s="1">
        <v>10</v>
      </c>
      <c r="L1424" s="1">
        <v>95</v>
      </c>
      <c r="M1424" s="1" t="e">
        <f t="shared" ref="M1424" ca="1" si="385">_xludf.concat($B1424,$P1424)</f>
        <v>#NAME?</v>
      </c>
      <c r="N1424" s="1" t="e">
        <f t="shared" si="248"/>
        <v>#VALUE!</v>
      </c>
      <c r="O1424" s="1" t="e">
        <f t="shared" ref="O1424" ca="1" si="386">IF($N1424=_xludf.MINIFS($N$2:$N2930,$R$2:$R2930,$R1424),1,
($N1424-_xludf.MINIFS($N$2:$N2930,$R$2:$R2930,$R1424))+1)</f>
        <v>#VALUE!</v>
      </c>
      <c r="P1424" s="13" t="e">
        <f t="shared" si="250"/>
        <v>#VALUE!</v>
      </c>
      <c r="Q1424" s="1" t="str">
        <f>RIGHT(YEAR($A1424),2)-(MONTH($A1424)&lt;=[3]Roster!$K$25)
 &amp;"-"&amp;
 RIGHT(YEAR($A1424),2)+(MONTH($A1424)&gt;=[3]Roster!$K$26)</f>
        <v>22-23</v>
      </c>
      <c r="R1424" s="1" t="e">
        <f>CHOOSE(MONTH($P1424),[3]Roster!$K$9,[3]Roster!$K$10,[3]Roster!$K$11,[3]Roster!$K$12,[3]Roster!$K$13,[3]Roster!$K$14,[3]Roster!$K$15,[3]Roster!$K$16,[3]Roster!$K$17,[3]Roster!$K$18,[3]Roster!$K$19,[3]Roster!$K$20)&amp;" "&amp;$Q1424</f>
        <v>#VALUE!</v>
      </c>
      <c r="S1424" s="1">
        <f t="shared" si="251"/>
        <v>1</v>
      </c>
      <c r="T1424" s="1" t="str">
        <f t="array" ref="T1424">IFERROR(INDEX([3]Roster!$D$3:$D$42,MATCH($B1424,[3]Roster!$C$3:$C$42,0)),"")</f>
        <v>FWD</v>
      </c>
      <c r="U1424" s="1" t="str">
        <f t="array" ref="U1424">IFERROR(INDEX([3]Roster!$E$3:$E$42,MATCH($B1424,[3]Roster!$C$3:$C$42,0)),"")</f>
        <v>FWD</v>
      </c>
      <c r="V1424" s="76">
        <f t="array" ref="V1424">AVERAGEIFS($E$2:$E2565,$B$2:$B2565,$B1424,$P$2:$P2565,"&lt;="&amp;$P1424,$P$2:$P2565,"&gt;"&amp;$P1424-7)</f>
        <v>9.7441860465116275</v>
      </c>
      <c r="W1424" s="76">
        <f ca="1">IFERROR(__xludf.DUMMYFUNCTION("iferror(stdevp(filter($D$2:$D2568,$B$2:$B2568=$B1427,$O$2:$O2568&lt;=$O1427,$O$2:$O2568&gt;$O1427-7)),0)"),0.372677996249964)</f>
        <v>0.37267799624996401</v>
      </c>
      <c r="X1424" s="77">
        <f t="shared" ca="1" si="252"/>
        <v>0.68642086751156628</v>
      </c>
      <c r="Y1424" s="77">
        <f t="shared" ca="1" si="253"/>
        <v>3</v>
      </c>
      <c r="Z1424" s="76">
        <f t="array" ref="Z1424">AVERAGEIFS($F$2:$F2565,$B$2:$B2565,$B1424,$P$2:$P2565,"&lt;="&amp;$P1424,$P$2:$P2565,"&gt;"&amp;$P1424-7)</f>
        <v>8.279069767441861</v>
      </c>
      <c r="AA1424" s="76">
        <f ca="1">IFERROR(__xludf.DUMMYFUNCTION("iferror(stdevp(filter($E$2:$E2568,$B$2:$B2568=$B1427,$O$2:$O2568&lt;=$O1427,$O$2:$O2568&gt;$O1427-7)),0)"),0.499999999999999)</f>
        <v>0.499999999999999</v>
      </c>
      <c r="AB1424" s="77">
        <f t="shared" ca="1" si="254"/>
        <v>1.441860465116281</v>
      </c>
      <c r="AC1424" s="77">
        <f t="shared" ca="1" si="255"/>
        <v>4</v>
      </c>
      <c r="AD1424" s="76">
        <f t="array" ref="AD1424">AVERAGEIFS($G$2:$G2565,$B$2:$B2565,$B1424,$P$2:$P2565,"&lt;="&amp;$P1424,$P$2:$P2565,"&gt;"&amp;$P1424-7)</f>
        <v>8.604651162790697</v>
      </c>
      <c r="AE1424" s="76">
        <f ca="1">IFERROR(__xludf.DUMMYFUNCTION("iferror(stdevp(filter($F$2:$F2568,$B$2:$B2568=$B1427,$O$2:$O2568&lt;=$O1427,$O$2:$O2568&gt;$O1427-7)),0)"),0.745355992499929)</f>
        <v>0.74535599249992901</v>
      </c>
      <c r="AF1424" s="77">
        <f t="shared" ca="1" si="256"/>
        <v>0.53041612489530054</v>
      </c>
      <c r="AG1424" s="77">
        <f t="shared" ca="1" si="257"/>
        <v>3</v>
      </c>
      <c r="AH1424" s="76">
        <f t="array" ref="AH1424">AVERAGEIFS($I$2:$I2565,$B$2:$B2565,$B1424,$P$2:$P2565,"&lt;="&amp;$P1424,$P$2:$P2565,"&gt;"&amp;$P1424-7)</f>
        <v>8.3488372093023262</v>
      </c>
      <c r="AI1424" s="76">
        <f ca="1">IFERROR(__xludf.DUMMYFUNCTION("iferror(stdevp(filter($H$2:$H2568,$B$2:$B2568=$B1427,$O$2:$O2568&lt;=$O1427,$O$2:$O2568&gt;$O1427-7)),0)"),0.471404520791031)</f>
        <v>0.47140452079103101</v>
      </c>
      <c r="AJ1424" s="77">
        <f t="shared" ca="1" si="258"/>
        <v>-0.73999546868359867</v>
      </c>
      <c r="AK1424" s="77">
        <f t="shared" ca="1" si="259"/>
        <v>2</v>
      </c>
      <c r="AL1424" s="76">
        <f t="array" ref="AL1424">AVERAGEIFS($J$2:$J2565,$B$2:$B2565,$B1424,$P$2:$P2565,"&lt;="&amp;$P1424,$P$2:$P2565,"&gt;"&amp;$P1424-7)</f>
        <v>8.3023255813953494</v>
      </c>
      <c r="AM1424" s="76">
        <f ca="1">IFERROR(__xludf.DUMMYFUNCTION("iferror(stdevp(filter($I$2:$I2568,$B$2:$B2568=$B1427,$O$2:$O2568&lt;=$O1427,$O$2:$O2568&gt;$O1427-7)),0)"),1.38443731048634)</f>
        <v>1.3844373104863399</v>
      </c>
      <c r="AN1424" s="77">
        <f t="shared" ca="1" si="260"/>
        <v>1.2262558988736538</v>
      </c>
      <c r="AO1424" s="77">
        <f t="shared" ca="1" si="261"/>
        <v>4</v>
      </c>
      <c r="AP1424" s="76">
        <f t="array" ref="AP1424">AVERAGEIFS($K$2:$K2565,$B$2:$B2565,$B1424,$P$2:$P2565,"&lt;="&amp;$P1424,$P$2:$P2565,"&gt;"&amp;$P1424-7)</f>
        <v>8.9069767441860463</v>
      </c>
      <c r="AQ1424" s="76">
        <f ca="1">IFERROR(__xludf.DUMMYFUNCTION("iferror(stdevp(filter($J$2:$J2568,$B$2:$B2568=$B1427,$O$2:$O2568&lt;=$O1427,$O$2:$O2568&gt;$O1427-7)),0)"),0.372677996249964)</f>
        <v>0.37267799624996401</v>
      </c>
      <c r="AR1424" s="77">
        <f t="shared" ca="1" si="262"/>
        <v>2.9328891611857784</v>
      </c>
      <c r="AS1424" s="77">
        <f t="shared" ca="1" si="263"/>
        <v>4</v>
      </c>
      <c r="AT1424" s="78">
        <f t="shared" ca="1" si="264"/>
        <v>0.83333333333333337</v>
      </c>
    </row>
    <row r="1425" spans="1:46" ht="12.5" x14ac:dyDescent="0.25">
      <c r="A1425" s="75">
        <v>45002.593418749995</v>
      </c>
      <c r="B1425" s="1" t="s">
        <v>7</v>
      </c>
      <c r="C1425" s="1" t="str">
        <f>INDEX(TBL_Name,MATCH(Table2[[#This Row],[Athlete Name]],listNames,0),2)</f>
        <v>Athlete 3</v>
      </c>
      <c r="D1425" s="1" t="s">
        <v>130</v>
      </c>
      <c r="E1425" s="1">
        <v>9</v>
      </c>
      <c r="F1425" s="1">
        <v>8</v>
      </c>
      <c r="G1425" s="1">
        <v>8</v>
      </c>
      <c r="H1425" s="1"/>
      <c r="I1425" s="1">
        <v>7</v>
      </c>
      <c r="J1425" s="1">
        <v>7</v>
      </c>
      <c r="K1425" s="1">
        <v>7</v>
      </c>
      <c r="L1425" s="1">
        <v>93</v>
      </c>
      <c r="M1425" s="1" t="e">
        <f t="shared" ref="M1425" ca="1" si="387">_xludf.concat($B1425,$P1425)</f>
        <v>#NAME?</v>
      </c>
      <c r="N1425" s="1" t="e">
        <f t="shared" si="248"/>
        <v>#VALUE!</v>
      </c>
      <c r="O1425" s="1" t="e">
        <f t="shared" ref="O1425" ca="1" si="388">IF($N1425=_xludf.MINIFS($N$2:$N2931,$R$2:$R2931,$R1425),1,
($N1425-_xludf.MINIFS($N$2:$N2931,$R$2:$R2931,$R1425))+1)</f>
        <v>#VALUE!</v>
      </c>
      <c r="P1425" s="13" t="e">
        <f t="shared" si="250"/>
        <v>#VALUE!</v>
      </c>
      <c r="Q1425" s="1" t="str">
        <f>RIGHT(YEAR($A1425),2)-(MONTH($A1425)&lt;=[3]Roster!$K$25)
 &amp;"-"&amp;
 RIGHT(YEAR($A1425),2)+(MONTH($A1425)&gt;=[3]Roster!$K$26)</f>
        <v>22-23</v>
      </c>
      <c r="R1425" s="1" t="e">
        <f>CHOOSE(MONTH($P1425),[3]Roster!$K$9,[3]Roster!$K$10,[3]Roster!$K$11,[3]Roster!$K$12,[3]Roster!$K$13,[3]Roster!$K$14,[3]Roster!$K$15,[3]Roster!$K$16,[3]Roster!$K$17,[3]Roster!$K$18,[3]Roster!$K$19,[3]Roster!$K$20)&amp;" "&amp;$Q1425</f>
        <v>#VALUE!</v>
      </c>
      <c r="S1425" s="1">
        <f t="shared" si="251"/>
        <v>1</v>
      </c>
      <c r="T1425" s="1" t="str">
        <f t="array" ref="T1425">IFERROR(INDEX([3]Roster!$D$3:$D$42,MATCH($B1425,[3]Roster!$C$3:$C$42,0)),"")</f>
        <v>F/MID</v>
      </c>
      <c r="U1425" s="1" t="str">
        <f t="array" ref="U1425">IFERROR(INDEX([3]Roster!$E$3:$E$42,MATCH($B1425,[3]Roster!$C$3:$C$42,0)),"")</f>
        <v>F/MID</v>
      </c>
      <c r="V1425" s="76">
        <f t="array" ref="V1425">AVERAGEIFS($E$2:$E2565,$B$2:$B2565,$B1425,$P$2:$P2565,"&lt;="&amp;$P1425,$P$2:$P2565,"&gt;"&amp;$P1425-7)</f>
        <v>6</v>
      </c>
      <c r="W1425" s="76">
        <f ca="1">IFERROR(__xludf.DUMMYFUNCTION("iferror(stdevp(filter($D$2:$D2568,$B$2:$B2568=$B1428,$O$2:$O2568&lt;=$O1428,$O$2:$O2568&gt;$O1428-7)),0)"),1.58113883008418)</f>
        <v>1.58113883008418</v>
      </c>
      <c r="X1425" s="77">
        <f t="shared" ca="1" si="252"/>
        <v>1.8973665961010393</v>
      </c>
      <c r="Y1425" s="77">
        <f t="shared" ca="1" si="253"/>
        <v>4</v>
      </c>
      <c r="Z1425" s="76">
        <f t="array" ref="Z1425">AVERAGEIFS($F$2:$F2565,$B$2:$B2565,$B1425,$P$2:$P2565,"&lt;="&amp;$P1425,$P$2:$P2565,"&gt;"&amp;$P1425-7)</f>
        <v>7.3703703703703702</v>
      </c>
      <c r="AA1425" s="76">
        <f ca="1">IFERROR(__xludf.DUMMYFUNCTION("iferror(stdevp(filter($E$2:$E2568,$B$2:$B2568=$B1428,$O$2:$O2568&lt;=$O1428,$O$2:$O2568&gt;$O1428-7)),0)"),2.27760839478607)</f>
        <v>2.2776083947860699</v>
      </c>
      <c r="AB1425" s="77">
        <f t="shared" ca="1" si="254"/>
        <v>0.27644332145551709</v>
      </c>
      <c r="AC1425" s="77">
        <f t="shared" ca="1" si="255"/>
        <v>3</v>
      </c>
      <c r="AD1425" s="76">
        <f t="array" ref="AD1425">AVERAGEIFS($G$2:$G2565,$B$2:$B2565,$B1425,$P$2:$P2565,"&lt;="&amp;$P1425,$P$2:$P2565,"&gt;"&amp;$P1425-7)</f>
        <v>7.7777777777777777</v>
      </c>
      <c r="AE1425" s="76">
        <f ca="1">IFERROR(__xludf.DUMMYFUNCTION("iferror(stdevp(filter($F$2:$F2568,$B$2:$B2568=$B1428,$O$2:$O2568&lt;=$O1428,$O$2:$O2568&gt;$O1428-7)),0)"),1.11803398874989)</f>
        <v>1.11803398874989</v>
      </c>
      <c r="AF1425" s="77">
        <f t="shared" ca="1" si="256"/>
        <v>0.19876159799998225</v>
      </c>
      <c r="AG1425" s="77">
        <f t="shared" ca="1" si="257"/>
        <v>3</v>
      </c>
      <c r="AH1425" s="76">
        <f t="array" ref="AH1425">AVERAGEIFS($I$2:$I2565,$B$2:$B2565,$B1425,$P$2:$P2565,"&lt;="&amp;$P1425,$P$2:$P2565,"&gt;"&amp;$P1425-7)</f>
        <v>6.333333333333333</v>
      </c>
      <c r="AI1425" s="76">
        <f ca="1">IFERROR(__xludf.DUMMYFUNCTION("iferror(stdevp(filter($H$2:$H2568,$B$2:$B2568=$B1428,$O$2:$O2568&lt;=$O1428,$O$2:$O2568&gt;$O1428-7)),0)"),1.11803398874989)</f>
        <v>1.11803398874989</v>
      </c>
      <c r="AJ1425" s="77">
        <f t="shared" ca="1" si="258"/>
        <v>0.59628479399994672</v>
      </c>
      <c r="AK1425" s="77">
        <f t="shared" ca="1" si="259"/>
        <v>3</v>
      </c>
      <c r="AL1425" s="76">
        <f t="array" ref="AL1425">AVERAGEIFS($J$2:$J2565,$B$2:$B2565,$B1425,$P$2:$P2565,"&lt;="&amp;$P1425,$P$2:$P2565,"&gt;"&amp;$P1425-7)</f>
        <v>5.4230769230769234</v>
      </c>
      <c r="AM1425" s="76">
        <f ca="1">IFERROR(__xludf.DUMMYFUNCTION("iferror(stdevp(filter($I$2:$I2568,$B$2:$B2568=$B1428,$O$2:$O2568&lt;=$O1428,$O$2:$O2568&gt;$O1428-7)),0)"),1.4790199457749)</f>
        <v>1.4790199457749</v>
      </c>
      <c r="AN1425" s="77">
        <f t="shared" ca="1" si="260"/>
        <v>1.0661945982729004</v>
      </c>
      <c r="AO1425" s="77">
        <f t="shared" ca="1" si="261"/>
        <v>4</v>
      </c>
      <c r="AP1425" s="76">
        <f t="array" ref="AP1425">AVERAGEIFS($K$2:$K2565,$B$2:$B2565,$B1425,$P$2:$P2565,"&lt;="&amp;$P1425,$P$2:$P2565,"&gt;"&amp;$P1425-7)</f>
        <v>7.5769230769230766</v>
      </c>
      <c r="AQ1425" s="76">
        <f ca="1">IFERROR(__xludf.DUMMYFUNCTION("iferror(stdevp(filter($J$2:$J2568,$B$2:$B2568=$B1428,$O$2:$O2568&lt;=$O1428,$O$2:$O2568&gt;$O1428-7)),0)"),0.5)</f>
        <v>0.5</v>
      </c>
      <c r="AR1425" s="77">
        <f t="shared" ca="1" si="262"/>
        <v>-1.1538461538461533</v>
      </c>
      <c r="AS1425" s="77">
        <f t="shared" ca="1" si="263"/>
        <v>1</v>
      </c>
      <c r="AT1425" s="78">
        <f t="shared" ca="1" si="264"/>
        <v>0.75</v>
      </c>
    </row>
    <row r="1426" spans="1:46" ht="12.5" x14ac:dyDescent="0.25">
      <c r="A1426" s="75">
        <v>45002.595951967596</v>
      </c>
      <c r="B1426" s="1" t="s">
        <v>4</v>
      </c>
      <c r="C1426" s="1" t="str">
        <f>INDEX(TBL_Name,MATCH(Table2[[#This Row],[Athlete Name]],listNames,0),2)</f>
        <v>Athlete 1</v>
      </c>
      <c r="D1426" s="1" t="s">
        <v>130</v>
      </c>
      <c r="E1426" s="1">
        <v>8</v>
      </c>
      <c r="F1426" s="1">
        <v>7</v>
      </c>
      <c r="G1426" s="1">
        <v>7</v>
      </c>
      <c r="H1426" s="1" t="s">
        <v>506</v>
      </c>
      <c r="I1426" s="1">
        <v>8</v>
      </c>
      <c r="J1426" s="1">
        <v>5</v>
      </c>
      <c r="K1426" s="1">
        <v>6</v>
      </c>
      <c r="L1426" s="1">
        <v>90</v>
      </c>
      <c r="M1426" s="1" t="e">
        <f t="shared" ref="M1426" ca="1" si="389">_xludf.concat($B1426,$P1426)</f>
        <v>#NAME?</v>
      </c>
      <c r="N1426" s="1" t="e">
        <f t="shared" si="248"/>
        <v>#VALUE!</v>
      </c>
      <c r="O1426" s="1" t="e">
        <f t="shared" ref="O1426" ca="1" si="390">IF($N1426=_xludf.MINIFS($N$2:$N2932,$R$2:$R2932,$R1426),1,
($N1426-_xludf.MINIFS($N$2:$N2932,$R$2:$R2932,$R1426))+1)</f>
        <v>#VALUE!</v>
      </c>
      <c r="P1426" s="13" t="e">
        <f t="shared" si="250"/>
        <v>#VALUE!</v>
      </c>
      <c r="Q1426" s="1" t="str">
        <f>RIGHT(YEAR($A1426),2)-(MONTH($A1426)&lt;=[3]Roster!$K$25)
 &amp;"-"&amp;
 RIGHT(YEAR($A1426),2)+(MONTH($A1426)&gt;=[3]Roster!$K$26)</f>
        <v>22-23</v>
      </c>
      <c r="R1426" s="1" t="e">
        <f>CHOOSE(MONTH($P1426),[3]Roster!$K$9,[3]Roster!$K$10,[3]Roster!$K$11,[3]Roster!$K$12,[3]Roster!$K$13,[3]Roster!$K$14,[3]Roster!$K$15,[3]Roster!$K$16,[3]Roster!$K$17,[3]Roster!$K$18,[3]Roster!$K$19,[3]Roster!$K$20)&amp;" "&amp;$Q1426</f>
        <v>#VALUE!</v>
      </c>
      <c r="S1426" s="1">
        <f t="shared" si="251"/>
        <v>1</v>
      </c>
      <c r="T1426" s="1" t="str">
        <f t="array" ref="T1426">IFERROR(INDEX([3]Roster!$D$3:$D$42,MATCH($B1426,[3]Roster!$C$3:$C$42,0)),"")</f>
        <v>FWD</v>
      </c>
      <c r="U1426" s="1" t="str">
        <f t="array" ref="U1426">IFERROR(INDEX([3]Roster!$E$3:$E$42,MATCH($B1426,[3]Roster!$C$3:$C$42,0)),"")</f>
        <v>FWD</v>
      </c>
      <c r="V1426" s="76">
        <f t="array" ref="V1426">AVERAGEIFS($E$2:$E2565,$B$2:$B2565,$B1426,$P$2:$P2565,"&lt;="&amp;$P1426,$P$2:$P2565,"&gt;"&amp;$P1426-7)</f>
        <v>8.3809523809523814</v>
      </c>
      <c r="W1426" s="76">
        <f ca="1">IFERROR(__xludf.DUMMYFUNCTION("iferror(stdevp(filter($D$2:$D2568,$B$2:$B2568=$B1429,$O$2:$O2568&lt;=$O1429,$O$2:$O2568&gt;$O1429-7)),0)"),0.471404520791031)</f>
        <v>0.47140452079103101</v>
      </c>
      <c r="X1426" s="77">
        <f t="shared" ca="1" si="252"/>
        <v>-0.80812203564177065</v>
      </c>
      <c r="Y1426" s="77">
        <f t="shared" ca="1" si="253"/>
        <v>2</v>
      </c>
      <c r="Z1426" s="76">
        <f t="array" ref="Z1426">AVERAGEIFS($F$2:$F2565,$B$2:$B2565,$B1426,$P$2:$P2565,"&lt;="&amp;$P1426,$P$2:$P2565,"&gt;"&amp;$P1426-7)</f>
        <v>6.8571428571428568</v>
      </c>
      <c r="AA1426" s="76">
        <f ca="1">IFERROR(__xludf.DUMMYFUNCTION("iferror(stdevp(filter($E$2:$E2568,$B$2:$B2568=$B1429,$O$2:$O2568&lt;=$O1429,$O$2:$O2568&gt;$O1429-7)),0)"),0.471404520791031)</f>
        <v>0.47140452079103101</v>
      </c>
      <c r="AB1426" s="77">
        <f t="shared" ca="1" si="254"/>
        <v>0.30304576336566447</v>
      </c>
      <c r="AC1426" s="77">
        <f t="shared" ca="1" si="255"/>
        <v>3</v>
      </c>
      <c r="AD1426" s="76">
        <f t="array" ref="AD1426">AVERAGEIFS($G$2:$G2565,$B$2:$B2565,$B1426,$P$2:$P2565,"&lt;="&amp;$P1426,$P$2:$P2565,"&gt;"&amp;$P1426-7)</f>
        <v>5.7619047619047619</v>
      </c>
      <c r="AE1426" s="76">
        <f ca="1">IFERROR(__xludf.DUMMYFUNCTION("iferror(stdevp(filter($F$2:$F2568,$B$2:$B2568=$B1429,$O$2:$O2568&lt;=$O1429,$O$2:$O2568&gt;$O1429-7)),0)"),1.24721912892464)</f>
        <v>1.2472191289246399</v>
      </c>
      <c r="AF1426" s="77">
        <f t="shared" ca="1" si="256"/>
        <v>0.99268461281758202</v>
      </c>
      <c r="AG1426" s="77">
        <f t="shared" ca="1" si="257"/>
        <v>3</v>
      </c>
      <c r="AH1426" s="76">
        <f t="array" ref="AH1426">AVERAGEIFS($I$2:$I2565,$B$2:$B2565,$B1426,$P$2:$P2565,"&lt;="&amp;$P1426,$P$2:$P2565,"&gt;"&amp;$P1426-7)</f>
        <v>6.8571428571428568</v>
      </c>
      <c r="AI1426" s="76">
        <f ca="1">IFERROR(__xludf.DUMMYFUNCTION("iferror(stdevp(filter($H$2:$H2568,$B$2:$B2568=$B1429,$O$2:$O2568&lt;=$O1429,$O$2:$O2568&gt;$O1429-7)),0)"),0.471404520791031)</f>
        <v>0.47140452079103101</v>
      </c>
      <c r="AJ1426" s="77">
        <f t="shared" ca="1" si="258"/>
        <v>2.42436610692531</v>
      </c>
      <c r="AK1426" s="77">
        <f t="shared" ca="1" si="259"/>
        <v>4</v>
      </c>
      <c r="AL1426" s="76">
        <f t="array" ref="AL1426">AVERAGEIFS($J$2:$J2565,$B$2:$B2565,$B1426,$P$2:$P2565,"&lt;="&amp;$P1426,$P$2:$P2565,"&gt;"&amp;$P1426-7)</f>
        <v>5.0952380952380949</v>
      </c>
      <c r="AM1426" s="76">
        <f ca="1">IFERROR(__xludf.DUMMYFUNCTION("iferror(stdevp(filter($I$2:$I2568,$B$2:$B2568=$B1429,$O$2:$O2568&lt;=$O1429,$O$2:$O2568&gt;$O1429-7)),0)"),1.24721912892464)</f>
        <v>1.2472191289246399</v>
      </c>
      <c r="AN1426" s="77">
        <f t="shared" ca="1" si="260"/>
        <v>-7.6360354832121419E-2</v>
      </c>
      <c r="AO1426" s="77">
        <f t="shared" ca="1" si="261"/>
        <v>2</v>
      </c>
      <c r="AP1426" s="76">
        <f t="array" ref="AP1426">AVERAGEIFS($K$2:$K2565,$B$2:$B2565,$B1426,$P$2:$P2565,"&lt;="&amp;$P1426,$P$2:$P2565,"&gt;"&amp;$P1426-7)</f>
        <v>5.3809523809523814</v>
      </c>
      <c r="AQ1426" s="76">
        <f ca="1">IFERROR(__xludf.DUMMYFUNCTION("iferror(stdevp(filter($J$2:$J2568,$B$2:$B2568=$B1429,$O$2:$O2568&lt;=$O1429,$O$2:$O2568&gt;$O1429-7)),0)"),0.816496580927726)</f>
        <v>0.81649658092772603</v>
      </c>
      <c r="AR1426" s="77">
        <f t="shared" ca="1" si="262"/>
        <v>0.75817539657574506</v>
      </c>
      <c r="AS1426" s="77">
        <f t="shared" ca="1" si="263"/>
        <v>3</v>
      </c>
      <c r="AT1426" s="78">
        <f t="shared" ca="1" si="264"/>
        <v>0.70833333333333337</v>
      </c>
    </row>
    <row r="1427" spans="1:46" ht="12.5" x14ac:dyDescent="0.25">
      <c r="A1427" s="75">
        <v>45002.597776458337</v>
      </c>
      <c r="B1427" s="1" t="s">
        <v>20</v>
      </c>
      <c r="C1427" s="1" t="str">
        <f>INDEX(TBL_Name,MATCH(Table2[[#This Row],[Athlete Name]],listNames,0),2)</f>
        <v>Athlete 12</v>
      </c>
      <c r="D1427" s="1" t="s">
        <v>143</v>
      </c>
      <c r="E1427" s="1">
        <v>8</v>
      </c>
      <c r="F1427" s="1">
        <v>8</v>
      </c>
      <c r="G1427" s="1">
        <v>9</v>
      </c>
      <c r="H1427" s="1" t="s">
        <v>446</v>
      </c>
      <c r="I1427" s="1">
        <v>7</v>
      </c>
      <c r="J1427" s="1">
        <v>8</v>
      </c>
      <c r="K1427" s="1">
        <v>9</v>
      </c>
      <c r="L1427" s="1">
        <v>80</v>
      </c>
      <c r="M1427" s="1" t="e">
        <f t="shared" ref="M1427" ca="1" si="391">_xludf.concat($B1427,$P1427)</f>
        <v>#NAME?</v>
      </c>
      <c r="N1427" s="1" t="e">
        <f t="shared" si="248"/>
        <v>#VALUE!</v>
      </c>
      <c r="O1427" s="1" t="e">
        <f t="shared" ref="O1427" ca="1" si="392">IF($N1427=_xludf.MINIFS($N$2:$N2933,$R$2:$R2933,$R1427),1,
($N1427-_xludf.MINIFS($N$2:$N2933,$R$2:$R2933,$R1427))+1)</f>
        <v>#VALUE!</v>
      </c>
      <c r="P1427" s="13" t="e">
        <f t="shared" si="250"/>
        <v>#VALUE!</v>
      </c>
      <c r="Q1427" s="1" t="str">
        <f>RIGHT(YEAR($A1427),2)-(MONTH($A1427)&lt;=[3]Roster!$K$25)
 &amp;"-"&amp;
 RIGHT(YEAR($A1427),2)+(MONTH($A1427)&gt;=[3]Roster!$K$26)</f>
        <v>22-23</v>
      </c>
      <c r="R1427" s="1" t="e">
        <f>CHOOSE(MONTH($P1427),[3]Roster!$K$9,[3]Roster!$K$10,[3]Roster!$K$11,[3]Roster!$K$12,[3]Roster!$K$13,[3]Roster!$K$14,[3]Roster!$K$15,[3]Roster!$K$16,[3]Roster!$K$17,[3]Roster!$K$18,[3]Roster!$K$19,[3]Roster!$K$20)&amp;" "&amp;$Q1427</f>
        <v>#VALUE!</v>
      </c>
      <c r="S1427" s="1">
        <f t="shared" si="251"/>
        <v>2</v>
      </c>
      <c r="T1427" s="1" t="str">
        <f t="array" ref="T1427">IFERROR(INDEX([3]Roster!$D$3:$D$42,MATCH($B1427,[3]Roster!$C$3:$C$42,0)),"")</f>
        <v>D</v>
      </c>
      <c r="U1427" s="1" t="str">
        <f t="array" ref="U1427">IFERROR(INDEX([3]Roster!$E$3:$E$42,MATCH($B1427,[3]Roster!$C$3:$C$42,0)),"")</f>
        <v>D</v>
      </c>
      <c r="V1427" s="76">
        <f t="array" ref="V1427">AVERAGEIFS($E$2:$E2565,$B$2:$B2565,$B1427,$P$2:$P2565,"&lt;="&amp;$P1427,$P$2:$P2565,"&gt;"&amp;$P1427-7)</f>
        <v>7.4761904761904763</v>
      </c>
      <c r="W1427" s="76">
        <f ca="1">IFERROR(__xludf.DUMMYFUNCTION("iferror(stdevp(filter($D$2:$D2568,$B$2:$B2568=$B1430,$O$2:$O2568&lt;=$O1430,$O$2:$O2568&gt;$O1430-7)),0)"),0)</f>
        <v>0</v>
      </c>
      <c r="X1427" s="77">
        <f t="shared" ca="1" si="252"/>
        <v>0</v>
      </c>
      <c r="Y1427" s="77">
        <f t="shared" ca="1" si="253"/>
        <v>3</v>
      </c>
      <c r="Z1427" s="76">
        <f t="array" ref="Z1427">AVERAGEIFS($F$2:$F2565,$B$2:$B2565,$B1427,$P$2:$P2565,"&lt;="&amp;$P1427,$P$2:$P2565,"&gt;"&amp;$P1427-7)</f>
        <v>8.1904761904761898</v>
      </c>
      <c r="AA1427" s="76">
        <f ca="1">IFERROR(__xludf.DUMMYFUNCTION("iferror(stdevp(filter($E$2:$E2568,$B$2:$B2568=$B1430,$O$2:$O2568&lt;=$O1430,$O$2:$O2568&gt;$O1430-7)),0)"),0)</f>
        <v>0</v>
      </c>
      <c r="AB1427" s="77">
        <f t="shared" ca="1" si="254"/>
        <v>0</v>
      </c>
      <c r="AC1427" s="77">
        <f t="shared" ca="1" si="255"/>
        <v>3</v>
      </c>
      <c r="AD1427" s="76">
        <f t="array" ref="AD1427">AVERAGEIFS($G$2:$G2565,$B$2:$B2565,$B1427,$P$2:$P2565,"&lt;="&amp;$P1427,$P$2:$P2565,"&gt;"&amp;$P1427-7)</f>
        <v>8.5714285714285712</v>
      </c>
      <c r="AE1427" s="76">
        <f ca="1">IFERROR(__xludf.DUMMYFUNCTION("iferror(stdevp(filter($F$2:$F2568,$B$2:$B2568=$B1430,$O$2:$O2568&lt;=$O1430,$O$2:$O2568&gt;$O1430-7)),0)"),0)</f>
        <v>0</v>
      </c>
      <c r="AF1427" s="77">
        <f t="shared" ca="1" si="256"/>
        <v>0</v>
      </c>
      <c r="AG1427" s="77">
        <f t="shared" ca="1" si="257"/>
        <v>3</v>
      </c>
      <c r="AH1427" s="76">
        <f t="array" ref="AH1427">AVERAGEIFS($I$2:$I2565,$B$2:$B2565,$B1427,$P$2:$P2565,"&lt;="&amp;$P1427,$P$2:$P2565,"&gt;"&amp;$P1427-7)</f>
        <v>5.6190476190476186</v>
      </c>
      <c r="AI1427" s="76">
        <f ca="1">IFERROR(__xludf.DUMMYFUNCTION("iferror(stdevp(filter($H$2:$H2568,$B$2:$B2568=$B1430,$O$2:$O2568&lt;=$O1430,$O$2:$O2568&gt;$O1430-7)),0)"),1)</f>
        <v>1</v>
      </c>
      <c r="AJ1427" s="77">
        <f t="shared" ca="1" si="258"/>
        <v>1.3809523809523814</v>
      </c>
      <c r="AK1427" s="77">
        <f t="shared" ca="1" si="259"/>
        <v>4</v>
      </c>
      <c r="AL1427" s="76">
        <f t="array" ref="AL1427">AVERAGEIFS($J$2:$J2565,$B$2:$B2565,$B1427,$P$2:$P2565,"&lt;="&amp;$P1427,$P$2:$P2565,"&gt;"&amp;$P1427-7)</f>
        <v>7</v>
      </c>
      <c r="AM1427" s="76">
        <f ca="1">IFERROR(__xludf.DUMMYFUNCTION("iferror(stdevp(filter($I$2:$I2568,$B$2:$B2568=$B1430,$O$2:$O2568&lt;=$O1430,$O$2:$O2568&gt;$O1430-7)),0)"),0)</f>
        <v>0</v>
      </c>
      <c r="AN1427" s="77">
        <f t="shared" ca="1" si="260"/>
        <v>0</v>
      </c>
      <c r="AO1427" s="77">
        <f t="shared" ca="1" si="261"/>
        <v>3</v>
      </c>
      <c r="AP1427" s="76">
        <f t="array" ref="AP1427">AVERAGEIFS($K$2:$K2565,$B$2:$B2565,$B1427,$P$2:$P2565,"&lt;="&amp;$P1427,$P$2:$P2565,"&gt;"&amp;$P1427-7)</f>
        <v>7.4285714285714288</v>
      </c>
      <c r="AQ1427" s="76">
        <f ca="1">IFERROR(__xludf.DUMMYFUNCTION("iferror(stdevp(filter($J$2:$J2568,$B$2:$B2568=$B1430,$O$2:$O2568&lt;=$O1430,$O$2:$O2568&gt;$O1430-7)),0)"),0.5)</f>
        <v>0.5</v>
      </c>
      <c r="AR1427" s="77">
        <f t="shared" ca="1" si="262"/>
        <v>3.1428571428571423</v>
      </c>
      <c r="AS1427" s="77">
        <f t="shared" ca="1" si="263"/>
        <v>4</v>
      </c>
      <c r="AT1427" s="78">
        <f t="shared" ca="1" si="264"/>
        <v>0.83333333333333337</v>
      </c>
    </row>
    <row r="1428" spans="1:46" ht="12.5" x14ac:dyDescent="0.25">
      <c r="A1428" s="75">
        <v>45002.598172152779</v>
      </c>
      <c r="B1428" s="1" t="s">
        <v>24</v>
      </c>
      <c r="C1428" s="1" t="str">
        <f>INDEX(TBL_Name,MATCH(Table2[[#This Row],[Athlete Name]],listNames,0),2)</f>
        <v>Athlete 16</v>
      </c>
      <c r="D1428" s="1" t="s">
        <v>130</v>
      </c>
      <c r="E1428" s="1">
        <v>6</v>
      </c>
      <c r="F1428" s="1">
        <v>7</v>
      </c>
      <c r="G1428" s="1">
        <v>6</v>
      </c>
      <c r="H1428" s="1" t="s">
        <v>1622</v>
      </c>
      <c r="I1428" s="1">
        <v>4</v>
      </c>
      <c r="J1428" s="1">
        <v>8</v>
      </c>
      <c r="K1428" s="1">
        <v>7</v>
      </c>
      <c r="L1428" s="1">
        <v>84</v>
      </c>
      <c r="M1428" s="1" t="e">
        <f t="shared" ref="M1428" ca="1" si="393">_xludf.concat($B1428,$P1428)</f>
        <v>#NAME?</v>
      </c>
      <c r="N1428" s="1" t="e">
        <f t="shared" si="248"/>
        <v>#VALUE!</v>
      </c>
      <c r="O1428" s="1" t="e">
        <f t="shared" ref="O1428" ca="1" si="394">IF($N1428=_xludf.MINIFS($N$2:$N2934,$R$2:$R2934,$R1428),1,
($N1428-_xludf.MINIFS($N$2:$N2934,$R$2:$R2934,$R1428))+1)</f>
        <v>#VALUE!</v>
      </c>
      <c r="P1428" s="13" t="e">
        <f t="shared" si="250"/>
        <v>#VALUE!</v>
      </c>
      <c r="Q1428" s="1" t="str">
        <f>RIGHT(YEAR($A1428),2)-(MONTH($A1428)&lt;=[3]Roster!$K$25)
 &amp;"-"&amp;
 RIGHT(YEAR($A1428),2)+(MONTH($A1428)&gt;=[3]Roster!$K$26)</f>
        <v>22-23</v>
      </c>
      <c r="R1428" s="1" t="e">
        <f>CHOOSE(MONTH($P1428),[3]Roster!$K$9,[3]Roster!$K$10,[3]Roster!$K$11,[3]Roster!$K$12,[3]Roster!$K$13,[3]Roster!$K$14,[3]Roster!$K$15,[3]Roster!$K$16,[3]Roster!$K$17,[3]Roster!$K$18,[3]Roster!$K$19,[3]Roster!$K$20)&amp;" "&amp;$Q1428</f>
        <v>#VALUE!</v>
      </c>
      <c r="S1428" s="1">
        <f t="shared" si="251"/>
        <v>1</v>
      </c>
      <c r="T1428" s="1" t="str">
        <f t="array" ref="T1428">IFERROR(INDEX([3]Roster!$D$3:$D$42,MATCH($B1428,[3]Roster!$C$3:$C$42,0)),"")</f>
        <v>D</v>
      </c>
      <c r="U1428" s="1" t="str">
        <f t="array" ref="U1428">IFERROR(INDEX([3]Roster!$E$3:$E$42,MATCH($B1428,[3]Roster!$C$3:$C$42,0)),"")</f>
        <v>D</v>
      </c>
      <c r="V1428" s="76">
        <f t="array" ref="V1428">AVERAGEIFS($E$2:$E2565,$B$2:$B2565,$B1428,$P$2:$P2565,"&lt;="&amp;$P1428,$P$2:$P2565,"&gt;"&amp;$P1428-7)</f>
        <v>4.1818181818181817</v>
      </c>
      <c r="W1428" s="76">
        <f ca="1">IFERROR(__xludf.DUMMYFUNCTION("iferror(stdevp(filter($D$2:$D2568,$B$2:$B2568=$B1431,$O$2:$O2568&lt;=$O1431,$O$2:$O2568&gt;$O1431-7)),0)"),1.08972473588516)</f>
        <v>1.0897247358851601</v>
      </c>
      <c r="X1428" s="77">
        <f t="shared" ca="1" si="252"/>
        <v>1.6684780645131894</v>
      </c>
      <c r="Y1428" s="77">
        <f t="shared" ca="1" si="253"/>
        <v>4</v>
      </c>
      <c r="Z1428" s="76">
        <f t="array" ref="Z1428">AVERAGEIFS($F$2:$F2565,$B$2:$B2565,$B1428,$P$2:$P2565,"&lt;="&amp;$P1428,$P$2:$P2565,"&gt;"&amp;$P1428-7)</f>
        <v>6</v>
      </c>
      <c r="AA1428" s="76">
        <f ca="1">IFERROR(__xludf.DUMMYFUNCTION("iferror(stdevp(filter($E$2:$E2568,$B$2:$B2568=$B1431,$O$2:$O2568&lt;=$O1431,$O$2:$O2568&gt;$O1431-7)),0)"),1.11803398874989)</f>
        <v>1.11803398874989</v>
      </c>
      <c r="AB1428" s="77">
        <f t="shared" ca="1" si="254"/>
        <v>0.89442719099991974</v>
      </c>
      <c r="AC1428" s="77">
        <f t="shared" ca="1" si="255"/>
        <v>3</v>
      </c>
      <c r="AD1428" s="76">
        <f t="array" ref="AD1428">AVERAGEIFS($G$2:$G2565,$B$2:$B2565,$B1428,$P$2:$P2565,"&lt;="&amp;$P1428,$P$2:$P2565,"&gt;"&amp;$P1428-7)</f>
        <v>5.9090909090909092</v>
      </c>
      <c r="AE1428" s="76">
        <f ca="1">IFERROR(__xludf.DUMMYFUNCTION("iferror(stdevp(filter($F$2:$F2568,$B$2:$B2568=$B1431,$O$2:$O2568&lt;=$O1431,$O$2:$O2568&gt;$O1431-7)),0)"),0.707106781186547)</f>
        <v>0.70710678118654702</v>
      </c>
      <c r="AF1428" s="77">
        <f t="shared" ca="1" si="256"/>
        <v>0.12856486930664499</v>
      </c>
      <c r="AG1428" s="77">
        <f t="shared" ca="1" si="257"/>
        <v>3</v>
      </c>
      <c r="AH1428" s="76">
        <f t="array" ref="AH1428">AVERAGEIFS($I$2:$I2565,$B$2:$B2565,$B1428,$P$2:$P2565,"&lt;="&amp;$P1428,$P$2:$P2565,"&gt;"&amp;$P1428-7)</f>
        <v>4.9545454545454541</v>
      </c>
      <c r="AI1428" s="76">
        <f ca="1">IFERROR(__xludf.DUMMYFUNCTION("iferror(stdevp(filter($H$2:$H2568,$B$2:$B2568=$B1431,$O$2:$O2568&lt;=$O1431,$O$2:$O2568&gt;$O1431-7)),0)"),0.5)</f>
        <v>0.5</v>
      </c>
      <c r="AJ1428" s="77">
        <f t="shared" ca="1" si="258"/>
        <v>-1.9090909090909083</v>
      </c>
      <c r="AK1428" s="77">
        <f t="shared" ca="1" si="259"/>
        <v>1</v>
      </c>
      <c r="AL1428" s="76">
        <f t="array" ref="AL1428">AVERAGEIFS($J$2:$J2565,$B$2:$B2565,$B1428,$P$2:$P2565,"&lt;="&amp;$P1428,$P$2:$P2565,"&gt;"&amp;$P1428-7)</f>
        <v>6.9090909090909092</v>
      </c>
      <c r="AM1428" s="76">
        <f ca="1">IFERROR(__xludf.DUMMYFUNCTION("iferror(stdevp(filter($I$2:$I2568,$B$2:$B2568=$B1431,$O$2:$O2568&lt;=$O1431,$O$2:$O2568&gt;$O1431-7)),0)"),1.6583123951777)</f>
        <v>1.6583123951776999</v>
      </c>
      <c r="AN1428" s="77">
        <f t="shared" ca="1" si="260"/>
        <v>0.65784293362421153</v>
      </c>
      <c r="AO1428" s="77">
        <f t="shared" ca="1" si="261"/>
        <v>3</v>
      </c>
      <c r="AP1428" s="76">
        <f t="array" ref="AP1428">AVERAGEIFS($K$2:$K2565,$B$2:$B2565,$B1428,$P$2:$P2565,"&lt;="&amp;$P1428,$P$2:$P2565,"&gt;"&amp;$P1428-7)</f>
        <v>6.7272727272727275</v>
      </c>
      <c r="AQ1428" s="76">
        <f ca="1">IFERROR(__xludf.DUMMYFUNCTION("iferror(stdevp(filter($J$2:$J2568,$B$2:$B2568=$B1431,$O$2:$O2568&lt;=$O1431,$O$2:$O2568&gt;$O1431-7)),0)"),1.87082869338697)</f>
        <v>1.87082869338697</v>
      </c>
      <c r="AR1428" s="77">
        <f t="shared" ca="1" si="262"/>
        <v>0.14577885922495867</v>
      </c>
      <c r="AS1428" s="77">
        <f t="shared" ca="1" si="263"/>
        <v>3</v>
      </c>
      <c r="AT1428" s="78">
        <f t="shared" ca="1" si="264"/>
        <v>0.70833333333333337</v>
      </c>
    </row>
    <row r="1429" spans="1:46" ht="12.5" x14ac:dyDescent="0.25">
      <c r="A1429" s="75">
        <v>45002.598379097224</v>
      </c>
      <c r="B1429" s="1" t="s">
        <v>10</v>
      </c>
      <c r="C1429" s="1" t="str">
        <f>INDEX(TBL_Name,MATCH(Table2[[#This Row],[Athlete Name]],listNames,0),2)</f>
        <v>Athlete 5</v>
      </c>
      <c r="D1429" s="1" t="s">
        <v>130</v>
      </c>
      <c r="E1429" s="1">
        <v>9</v>
      </c>
      <c r="F1429" s="1">
        <v>9</v>
      </c>
      <c r="G1429" s="1">
        <v>9</v>
      </c>
      <c r="H1429" s="1" t="s">
        <v>415</v>
      </c>
      <c r="I1429" s="1">
        <v>6</v>
      </c>
      <c r="J1429" s="1">
        <v>8</v>
      </c>
      <c r="K1429" s="1">
        <v>9</v>
      </c>
      <c r="L1429" s="1">
        <v>84</v>
      </c>
      <c r="M1429" s="1" t="e">
        <f t="shared" ref="M1429" ca="1" si="395">_xludf.concat($B1429,$P1429)</f>
        <v>#NAME?</v>
      </c>
      <c r="N1429" s="1" t="e">
        <f t="shared" si="248"/>
        <v>#VALUE!</v>
      </c>
      <c r="O1429" s="1" t="e">
        <f t="shared" ref="O1429" ca="1" si="396">IF($N1429=_xludf.MINIFS($N$2:$N2935,$R$2:$R2935,$R1429),1,
($N1429-_xludf.MINIFS($N$2:$N2935,$R$2:$R2935,$R1429))+1)</f>
        <v>#VALUE!</v>
      </c>
      <c r="P1429" s="13" t="e">
        <f t="shared" si="250"/>
        <v>#VALUE!</v>
      </c>
      <c r="Q1429" s="1" t="str">
        <f>RIGHT(YEAR($A1429),2)-(MONTH($A1429)&lt;=[3]Roster!$K$25)
 &amp;"-"&amp;
 RIGHT(YEAR($A1429),2)+(MONTH($A1429)&gt;=[3]Roster!$K$26)</f>
        <v>22-23</v>
      </c>
      <c r="R1429" s="1" t="e">
        <f>CHOOSE(MONTH($P1429),[3]Roster!$K$9,[3]Roster!$K$10,[3]Roster!$K$11,[3]Roster!$K$12,[3]Roster!$K$13,[3]Roster!$K$14,[3]Roster!$K$15,[3]Roster!$K$16,[3]Roster!$K$17,[3]Roster!$K$18,[3]Roster!$K$19,[3]Roster!$K$20)&amp;" "&amp;$Q1429</f>
        <v>#VALUE!</v>
      </c>
      <c r="S1429" s="1">
        <f t="shared" si="251"/>
        <v>1</v>
      </c>
      <c r="T1429" s="1" t="str">
        <f t="array" ref="T1429">IFERROR(INDEX([3]Roster!$D$3:$D$42,MATCH($B1429,[3]Roster!$C$3:$C$42,0)),"")</f>
        <v>MID</v>
      </c>
      <c r="U1429" s="1" t="str">
        <f t="array" ref="U1429">IFERROR(INDEX([3]Roster!$E$3:$E$42,MATCH($B1429,[3]Roster!$C$3:$C$42,0)),"")</f>
        <v>MID</v>
      </c>
      <c r="V1429" s="76">
        <f t="array" ref="V1429">AVERAGEIFS($E$2:$E2565,$B$2:$B2565,$B1429,$P$2:$P2565,"&lt;="&amp;$P1429,$P$2:$P2565,"&gt;"&amp;$P1429-7)</f>
        <v>8.4042553191489358</v>
      </c>
      <c r="W1429" s="76">
        <f ca="1">IFERROR(__xludf.DUMMYFUNCTION("iferror(stdevp(filter($D$2:$D2568,$B$2:$B2568=$B1432,$O$2:$O2568&lt;=$O1432,$O$2:$O2568&gt;$O1432-7)),0)"),0.489897948556635)</f>
        <v>0.48989794855663499</v>
      </c>
      <c r="X1429" s="77">
        <f t="shared" ca="1" si="252"/>
        <v>1.2160587375519347</v>
      </c>
      <c r="Y1429" s="77">
        <f t="shared" ca="1" si="253"/>
        <v>4</v>
      </c>
      <c r="Z1429" s="76">
        <f t="array" ref="Z1429">AVERAGEIFS($F$2:$F2565,$B$2:$B2565,$B1429,$P$2:$P2565,"&lt;="&amp;$P1429,$P$2:$P2565,"&gt;"&amp;$P1429-7)</f>
        <v>8.085106382978724</v>
      </c>
      <c r="AA1429" s="76">
        <f ca="1">IFERROR(__xludf.DUMMYFUNCTION("iferror(stdevp(filter($E$2:$E2568,$B$2:$B2568=$B1432,$O$2:$O2568&lt;=$O1432,$O$2:$O2568&gt;$O1432-7)),0)"),1.2)</f>
        <v>1.2</v>
      </c>
      <c r="AB1429" s="77">
        <f t="shared" ca="1" si="254"/>
        <v>0.7624113475177301</v>
      </c>
      <c r="AC1429" s="77">
        <f t="shared" ca="1" si="255"/>
        <v>3</v>
      </c>
      <c r="AD1429" s="76">
        <f t="array" ref="AD1429">AVERAGEIFS($G$2:$G2565,$B$2:$B2565,$B1429,$P$2:$P2565,"&lt;="&amp;$P1429,$P$2:$P2565,"&gt;"&amp;$P1429-7)</f>
        <v>8.0638297872340434</v>
      </c>
      <c r="AE1429" s="76">
        <f ca="1">IFERROR(__xludf.DUMMYFUNCTION("iferror(stdevp(filter($F$2:$F2568,$B$2:$B2568=$B1432,$O$2:$O2568&lt;=$O1432,$O$2:$O2568&gt;$O1432-7)),0)"),1.16619037896906)</f>
        <v>1.16619037896906</v>
      </c>
      <c r="AF1429" s="77">
        <f t="shared" ca="1" si="256"/>
        <v>0.80275933470961514</v>
      </c>
      <c r="AG1429" s="77">
        <f t="shared" ca="1" si="257"/>
        <v>3</v>
      </c>
      <c r="AH1429" s="76">
        <f t="array" ref="AH1429">AVERAGEIFS($I$2:$I2565,$B$2:$B2565,$B1429,$P$2:$P2565,"&lt;="&amp;$P1429,$P$2:$P2565,"&gt;"&amp;$P1429-7)</f>
        <v>6.7446808510638299</v>
      </c>
      <c r="AI1429" s="76">
        <f ca="1">IFERROR(__xludf.DUMMYFUNCTION("iferror(stdevp(filter($H$2:$H2568,$B$2:$B2568=$B1432,$O$2:$O2568&lt;=$O1432,$O$2:$O2568&gt;$O1432-7)),0)"),0.8)</f>
        <v>0.8</v>
      </c>
      <c r="AJ1429" s="77">
        <f t="shared" ca="1" si="258"/>
        <v>-0.93085106382978733</v>
      </c>
      <c r="AK1429" s="77">
        <f t="shared" ca="1" si="259"/>
        <v>2</v>
      </c>
      <c r="AL1429" s="76">
        <f t="array" ref="AL1429">AVERAGEIFS($J$2:$J2565,$B$2:$B2565,$B1429,$P$2:$P2565,"&lt;="&amp;$P1429,$P$2:$P2565,"&gt;"&amp;$P1429-7)</f>
        <v>8.1063829787234045</v>
      </c>
      <c r="AM1429" s="76">
        <f ca="1">IFERROR(__xludf.DUMMYFUNCTION("iferror(stdevp(filter($I$2:$I2568,$B$2:$B2568=$B1432,$O$2:$O2568&lt;=$O1432,$O$2:$O2568&gt;$O1432-7)),0)"),0.4)</f>
        <v>0.4</v>
      </c>
      <c r="AN1429" s="77">
        <f t="shared" ca="1" si="260"/>
        <v>-0.2659574468085113</v>
      </c>
      <c r="AO1429" s="77">
        <f t="shared" ca="1" si="261"/>
        <v>2</v>
      </c>
      <c r="AP1429" s="76">
        <f t="array" ref="AP1429">AVERAGEIFS($K$2:$K2565,$B$2:$B2565,$B1429,$P$2:$P2565,"&lt;="&amp;$P1429,$P$2:$P2565,"&gt;"&amp;$P1429-7)</f>
        <v>8.2978723404255312</v>
      </c>
      <c r="AQ1429" s="76">
        <f ca="1">IFERROR(__xludf.DUMMYFUNCTION("iferror(stdevp(filter($J$2:$J2568,$B$2:$B2568=$B1432,$O$2:$O2568&lt;=$O1432,$O$2:$O2568&gt;$O1432-7)),0)"),0.4)</f>
        <v>0.4</v>
      </c>
      <c r="AR1429" s="77">
        <f t="shared" ca="1" si="262"/>
        <v>1.7553191489361719</v>
      </c>
      <c r="AS1429" s="77">
        <f t="shared" ca="1" si="263"/>
        <v>4</v>
      </c>
      <c r="AT1429" s="78">
        <f t="shared" ca="1" si="264"/>
        <v>0.75</v>
      </c>
    </row>
    <row r="1430" spans="1:46" ht="12.5" x14ac:dyDescent="0.25">
      <c r="A1430" s="75">
        <v>45002.598422222218</v>
      </c>
      <c r="B1430" s="1" t="s">
        <v>16</v>
      </c>
      <c r="C1430" s="1" t="str">
        <f>INDEX(TBL_Name,MATCH(Table2[[#This Row],[Athlete Name]],listNames,0),2)</f>
        <v>Athlete 9</v>
      </c>
      <c r="D1430" s="1" t="s">
        <v>130</v>
      </c>
      <c r="E1430" s="1">
        <v>9</v>
      </c>
      <c r="F1430" s="1">
        <v>7</v>
      </c>
      <c r="G1430" s="1">
        <v>7</v>
      </c>
      <c r="H1430" s="1" t="s">
        <v>742</v>
      </c>
      <c r="I1430" s="1">
        <v>6</v>
      </c>
      <c r="J1430" s="1">
        <v>8</v>
      </c>
      <c r="K1430" s="1">
        <v>9</v>
      </c>
      <c r="L1430" s="1">
        <v>80</v>
      </c>
      <c r="M1430" s="1" t="e">
        <f t="shared" ref="M1430" ca="1" si="397">_xludf.concat($B1430,$P1430)</f>
        <v>#NAME?</v>
      </c>
      <c r="N1430" s="1" t="e">
        <f t="shared" si="248"/>
        <v>#VALUE!</v>
      </c>
      <c r="O1430" s="1" t="e">
        <f t="shared" ref="O1430" ca="1" si="398">IF($N1430=_xludf.MINIFS($N$2:$N2936,$R$2:$R2936,$R1430),1,
($N1430-_xludf.MINIFS($N$2:$N2936,$R$2:$R2936,$R1430))+1)</f>
        <v>#VALUE!</v>
      </c>
      <c r="P1430" s="13" t="e">
        <f t="shared" si="250"/>
        <v>#VALUE!</v>
      </c>
      <c r="Q1430" s="1" t="str">
        <f>RIGHT(YEAR($A1430),2)-(MONTH($A1430)&lt;=[3]Roster!$K$25)
 &amp;"-"&amp;
 RIGHT(YEAR($A1430),2)+(MONTH($A1430)&gt;=[3]Roster!$K$26)</f>
        <v>22-23</v>
      </c>
      <c r="R1430" s="1" t="e">
        <f>CHOOSE(MONTH($P1430),[3]Roster!$K$9,[3]Roster!$K$10,[3]Roster!$K$11,[3]Roster!$K$12,[3]Roster!$K$13,[3]Roster!$K$14,[3]Roster!$K$15,[3]Roster!$K$16,[3]Roster!$K$17,[3]Roster!$K$18,[3]Roster!$K$19,[3]Roster!$K$20)&amp;" "&amp;$Q1430</f>
        <v>#VALUE!</v>
      </c>
      <c r="S1430" s="1">
        <f t="shared" si="251"/>
        <v>1</v>
      </c>
      <c r="T1430" s="1" t="str">
        <f t="array" ref="T1430">IFERROR(INDEX([3]Roster!$D$3:$D$42,MATCH($B1430,[3]Roster!$C$3:$C$42,0)),"")</f>
        <v>MID/D</v>
      </c>
      <c r="U1430" s="1" t="str">
        <f t="array" ref="U1430">IFERROR(INDEX([3]Roster!$E$3:$E$42,MATCH($B1430,[3]Roster!$C$3:$C$42,0)),"")</f>
        <v>MID/D</v>
      </c>
      <c r="V1430" s="76">
        <f t="array" ref="V1430">AVERAGEIFS($E$2:$E2565,$B$2:$B2565,$B1430,$P$2:$P2565,"&lt;="&amp;$P1430,$P$2:$P2565,"&gt;"&amp;$P1430-7)</f>
        <v>8.9600000000000009</v>
      </c>
      <c r="W1430" s="76">
        <f ca="1">IFERROR(__xludf.DUMMYFUNCTION("iferror(stdevp(filter($D$2:$D2568,$B$2:$B2568=$B1433,$O$2:$O2568&lt;=$O1433,$O$2:$O2568&gt;$O1433-7)),0)"),0)</f>
        <v>0</v>
      </c>
      <c r="X1430" s="77">
        <f t="shared" ca="1" si="252"/>
        <v>0</v>
      </c>
      <c r="Y1430" s="77">
        <f t="shared" ca="1" si="253"/>
        <v>3</v>
      </c>
      <c r="Z1430" s="76">
        <f t="array" ref="Z1430">AVERAGEIFS($F$2:$F2565,$B$2:$B2565,$B1430,$P$2:$P2565,"&lt;="&amp;$P1430,$P$2:$P2565,"&gt;"&amp;$P1430-7)</f>
        <v>7.48</v>
      </c>
      <c r="AA1430" s="76">
        <f ca="1">IFERROR(__xludf.DUMMYFUNCTION("iferror(stdevp(filter($E$2:$E2568,$B$2:$B2568=$B1433,$O$2:$O2568&lt;=$O1433,$O$2:$O2568&gt;$O1433-7)),0)"),0.471404520791031)</f>
        <v>0.47140452079103101</v>
      </c>
      <c r="AB1430" s="77">
        <f t="shared" ca="1" si="254"/>
        <v>-1.0182337649086308</v>
      </c>
      <c r="AC1430" s="77">
        <f t="shared" ca="1" si="255"/>
        <v>1</v>
      </c>
      <c r="AD1430" s="76">
        <f t="array" ref="AD1430">AVERAGEIFS($G$2:$G2565,$B$2:$B2565,$B1430,$P$2:$P2565,"&lt;="&amp;$P1430,$P$2:$P2565,"&gt;"&amp;$P1430-7)</f>
        <v>7.56</v>
      </c>
      <c r="AE1430" s="76">
        <f ca="1">IFERROR(__xludf.DUMMYFUNCTION("iferror(stdevp(filter($F$2:$F2568,$B$2:$B2568=$B1433,$O$2:$O2568&lt;=$O1433,$O$2:$O2568&gt;$O1433-7)),0)"),0.471404520791031)</f>
        <v>0.47140452079103101</v>
      </c>
      <c r="AF1430" s="77">
        <f t="shared" ca="1" si="256"/>
        <v>-1.1879393923934007</v>
      </c>
      <c r="AG1430" s="77">
        <f t="shared" ca="1" si="257"/>
        <v>1</v>
      </c>
      <c r="AH1430" s="76">
        <f t="array" ref="AH1430">AVERAGEIFS($I$2:$I2565,$B$2:$B2565,$B1430,$P$2:$P2565,"&lt;="&amp;$P1430,$P$2:$P2565,"&gt;"&amp;$P1430-7)</f>
        <v>5.8</v>
      </c>
      <c r="AI1430" s="76">
        <f ca="1">IFERROR(__xludf.DUMMYFUNCTION("iferror(stdevp(filter($H$2:$H2568,$B$2:$B2568=$B1433,$O$2:$O2568&lt;=$O1433,$O$2:$O2568&gt;$O1433-7)),0)"),2.05480466765632)</f>
        <v>2.0548046676563199</v>
      </c>
      <c r="AJ1430" s="77">
        <f t="shared" ca="1" si="258"/>
        <v>9.7332852678457871E-2</v>
      </c>
      <c r="AK1430" s="77">
        <f t="shared" ca="1" si="259"/>
        <v>3</v>
      </c>
      <c r="AL1430" s="76">
        <f t="array" ref="AL1430">AVERAGEIFS($J$2:$J2565,$B$2:$B2565,$B1430,$P$2:$P2565,"&lt;="&amp;$P1430,$P$2:$P2565,"&gt;"&amp;$P1430-7)</f>
        <v>7.8</v>
      </c>
      <c r="AM1430" s="76">
        <f ca="1">IFERROR(__xludf.DUMMYFUNCTION("iferror(stdevp(filter($I$2:$I2568,$B$2:$B2568=$B1433,$O$2:$O2568&lt;=$O1433,$O$2:$O2568&gt;$O1433-7)),0)"),0.471404520791031)</f>
        <v>0.47140452079103101</v>
      </c>
      <c r="AN1430" s="77">
        <f t="shared" ca="1" si="260"/>
        <v>0.42426406871192951</v>
      </c>
      <c r="AO1430" s="77">
        <f t="shared" ca="1" si="261"/>
        <v>3</v>
      </c>
      <c r="AP1430" s="76">
        <f t="array" ref="AP1430">AVERAGEIFS($K$2:$K2565,$B$2:$B2565,$B1430,$P$2:$P2565,"&lt;="&amp;$P1430,$P$2:$P2565,"&gt;"&amp;$P1430-7)</f>
        <v>8.6</v>
      </c>
      <c r="AQ1430" s="76">
        <f ca="1">IFERROR(__xludf.DUMMYFUNCTION("iferror(stdevp(filter($J$2:$J2568,$B$2:$B2568=$B1433,$O$2:$O2568&lt;=$O1433,$O$2:$O2568&gt;$O1433-7)),0)"),0.471404520791031)</f>
        <v>0.47140452079103101</v>
      </c>
      <c r="AR1430" s="77">
        <f t="shared" ca="1" si="262"/>
        <v>0.84852813742385902</v>
      </c>
      <c r="AS1430" s="77">
        <f t="shared" ca="1" si="263"/>
        <v>3</v>
      </c>
      <c r="AT1430" s="78">
        <f t="shared" ca="1" si="264"/>
        <v>0.58333333333333337</v>
      </c>
    </row>
    <row r="1431" spans="1:46" ht="12.5" x14ac:dyDescent="0.25">
      <c r="A1431" s="75">
        <v>45002.598524722227</v>
      </c>
      <c r="B1431" s="1" t="s">
        <v>29</v>
      </c>
      <c r="C1431" s="1" t="str">
        <f>INDEX(TBL_Name,MATCH(Table2[[#This Row],[Athlete Name]],listNames,0),2)</f>
        <v>Athlete 18</v>
      </c>
      <c r="D1431" s="1" t="s">
        <v>130</v>
      </c>
      <c r="E1431" s="1">
        <v>10</v>
      </c>
      <c r="F1431" s="1">
        <v>8</v>
      </c>
      <c r="G1431" s="1">
        <v>8</v>
      </c>
      <c r="H1431" s="1" t="s">
        <v>1498</v>
      </c>
      <c r="I1431" s="1">
        <v>7</v>
      </c>
      <c r="J1431" s="1">
        <v>8</v>
      </c>
      <c r="K1431" s="1">
        <v>7</v>
      </c>
      <c r="L1431" s="1">
        <v>94</v>
      </c>
      <c r="M1431" s="1" t="e">
        <f t="shared" ref="M1431" ca="1" si="399">_xludf.concat($B1431,$P1431)</f>
        <v>#NAME?</v>
      </c>
      <c r="N1431" s="1" t="e">
        <f t="shared" si="248"/>
        <v>#VALUE!</v>
      </c>
      <c r="O1431" s="1" t="e">
        <f t="shared" ref="O1431" ca="1" si="400">IF($N1431=_xludf.MINIFS($N$2:$N2937,$R$2:$R2937,$R1431),1,
($N1431-_xludf.MINIFS($N$2:$N2937,$R$2:$R2937,$R1431))+1)</f>
        <v>#VALUE!</v>
      </c>
      <c r="P1431" s="13" t="e">
        <f t="shared" si="250"/>
        <v>#VALUE!</v>
      </c>
      <c r="Q1431" s="1" t="str">
        <f>RIGHT(YEAR($A1431),2)-(MONTH($A1431)&lt;=[3]Roster!$K$25)
 &amp;"-"&amp;
 RIGHT(YEAR($A1431),2)+(MONTH($A1431)&gt;=[3]Roster!$K$26)</f>
        <v>22-23</v>
      </c>
      <c r="R1431" s="1" t="e">
        <f>CHOOSE(MONTH($P1431),[3]Roster!$K$9,[3]Roster!$K$10,[3]Roster!$K$11,[3]Roster!$K$12,[3]Roster!$K$13,[3]Roster!$K$14,[3]Roster!$K$15,[3]Roster!$K$16,[3]Roster!$K$17,[3]Roster!$K$18,[3]Roster!$K$19,[3]Roster!$K$20)&amp;" "&amp;$Q1431</f>
        <v>#VALUE!</v>
      </c>
      <c r="S1431" s="1">
        <f t="shared" si="251"/>
        <v>1</v>
      </c>
      <c r="T1431" s="1" t="str">
        <f t="array" ref="T1431">IFERROR(INDEX([3]Roster!$D$3:$D$42,MATCH($B1431,[3]Roster!$C$3:$C$42,0)),"")</f>
        <v>GK</v>
      </c>
      <c r="U1431" s="1" t="str">
        <f t="array" ref="U1431">IFERROR(INDEX([3]Roster!$E$3:$E$42,MATCH($B1431,[3]Roster!$C$3:$C$42,0)),"")</f>
        <v>GK</v>
      </c>
      <c r="V1431" s="76">
        <f t="array" ref="V1431">AVERAGEIFS($E$2:$E2565,$B$2:$B2565,$B1431,$P$2:$P2565,"&lt;="&amp;$P1431,$P$2:$P2565,"&gt;"&amp;$P1431-7)</f>
        <v>8.53125</v>
      </c>
      <c r="W1431" s="76">
        <f ca="1">IFERROR(__xludf.DUMMYFUNCTION("iferror(stdevp(filter($D$2:$D2568,$B$2:$B2568=$B1434,$O$2:$O2568&lt;=$O1434,$O$2:$O2568&gt;$O1434-7)),0)"),1.32664991614216)</f>
        <v>1.3266499161421601</v>
      </c>
      <c r="X1431" s="77">
        <f t="shared" ca="1" si="252"/>
        <v>1.1071119683714756</v>
      </c>
      <c r="Y1431" s="77">
        <f t="shared" ca="1" si="253"/>
        <v>4</v>
      </c>
      <c r="Z1431" s="76">
        <f t="array" ref="Z1431">AVERAGEIFS($F$2:$F2565,$B$2:$B2565,$B1431,$P$2:$P2565,"&lt;="&amp;$P1431,$P$2:$P2565,"&gt;"&amp;$P1431-7)</f>
        <v>8.125</v>
      </c>
      <c r="AA1431" s="76">
        <f ca="1">IFERROR(__xludf.DUMMYFUNCTION("iferror(stdevp(filter($E$2:$E2568,$B$2:$B2568=$B1434,$O$2:$O2568&lt;=$O1434,$O$2:$O2568&gt;$O1434-7)),0)"),1.01980390271855)</f>
        <v>1.0198039027185499</v>
      </c>
      <c r="AB1431" s="77">
        <f t="shared" ca="1" si="254"/>
        <v>-0.12257258446136586</v>
      </c>
      <c r="AC1431" s="77">
        <f t="shared" ca="1" si="255"/>
        <v>2</v>
      </c>
      <c r="AD1431" s="76">
        <f t="array" ref="AD1431">AVERAGEIFS($G$2:$G2565,$B$2:$B2565,$B1431,$P$2:$P2565,"&lt;="&amp;$P1431,$P$2:$P2565,"&gt;"&amp;$P1431-7)</f>
        <v>8.09375</v>
      </c>
      <c r="AE1431" s="76">
        <f ca="1">IFERROR(__xludf.DUMMYFUNCTION("iferror(stdevp(filter($F$2:$F2568,$B$2:$B2568=$B1434,$O$2:$O2568&lt;=$O1434,$O$2:$O2568&gt;$O1434-7)),0)"),0.748331477354788)</f>
        <v>0.748331477354788</v>
      </c>
      <c r="AF1431" s="77">
        <f t="shared" ca="1" si="256"/>
        <v>-0.12527870714644898</v>
      </c>
      <c r="AG1431" s="77">
        <f t="shared" ca="1" si="257"/>
        <v>2</v>
      </c>
      <c r="AH1431" s="76">
        <f t="array" ref="AH1431">AVERAGEIFS($I$2:$I2565,$B$2:$B2565,$B1431,$P$2:$P2565,"&lt;="&amp;$P1431,$P$2:$P2565,"&gt;"&amp;$P1431-7)</f>
        <v>7.875</v>
      </c>
      <c r="AI1431" s="76">
        <f ca="1">IFERROR(__xludf.DUMMYFUNCTION("iferror(stdevp(filter($H$2:$H2568,$B$2:$B2568=$B1434,$O$2:$O2568&lt;=$O1434,$O$2:$O2568&gt;$O1434-7)),0)"),0.979795897113271)</f>
        <v>0.97979589711327097</v>
      </c>
      <c r="AJ1431" s="77">
        <f t="shared" ca="1" si="258"/>
        <v>-0.89304313538970059</v>
      </c>
      <c r="AK1431" s="77">
        <f t="shared" ca="1" si="259"/>
        <v>2</v>
      </c>
      <c r="AL1431" s="76">
        <f t="array" ref="AL1431">AVERAGEIFS($J$2:$J2565,$B$2:$B2565,$B1431,$P$2:$P2565,"&lt;="&amp;$P1431,$P$2:$P2565,"&gt;"&amp;$P1431-7)</f>
        <v>8.34375</v>
      </c>
      <c r="AM1431" s="76">
        <f ca="1">IFERROR(__xludf.DUMMYFUNCTION("iferror(stdevp(filter($I$2:$I2568,$B$2:$B2568=$B1434,$O$2:$O2568&lt;=$O1434,$O$2:$O2568&gt;$O1434-7)),0)"),0.799999999999999)</f>
        <v>0.79999999999999905</v>
      </c>
      <c r="AN1431" s="77">
        <f t="shared" ca="1" si="260"/>
        <v>-0.4296875000000005</v>
      </c>
      <c r="AO1431" s="77">
        <f t="shared" ca="1" si="261"/>
        <v>2</v>
      </c>
      <c r="AP1431" s="76">
        <f t="array" ref="AP1431">AVERAGEIFS($K$2:$K2565,$B$2:$B2565,$B1431,$P$2:$P2565,"&lt;="&amp;$P1431,$P$2:$P2565,"&gt;"&amp;$P1431-7)</f>
        <v>8.46875</v>
      </c>
      <c r="AQ1431" s="76">
        <f ca="1">IFERROR(__xludf.DUMMYFUNCTION("iferror(stdevp(filter($J$2:$J2568,$B$2:$B2568=$B1434,$O$2:$O2568&lt;=$O1434,$O$2:$O2568&gt;$O1434-7)),0)"),0.979795897113271)</f>
        <v>0.97979589711327097</v>
      </c>
      <c r="AR1431" s="77">
        <f t="shared" ca="1" si="262"/>
        <v>-1.4990366915469975</v>
      </c>
      <c r="AS1431" s="77">
        <f t="shared" ca="1" si="263"/>
        <v>1</v>
      </c>
      <c r="AT1431" s="78">
        <f t="shared" ca="1" si="264"/>
        <v>0.54166666666666663</v>
      </c>
    </row>
    <row r="1432" spans="1:46" ht="12.5" x14ac:dyDescent="0.25">
      <c r="A1432" s="75">
        <v>45002.598658472227</v>
      </c>
      <c r="B1432" s="1" t="s">
        <v>17</v>
      </c>
      <c r="C1432" s="1" t="str">
        <f>INDEX(TBL_Name,MATCH(Table2[[#This Row],[Athlete Name]],listNames,0),2)</f>
        <v>Athlete 10</v>
      </c>
      <c r="D1432" s="1" t="s">
        <v>130</v>
      </c>
      <c r="E1432" s="1">
        <v>8</v>
      </c>
      <c r="F1432" s="1">
        <v>7</v>
      </c>
      <c r="G1432" s="1">
        <v>8</v>
      </c>
      <c r="H1432" s="1" t="s">
        <v>228</v>
      </c>
      <c r="I1432" s="1">
        <v>7</v>
      </c>
      <c r="J1432" s="1">
        <v>8</v>
      </c>
      <c r="K1432" s="1">
        <v>9</v>
      </c>
      <c r="L1432" s="1">
        <v>87</v>
      </c>
      <c r="M1432" s="1" t="e">
        <f t="shared" ref="M1432" ca="1" si="401">_xludf.concat($B1432,$P1432)</f>
        <v>#NAME?</v>
      </c>
      <c r="N1432" s="1" t="e">
        <f t="shared" si="248"/>
        <v>#VALUE!</v>
      </c>
      <c r="O1432" s="1" t="e">
        <f t="shared" ref="O1432" ca="1" si="402">IF($N1432=_xludf.MINIFS($N$2:$N2938,$R$2:$R2938,$R1432),1,
($N1432-_xludf.MINIFS($N$2:$N2938,$R$2:$R2938,$R1432))+1)</f>
        <v>#VALUE!</v>
      </c>
      <c r="P1432" s="13" t="e">
        <f t="shared" si="250"/>
        <v>#VALUE!</v>
      </c>
      <c r="Q1432" s="1" t="str">
        <f>RIGHT(YEAR($A1432),2)-(MONTH($A1432)&lt;=[3]Roster!$K$25)
 &amp;"-"&amp;
 RIGHT(YEAR($A1432),2)+(MONTH($A1432)&gt;=[3]Roster!$K$26)</f>
        <v>22-23</v>
      </c>
      <c r="R1432" s="1" t="e">
        <f>CHOOSE(MONTH($P1432),[3]Roster!$K$9,[3]Roster!$K$10,[3]Roster!$K$11,[3]Roster!$K$12,[3]Roster!$K$13,[3]Roster!$K$14,[3]Roster!$K$15,[3]Roster!$K$16,[3]Roster!$K$17,[3]Roster!$K$18,[3]Roster!$K$19,[3]Roster!$K$20)&amp;" "&amp;$Q1432</f>
        <v>#VALUE!</v>
      </c>
      <c r="S1432" s="1">
        <f t="shared" si="251"/>
        <v>1</v>
      </c>
      <c r="T1432" s="1" t="str">
        <f t="array" ref="T1432">IFERROR(INDEX([3]Roster!$D$3:$D$42,MATCH($B1432,[3]Roster!$C$3:$C$42,0)),"")</f>
        <v>D</v>
      </c>
      <c r="U1432" s="1" t="str">
        <f t="array" ref="U1432">IFERROR(INDEX([3]Roster!$E$3:$E$42,MATCH($B1432,[3]Roster!$C$3:$C$42,0)),"")</f>
        <v>D</v>
      </c>
      <c r="V1432" s="76">
        <f t="array" ref="V1432">AVERAGEIFS($E$2:$E2565,$B$2:$B2565,$B1432,$P$2:$P2565,"&lt;="&amp;$P1432,$P$2:$P2565,"&gt;"&amp;$P1432-7)</f>
        <v>6.9024390243902438</v>
      </c>
      <c r="W1432" s="76">
        <f ca="1">IFERROR(__xludf.DUMMYFUNCTION("iferror(stdevp(filter($D$2:$D2568,$B$2:$B2568=$B1435,$O$2:$O2568&lt;=$O1435,$O$2:$O2568&gt;$O1435-7)),0)"),0.82915619758885)</f>
        <v>0.82915619758884995</v>
      </c>
      <c r="X1432" s="77">
        <f t="shared" ca="1" si="252"/>
        <v>1.3237083420487186</v>
      </c>
      <c r="Y1432" s="77">
        <f t="shared" ca="1" si="253"/>
        <v>4</v>
      </c>
      <c r="Z1432" s="76">
        <f t="array" ref="Z1432">AVERAGEIFS($F$2:$F2565,$B$2:$B2565,$B1432,$P$2:$P2565,"&lt;="&amp;$P1432,$P$2:$P2565,"&gt;"&amp;$P1432-7)</f>
        <v>7.2926829268292686</v>
      </c>
      <c r="AA1432" s="76">
        <f ca="1">IFERROR(__xludf.DUMMYFUNCTION("iferror(stdevp(filter($E$2:$E2568,$B$2:$B2568=$B1435,$O$2:$O2568&lt;=$O1435,$O$2:$O2568&gt;$O1435-7)),0)"),1.08972473588516)</f>
        <v>1.0897247358851601</v>
      </c>
      <c r="AB1432" s="77">
        <f t="shared" ca="1" si="254"/>
        <v>-0.26858427379968436</v>
      </c>
      <c r="AC1432" s="77">
        <f t="shared" ca="1" si="255"/>
        <v>2</v>
      </c>
      <c r="AD1432" s="76">
        <f t="array" ref="AD1432">AVERAGEIFS($G$2:$G2565,$B$2:$B2565,$B1432,$P$2:$P2565,"&lt;="&amp;$P1432,$P$2:$P2565,"&gt;"&amp;$P1432-7)</f>
        <v>7.8048780487804876</v>
      </c>
      <c r="AE1432" s="76">
        <f ca="1">IFERROR(__xludf.DUMMYFUNCTION("iferror(stdevp(filter($F$2:$F2568,$B$2:$B2568=$B1435,$O$2:$O2568&lt;=$O1435,$O$2:$O2568&gt;$O1435-7)),0)"),1.92028643696715)</f>
        <v>1.92028643696715</v>
      </c>
      <c r="AF1432" s="77">
        <f t="shared" ca="1" si="256"/>
        <v>0.10161085735088712</v>
      </c>
      <c r="AG1432" s="77">
        <f t="shared" ca="1" si="257"/>
        <v>3</v>
      </c>
      <c r="AH1432" s="76">
        <f t="array" ref="AH1432">AVERAGEIFS($I$2:$I2565,$B$2:$B2565,$B1432,$P$2:$P2565,"&lt;="&amp;$P1432,$P$2:$P2565,"&gt;"&amp;$P1432-7)</f>
        <v>6.3170731707317076</v>
      </c>
      <c r="AI1432" s="76">
        <f ca="1">IFERROR(__xludf.DUMMYFUNCTION("iferror(stdevp(filter($H$2:$H2568,$B$2:$B2568=$B1435,$O$2:$O2568&lt;=$O1435,$O$2:$O2568&gt;$O1435-7)),0)"),1.11803398874989)</f>
        <v>1.11803398874989</v>
      </c>
      <c r="AJ1432" s="77">
        <f t="shared" ca="1" si="258"/>
        <v>0.61082832556092059</v>
      </c>
      <c r="AK1432" s="77">
        <f t="shared" ca="1" si="259"/>
        <v>3</v>
      </c>
      <c r="AL1432" s="76">
        <f t="array" ref="AL1432">AVERAGEIFS($J$2:$J2565,$B$2:$B2565,$B1432,$P$2:$P2565,"&lt;="&amp;$P1432,$P$2:$P2565,"&gt;"&amp;$P1432-7)</f>
        <v>6.9024390243902438</v>
      </c>
      <c r="AM1432" s="76">
        <f ca="1">IFERROR(__xludf.DUMMYFUNCTION("iferror(stdevp(filter($I$2:$I2568,$B$2:$B2568=$B1435,$O$2:$O2568&lt;=$O1435,$O$2:$O2568&gt;$O1435-7)),0)"),0)</f>
        <v>0</v>
      </c>
      <c r="AN1432" s="77">
        <f t="shared" ca="1" si="260"/>
        <v>0</v>
      </c>
      <c r="AO1432" s="77">
        <f t="shared" ca="1" si="261"/>
        <v>3</v>
      </c>
      <c r="AP1432" s="76">
        <f t="array" ref="AP1432">AVERAGEIFS($K$2:$K2565,$B$2:$B2565,$B1432,$P$2:$P2565,"&lt;="&amp;$P1432,$P$2:$P2565,"&gt;"&amp;$P1432-7)</f>
        <v>8</v>
      </c>
      <c r="AQ1432" s="76">
        <f ca="1">IFERROR(__xludf.DUMMYFUNCTION("iferror(stdevp(filter($J$2:$J2568,$B$2:$B2568=$B1435,$O$2:$O2568&lt;=$O1435,$O$2:$O2568&gt;$O1435-7)),0)"),1.29903810567665)</f>
        <v>1.29903810567665</v>
      </c>
      <c r="AR1432" s="77">
        <f t="shared" ca="1" si="262"/>
        <v>0.76980035891950571</v>
      </c>
      <c r="AS1432" s="77">
        <f t="shared" ca="1" si="263"/>
        <v>3</v>
      </c>
      <c r="AT1432" s="78">
        <f t="shared" ca="1" si="264"/>
        <v>0.75</v>
      </c>
    </row>
    <row r="1433" spans="1:46" ht="12.5" x14ac:dyDescent="0.25">
      <c r="A1433" s="75">
        <v>45002.598944710648</v>
      </c>
      <c r="B1433" s="1" t="s">
        <v>19</v>
      </c>
      <c r="C1433" s="1" t="str">
        <f>INDEX(TBL_Name,MATCH(Table2[[#This Row],[Athlete Name]],listNames,0),2)</f>
        <v>Athlete 11</v>
      </c>
      <c r="D1433" s="1" t="s">
        <v>143</v>
      </c>
      <c r="E1433" s="1">
        <v>4</v>
      </c>
      <c r="F1433" s="1">
        <v>7</v>
      </c>
      <c r="G1433" s="1">
        <v>7</v>
      </c>
      <c r="H1433" s="1" t="s">
        <v>508</v>
      </c>
      <c r="I1433" s="1">
        <v>5</v>
      </c>
      <c r="J1433" s="1">
        <v>7</v>
      </c>
      <c r="K1433" s="1">
        <v>7</v>
      </c>
      <c r="L1433" s="1">
        <v>54</v>
      </c>
      <c r="M1433" s="1" t="e">
        <f t="shared" ref="M1433" ca="1" si="403">_xludf.concat($B1433,$P1433)</f>
        <v>#NAME?</v>
      </c>
      <c r="N1433" s="1" t="e">
        <f t="shared" si="248"/>
        <v>#VALUE!</v>
      </c>
      <c r="O1433" s="1" t="e">
        <f t="shared" ref="O1433" ca="1" si="404">IF($N1433=_xludf.MINIFS($N$2:$N2939,$R$2:$R2939,$R1433),1,
($N1433-_xludf.MINIFS($N$2:$N2939,$R$2:$R2939,$R1433))+1)</f>
        <v>#VALUE!</v>
      </c>
      <c r="P1433" s="13" t="e">
        <f t="shared" si="250"/>
        <v>#VALUE!</v>
      </c>
      <c r="Q1433" s="1" t="str">
        <f>RIGHT(YEAR($A1433),2)-(MONTH($A1433)&lt;=[3]Roster!$K$25)
 &amp;"-"&amp;
 RIGHT(YEAR($A1433),2)+(MONTH($A1433)&gt;=[3]Roster!$K$26)</f>
        <v>22-23</v>
      </c>
      <c r="R1433" s="1" t="e">
        <f>CHOOSE(MONTH($P1433),[3]Roster!$K$9,[3]Roster!$K$10,[3]Roster!$K$11,[3]Roster!$K$12,[3]Roster!$K$13,[3]Roster!$K$14,[3]Roster!$K$15,[3]Roster!$K$16,[3]Roster!$K$17,[3]Roster!$K$18,[3]Roster!$K$19,[3]Roster!$K$20)&amp;" "&amp;$Q1433</f>
        <v>#VALUE!</v>
      </c>
      <c r="S1433" s="1">
        <f t="shared" si="251"/>
        <v>2</v>
      </c>
      <c r="T1433" s="1" t="str">
        <f t="array" ref="T1433">IFERROR(INDEX([3]Roster!$D$3:$D$42,MATCH($B1433,[3]Roster!$C$3:$C$42,0)),"")</f>
        <v>D</v>
      </c>
      <c r="U1433" s="1" t="str">
        <f t="array" ref="U1433">IFERROR(INDEX([3]Roster!$E$3:$E$42,MATCH($B1433,[3]Roster!$C$3:$C$42,0)),"")</f>
        <v>D</v>
      </c>
      <c r="V1433" s="76">
        <f t="array" ref="V1433">AVERAGEIFS($E$2:$E2565,$B$2:$B2565,$B1433,$P$2:$P2565,"&lt;="&amp;$P1433,$P$2:$P2565,"&gt;"&amp;$P1433-7)</f>
        <v>4.6538461538461542</v>
      </c>
      <c r="W1433" s="76">
        <f ca="1">IFERROR(__xludf.DUMMYFUNCTION("iferror(stdevp(filter($D$2:$D2568,$B$2:$B2568=$B1436,$O$2:$O2568&lt;=$O1436,$O$2:$O2568&gt;$O1436-7)),0)"),0.471404520791031)</f>
        <v>0.47140452079103101</v>
      </c>
      <c r="X1433" s="77">
        <f t="shared" ca="1" si="252"/>
        <v>-1.3870171477120767</v>
      </c>
      <c r="Y1433" s="77">
        <f t="shared" ca="1" si="253"/>
        <v>1</v>
      </c>
      <c r="Z1433" s="76">
        <f t="array" ref="Z1433">AVERAGEIFS($F$2:$F2565,$B$2:$B2565,$B1433,$P$2:$P2565,"&lt;="&amp;$P1433,$P$2:$P2565,"&gt;"&amp;$P1433-7)</f>
        <v>6.8461538461538458</v>
      </c>
      <c r="AA1433" s="76">
        <f ca="1">IFERROR(__xludf.DUMMYFUNCTION("iferror(stdevp(filter($E$2:$E2568,$B$2:$B2568=$B1436,$O$2:$O2568&lt;=$O1436,$O$2:$O2568&gt;$O1436-7)),0)"),0.471404520791031)</f>
        <v>0.47140452079103101</v>
      </c>
      <c r="AB1433" s="77">
        <f t="shared" ca="1" si="254"/>
        <v>0.32635697593225388</v>
      </c>
      <c r="AC1433" s="77">
        <f t="shared" ca="1" si="255"/>
        <v>3</v>
      </c>
      <c r="AD1433" s="76">
        <f t="array" ref="AD1433">AVERAGEIFS($G$2:$G2565,$B$2:$B2565,$B1433,$P$2:$P2565,"&lt;="&amp;$P1433,$P$2:$P2565,"&gt;"&amp;$P1433-7)</f>
        <v>7.2692307692307692</v>
      </c>
      <c r="AE1433" s="76">
        <f ca="1">IFERROR(__xludf.DUMMYFUNCTION("iferror(stdevp(filter($F$2:$F2568,$B$2:$B2568=$B1436,$O$2:$O2568&lt;=$O1436,$O$2:$O2568&gt;$O1436-7)),0)"),0)</f>
        <v>0</v>
      </c>
      <c r="AF1433" s="77">
        <f t="shared" ca="1" si="256"/>
        <v>0</v>
      </c>
      <c r="AG1433" s="77">
        <f t="shared" ca="1" si="257"/>
        <v>3</v>
      </c>
      <c r="AH1433" s="76">
        <f t="array" ref="AH1433">AVERAGEIFS($I$2:$I2565,$B$2:$B2565,$B1433,$P$2:$P2565,"&lt;="&amp;$P1433,$P$2:$P2565,"&gt;"&amp;$P1433-7)</f>
        <v>4.9230769230769234</v>
      </c>
      <c r="AI1433" s="76">
        <f ca="1">IFERROR(__xludf.DUMMYFUNCTION("iferror(stdevp(filter($H$2:$H2568,$B$2:$B2568=$B1436,$O$2:$O2568&lt;=$O1436,$O$2:$O2568&gt;$O1436-7)),0)"),0.816496580927726)</f>
        <v>0.81649658092772603</v>
      </c>
      <c r="AJ1433" s="77">
        <f t="shared" ca="1" si="258"/>
        <v>9.4211143953198823E-2</v>
      </c>
      <c r="AK1433" s="77">
        <f t="shared" ca="1" si="259"/>
        <v>3</v>
      </c>
      <c r="AL1433" s="76">
        <f t="array" ref="AL1433">AVERAGEIFS($J$2:$J2565,$B$2:$B2565,$B1433,$P$2:$P2565,"&lt;="&amp;$P1433,$P$2:$P2565,"&gt;"&amp;$P1433-7)</f>
        <v>7.5769230769230766</v>
      </c>
      <c r="AM1433" s="76">
        <f ca="1">IFERROR(__xludf.DUMMYFUNCTION("iferror(stdevp(filter($I$2:$I2568,$B$2:$B2568=$B1436,$O$2:$O2568&lt;=$O1436,$O$2:$O2568&gt;$O1436-7)),0)"),0.471404520791031)</f>
        <v>0.47140452079103101</v>
      </c>
      <c r="AN1433" s="77">
        <f t="shared" ca="1" si="260"/>
        <v>-1.2238386597459487</v>
      </c>
      <c r="AO1433" s="77">
        <f t="shared" ca="1" si="261"/>
        <v>1</v>
      </c>
      <c r="AP1433" s="76">
        <f t="array" ref="AP1433">AVERAGEIFS($K$2:$K2565,$B$2:$B2565,$B1433,$P$2:$P2565,"&lt;="&amp;$P1433,$P$2:$P2565,"&gt;"&amp;$P1433-7)</f>
        <v>8</v>
      </c>
      <c r="AQ1433" s="76">
        <f ca="1">IFERROR(__xludf.DUMMYFUNCTION("iferror(stdevp(filter($J$2:$J2568,$B$2:$B2568=$B1436,$O$2:$O2568&lt;=$O1436,$O$2:$O2568&gt;$O1436-7)),0)"),0.471404520791031)</f>
        <v>0.47140452079103101</v>
      </c>
      <c r="AR1433" s="77">
        <f t="shared" ca="1" si="262"/>
        <v>-2.1213203435596455</v>
      </c>
      <c r="AS1433" s="77">
        <f t="shared" ca="1" si="263"/>
        <v>1</v>
      </c>
      <c r="AT1433" s="78">
        <f t="shared" ca="1" si="264"/>
        <v>0.5</v>
      </c>
    </row>
    <row r="1434" spans="1:46" ht="12.5" x14ac:dyDescent="0.25">
      <c r="A1434" s="75">
        <v>45003.413190856481</v>
      </c>
      <c r="B1434" s="1" t="s">
        <v>21</v>
      </c>
      <c r="C1434" s="1" t="str">
        <f>INDEX(TBL_Name,MATCH(Table2[[#This Row],[Athlete Name]],listNames,0),2)</f>
        <v>Athlete 13</v>
      </c>
      <c r="D1434" s="1" t="s">
        <v>130</v>
      </c>
      <c r="E1434" s="1">
        <v>6</v>
      </c>
      <c r="F1434" s="1">
        <v>8</v>
      </c>
      <c r="G1434" s="1">
        <v>9</v>
      </c>
      <c r="H1434" s="1" t="s">
        <v>1623</v>
      </c>
      <c r="I1434" s="1">
        <v>5</v>
      </c>
      <c r="J1434" s="1">
        <v>7</v>
      </c>
      <c r="K1434" s="1">
        <v>7</v>
      </c>
      <c r="L1434" s="1">
        <v>75</v>
      </c>
      <c r="M1434" s="1" t="e">
        <f t="shared" ref="M1434" ca="1" si="405">_xludf.concat($B1434,$P1434)</f>
        <v>#NAME?</v>
      </c>
      <c r="N1434" s="1" t="e">
        <f t="shared" si="248"/>
        <v>#VALUE!</v>
      </c>
      <c r="O1434" s="1" t="e">
        <f t="shared" ref="O1434" ca="1" si="406">IF($N1434=_xludf.MINIFS($N$2:$N2940,$R$2:$R2940,$R1434),1,
($N1434-_xludf.MINIFS($N$2:$N2940,$R$2:$R2940,$R1434))+1)</f>
        <v>#VALUE!</v>
      </c>
      <c r="P1434" s="13" t="e">
        <f t="shared" si="250"/>
        <v>#VALUE!</v>
      </c>
      <c r="Q1434" s="1" t="str">
        <f>RIGHT(YEAR($A1434),2)-(MONTH($A1434)&lt;=[3]Roster!$K$25)
 &amp;"-"&amp;
 RIGHT(YEAR($A1434),2)+(MONTH($A1434)&gt;=[3]Roster!$K$26)</f>
        <v>22-23</v>
      </c>
      <c r="R1434" s="1" t="e">
        <f>CHOOSE(MONTH($P1434),[3]Roster!$K$9,[3]Roster!$K$10,[3]Roster!$K$11,[3]Roster!$K$12,[3]Roster!$K$13,[3]Roster!$K$14,[3]Roster!$K$15,[3]Roster!$K$16,[3]Roster!$K$17,[3]Roster!$K$18,[3]Roster!$K$19,[3]Roster!$K$20)&amp;" "&amp;$Q1434</f>
        <v>#VALUE!</v>
      </c>
      <c r="S1434" s="1">
        <f t="shared" si="251"/>
        <v>1</v>
      </c>
      <c r="T1434" s="1" t="str">
        <f t="array" ref="T1434">IFERROR(INDEX([3]Roster!$D$3:$D$42,MATCH($B1434,[3]Roster!$C$3:$C$42,0)),"")</f>
        <v>D</v>
      </c>
      <c r="U1434" s="1" t="str">
        <f t="array" ref="U1434">IFERROR(INDEX([3]Roster!$E$3:$E$42,MATCH($B1434,[3]Roster!$C$3:$C$42,0)),"")</f>
        <v>D</v>
      </c>
      <c r="V1434" s="76">
        <f t="array" ref="V1434">AVERAGEIFS($E$2:$E2565,$B$2:$B2565,$B1434,$P$2:$P2565,"&lt;="&amp;$P1434,$P$2:$P2565,"&gt;"&amp;$P1434-7)</f>
        <v>6.6304347826086953</v>
      </c>
      <c r="W1434" s="76">
        <f ca="1">IFERROR(__xludf.DUMMYFUNCTION("iferror(stdevp(filter($D$2:$D2568,$B$2:$B2568=$B1437,$O$2:$O2568&lt;=$O1437,$O$2:$O2568&gt;$O1437-7)),0)"),0.699854212223765)</f>
        <v>0.69985421222376498</v>
      </c>
      <c r="X1434" s="77">
        <f t="shared" ca="1" si="252"/>
        <v>-0.90080872787134969</v>
      </c>
      <c r="Y1434" s="77">
        <f t="shared" ca="1" si="253"/>
        <v>2</v>
      </c>
      <c r="Z1434" s="76">
        <f t="array" ref="Z1434">AVERAGEIFS($F$2:$F2565,$B$2:$B2565,$B1434,$P$2:$P2565,"&lt;="&amp;$P1434,$P$2:$P2565,"&gt;"&amp;$P1434-7)</f>
        <v>7.6956521739130439</v>
      </c>
      <c r="AA1434" s="76">
        <f ca="1">IFERROR(__xludf.DUMMYFUNCTION("iferror(stdevp(filter($E$2:$E2568,$B$2:$B2568=$B1437,$O$2:$O2568&lt;=$O1437,$O$2:$O2568&gt;$O1437-7)),0)"),0.880630571852711)</f>
        <v>0.88063057185271099</v>
      </c>
      <c r="AB1434" s="77">
        <f t="shared" ca="1" si="254"/>
        <v>0.34560215806118927</v>
      </c>
      <c r="AC1434" s="77">
        <f t="shared" ca="1" si="255"/>
        <v>3</v>
      </c>
      <c r="AD1434" s="76">
        <f t="array" ref="AD1434">AVERAGEIFS($G$2:$G2565,$B$2:$B2565,$B1434,$P$2:$P2565,"&lt;="&amp;$P1434,$P$2:$P2565,"&gt;"&amp;$P1434-7)</f>
        <v>8.2608695652173907</v>
      </c>
      <c r="AE1434" s="76">
        <f ca="1">IFERROR(__xludf.DUMMYFUNCTION("iferror(stdevp(filter($F$2:$F2568,$B$2:$B2568=$B1437,$O$2:$O2568&lt;=$O1437,$O$2:$O2568&gt;$O1437-7)),0)"),0.451753951452625)</f>
        <v>0.45175395145262498</v>
      </c>
      <c r="AF1434" s="77">
        <f t="shared" ca="1" si="256"/>
        <v>1.636134963304513</v>
      </c>
      <c r="AG1434" s="77">
        <f t="shared" ca="1" si="257"/>
        <v>4</v>
      </c>
      <c r="AH1434" s="76">
        <f t="array" ref="AH1434">AVERAGEIFS($I$2:$I2565,$B$2:$B2565,$B1434,$P$2:$P2565,"&lt;="&amp;$P1434,$P$2:$P2565,"&gt;"&amp;$P1434-7)</f>
        <v>5.7391304347826084</v>
      </c>
      <c r="AI1434" s="76">
        <f ca="1">IFERROR(__xludf.DUMMYFUNCTION("iferror(stdevp(filter($H$2:$H2568,$B$2:$B2568=$B1437,$O$2:$O2568&lt;=$O1437,$O$2:$O2568&gt;$O1437-7)),0)"),0.494871659305393)</f>
        <v>0.49487165930539301</v>
      </c>
      <c r="AJ1434" s="77">
        <f t="shared" ca="1" si="258"/>
        <v>-1.4935800442079459</v>
      </c>
      <c r="AK1434" s="77">
        <f t="shared" ca="1" si="259"/>
        <v>1</v>
      </c>
      <c r="AL1434" s="76">
        <f t="array" ref="AL1434">AVERAGEIFS($J$2:$J2565,$B$2:$B2565,$B1434,$P$2:$P2565,"&lt;="&amp;$P1434,$P$2:$P2565,"&gt;"&amp;$P1434-7)</f>
        <v>6.5434782608695654</v>
      </c>
      <c r="AM1434" s="76">
        <f ca="1">IFERROR(__xludf.DUMMYFUNCTION("iferror(stdevp(filter($I$2:$I2568,$B$2:$B2568=$B1437,$O$2:$O2568&lt;=$O1437,$O$2:$O2568&gt;$O1437-7)),0)"),0.349927106111882)</f>
        <v>0.34992710611188199</v>
      </c>
      <c r="AN1434" s="77">
        <f t="shared" ca="1" si="260"/>
        <v>1.3046195369171292</v>
      </c>
      <c r="AO1434" s="77">
        <f t="shared" ca="1" si="261"/>
        <v>4</v>
      </c>
      <c r="AP1434" s="76">
        <f t="array" ref="AP1434">AVERAGEIFS($K$2:$K2565,$B$2:$B2565,$B1434,$P$2:$P2565,"&lt;="&amp;$P1434,$P$2:$P2565,"&gt;"&amp;$P1434-7)</f>
        <v>6.6086956521739131</v>
      </c>
      <c r="AQ1434" s="76">
        <f ca="1">IFERROR(__xludf.DUMMYFUNCTION("iferror(stdevp(filter($J$2:$J2568,$B$2:$B2568=$B1437,$O$2:$O2568&lt;=$O1437,$O$2:$O2568&gt;$O1437-7)),0)"),0)</f>
        <v>0</v>
      </c>
      <c r="AR1434" s="77">
        <f t="shared" ca="1" si="262"/>
        <v>0</v>
      </c>
      <c r="AS1434" s="77">
        <f t="shared" ca="1" si="263"/>
        <v>3</v>
      </c>
      <c r="AT1434" s="78">
        <f t="shared" ca="1" si="264"/>
        <v>0.70833333333333337</v>
      </c>
    </row>
    <row r="1435" spans="1:46" ht="12.5" x14ac:dyDescent="0.25">
      <c r="A1435" s="75">
        <v>45003.465888472223</v>
      </c>
      <c r="B1435" s="1" t="s">
        <v>6</v>
      </c>
      <c r="C1435" s="1" t="str">
        <f>INDEX(TBL_Name,MATCH(Table2[[#This Row],[Athlete Name]],listNames,0),2)</f>
        <v>Athlete 2</v>
      </c>
      <c r="D1435" s="1" t="s">
        <v>130</v>
      </c>
      <c r="E1435" s="1">
        <v>10</v>
      </c>
      <c r="F1435" s="1">
        <v>10</v>
      </c>
      <c r="G1435" s="1">
        <v>10</v>
      </c>
      <c r="H1435" s="1" t="s">
        <v>181</v>
      </c>
      <c r="I1435" s="1">
        <v>8</v>
      </c>
      <c r="J1435" s="1">
        <v>10</v>
      </c>
      <c r="K1435" s="1">
        <v>10</v>
      </c>
      <c r="L1435" s="1">
        <v>99</v>
      </c>
      <c r="M1435" s="1" t="e">
        <f t="shared" ref="M1435" ca="1" si="407">_xludf.concat($B1435,$P1435)</f>
        <v>#NAME?</v>
      </c>
      <c r="N1435" s="1" t="e">
        <f t="shared" si="248"/>
        <v>#VALUE!</v>
      </c>
      <c r="O1435" s="1" t="e">
        <f t="shared" ref="O1435" ca="1" si="408">IF($N1435=_xludf.MINIFS($N$2:$N2941,$R$2:$R2941,$R1435),1,
($N1435-_xludf.MINIFS($N$2:$N2941,$R$2:$R2941,$R1435))+1)</f>
        <v>#VALUE!</v>
      </c>
      <c r="P1435" s="13" t="e">
        <f t="shared" si="250"/>
        <v>#VALUE!</v>
      </c>
      <c r="Q1435" s="1" t="str">
        <f>RIGHT(YEAR($A1435),2)-(MONTH($A1435)&lt;=[3]Roster!$K$25)
 &amp;"-"&amp;
 RIGHT(YEAR($A1435),2)+(MONTH($A1435)&gt;=[3]Roster!$K$26)</f>
        <v>22-23</v>
      </c>
      <c r="R1435" s="1" t="e">
        <f>CHOOSE(MONTH($P1435),[3]Roster!$K$9,[3]Roster!$K$10,[3]Roster!$K$11,[3]Roster!$K$12,[3]Roster!$K$13,[3]Roster!$K$14,[3]Roster!$K$15,[3]Roster!$K$16,[3]Roster!$K$17,[3]Roster!$K$18,[3]Roster!$K$19,[3]Roster!$K$20)&amp;" "&amp;$Q1435</f>
        <v>#VALUE!</v>
      </c>
      <c r="S1435" s="1">
        <f t="shared" si="251"/>
        <v>1</v>
      </c>
      <c r="T1435" s="1" t="str">
        <f t="array" ref="T1435">IFERROR(INDEX([3]Roster!$D$3:$D$42,MATCH($B1435,[3]Roster!$C$3:$C$42,0)),"")</f>
        <v>FWD</v>
      </c>
      <c r="U1435" s="1" t="str">
        <f t="array" ref="U1435">IFERROR(INDEX([3]Roster!$E$3:$E$42,MATCH($B1435,[3]Roster!$C$3:$C$42,0)),"")</f>
        <v>FWD</v>
      </c>
      <c r="V1435" s="76">
        <f t="array" ref="V1435">AVERAGEIFS($E$2:$E2565,$B$2:$B2565,$B1435,$P$2:$P2565,"&lt;="&amp;$P1435,$P$2:$P2565,"&gt;"&amp;$P1435-7)</f>
        <v>9.7441860465116275</v>
      </c>
      <c r="W1435" s="76">
        <f ca="1">IFERROR(__xludf.DUMMYFUNCTION("iferror(stdevp(filter($D$2:$D2568,$B$2:$B2568=$B1438,$O$2:$O2568&lt;=$O1438,$O$2:$O2568&gt;$O1438-7)),0)"),0.349927106111882)</f>
        <v>0.34992710611188199</v>
      </c>
      <c r="X1435" s="77">
        <f t="shared" ca="1" si="252"/>
        <v>0.73104926431901307</v>
      </c>
      <c r="Y1435" s="77">
        <f t="shared" ca="1" si="253"/>
        <v>3</v>
      </c>
      <c r="Z1435" s="76">
        <f t="array" ref="Z1435">AVERAGEIFS($F$2:$F2565,$B$2:$B2565,$B1435,$P$2:$P2565,"&lt;="&amp;$P1435,$P$2:$P2565,"&gt;"&amp;$P1435-7)</f>
        <v>8.279069767441861</v>
      </c>
      <c r="AA1435" s="76">
        <f ca="1">IFERROR(__xludf.DUMMYFUNCTION("iferror(stdevp(filter($E$2:$E2568,$B$2:$B2568=$B1438,$O$2:$O2568&lt;=$O1438,$O$2:$O2568&gt;$O1438-7)),0)"),0.494871659305393)</f>
        <v>0.49487165930539301</v>
      </c>
      <c r="AB1435" s="77">
        <f t="shared" ca="1" si="254"/>
        <v>3.4775283655840274</v>
      </c>
      <c r="AC1435" s="77">
        <f t="shared" ca="1" si="255"/>
        <v>4</v>
      </c>
      <c r="AD1435" s="76">
        <f t="array" ref="AD1435">AVERAGEIFS($G$2:$G2565,$B$2:$B2565,$B1435,$P$2:$P2565,"&lt;="&amp;$P1435,$P$2:$P2565,"&gt;"&amp;$P1435-7)</f>
        <v>8.604651162790697</v>
      </c>
      <c r="AE1435" s="76">
        <f ca="1">IFERROR(__xludf.DUMMYFUNCTION("iferror(stdevp(filter($F$2:$F2568,$B$2:$B2568=$B1438,$O$2:$O2568&lt;=$O1438,$O$2:$O2568&gt;$O1438-7)),0)"),0.728431359084683)</f>
        <v>0.72843135908468304</v>
      </c>
      <c r="AF1435" s="77">
        <f t="shared" ca="1" si="256"/>
        <v>1.9155529478613347</v>
      </c>
      <c r="AG1435" s="77">
        <f t="shared" ca="1" si="257"/>
        <v>4</v>
      </c>
      <c r="AH1435" s="76">
        <f t="array" ref="AH1435">AVERAGEIFS($I$2:$I2565,$B$2:$B2565,$B1435,$P$2:$P2565,"&lt;="&amp;$P1435,$P$2:$P2565,"&gt;"&amp;$P1435-7)</f>
        <v>8.3488372093023262</v>
      </c>
      <c r="AI1435" s="76">
        <f ca="1">IFERROR(__xludf.DUMMYFUNCTION("iferror(stdevp(filter($H$2:$H2568,$B$2:$B2568=$B1438,$O$2:$O2568&lt;=$O1438,$O$2:$O2568&gt;$O1438-7)),0)"),0.494871659305393)</f>
        <v>0.49487165930539301</v>
      </c>
      <c r="AJ1435" s="77">
        <f t="shared" ca="1" si="258"/>
        <v>-0.70490439842919617</v>
      </c>
      <c r="AK1435" s="77">
        <f t="shared" ca="1" si="259"/>
        <v>2</v>
      </c>
      <c r="AL1435" s="76">
        <f t="array" ref="AL1435">AVERAGEIFS($J$2:$J2565,$B$2:$B2565,$B1435,$P$2:$P2565,"&lt;="&amp;$P1435,$P$2:$P2565,"&gt;"&amp;$P1435-7)</f>
        <v>8.3023255813953494</v>
      </c>
      <c r="AM1435" s="76">
        <f ca="1">IFERROR(__xludf.DUMMYFUNCTION("iferror(stdevp(filter($I$2:$I2568,$B$2:$B2568=$B1438,$O$2:$O2568&lt;=$O1438,$O$2:$O2568&gt;$O1438-7)),0)"),1.38505138783323)</f>
        <v>1.38505138783323</v>
      </c>
      <c r="AN1435" s="77">
        <f t="shared" ca="1" si="260"/>
        <v>1.225712225205223</v>
      </c>
      <c r="AO1435" s="77">
        <f t="shared" ca="1" si="261"/>
        <v>4</v>
      </c>
      <c r="AP1435" s="76">
        <f t="array" ref="AP1435">AVERAGEIFS($K$2:$K2565,$B$2:$B2565,$B1435,$P$2:$P2565,"&lt;="&amp;$P1435,$P$2:$P2565,"&gt;"&amp;$P1435-7)</f>
        <v>8.9069767441860463</v>
      </c>
      <c r="AQ1435" s="76">
        <f ca="1">IFERROR(__xludf.DUMMYFUNCTION("iferror(stdevp(filter($J$2:$J2568,$B$2:$B2568=$B1438,$O$2:$O2568&lt;=$O1438,$O$2:$O2568&gt;$O1438-7)),0)"),0.349927106111882)</f>
        <v>0.34992710611188199</v>
      </c>
      <c r="AR1435" s="77">
        <f t="shared" ca="1" si="262"/>
        <v>3.1235741293630506</v>
      </c>
      <c r="AS1435" s="77">
        <f t="shared" ca="1" si="263"/>
        <v>4</v>
      </c>
      <c r="AT1435" s="78">
        <f t="shared" ca="1" si="264"/>
        <v>0.875</v>
      </c>
    </row>
    <row r="1436" spans="1:46" ht="12.5" x14ac:dyDescent="0.25">
      <c r="A1436" s="75">
        <v>45003.482732546297</v>
      </c>
      <c r="B1436" s="1" t="s">
        <v>7</v>
      </c>
      <c r="C1436" s="1" t="str">
        <f>INDEX(TBL_Name,MATCH(Table2[[#This Row],[Athlete Name]],listNames,0),2)</f>
        <v>Athlete 3</v>
      </c>
      <c r="D1436" s="1" t="s">
        <v>130</v>
      </c>
      <c r="E1436" s="1">
        <v>7</v>
      </c>
      <c r="F1436" s="1">
        <v>8</v>
      </c>
      <c r="G1436" s="1">
        <v>9</v>
      </c>
      <c r="H1436" s="1" t="s">
        <v>68</v>
      </c>
      <c r="I1436" s="1">
        <v>7</v>
      </c>
      <c r="J1436" s="1">
        <v>8</v>
      </c>
      <c r="K1436" s="1">
        <v>8</v>
      </c>
      <c r="L1436" s="1">
        <v>95</v>
      </c>
      <c r="M1436" s="1" t="e">
        <f t="shared" ref="M1436" ca="1" si="409">_xludf.concat($B1436,$P1436)</f>
        <v>#NAME?</v>
      </c>
      <c r="N1436" s="1" t="e">
        <f t="shared" si="248"/>
        <v>#VALUE!</v>
      </c>
      <c r="O1436" s="1" t="e">
        <f t="shared" ref="O1436" ca="1" si="410">IF($N1436=_xludf.MINIFS($N$2:$N2942,$R$2:$R2942,$R1436),1,
($N1436-_xludf.MINIFS($N$2:$N2942,$R$2:$R2942,$R1436))+1)</f>
        <v>#VALUE!</v>
      </c>
      <c r="P1436" s="13" t="e">
        <f t="shared" si="250"/>
        <v>#VALUE!</v>
      </c>
      <c r="Q1436" s="1" t="str">
        <f>RIGHT(YEAR($A1436),2)-(MONTH($A1436)&lt;=[3]Roster!$K$25)
 &amp;"-"&amp;
 RIGHT(YEAR($A1436),2)+(MONTH($A1436)&gt;=[3]Roster!$K$26)</f>
        <v>22-23</v>
      </c>
      <c r="R1436" s="1" t="e">
        <f>CHOOSE(MONTH($P1436),[3]Roster!$K$9,[3]Roster!$K$10,[3]Roster!$K$11,[3]Roster!$K$12,[3]Roster!$K$13,[3]Roster!$K$14,[3]Roster!$K$15,[3]Roster!$K$16,[3]Roster!$K$17,[3]Roster!$K$18,[3]Roster!$K$19,[3]Roster!$K$20)&amp;" "&amp;$Q1436</f>
        <v>#VALUE!</v>
      </c>
      <c r="S1436" s="1">
        <f t="shared" si="251"/>
        <v>1</v>
      </c>
      <c r="T1436" s="1" t="str">
        <f t="array" ref="T1436">IFERROR(INDEX([3]Roster!$D$3:$D$42,MATCH($B1436,[3]Roster!$C$3:$C$42,0)),"")</f>
        <v>F/MID</v>
      </c>
      <c r="U1436" s="1" t="str">
        <f t="array" ref="U1436">IFERROR(INDEX([3]Roster!$E$3:$E$42,MATCH($B1436,[3]Roster!$C$3:$C$42,0)),"")</f>
        <v>F/MID</v>
      </c>
      <c r="V1436" s="76">
        <f t="array" ref="V1436">AVERAGEIFS($E$2:$E2565,$B$2:$B2565,$B1436,$P$2:$P2565,"&lt;="&amp;$P1436,$P$2:$P2565,"&gt;"&amp;$P1436-7)</f>
        <v>6</v>
      </c>
      <c r="W1436" s="76">
        <f ca="1">IFERROR(__xludf.DUMMYFUNCTION("iferror(stdevp(filter($D$2:$D2568,$B$2:$B2568=$B1439,$O$2:$O2568&lt;=$O1439,$O$2:$O2568&gt;$O1439-7)),0)"),1.41421356237309)</f>
        <v>1.41421356237309</v>
      </c>
      <c r="X1436" s="77">
        <f t="shared" ca="1" si="252"/>
        <v>0.70710678118655002</v>
      </c>
      <c r="Y1436" s="77">
        <f t="shared" ca="1" si="253"/>
        <v>3</v>
      </c>
      <c r="Z1436" s="76">
        <f t="array" ref="Z1436">AVERAGEIFS($F$2:$F2565,$B$2:$B2565,$B1436,$P$2:$P2565,"&lt;="&amp;$P1436,$P$2:$P2565,"&gt;"&amp;$P1436-7)</f>
        <v>7.3703703703703702</v>
      </c>
      <c r="AA1436" s="76">
        <f ca="1">IFERROR(__xludf.DUMMYFUNCTION("iferror(stdevp(filter($E$2:$E2568,$B$2:$B2568=$B1439,$O$2:$O2568&lt;=$O1439,$O$2:$O2568&gt;$O1439-7)),0)"),2.0976176963403)</f>
        <v>2.0976176963403002</v>
      </c>
      <c r="AB1436" s="77">
        <f t="shared" ca="1" si="254"/>
        <v>0.30016414846620548</v>
      </c>
      <c r="AC1436" s="77">
        <f t="shared" ca="1" si="255"/>
        <v>3</v>
      </c>
      <c r="AD1436" s="76">
        <f t="array" ref="AD1436">AVERAGEIFS($G$2:$G2565,$B$2:$B2565,$B1436,$P$2:$P2565,"&lt;="&amp;$P1436,$P$2:$P2565,"&gt;"&amp;$P1436-7)</f>
        <v>7.7777777777777777</v>
      </c>
      <c r="AE1436" s="76">
        <f ca="1">IFERROR(__xludf.DUMMYFUNCTION("iferror(stdevp(filter($F$2:$F2568,$B$2:$B2568=$B1439,$O$2:$O2568&lt;=$O1439,$O$2:$O2568&gt;$O1439-7)),0)"),1.16619037896906)</f>
        <v>1.16619037896906</v>
      </c>
      <c r="AF1436" s="77">
        <f t="shared" ca="1" si="256"/>
        <v>1.0480469092042208</v>
      </c>
      <c r="AG1436" s="77">
        <f t="shared" ca="1" si="257"/>
        <v>4</v>
      </c>
      <c r="AH1436" s="76">
        <f t="array" ref="AH1436">AVERAGEIFS($I$2:$I2565,$B$2:$B2565,$B1436,$P$2:$P2565,"&lt;="&amp;$P1436,$P$2:$P2565,"&gt;"&amp;$P1436-7)</f>
        <v>6.333333333333333</v>
      </c>
      <c r="AI1436" s="76">
        <f ca="1">IFERROR(__xludf.DUMMYFUNCTION("iferror(stdevp(filter($H$2:$H2568,$B$2:$B2568=$B1439,$O$2:$O2568&lt;=$O1439,$O$2:$O2568&gt;$O1439-7)),0)"),1.16619037896906)</f>
        <v>1.16619037896906</v>
      </c>
      <c r="AJ1436" s="77">
        <f t="shared" ca="1" si="258"/>
        <v>0.57166195047502977</v>
      </c>
      <c r="AK1436" s="77">
        <f t="shared" ca="1" si="259"/>
        <v>3</v>
      </c>
      <c r="AL1436" s="76">
        <f t="array" ref="AL1436">AVERAGEIFS($J$2:$J2565,$B$2:$B2565,$B1436,$P$2:$P2565,"&lt;="&amp;$P1436,$P$2:$P2565,"&gt;"&amp;$P1436-7)</f>
        <v>5.4230769230769234</v>
      </c>
      <c r="AM1436" s="76">
        <f ca="1">IFERROR(__xludf.DUMMYFUNCTION("iferror(stdevp(filter($I$2:$I2568,$B$2:$B2568=$B1439,$O$2:$O2568&lt;=$O1439,$O$2:$O2568&gt;$O1439-7)),0)"),1.49666295470957)</f>
        <v>1.49666295470957</v>
      </c>
      <c r="AN1436" s="77">
        <f t="shared" ca="1" si="260"/>
        <v>1.721779154628126</v>
      </c>
      <c r="AO1436" s="77">
        <f t="shared" ca="1" si="261"/>
        <v>4</v>
      </c>
      <c r="AP1436" s="76">
        <f t="array" ref="AP1436">AVERAGEIFS($K$2:$K2565,$B$2:$B2565,$B1436,$P$2:$P2565,"&lt;="&amp;$P1436,$P$2:$P2565,"&gt;"&amp;$P1436-7)</f>
        <v>7.5769230769230766</v>
      </c>
      <c r="AQ1436" s="76">
        <f ca="1">IFERROR(__xludf.DUMMYFUNCTION("iferror(stdevp(filter($J$2:$J2568,$B$2:$B2568=$B1439,$O$2:$O2568&lt;=$O1439,$O$2:$O2568&gt;$O1439-7)),0)"),0.489897948556635)</f>
        <v>0.48989794855663499</v>
      </c>
      <c r="AR1436" s="77">
        <f t="shared" ca="1" si="262"/>
        <v>0.86360215290432729</v>
      </c>
      <c r="AS1436" s="77">
        <f t="shared" ca="1" si="263"/>
        <v>3</v>
      </c>
      <c r="AT1436" s="78">
        <f t="shared" ca="1" si="264"/>
        <v>0.83333333333333337</v>
      </c>
    </row>
    <row r="1437" spans="1:46" ht="12.5" x14ac:dyDescent="0.25">
      <c r="A1437" s="75">
        <v>45003.494951840279</v>
      </c>
      <c r="B1437" s="1" t="s">
        <v>17</v>
      </c>
      <c r="C1437" s="1" t="str">
        <f>INDEX(TBL_Name,MATCH(Table2[[#This Row],[Athlete Name]],listNames,0),2)</f>
        <v>Athlete 10</v>
      </c>
      <c r="D1437" s="1" t="s">
        <v>130</v>
      </c>
      <c r="E1437" s="1">
        <v>6</v>
      </c>
      <c r="F1437" s="1">
        <v>9</v>
      </c>
      <c r="G1437" s="1">
        <v>10</v>
      </c>
      <c r="H1437" s="1" t="s">
        <v>131</v>
      </c>
      <c r="I1437" s="1">
        <v>7</v>
      </c>
      <c r="J1437" s="1">
        <v>8</v>
      </c>
      <c r="K1437" s="1">
        <v>9</v>
      </c>
      <c r="L1437" s="1">
        <v>89</v>
      </c>
      <c r="M1437" s="1" t="e">
        <f t="shared" ref="M1437" ca="1" si="411">_xludf.concat($B1437,$P1437)</f>
        <v>#NAME?</v>
      </c>
      <c r="N1437" s="1" t="e">
        <f t="shared" si="248"/>
        <v>#VALUE!</v>
      </c>
      <c r="O1437" s="1" t="e">
        <f t="shared" ref="O1437" ca="1" si="412">IF($N1437=_xludf.MINIFS($N$2:$N2943,$R$2:$R2943,$R1437),1,
($N1437-_xludf.MINIFS($N$2:$N2943,$R$2:$R2943,$R1437))+1)</f>
        <v>#VALUE!</v>
      </c>
      <c r="P1437" s="13" t="e">
        <f t="shared" si="250"/>
        <v>#VALUE!</v>
      </c>
      <c r="Q1437" s="1" t="str">
        <f>RIGHT(YEAR($A1437),2)-(MONTH($A1437)&lt;=[3]Roster!$K$25)
 &amp;"-"&amp;
 RIGHT(YEAR($A1437),2)+(MONTH($A1437)&gt;=[3]Roster!$K$26)</f>
        <v>22-23</v>
      </c>
      <c r="R1437" s="1" t="e">
        <f>CHOOSE(MONTH($P1437),[3]Roster!$K$9,[3]Roster!$K$10,[3]Roster!$K$11,[3]Roster!$K$12,[3]Roster!$K$13,[3]Roster!$K$14,[3]Roster!$K$15,[3]Roster!$K$16,[3]Roster!$K$17,[3]Roster!$K$18,[3]Roster!$K$19,[3]Roster!$K$20)&amp;" "&amp;$Q1437</f>
        <v>#VALUE!</v>
      </c>
      <c r="S1437" s="1">
        <f t="shared" si="251"/>
        <v>1</v>
      </c>
      <c r="T1437" s="1" t="str">
        <f t="array" ref="T1437">IFERROR(INDEX([3]Roster!$D$3:$D$42,MATCH($B1437,[3]Roster!$C$3:$C$42,0)),"")</f>
        <v>D</v>
      </c>
      <c r="U1437" s="1" t="str">
        <f t="array" ref="U1437">IFERROR(INDEX([3]Roster!$E$3:$E$42,MATCH($B1437,[3]Roster!$C$3:$C$42,0)),"")</f>
        <v>D</v>
      </c>
      <c r="V1437" s="76">
        <f t="array" ref="V1437">AVERAGEIFS($E$2:$E2565,$B$2:$B2565,$B1437,$P$2:$P2565,"&lt;="&amp;$P1437,$P$2:$P2565,"&gt;"&amp;$P1437-7)</f>
        <v>6.9024390243902438</v>
      </c>
      <c r="W1437" s="76">
        <f ca="1">IFERROR(__xludf.DUMMYFUNCTION("iferror(stdevp(filter($D$2:$D2568,$B$2:$B2568=$B1440,$O$2:$O2568&lt;=$O1440,$O$2:$O2568&gt;$O1440-7)),0)"),0.894427190999915)</f>
        <v>0.89442719099991497</v>
      </c>
      <c r="X1437" s="77">
        <f t="shared" ca="1" si="252"/>
        <v>-1.0089575020425889</v>
      </c>
      <c r="Y1437" s="77">
        <f t="shared" ca="1" si="253"/>
        <v>1</v>
      </c>
      <c r="Z1437" s="76">
        <f t="array" ref="Z1437">AVERAGEIFS($F$2:$F2565,$B$2:$B2565,$B1437,$P$2:$P2565,"&lt;="&amp;$P1437,$P$2:$P2565,"&gt;"&amp;$P1437-7)</f>
        <v>7.2926829268292686</v>
      </c>
      <c r="AA1437" s="76">
        <f ca="1">IFERROR(__xludf.DUMMYFUNCTION("iferror(stdevp(filter($E$2:$E2568,$B$2:$B2568=$B1440,$O$2:$O2568&lt;=$O1440,$O$2:$O2568&gt;$O1440-7)),0)"),1.62480768092719)</f>
        <v>1.6248076809271901</v>
      </c>
      <c r="AB1437" s="77">
        <f t="shared" ca="1" si="254"/>
        <v>1.0507810205552806</v>
      </c>
      <c r="AC1437" s="77">
        <f t="shared" ca="1" si="255"/>
        <v>4</v>
      </c>
      <c r="AD1437" s="76">
        <f t="array" ref="AD1437">AVERAGEIFS($G$2:$G2565,$B$2:$B2565,$B1437,$P$2:$P2565,"&lt;="&amp;$P1437,$P$2:$P2565,"&gt;"&amp;$P1437-7)</f>
        <v>7.8048780487804876</v>
      </c>
      <c r="AE1437" s="76">
        <f ca="1">IFERROR(__xludf.DUMMYFUNCTION("iferror(stdevp(filter($F$2:$F2568,$B$2:$B2568=$B1440,$O$2:$O2568&lt;=$O1440,$O$2:$O2568&gt;$O1440-7)),0)"),2.03960780543711)</f>
        <v>2.0396078054371101</v>
      </c>
      <c r="AF1437" s="77">
        <f t="shared" ca="1" si="256"/>
        <v>1.0762470830754023</v>
      </c>
      <c r="AG1437" s="77">
        <f t="shared" ca="1" si="257"/>
        <v>4</v>
      </c>
      <c r="AH1437" s="76">
        <f t="array" ref="AH1437">AVERAGEIFS($I$2:$I2565,$B$2:$B2565,$B1437,$P$2:$P2565,"&lt;="&amp;$P1437,$P$2:$P2565,"&gt;"&amp;$P1437-7)</f>
        <v>6.3170731707317076</v>
      </c>
      <c r="AI1437" s="76">
        <f ca="1">IFERROR(__xludf.DUMMYFUNCTION("iferror(stdevp(filter($H$2:$H2568,$B$2:$B2568=$B1440,$O$2:$O2568&lt;=$O1440,$O$2:$O2568&gt;$O1440-7)),0)"),1.01980390271855)</f>
        <v>1.0198039027185499</v>
      </c>
      <c r="AJ1437" s="77">
        <f t="shared" ca="1" si="258"/>
        <v>0.66966485169136447</v>
      </c>
      <c r="AK1437" s="77">
        <f t="shared" ca="1" si="259"/>
        <v>3</v>
      </c>
      <c r="AL1437" s="76">
        <f t="array" ref="AL1437">AVERAGEIFS($J$2:$J2565,$B$2:$B2565,$B1437,$P$2:$P2565,"&lt;="&amp;$P1437,$P$2:$P2565,"&gt;"&amp;$P1437-7)</f>
        <v>6.9024390243902438</v>
      </c>
      <c r="AM1437" s="76">
        <f ca="1">IFERROR(__xludf.DUMMYFUNCTION("iferror(stdevp(filter($I$2:$I2568,$B$2:$B2568=$B1440,$O$2:$O2568&lt;=$O1440,$O$2:$O2568&gt;$O1440-7)),0)"),0)</f>
        <v>0</v>
      </c>
      <c r="AN1437" s="77">
        <f t="shared" ca="1" si="260"/>
        <v>0</v>
      </c>
      <c r="AO1437" s="77">
        <f t="shared" ca="1" si="261"/>
        <v>3</v>
      </c>
      <c r="AP1437" s="76">
        <f t="array" ref="AP1437">AVERAGEIFS($K$2:$K2565,$B$2:$B2565,$B1437,$P$2:$P2565,"&lt;="&amp;$P1437,$P$2:$P2565,"&gt;"&amp;$P1437-7)</f>
        <v>8</v>
      </c>
      <c r="AQ1437" s="76">
        <f ca="1">IFERROR(__xludf.DUMMYFUNCTION("iferror(stdevp(filter($J$2:$J2568,$B$2:$B2568=$B1440,$O$2:$O2568&lt;=$O1440,$O$2:$O2568&gt;$O1440-7)),0)"),1.2)</f>
        <v>1.2</v>
      </c>
      <c r="AR1437" s="77">
        <f t="shared" ca="1" si="262"/>
        <v>0.83333333333333337</v>
      </c>
      <c r="AS1437" s="77">
        <f t="shared" ca="1" si="263"/>
        <v>3</v>
      </c>
      <c r="AT1437" s="78">
        <f t="shared" ca="1" si="264"/>
        <v>0.75</v>
      </c>
    </row>
    <row r="1438" spans="1:46" ht="12.5" x14ac:dyDescent="0.25">
      <c r="A1438" s="75">
        <v>45003.621845775458</v>
      </c>
      <c r="B1438" s="1" t="s">
        <v>29</v>
      </c>
      <c r="C1438" s="1" t="str">
        <f>INDEX(TBL_Name,MATCH(Table2[[#This Row],[Athlete Name]],listNames,0),2)</f>
        <v>Athlete 18</v>
      </c>
      <c r="D1438" s="1" t="s">
        <v>130</v>
      </c>
      <c r="E1438" s="1">
        <v>10</v>
      </c>
      <c r="F1438" s="1">
        <v>8</v>
      </c>
      <c r="G1438" s="1">
        <v>9</v>
      </c>
      <c r="H1438" s="1" t="s">
        <v>1624</v>
      </c>
      <c r="I1438" s="1">
        <v>8</v>
      </c>
      <c r="J1438" s="1">
        <v>9</v>
      </c>
      <c r="K1438" s="1">
        <v>8</v>
      </c>
      <c r="L1438" s="1">
        <v>97</v>
      </c>
      <c r="M1438" s="1" t="e">
        <f t="shared" ref="M1438" ca="1" si="413">_xludf.concat($B1438,$P1438)</f>
        <v>#NAME?</v>
      </c>
      <c r="N1438" s="1" t="e">
        <f t="shared" si="248"/>
        <v>#VALUE!</v>
      </c>
      <c r="O1438" s="1" t="e">
        <f t="shared" ref="O1438" ca="1" si="414">IF($N1438=_xludf.MINIFS($N$2:$N2944,$R$2:$R2944,$R1438),1,
($N1438-_xludf.MINIFS($N$2:$N2944,$R$2:$R2944,$R1438))+1)</f>
        <v>#VALUE!</v>
      </c>
      <c r="P1438" s="13" t="e">
        <f t="shared" si="250"/>
        <v>#VALUE!</v>
      </c>
      <c r="Q1438" s="1" t="str">
        <f>RIGHT(YEAR($A1438),2)-(MONTH($A1438)&lt;=[3]Roster!$K$25)
 &amp;"-"&amp;
 RIGHT(YEAR($A1438),2)+(MONTH($A1438)&gt;=[3]Roster!$K$26)</f>
        <v>22-23</v>
      </c>
      <c r="R1438" s="1" t="e">
        <f>CHOOSE(MONTH($P1438),[3]Roster!$K$9,[3]Roster!$K$10,[3]Roster!$K$11,[3]Roster!$K$12,[3]Roster!$K$13,[3]Roster!$K$14,[3]Roster!$K$15,[3]Roster!$K$16,[3]Roster!$K$17,[3]Roster!$K$18,[3]Roster!$K$19,[3]Roster!$K$20)&amp;" "&amp;$Q1438</f>
        <v>#VALUE!</v>
      </c>
      <c r="S1438" s="1">
        <f t="shared" si="251"/>
        <v>1</v>
      </c>
      <c r="T1438" s="1" t="str">
        <f t="array" ref="T1438">IFERROR(INDEX([3]Roster!$D$3:$D$42,MATCH($B1438,[3]Roster!$C$3:$C$42,0)),"")</f>
        <v>GK</v>
      </c>
      <c r="U1438" s="1" t="str">
        <f t="array" ref="U1438">IFERROR(INDEX([3]Roster!$E$3:$E$42,MATCH($B1438,[3]Roster!$C$3:$C$42,0)),"")</f>
        <v>GK</v>
      </c>
      <c r="V1438" s="76">
        <f t="array" ref="V1438">AVERAGEIFS($E$2:$E2565,$B$2:$B2565,$B1438,$P$2:$P2565,"&lt;="&amp;$P1438,$P$2:$P2565,"&gt;"&amp;$P1438-7)</f>
        <v>8.53125</v>
      </c>
      <c r="W1438" s="76">
        <f ca="1">IFERROR(__xludf.DUMMYFUNCTION("iferror(stdevp(filter($D$2:$D2568,$B$2:$B2568=$B1441,$O$2:$O2568&lt;=$O1441,$O$2:$O2568&gt;$O1441-7)),0)"),1.46249406456535)</f>
        <v>1.4624940645653499</v>
      </c>
      <c r="X1438" s="77">
        <f t="shared" ca="1" si="252"/>
        <v>1.0042775800505621</v>
      </c>
      <c r="Y1438" s="77">
        <f t="shared" ca="1" si="253"/>
        <v>4</v>
      </c>
      <c r="Z1438" s="76">
        <f t="array" ref="Z1438">AVERAGEIFS($F$2:$F2565,$B$2:$B2565,$B1438,$P$2:$P2565,"&lt;="&amp;$P1438,$P$2:$P2565,"&gt;"&amp;$P1438-7)</f>
        <v>8.125</v>
      </c>
      <c r="AA1438" s="76">
        <f ca="1">IFERROR(__xludf.DUMMYFUNCTION("iferror(stdevp(filter($E$2:$E2568,$B$2:$B2568=$B1441,$O$2:$O2568&lt;=$O1441,$O$2:$O2568&gt;$O1441-7)),0)"),0.957427107756338)</f>
        <v>0.95742710775633799</v>
      </c>
      <c r="AB1438" s="77">
        <f t="shared" ca="1" si="254"/>
        <v>-0.1305582419667734</v>
      </c>
      <c r="AC1438" s="77">
        <f t="shared" ca="1" si="255"/>
        <v>2</v>
      </c>
      <c r="AD1438" s="76">
        <f t="array" ref="AD1438">AVERAGEIFS($G$2:$G2565,$B$2:$B2565,$B1438,$P$2:$P2565,"&lt;="&amp;$P1438,$P$2:$P2565,"&gt;"&amp;$P1438-7)</f>
        <v>8.09375</v>
      </c>
      <c r="AE1438" s="76">
        <f ca="1">IFERROR(__xludf.DUMMYFUNCTION("iferror(stdevp(filter($F$2:$F2568,$B$2:$B2568=$B1441,$O$2:$O2568&lt;=$O1441,$O$2:$O2568&gt;$O1441-7)),0)"),0.816496580927726)</f>
        <v>0.81649658092772603</v>
      </c>
      <c r="AF1438" s="77">
        <f t="shared" ca="1" si="256"/>
        <v>1.1099250396986275</v>
      </c>
      <c r="AG1438" s="77">
        <f t="shared" ca="1" si="257"/>
        <v>4</v>
      </c>
      <c r="AH1438" s="76">
        <f t="array" ref="AH1438">AVERAGEIFS($I$2:$I2565,$B$2:$B2565,$B1438,$P$2:$P2565,"&lt;="&amp;$P1438,$P$2:$P2565,"&gt;"&amp;$P1438-7)</f>
        <v>7.875</v>
      </c>
      <c r="AI1438" s="76">
        <f ca="1">IFERROR(__xludf.DUMMYFUNCTION("iferror(stdevp(filter($H$2:$H2568,$B$2:$B2568=$B1441,$O$2:$O2568&lt;=$O1441,$O$2:$O2568&gt;$O1441-7)),0)"),0.89752746785575)</f>
        <v>0.89752746785574999</v>
      </c>
      <c r="AJ1438" s="77">
        <f t="shared" ca="1" si="258"/>
        <v>0.13927150363278901</v>
      </c>
      <c r="AK1438" s="77">
        <f t="shared" ca="1" si="259"/>
        <v>3</v>
      </c>
      <c r="AL1438" s="76">
        <f t="array" ref="AL1438">AVERAGEIFS($J$2:$J2565,$B$2:$B2565,$B1438,$P$2:$P2565,"&lt;="&amp;$P1438,$P$2:$P2565,"&gt;"&amp;$P1438-7)</f>
        <v>8.34375</v>
      </c>
      <c r="AM1438" s="76">
        <f ca="1">IFERROR(__xludf.DUMMYFUNCTION("iferror(stdevp(filter($I$2:$I2568,$B$2:$B2568=$B1441,$O$2:$O2568&lt;=$O1441,$O$2:$O2568&gt;$O1441-7)),0)"),0.942809041582063)</f>
        <v>0.94280904158206302</v>
      </c>
      <c r="AN1438" s="77">
        <f t="shared" ca="1" si="260"/>
        <v>0.69605823773050801</v>
      </c>
      <c r="AO1438" s="77">
        <f t="shared" ca="1" si="261"/>
        <v>3</v>
      </c>
      <c r="AP1438" s="76">
        <f t="array" ref="AP1438">AVERAGEIFS($K$2:$K2565,$B$2:$B2565,$B1438,$P$2:$P2565,"&lt;="&amp;$P1438,$P$2:$P2565,"&gt;"&amp;$P1438-7)</f>
        <v>8.46875</v>
      </c>
      <c r="AQ1438" s="76">
        <f ca="1">IFERROR(__xludf.DUMMYFUNCTION("iferror(stdevp(filter($J$2:$J2568,$B$2:$B2568=$B1441,$O$2:$O2568&lt;=$O1441,$O$2:$O2568&gt;$O1441-7)),0)"),0.89752746785575)</f>
        <v>0.89752746785574999</v>
      </c>
      <c r="AR1438" s="77">
        <f t="shared" ca="1" si="262"/>
        <v>-0.52226813862295873</v>
      </c>
      <c r="AS1438" s="77">
        <f t="shared" ca="1" si="263"/>
        <v>2</v>
      </c>
      <c r="AT1438" s="78">
        <f t="shared" ca="1" si="264"/>
        <v>0.75</v>
      </c>
    </row>
    <row r="1439" spans="1:46" ht="12.5" x14ac:dyDescent="0.25">
      <c r="A1439" s="75">
        <v>45003.625764074073</v>
      </c>
      <c r="B1439" s="1" t="s">
        <v>13</v>
      </c>
      <c r="C1439" s="1" t="str">
        <f>INDEX(TBL_Name,MATCH(Table2[[#This Row],[Athlete Name]],listNames,0),2)</f>
        <v>Athlete 7</v>
      </c>
      <c r="D1439" s="1" t="s">
        <v>130</v>
      </c>
      <c r="E1439" s="1">
        <v>8</v>
      </c>
      <c r="F1439" s="1">
        <v>6</v>
      </c>
      <c r="G1439" s="1">
        <v>6</v>
      </c>
      <c r="H1439" s="1" t="s">
        <v>73</v>
      </c>
      <c r="I1439" s="1">
        <v>8</v>
      </c>
      <c r="J1439" s="1">
        <v>10</v>
      </c>
      <c r="K1439" s="1">
        <v>10</v>
      </c>
      <c r="L1439" s="1">
        <v>60</v>
      </c>
      <c r="M1439" s="1" t="e">
        <f t="shared" ref="M1439" ca="1" si="415">_xludf.concat($B1439,$P1439)</f>
        <v>#NAME?</v>
      </c>
      <c r="N1439" s="1" t="e">
        <f t="shared" si="248"/>
        <v>#VALUE!</v>
      </c>
      <c r="O1439" s="1" t="e">
        <f t="shared" ref="O1439" ca="1" si="416">IF($N1439=_xludf.MINIFS($N$2:$N2945,$R$2:$R2945,$R1439),1,
($N1439-_xludf.MINIFS($N$2:$N2945,$R$2:$R2945,$R1439))+1)</f>
        <v>#VALUE!</v>
      </c>
      <c r="P1439" s="13" t="e">
        <f t="shared" si="250"/>
        <v>#VALUE!</v>
      </c>
      <c r="Q1439" s="1" t="str">
        <f>RIGHT(YEAR($A1439),2)-(MONTH($A1439)&lt;=[3]Roster!$K$25)
 &amp;"-"&amp;
 RIGHT(YEAR($A1439),2)+(MONTH($A1439)&gt;=[3]Roster!$K$26)</f>
        <v>22-23</v>
      </c>
      <c r="R1439" s="1" t="e">
        <f>CHOOSE(MONTH($P1439),[3]Roster!$K$9,[3]Roster!$K$10,[3]Roster!$K$11,[3]Roster!$K$12,[3]Roster!$K$13,[3]Roster!$K$14,[3]Roster!$K$15,[3]Roster!$K$16,[3]Roster!$K$17,[3]Roster!$K$18,[3]Roster!$K$19,[3]Roster!$K$20)&amp;" "&amp;$Q1439</f>
        <v>#VALUE!</v>
      </c>
      <c r="S1439" s="1">
        <f t="shared" si="251"/>
        <v>1</v>
      </c>
      <c r="T1439" s="1" t="str">
        <f t="array" ref="T1439">IFERROR(INDEX([3]Roster!$D$3:$D$42,MATCH($B1439,[3]Roster!$C$3:$C$42,0)),"")</f>
        <v>MID/D</v>
      </c>
      <c r="U1439" s="1" t="str">
        <f t="array" ref="U1439">IFERROR(INDEX([3]Roster!$E$3:$E$42,MATCH($B1439,[3]Roster!$C$3:$C$42,0)),"")</f>
        <v>MID/D</v>
      </c>
      <c r="V1439" s="76">
        <f t="array" ref="V1439">AVERAGEIFS($E$2:$E2565,$B$2:$B2565,$B1439,$P$2:$P2565,"&lt;="&amp;$P1439,$P$2:$P2565,"&gt;"&amp;$P1439-7)</f>
        <v>7.6857142857142859</v>
      </c>
      <c r="W1439" s="76">
        <f ca="1">IFERROR(__xludf.DUMMYFUNCTION("iferror(stdevp(filter($D$2:$D2568,$B$2:$B2568=$B1442,$O$2:$O2568&lt;=$O1442,$O$2:$O2568&gt;$O1442-7)),0)"),0.942809041582063)</f>
        <v>0.94280904158206302</v>
      </c>
      <c r="X1439" s="77">
        <f t="shared" ca="1" si="252"/>
        <v>0.33335033970222944</v>
      </c>
      <c r="Y1439" s="77">
        <f t="shared" ca="1" si="253"/>
        <v>3</v>
      </c>
      <c r="Z1439" s="76">
        <f t="array" ref="Z1439">AVERAGEIFS($F$2:$F2565,$B$2:$B2565,$B1439,$P$2:$P2565,"&lt;="&amp;$P1439,$P$2:$P2565,"&gt;"&amp;$P1439-7)</f>
        <v>7.0857142857142854</v>
      </c>
      <c r="AA1439" s="76">
        <f ca="1">IFERROR(__xludf.DUMMYFUNCTION("iferror(stdevp(filter($E$2:$E2568,$B$2:$B2568=$B1442,$O$2:$O2568&lt;=$O1442,$O$2:$O2568&gt;$O1442-7)),0)"),0.687184270936276)</f>
        <v>0.68718427093627599</v>
      </c>
      <c r="AB1439" s="77">
        <f t="shared" ca="1" si="254"/>
        <v>-1.5799463573795418</v>
      </c>
      <c r="AC1439" s="77">
        <f t="shared" ca="1" si="255"/>
        <v>1</v>
      </c>
      <c r="AD1439" s="76">
        <f t="array" ref="AD1439">AVERAGEIFS($G$2:$G2565,$B$2:$B2565,$B1439,$P$2:$P2565,"&lt;="&amp;$P1439,$P$2:$P2565,"&gt;"&amp;$P1439-7)</f>
        <v>7.1428571428571432</v>
      </c>
      <c r="AE1439" s="76">
        <f ca="1">IFERROR(__xludf.DUMMYFUNCTION("iferror(stdevp(filter($F$2:$F2568,$B$2:$B2568=$B1442,$O$2:$O2568&lt;=$O1442,$O$2:$O2568&gt;$O1442-7)),0)"),0.745355992499929)</f>
        <v>0.74535599249992901</v>
      </c>
      <c r="AF1439" s="77">
        <f t="shared" ca="1" si="256"/>
        <v>-1.5333037559998581</v>
      </c>
      <c r="AG1439" s="77">
        <f t="shared" ca="1" si="257"/>
        <v>1</v>
      </c>
      <c r="AH1439" s="76">
        <f t="array" ref="AH1439">AVERAGEIFS($I$2:$I2565,$B$2:$B2565,$B1439,$P$2:$P2565,"&lt;="&amp;$P1439,$P$2:$P2565,"&gt;"&amp;$P1439-7)</f>
        <v>7.0285714285714285</v>
      </c>
      <c r="AI1439" s="76">
        <f ca="1">IFERROR(__xludf.DUMMYFUNCTION("iferror(stdevp(filter($H$2:$H2568,$B$2:$B2568=$B1442,$O$2:$O2568&lt;=$O1442,$O$2:$O2568&gt;$O1442-7)),0)"),0.499999999999999)</f>
        <v>0.499999999999999</v>
      </c>
      <c r="AJ1439" s="77">
        <f t="shared" ca="1" si="258"/>
        <v>1.9428571428571468</v>
      </c>
      <c r="AK1439" s="77">
        <f t="shared" ca="1" si="259"/>
        <v>4</v>
      </c>
      <c r="AL1439" s="76">
        <f t="array" ref="AL1439">AVERAGEIFS($J$2:$J2565,$B$2:$B2565,$B1439,$P$2:$P2565,"&lt;="&amp;$P1439,$P$2:$P2565,"&gt;"&amp;$P1439-7)</f>
        <v>9.742857142857142</v>
      </c>
      <c r="AM1439" s="76">
        <f ca="1">IFERROR(__xludf.DUMMYFUNCTION("iferror(stdevp(filter($I$2:$I2568,$B$2:$B2568=$B1442,$O$2:$O2568&lt;=$O1442,$O$2:$O2568&gt;$O1442-7)),0)"),0.745355992499929)</f>
        <v>0.74535599249992901</v>
      </c>
      <c r="AN1439" s="77">
        <f t="shared" ca="1" si="260"/>
        <v>0.3449933450999691</v>
      </c>
      <c r="AO1439" s="77">
        <f t="shared" ca="1" si="261"/>
        <v>3</v>
      </c>
      <c r="AP1439" s="76">
        <f t="array" ref="AP1439">AVERAGEIFS($K$2:$K2565,$B$2:$B2565,$B1439,$P$2:$P2565,"&lt;="&amp;$P1439,$P$2:$P2565,"&gt;"&amp;$P1439-7)</f>
        <v>9.4285714285714288</v>
      </c>
      <c r="AQ1439" s="76">
        <f ca="1">IFERROR(__xludf.DUMMYFUNCTION("iferror(stdevp(filter($J$2:$J2568,$B$2:$B2568=$B1442,$O$2:$O2568&lt;=$O1442,$O$2:$O2568&gt;$O1442-7)),0)"),0.763762615825973)</f>
        <v>0.76376261582597305</v>
      </c>
      <c r="AR1439" s="77">
        <f t="shared" ca="1" si="262"/>
        <v>0.74817562366625956</v>
      </c>
      <c r="AS1439" s="77">
        <f t="shared" ca="1" si="263"/>
        <v>3</v>
      </c>
      <c r="AT1439" s="78">
        <f t="shared" ca="1" si="264"/>
        <v>0.625</v>
      </c>
    </row>
    <row r="1440" spans="1:46" ht="12.5" x14ac:dyDescent="0.25">
      <c r="A1440" s="75">
        <v>45004.418270613431</v>
      </c>
      <c r="B1440" s="1" t="s">
        <v>7</v>
      </c>
      <c r="C1440" s="1" t="str">
        <f>INDEX(TBL_Name,MATCH(Table2[[#This Row],[Athlete Name]],listNames,0),2)</f>
        <v>Athlete 3</v>
      </c>
      <c r="D1440" s="1" t="s">
        <v>130</v>
      </c>
      <c r="E1440" s="1">
        <v>7</v>
      </c>
      <c r="F1440" s="1">
        <v>8</v>
      </c>
      <c r="G1440" s="1">
        <v>8</v>
      </c>
      <c r="H1440" s="1" t="s">
        <v>1625</v>
      </c>
      <c r="I1440" s="1">
        <v>3</v>
      </c>
      <c r="J1440" s="1">
        <v>8</v>
      </c>
      <c r="K1440" s="1">
        <v>9</v>
      </c>
      <c r="L1440" s="1">
        <v>65</v>
      </c>
      <c r="M1440" s="1" t="e">
        <f t="shared" ref="M1440" ca="1" si="417">_xludf.concat($B1440,$P1440)</f>
        <v>#NAME?</v>
      </c>
      <c r="N1440" s="1" t="e">
        <f t="shared" si="248"/>
        <v>#VALUE!</v>
      </c>
      <c r="O1440" s="1" t="e">
        <f t="shared" ref="O1440" ca="1" si="418">IF($N1440=_xludf.MINIFS($N$2:$N2946,$R$2:$R2946,$R1440),1,
($N1440-_xludf.MINIFS($N$2:$N2946,$R$2:$R2946,$R1440))+1)</f>
        <v>#VALUE!</v>
      </c>
      <c r="P1440" s="13" t="e">
        <f t="shared" si="250"/>
        <v>#VALUE!</v>
      </c>
      <c r="Q1440" s="1" t="str">
        <f>RIGHT(YEAR($A1440),2)-(MONTH($A1440)&lt;=[3]Roster!$K$25)
 &amp;"-"&amp;
 RIGHT(YEAR($A1440),2)+(MONTH($A1440)&gt;=[3]Roster!$K$26)</f>
        <v>22-23</v>
      </c>
      <c r="R1440" s="1" t="e">
        <f>CHOOSE(MONTH($P1440),[3]Roster!$K$9,[3]Roster!$K$10,[3]Roster!$K$11,[3]Roster!$K$12,[3]Roster!$K$13,[3]Roster!$K$14,[3]Roster!$K$15,[3]Roster!$K$16,[3]Roster!$K$17,[3]Roster!$K$18,[3]Roster!$K$19,[3]Roster!$K$20)&amp;" "&amp;$Q1440</f>
        <v>#VALUE!</v>
      </c>
      <c r="S1440" s="1">
        <f t="shared" si="251"/>
        <v>1</v>
      </c>
      <c r="T1440" s="1" t="str">
        <f t="array" ref="T1440">IFERROR(INDEX([3]Roster!$D$3:$D$42,MATCH($B1440,[3]Roster!$C$3:$C$42,0)),"")</f>
        <v>F/MID</v>
      </c>
      <c r="U1440" s="1" t="str">
        <f t="array" ref="U1440">IFERROR(INDEX([3]Roster!$E$3:$E$42,MATCH($B1440,[3]Roster!$C$3:$C$42,0)),"")</f>
        <v>F/MID</v>
      </c>
      <c r="V1440" s="76">
        <f t="array" ref="V1440">AVERAGEIFS($E$2:$E2565,$B$2:$B2565,$B1440,$P$2:$P2565,"&lt;="&amp;$P1440,$P$2:$P2565,"&gt;"&amp;$P1440-7)</f>
        <v>6</v>
      </c>
      <c r="W1440" s="76">
        <f ca="1">IFERROR(__xludf.DUMMYFUNCTION("iferror(stdevp(filter($D$2:$D2568,$B$2:$B2568=$B1443,$O$2:$O2568&lt;=$O1443,$O$2:$O2568&gt;$O1443-7)),0)"),1.2909944487358)</f>
        <v>1.2909944487358</v>
      </c>
      <c r="X1440" s="77">
        <f t="shared" ca="1" si="252"/>
        <v>0.77459666924148673</v>
      </c>
      <c r="Y1440" s="77">
        <f t="shared" ca="1" si="253"/>
        <v>3</v>
      </c>
      <c r="Z1440" s="76">
        <f t="array" ref="Z1440">AVERAGEIFS($F$2:$F2565,$B$2:$B2565,$B1440,$P$2:$P2565,"&lt;="&amp;$P1440,$P$2:$P2565,"&gt;"&amp;$P1440-7)</f>
        <v>7.3703703703703702</v>
      </c>
      <c r="AA1440" s="76">
        <f ca="1">IFERROR(__xludf.DUMMYFUNCTION("iferror(stdevp(filter($E$2:$E2568,$B$2:$B2568=$B1443,$O$2:$O2568&lt;=$O1443,$O$2:$O2568&gt;$O1443-7)),0)"),1.95078331845327)</f>
        <v>1.9507833184532699</v>
      </c>
      <c r="AB1440" s="77">
        <f t="shared" ca="1" si="254"/>
        <v>0.3227573373596655</v>
      </c>
      <c r="AC1440" s="77">
        <f t="shared" ca="1" si="255"/>
        <v>3</v>
      </c>
      <c r="AD1440" s="76">
        <f t="array" ref="AD1440">AVERAGEIFS($G$2:$G2565,$B$2:$B2565,$B1440,$P$2:$P2565,"&lt;="&amp;$P1440,$P$2:$P2565,"&gt;"&amp;$P1440-7)</f>
        <v>7.7777777777777777</v>
      </c>
      <c r="AE1440" s="76">
        <f ca="1">IFERROR(__xludf.DUMMYFUNCTION("iferror(stdevp(filter($F$2:$F2568,$B$2:$B2568=$B1443,$O$2:$O2568&lt;=$O1443,$O$2:$O2568&gt;$O1443-7)),0)"),1.06718737290547)</f>
        <v>1.0671873729054699</v>
      </c>
      <c r="AF1440" s="77">
        <f t="shared" ca="1" si="256"/>
        <v>0.20823168251814245</v>
      </c>
      <c r="AG1440" s="77">
        <f t="shared" ca="1" si="257"/>
        <v>3</v>
      </c>
      <c r="AH1440" s="76">
        <f t="array" ref="AH1440">AVERAGEIFS($I$2:$I2565,$B$2:$B2565,$B1440,$P$2:$P2565,"&lt;="&amp;$P1440,$P$2:$P2565,"&gt;"&amp;$P1440-7)</f>
        <v>6.333333333333333</v>
      </c>
      <c r="AI1440" s="76">
        <f ca="1">IFERROR(__xludf.DUMMYFUNCTION("iferror(stdevp(filter($H$2:$H2568,$B$2:$B2568=$B1443,$O$2:$O2568&lt;=$O1443,$O$2:$O2568&gt;$O1443-7)),0)"),1.49071198499985)</f>
        <v>1.49071198499985</v>
      </c>
      <c r="AJ1440" s="77">
        <f t="shared" ca="1" si="258"/>
        <v>-2.236067977499804</v>
      </c>
      <c r="AK1440" s="77">
        <f t="shared" ca="1" si="259"/>
        <v>1</v>
      </c>
      <c r="AL1440" s="76">
        <f t="array" ref="AL1440">AVERAGEIFS($J$2:$J2565,$B$2:$B2565,$B1440,$P$2:$P2565,"&lt;="&amp;$P1440,$P$2:$P2565,"&gt;"&amp;$P1440-7)</f>
        <v>5.4230769230769234</v>
      </c>
      <c r="AM1440" s="76">
        <f ca="1">IFERROR(__xludf.DUMMYFUNCTION("iferror(stdevp(filter($I$2:$I2568,$B$2:$B2568=$B1443,$O$2:$O2568&lt;=$O1443,$O$2:$O2568&gt;$O1443-7)),0)"),1.46249406456535)</f>
        <v>1.4624940645653499</v>
      </c>
      <c r="AN1440" s="77">
        <f t="shared" ca="1" si="260"/>
        <v>1.762005836029791</v>
      </c>
      <c r="AO1440" s="77">
        <f t="shared" ca="1" si="261"/>
        <v>4</v>
      </c>
      <c r="AP1440" s="76">
        <f t="array" ref="AP1440">AVERAGEIFS($K$2:$K2565,$B$2:$B2565,$B1440,$P$2:$P2565,"&lt;="&amp;$P1440,$P$2:$P2565,"&gt;"&amp;$P1440-7)</f>
        <v>7.5769230769230766</v>
      </c>
      <c r="AQ1440" s="76">
        <f ca="1">IFERROR(__xludf.DUMMYFUNCTION("iferror(stdevp(filter($J$2:$J2568,$B$2:$B2568=$B1443,$O$2:$O2568&lt;=$O1443,$O$2:$O2568&gt;$O1443-7)),0)"),0.687184270936276)</f>
        <v>0.68718427093627599</v>
      </c>
      <c r="AR1440" s="77">
        <f t="shared" ca="1" si="262"/>
        <v>2.0708811060794612</v>
      </c>
      <c r="AS1440" s="77">
        <f t="shared" ca="1" si="263"/>
        <v>4</v>
      </c>
      <c r="AT1440" s="78">
        <f t="shared" ca="1" si="264"/>
        <v>0.75</v>
      </c>
    </row>
    <row r="1441" spans="1:46" ht="12.5" x14ac:dyDescent="0.25">
      <c r="A1441" s="75">
        <v>45004.427752407406</v>
      </c>
      <c r="B1441" s="1" t="s">
        <v>21</v>
      </c>
      <c r="C1441" s="1" t="str">
        <f>INDEX(TBL_Name,MATCH(Table2[[#This Row],[Athlete Name]],listNames,0),2)</f>
        <v>Athlete 13</v>
      </c>
      <c r="D1441" s="1" t="s">
        <v>130</v>
      </c>
      <c r="E1441" s="1">
        <v>7</v>
      </c>
      <c r="F1441" s="1">
        <v>8</v>
      </c>
      <c r="G1441" s="1">
        <v>8</v>
      </c>
      <c r="H1441" s="1" t="s">
        <v>1626</v>
      </c>
      <c r="I1441" s="1">
        <v>4</v>
      </c>
      <c r="J1441" s="1">
        <v>7</v>
      </c>
      <c r="K1441" s="1">
        <v>7</v>
      </c>
      <c r="L1441" s="1">
        <v>70</v>
      </c>
      <c r="M1441" s="1" t="e">
        <f t="shared" ref="M1441" ca="1" si="419">_xludf.concat($B1441,$P1441)</f>
        <v>#NAME?</v>
      </c>
      <c r="N1441" s="1" t="e">
        <f t="shared" si="248"/>
        <v>#VALUE!</v>
      </c>
      <c r="O1441" s="1" t="e">
        <f t="shared" ref="O1441" ca="1" si="420">IF($N1441=_xludf.MINIFS($N$2:$N2947,$R$2:$R2947,$R1441),1,
($N1441-_xludf.MINIFS($N$2:$N2947,$R$2:$R2947,$R1441))+1)</f>
        <v>#VALUE!</v>
      </c>
      <c r="P1441" s="13" t="e">
        <f t="shared" si="250"/>
        <v>#VALUE!</v>
      </c>
      <c r="Q1441" s="1" t="str">
        <f>RIGHT(YEAR($A1441),2)-(MONTH($A1441)&lt;=[3]Roster!$K$25)
 &amp;"-"&amp;
 RIGHT(YEAR($A1441),2)+(MONTH($A1441)&gt;=[3]Roster!$K$26)</f>
        <v>22-23</v>
      </c>
      <c r="R1441" s="1" t="e">
        <f>CHOOSE(MONTH($P1441),[3]Roster!$K$9,[3]Roster!$K$10,[3]Roster!$K$11,[3]Roster!$K$12,[3]Roster!$K$13,[3]Roster!$K$14,[3]Roster!$K$15,[3]Roster!$K$16,[3]Roster!$K$17,[3]Roster!$K$18,[3]Roster!$K$19,[3]Roster!$K$20)&amp;" "&amp;$Q1441</f>
        <v>#VALUE!</v>
      </c>
      <c r="S1441" s="1">
        <f t="shared" si="251"/>
        <v>1</v>
      </c>
      <c r="T1441" s="1" t="str">
        <f t="array" ref="T1441">IFERROR(INDEX([3]Roster!$D$3:$D$42,MATCH($B1441,[3]Roster!$C$3:$C$42,0)),"")</f>
        <v>D</v>
      </c>
      <c r="U1441" s="1" t="str">
        <f t="array" ref="U1441">IFERROR(INDEX([3]Roster!$E$3:$E$42,MATCH($B1441,[3]Roster!$C$3:$C$42,0)),"")</f>
        <v>D</v>
      </c>
      <c r="V1441" s="76">
        <f t="array" ref="V1441">AVERAGEIFS($E$2:$E2565,$B$2:$B2565,$B1441,$P$2:$P2565,"&lt;="&amp;$P1441,$P$2:$P2565,"&gt;"&amp;$P1441-7)</f>
        <v>6.6304347826086953</v>
      </c>
      <c r="W1441" s="76">
        <f ca="1">IFERROR(__xludf.DUMMYFUNCTION("iferror(stdevp(filter($D$2:$D2568,$B$2:$B2568=$B1444,$O$2:$O2568&lt;=$O1444,$O$2:$O2568&gt;$O1444-7)),0)"),0.699854212223765)</f>
        <v>0.69985421222376498</v>
      </c>
      <c r="X1441" s="77">
        <f t="shared" ca="1" si="252"/>
        <v>0.52806028875217126</v>
      </c>
      <c r="Y1441" s="77">
        <f t="shared" ca="1" si="253"/>
        <v>3</v>
      </c>
      <c r="Z1441" s="76">
        <f t="array" ref="Z1441">AVERAGEIFS($F$2:$F2565,$B$2:$B2565,$B1441,$P$2:$P2565,"&lt;="&amp;$P1441,$P$2:$P2565,"&gt;"&amp;$P1441-7)</f>
        <v>7.6956521739130439</v>
      </c>
      <c r="AA1441" s="76">
        <f ca="1">IFERROR(__xludf.DUMMYFUNCTION("iferror(stdevp(filter($E$2:$E2568,$B$2:$B2568=$B1444,$O$2:$O2568&lt;=$O1444,$O$2:$O2568&gt;$O1444-7)),0)"),0.880630571852711)</f>
        <v>0.88063057185271099</v>
      </c>
      <c r="AB1441" s="77">
        <f t="shared" ca="1" si="254"/>
        <v>0.34560215806118927</v>
      </c>
      <c r="AC1441" s="77">
        <f t="shared" ca="1" si="255"/>
        <v>3</v>
      </c>
      <c r="AD1441" s="76">
        <f t="array" ref="AD1441">AVERAGEIFS($G$2:$G2565,$B$2:$B2565,$B1441,$P$2:$P2565,"&lt;="&amp;$P1441,$P$2:$P2565,"&gt;"&amp;$P1441-7)</f>
        <v>8.2608695652173907</v>
      </c>
      <c r="AE1441" s="76">
        <f ca="1">IFERROR(__xludf.DUMMYFUNCTION("iferror(stdevp(filter($F$2:$F2568,$B$2:$B2568=$B1444,$O$2:$O2568&lt;=$O1444,$O$2:$O2568&gt;$O1444-7)),0)"),0.451753951452625)</f>
        <v>0.45175395145262498</v>
      </c>
      <c r="AF1441" s="77">
        <f t="shared" ca="1" si="256"/>
        <v>-0.57745939881335573</v>
      </c>
      <c r="AG1441" s="77">
        <f t="shared" ca="1" si="257"/>
        <v>2</v>
      </c>
      <c r="AH1441" s="76">
        <f t="array" ref="AH1441">AVERAGEIFS($I$2:$I2565,$B$2:$B2565,$B1441,$P$2:$P2565,"&lt;="&amp;$P1441,$P$2:$P2565,"&gt;"&amp;$P1441-7)</f>
        <v>5.7391304347826084</v>
      </c>
      <c r="AI1441" s="76">
        <f ca="1">IFERROR(__xludf.DUMMYFUNCTION("iferror(stdevp(filter($H$2:$H2568,$B$2:$B2568=$B1444,$O$2:$O2568&lt;=$O1444,$O$2:$O2568&gt;$O1444-7)),0)"),0.63887656499994)</f>
        <v>0.63887656499994006</v>
      </c>
      <c r="AJ1441" s="77">
        <f t="shared" ca="1" si="258"/>
        <v>-2.7221697117388732</v>
      </c>
      <c r="AK1441" s="77">
        <f t="shared" ca="1" si="259"/>
        <v>1</v>
      </c>
      <c r="AL1441" s="76">
        <f t="array" ref="AL1441">AVERAGEIFS($J$2:$J2565,$B$2:$B2565,$B1441,$P$2:$P2565,"&lt;="&amp;$P1441,$P$2:$P2565,"&gt;"&amp;$P1441-7)</f>
        <v>6.5434782608695654</v>
      </c>
      <c r="AM1441" s="76">
        <f ca="1">IFERROR(__xludf.DUMMYFUNCTION("iferror(stdevp(filter($I$2:$I2568,$B$2:$B2568=$B1444,$O$2:$O2568&lt;=$O1444,$O$2:$O2568&gt;$O1444-7)),0)"),0.349927106111882)</f>
        <v>0.34992710611188199</v>
      </c>
      <c r="AN1441" s="77">
        <f t="shared" ca="1" si="260"/>
        <v>1.3046195369171292</v>
      </c>
      <c r="AO1441" s="77">
        <f t="shared" ca="1" si="261"/>
        <v>4</v>
      </c>
      <c r="AP1441" s="76">
        <f t="array" ref="AP1441">AVERAGEIFS($K$2:$K2565,$B$2:$B2565,$B1441,$P$2:$P2565,"&lt;="&amp;$P1441,$P$2:$P2565,"&gt;"&amp;$P1441-7)</f>
        <v>6.6086956521739131</v>
      </c>
      <c r="AQ1441" s="76">
        <f ca="1">IFERROR(__xludf.DUMMYFUNCTION("iferror(stdevp(filter($J$2:$J2568,$B$2:$B2568=$B1444,$O$2:$O2568&lt;=$O1444,$O$2:$O2568&gt;$O1444-7)),0)"),0)</f>
        <v>0</v>
      </c>
      <c r="AR1441" s="77">
        <f t="shared" ca="1" si="262"/>
        <v>0</v>
      </c>
      <c r="AS1441" s="77">
        <f t="shared" ca="1" si="263"/>
        <v>3</v>
      </c>
      <c r="AT1441" s="78">
        <f t="shared" ca="1" si="264"/>
        <v>0.66666666666666663</v>
      </c>
    </row>
    <row r="1442" spans="1:46" ht="12.5" x14ac:dyDescent="0.25">
      <c r="A1442" s="75">
        <v>45004.456356215276</v>
      </c>
      <c r="B1442" s="1" t="s">
        <v>6</v>
      </c>
      <c r="C1442" s="1" t="str">
        <f>INDEX(TBL_Name,MATCH(Table2[[#This Row],[Athlete Name]],listNames,0),2)</f>
        <v>Athlete 2</v>
      </c>
      <c r="D1442" s="1" t="s">
        <v>130</v>
      </c>
      <c r="E1442" s="1">
        <v>10</v>
      </c>
      <c r="F1442" s="1">
        <v>8</v>
      </c>
      <c r="G1442" s="1">
        <v>9</v>
      </c>
      <c r="H1442" s="1" t="s">
        <v>1627</v>
      </c>
      <c r="I1442" s="1">
        <v>8</v>
      </c>
      <c r="J1442" s="1">
        <v>9</v>
      </c>
      <c r="K1442" s="1">
        <v>10</v>
      </c>
      <c r="L1442" s="1">
        <v>90</v>
      </c>
      <c r="M1442" s="1" t="e">
        <f t="shared" ref="M1442" ca="1" si="421">_xludf.concat($B1442,$P1442)</f>
        <v>#NAME?</v>
      </c>
      <c r="N1442" s="1" t="e">
        <f t="shared" si="248"/>
        <v>#VALUE!</v>
      </c>
      <c r="O1442" s="1" t="e">
        <f t="shared" ref="O1442" ca="1" si="422">IF($N1442=_xludf.MINIFS($N$2:$N2948,$R$2:$R2948,$R1442),1,
($N1442-_xludf.MINIFS($N$2:$N2948,$R$2:$R2948,$R1442))+1)</f>
        <v>#VALUE!</v>
      </c>
      <c r="P1442" s="13" t="e">
        <f t="shared" si="250"/>
        <v>#VALUE!</v>
      </c>
      <c r="Q1442" s="1" t="str">
        <f>RIGHT(YEAR($A1442),2)-(MONTH($A1442)&lt;=[3]Roster!$K$25)
 &amp;"-"&amp;
 RIGHT(YEAR($A1442),2)+(MONTH($A1442)&gt;=[3]Roster!$K$26)</f>
        <v>22-23</v>
      </c>
      <c r="R1442" s="1" t="e">
        <f>CHOOSE(MONTH($P1442),[3]Roster!$K$9,[3]Roster!$K$10,[3]Roster!$K$11,[3]Roster!$K$12,[3]Roster!$K$13,[3]Roster!$K$14,[3]Roster!$K$15,[3]Roster!$K$16,[3]Roster!$K$17,[3]Roster!$K$18,[3]Roster!$K$19,[3]Roster!$K$20)&amp;" "&amp;$Q1442</f>
        <v>#VALUE!</v>
      </c>
      <c r="S1442" s="1">
        <f t="shared" si="251"/>
        <v>1</v>
      </c>
      <c r="T1442" s="1" t="str">
        <f t="array" ref="T1442">IFERROR(INDEX([3]Roster!$D$3:$D$42,MATCH($B1442,[3]Roster!$C$3:$C$42,0)),"")</f>
        <v>FWD</v>
      </c>
      <c r="U1442" s="1" t="str">
        <f t="array" ref="U1442">IFERROR(INDEX([3]Roster!$E$3:$E$42,MATCH($B1442,[3]Roster!$C$3:$C$42,0)),"")</f>
        <v>FWD</v>
      </c>
      <c r="V1442" s="76">
        <f t="array" ref="V1442">AVERAGEIFS($E$2:$E2565,$B$2:$B2565,$B1442,$P$2:$P2565,"&lt;="&amp;$P1442,$P$2:$P2565,"&gt;"&amp;$P1442-7)</f>
        <v>9.7441860465116275</v>
      </c>
      <c r="W1442" s="76">
        <f ca="1">IFERROR(__xludf.DUMMYFUNCTION("iferror(stdevp(filter($D$2:$D2568,$B$2:$B2568=$B1445,$O$2:$O2568&lt;=$O1445,$O$2:$O2568&gt;$O1445-7)),0)"),0.349927106111882)</f>
        <v>0.34992710611188199</v>
      </c>
      <c r="X1442" s="77">
        <f t="shared" ca="1" si="252"/>
        <v>0.73104926431901307</v>
      </c>
      <c r="Y1442" s="77">
        <f t="shared" ca="1" si="253"/>
        <v>3</v>
      </c>
      <c r="Z1442" s="76">
        <f t="array" ref="Z1442">AVERAGEIFS($F$2:$F2565,$B$2:$B2565,$B1442,$P$2:$P2565,"&lt;="&amp;$P1442,$P$2:$P2565,"&gt;"&amp;$P1442-7)</f>
        <v>8.279069767441861</v>
      </c>
      <c r="AA1442" s="76">
        <f ca="1">IFERROR(__xludf.DUMMYFUNCTION("iferror(stdevp(filter($E$2:$E2568,$B$2:$B2568=$B1445,$O$2:$O2568&lt;=$O1445,$O$2:$O2568&gt;$O1445-7)),0)"),0.699854212223765)</f>
        <v>0.69985421222376498</v>
      </c>
      <c r="AB1442" s="77">
        <f t="shared" ca="1" si="254"/>
        <v>-0.39875414417400656</v>
      </c>
      <c r="AC1442" s="77">
        <f t="shared" ca="1" si="255"/>
        <v>2</v>
      </c>
      <c r="AD1442" s="76">
        <f t="array" ref="AD1442">AVERAGEIFS($G$2:$G2565,$B$2:$B2565,$B1442,$P$2:$P2565,"&lt;="&amp;$P1442,$P$2:$P2565,"&gt;"&amp;$P1442-7)</f>
        <v>8.604651162790697</v>
      </c>
      <c r="AE1442" s="76">
        <f ca="1">IFERROR(__xludf.DUMMYFUNCTION("iferror(stdevp(filter($F$2:$F2568,$B$2:$B2568=$B1445,$O$2:$O2568&lt;=$O1445,$O$2:$O2568&gt;$O1445-7)),0)"),0.699854212223765)</f>
        <v>0.69985421222376498</v>
      </c>
      <c r="AF1442" s="77">
        <f t="shared" ca="1" si="256"/>
        <v>0.56490170424650932</v>
      </c>
      <c r="AG1442" s="77">
        <f t="shared" ca="1" si="257"/>
        <v>3</v>
      </c>
      <c r="AH1442" s="76">
        <f t="array" ref="AH1442">AVERAGEIFS($I$2:$I2565,$B$2:$B2565,$B1442,$P$2:$P2565,"&lt;="&amp;$P1442,$P$2:$P2565,"&gt;"&amp;$P1442-7)</f>
        <v>8.3488372093023262</v>
      </c>
      <c r="AI1442" s="76">
        <f ca="1">IFERROR(__xludf.DUMMYFUNCTION("iferror(stdevp(filter($H$2:$H2568,$B$2:$B2568=$B1445,$O$2:$O2568&lt;=$O1445,$O$2:$O2568&gt;$O1445-7)),0)"),0.494871659305393)</f>
        <v>0.49487165930539301</v>
      </c>
      <c r="AJ1442" s="77">
        <f t="shared" ca="1" si="258"/>
        <v>-0.70490439842919617</v>
      </c>
      <c r="AK1442" s="77">
        <f t="shared" ca="1" si="259"/>
        <v>2</v>
      </c>
      <c r="AL1442" s="76">
        <f t="array" ref="AL1442">AVERAGEIFS($J$2:$J2565,$B$2:$B2565,$B1442,$P$2:$P2565,"&lt;="&amp;$P1442,$P$2:$P2565,"&gt;"&amp;$P1442-7)</f>
        <v>8.3023255813953494</v>
      </c>
      <c r="AM1442" s="76">
        <f ca="1">IFERROR(__xludf.DUMMYFUNCTION("iferror(stdevp(filter($I$2:$I2568,$B$2:$B2568=$B1445,$O$2:$O2568&lt;=$O1445,$O$2:$O2568&gt;$O1445-7)),0)"),1.35526185435787)</f>
        <v>1.3552618543578701</v>
      </c>
      <c r="AN1442" s="77">
        <f t="shared" ca="1" si="260"/>
        <v>0.51478938653904072</v>
      </c>
      <c r="AO1442" s="77">
        <f t="shared" ca="1" si="261"/>
        <v>3</v>
      </c>
      <c r="AP1442" s="76">
        <f t="array" ref="AP1442">AVERAGEIFS($K$2:$K2565,$B$2:$B2565,$B1442,$P$2:$P2565,"&lt;="&amp;$P1442,$P$2:$P2565,"&gt;"&amp;$P1442-7)</f>
        <v>8.9069767441860463</v>
      </c>
      <c r="AQ1442" s="76">
        <f ca="1">IFERROR(__xludf.DUMMYFUNCTION("iferror(stdevp(filter($J$2:$J2568,$B$2:$B2568=$B1445,$O$2:$O2568&lt;=$O1445,$O$2:$O2568&gt;$O1445-7)),0)"),0)</f>
        <v>0</v>
      </c>
      <c r="AR1442" s="77">
        <f t="shared" ca="1" si="262"/>
        <v>0</v>
      </c>
      <c r="AS1442" s="77">
        <f t="shared" ca="1" si="263"/>
        <v>3</v>
      </c>
      <c r="AT1442" s="78">
        <f t="shared" ca="1" si="264"/>
        <v>0.66666666666666663</v>
      </c>
    </row>
    <row r="1443" spans="1:46" ht="12.5" x14ac:dyDescent="0.25">
      <c r="A1443" s="75">
        <v>45004.502075335651</v>
      </c>
      <c r="B1443" s="1" t="s">
        <v>22</v>
      </c>
      <c r="C1443" s="1" t="str">
        <f>INDEX(TBL_Name,MATCH(Table2[[#This Row],[Athlete Name]],listNames,0),2)</f>
        <v>Athlete 14</v>
      </c>
      <c r="D1443" s="1" t="s">
        <v>130</v>
      </c>
      <c r="E1443" s="1">
        <v>5</v>
      </c>
      <c r="F1443" s="1">
        <v>7</v>
      </c>
      <c r="G1443" s="1">
        <v>9</v>
      </c>
      <c r="H1443" s="1" t="s">
        <v>983</v>
      </c>
      <c r="I1443" s="1">
        <v>6</v>
      </c>
      <c r="J1443" s="1">
        <v>8</v>
      </c>
      <c r="K1443" s="1">
        <v>10</v>
      </c>
      <c r="L1443" s="1">
        <v>82</v>
      </c>
      <c r="M1443" s="1" t="e">
        <f t="shared" ref="M1443" ca="1" si="423">_xludf.concat($B1443,$P1443)</f>
        <v>#NAME?</v>
      </c>
      <c r="N1443" s="1" t="e">
        <f t="shared" si="248"/>
        <v>#VALUE!</v>
      </c>
      <c r="O1443" s="1" t="e">
        <f t="shared" ref="O1443" ca="1" si="424">IF($N1443=_xludf.MINIFS($N$2:$N2949,$R$2:$R2949,$R1443),1,
($N1443-_xludf.MINIFS($N$2:$N2949,$R$2:$R2949,$R1443))+1)</f>
        <v>#VALUE!</v>
      </c>
      <c r="P1443" s="13" t="e">
        <f t="shared" si="250"/>
        <v>#VALUE!</v>
      </c>
      <c r="Q1443" s="1" t="str">
        <f>RIGHT(YEAR($A1443),2)-(MONTH($A1443)&lt;=[3]Roster!$K$25)
 &amp;"-"&amp;
 RIGHT(YEAR($A1443),2)+(MONTH($A1443)&gt;=[3]Roster!$K$26)</f>
        <v>22-23</v>
      </c>
      <c r="R1443" s="1" t="e">
        <f>CHOOSE(MONTH($P1443),[3]Roster!$K$9,[3]Roster!$K$10,[3]Roster!$K$11,[3]Roster!$K$12,[3]Roster!$K$13,[3]Roster!$K$14,[3]Roster!$K$15,[3]Roster!$K$16,[3]Roster!$K$17,[3]Roster!$K$18,[3]Roster!$K$19,[3]Roster!$K$20)&amp;" "&amp;$Q1443</f>
        <v>#VALUE!</v>
      </c>
      <c r="S1443" s="1">
        <f t="shared" si="251"/>
        <v>1</v>
      </c>
      <c r="T1443" s="1" t="str">
        <f t="array" ref="T1443">IFERROR(INDEX([3]Roster!$D$3:$D$42,MATCH($B1443,[3]Roster!$C$3:$C$42,0)),"")</f>
        <v>D</v>
      </c>
      <c r="U1443" s="1" t="str">
        <f t="array" ref="U1443">IFERROR(INDEX([3]Roster!$E$3:$E$42,MATCH($B1443,[3]Roster!$C$3:$C$42,0)),"")</f>
        <v>D</v>
      </c>
      <c r="V1443" s="76">
        <f t="array" ref="V1443">AVERAGEIFS($E$2:$E2565,$B$2:$B2565,$B1443,$P$2:$P2565,"&lt;="&amp;$P1443,$P$2:$P2565,"&gt;"&amp;$P1443-7)</f>
        <v>5.791666666666667</v>
      </c>
      <c r="W1443" s="76">
        <f ca="1">IFERROR(__xludf.DUMMYFUNCTION("iferror(stdevp(filter($D$2:$D2568,$B$2:$B2568=$B1446,$O$2:$O2568&lt;=$O1446,$O$2:$O2568&gt;$O1446-7)),0)"),0.433012701892219)</f>
        <v>0.43301270189221902</v>
      </c>
      <c r="X1443" s="77">
        <f t="shared" ca="1" si="252"/>
        <v>-1.828275852433817</v>
      </c>
      <c r="Y1443" s="77">
        <f t="shared" ca="1" si="253"/>
        <v>1</v>
      </c>
      <c r="Z1443" s="76">
        <f t="array" ref="Z1443">AVERAGEIFS($F$2:$F2565,$B$2:$B2565,$B1443,$P$2:$P2565,"&lt;="&amp;$P1443,$P$2:$P2565,"&gt;"&amp;$P1443-7)</f>
        <v>5.458333333333333</v>
      </c>
      <c r="AA1443" s="76">
        <f ca="1">IFERROR(__xludf.DUMMYFUNCTION("iferror(stdevp(filter($E$2:$E2568,$B$2:$B2568=$B1446,$O$2:$O2568&lt;=$O1446,$O$2:$O2568&gt;$O1446-7)),0)"),1.6393596310755)</f>
        <v>1.6393596310755001</v>
      </c>
      <c r="AB1443" s="77">
        <f t="shared" ca="1" si="254"/>
        <v>0.94040785038439567</v>
      </c>
      <c r="AC1443" s="77">
        <f t="shared" ca="1" si="255"/>
        <v>3</v>
      </c>
      <c r="AD1443" s="76">
        <f t="array" ref="AD1443">AVERAGEIFS($G$2:$G2565,$B$2:$B2565,$B1443,$P$2:$P2565,"&lt;="&amp;$P1443,$P$2:$P2565,"&gt;"&amp;$P1443-7)</f>
        <v>6.833333333333333</v>
      </c>
      <c r="AE1443" s="76">
        <f ca="1">IFERROR(__xludf.DUMMYFUNCTION("iferror(stdevp(filter($F$2:$F2568,$B$2:$B2568=$B1446,$O$2:$O2568&lt;=$O1446,$O$2:$O2568&gt;$O1446-7)),0)"),1.5)</f>
        <v>1.5</v>
      </c>
      <c r="AF1443" s="77">
        <f t="shared" ca="1" si="256"/>
        <v>1.4444444444444446</v>
      </c>
      <c r="AG1443" s="77">
        <f t="shared" ca="1" si="257"/>
        <v>4</v>
      </c>
      <c r="AH1443" s="76">
        <f t="array" ref="AH1443">AVERAGEIFS($I$2:$I2565,$B$2:$B2565,$B1443,$P$2:$P2565,"&lt;="&amp;$P1443,$P$2:$P2565,"&gt;"&amp;$P1443-7)</f>
        <v>5.125</v>
      </c>
      <c r="AI1443" s="76">
        <f ca="1">IFERROR(__xludf.DUMMYFUNCTION("iferror(stdevp(filter($H$2:$H2568,$B$2:$B2568=$B1446,$O$2:$O2568&lt;=$O1446,$O$2:$O2568&gt;$O1446-7)),0)"),1.08972473588516)</f>
        <v>1.0897247358851601</v>
      </c>
      <c r="AJ1443" s="77">
        <f t="shared" ca="1" si="258"/>
        <v>0.80295506854697229</v>
      </c>
      <c r="AK1443" s="77">
        <f t="shared" ca="1" si="259"/>
        <v>3</v>
      </c>
      <c r="AL1443" s="76">
        <f t="array" ref="AL1443">AVERAGEIFS($J$2:$J2565,$B$2:$B2565,$B1443,$P$2:$P2565,"&lt;="&amp;$P1443,$P$2:$P2565,"&gt;"&amp;$P1443-7)</f>
        <v>7.125</v>
      </c>
      <c r="AM1443" s="76">
        <f ca="1">IFERROR(__xludf.DUMMYFUNCTION("iferror(stdevp(filter($I$2:$I2568,$B$2:$B2568=$B1446,$O$2:$O2568&lt;=$O1446,$O$2:$O2568&gt;$O1446-7)),0)"),0.82915619758885)</f>
        <v>0.82915619758884995</v>
      </c>
      <c r="AN1443" s="77">
        <f t="shared" ca="1" si="260"/>
        <v>1.0552897060221726</v>
      </c>
      <c r="AO1443" s="77">
        <f t="shared" ca="1" si="261"/>
        <v>4</v>
      </c>
      <c r="AP1443" s="76">
        <f t="array" ref="AP1443">AVERAGEIFS($K$2:$K2565,$B$2:$B2565,$B1443,$P$2:$P2565,"&lt;="&amp;$P1443,$P$2:$P2565,"&gt;"&amp;$P1443-7)</f>
        <v>7.083333333333333</v>
      </c>
      <c r="AQ1443" s="76">
        <f ca="1">IFERROR(__xludf.DUMMYFUNCTION("iferror(stdevp(filter($J$2:$J2568,$B$2:$B2568=$B1446,$O$2:$O2568&lt;=$O1446,$O$2:$O2568&gt;$O1446-7)),0)"),1.80277563773199)</f>
        <v>1.8027756377319899</v>
      </c>
      <c r="AR1443" s="77">
        <f t="shared" ca="1" si="262"/>
        <v>1.6178755723235894</v>
      </c>
      <c r="AS1443" s="77">
        <f t="shared" ca="1" si="263"/>
        <v>4</v>
      </c>
      <c r="AT1443" s="78">
        <f t="shared" ca="1" si="264"/>
        <v>0.79166666666666663</v>
      </c>
    </row>
    <row r="1444" spans="1:46" ht="12.5" x14ac:dyDescent="0.25">
      <c r="A1444" s="75">
        <v>45004.50308174768</v>
      </c>
      <c r="B1444" s="1" t="s">
        <v>15</v>
      </c>
      <c r="C1444" s="1" t="str">
        <f>INDEX(TBL_Name,MATCH(Table2[[#This Row],[Athlete Name]],listNames,0),2)</f>
        <v>Athlete 8</v>
      </c>
      <c r="D1444" s="1" t="s">
        <v>130</v>
      </c>
      <c r="E1444" s="1">
        <v>10</v>
      </c>
      <c r="F1444" s="1">
        <v>8</v>
      </c>
      <c r="G1444" s="1">
        <v>7</v>
      </c>
      <c r="H1444" s="1" t="s">
        <v>1628</v>
      </c>
      <c r="I1444" s="1">
        <v>6</v>
      </c>
      <c r="J1444" s="1">
        <v>10</v>
      </c>
      <c r="K1444" s="1">
        <v>10</v>
      </c>
      <c r="L1444" s="1">
        <v>51</v>
      </c>
      <c r="M1444" s="1" t="e">
        <f t="shared" ref="M1444" ca="1" si="425">_xludf.concat($B1444,$P1444)</f>
        <v>#NAME?</v>
      </c>
      <c r="N1444" s="1" t="e">
        <f t="shared" si="248"/>
        <v>#VALUE!</v>
      </c>
      <c r="O1444" s="1" t="e">
        <f t="shared" ref="O1444" ca="1" si="426">IF($N1444=_xludf.MINIFS($N$2:$N2950,$R$2:$R2950,$R1444),1,
($N1444-_xludf.MINIFS($N$2:$N2950,$R$2:$R2950,$R1444))+1)</f>
        <v>#VALUE!</v>
      </c>
      <c r="P1444" s="13" t="e">
        <f t="shared" si="250"/>
        <v>#VALUE!</v>
      </c>
      <c r="Q1444" s="1" t="str">
        <f>RIGHT(YEAR($A1444),2)-(MONTH($A1444)&lt;=[3]Roster!$K$25)
 &amp;"-"&amp;
 RIGHT(YEAR($A1444),2)+(MONTH($A1444)&gt;=[3]Roster!$K$26)</f>
        <v>22-23</v>
      </c>
      <c r="R1444" s="1" t="e">
        <f>CHOOSE(MONTH($P1444),[3]Roster!$K$9,[3]Roster!$K$10,[3]Roster!$K$11,[3]Roster!$K$12,[3]Roster!$K$13,[3]Roster!$K$14,[3]Roster!$K$15,[3]Roster!$K$16,[3]Roster!$K$17,[3]Roster!$K$18,[3]Roster!$K$19,[3]Roster!$K$20)&amp;" "&amp;$Q1444</f>
        <v>#VALUE!</v>
      </c>
      <c r="S1444" s="1">
        <f t="shared" si="251"/>
        <v>1</v>
      </c>
      <c r="T1444" s="1" t="str">
        <f t="array" ref="T1444">IFERROR(INDEX([3]Roster!$D$3:$D$42,MATCH($B1444,[3]Roster!$C$3:$C$42,0)),"")</f>
        <v>MID/D</v>
      </c>
      <c r="U1444" s="1" t="str">
        <f t="array" ref="U1444">IFERROR(INDEX([3]Roster!$E$3:$E$42,MATCH($B1444,[3]Roster!$C$3:$C$42,0)),"")</f>
        <v>MID/D</v>
      </c>
      <c r="V1444" s="76">
        <f t="array" ref="V1444">AVERAGEIFS($E$2:$E2565,$B$2:$B2565,$B1444,$P$2:$P2565,"&lt;="&amp;$P1444,$P$2:$P2565,"&gt;"&amp;$P1444-7)</f>
        <v>8.935483870967742</v>
      </c>
      <c r="W1444" s="76">
        <f ca="1">IFERROR(__xludf.DUMMYFUNCTION("iferror(stdevp(filter($D$2:$D2568,$B$2:$B2568=$B1447,$O$2:$O2568&lt;=$O1447,$O$2:$O2568&gt;$O1447-7)),0)"),2.33238075793812)</f>
        <v>2.3323807579381199</v>
      </c>
      <c r="X1444" s="77">
        <f t="shared" ca="1" si="252"/>
        <v>0.4564075249760316</v>
      </c>
      <c r="Y1444" s="77">
        <f t="shared" ca="1" si="253"/>
        <v>3</v>
      </c>
      <c r="Z1444" s="76">
        <f t="array" ref="Z1444">AVERAGEIFS($F$2:$F2565,$B$2:$B2565,$B1444,$P$2:$P2565,"&lt;="&amp;$P1444,$P$2:$P2565,"&gt;"&amp;$P1444-7)</f>
        <v>8.741935483870968</v>
      </c>
      <c r="AA1444" s="76">
        <f ca="1">IFERROR(__xludf.DUMMYFUNCTION("iferror(stdevp(filter($E$2:$E2568,$B$2:$B2568=$B1447,$O$2:$O2568&lt;=$O1447,$O$2:$O2568&gt;$O1447-7)),0)"),1.35646599662505)</f>
        <v>1.3564659966250501</v>
      </c>
      <c r="AB1444" s="77">
        <f t="shared" ca="1" si="254"/>
        <v>-0.54696209541332963</v>
      </c>
      <c r="AC1444" s="77">
        <f t="shared" ca="1" si="255"/>
        <v>2</v>
      </c>
      <c r="AD1444" s="76">
        <f t="array" ref="AD1444">AVERAGEIFS($G$2:$G2565,$B$2:$B2565,$B1444,$P$2:$P2565,"&lt;="&amp;$P1444,$P$2:$P2565,"&gt;"&amp;$P1444-7)</f>
        <v>7.32258064516129</v>
      </c>
      <c r="AE1444" s="76">
        <f ca="1">IFERROR(__xludf.DUMMYFUNCTION("iferror(stdevp(filter($F$2:$F2568,$B$2:$B2568=$B1447,$O$2:$O2568&lt;=$O1447,$O$2:$O2568&gt;$O1447-7)),0)"),0.4)</f>
        <v>0.4</v>
      </c>
      <c r="AF1444" s="77">
        <f t="shared" ca="1" si="256"/>
        <v>-0.80645161290322509</v>
      </c>
      <c r="AG1444" s="77">
        <f t="shared" ca="1" si="257"/>
        <v>2</v>
      </c>
      <c r="AH1444" s="76">
        <f t="array" ref="AH1444">AVERAGEIFS($I$2:$I2565,$B$2:$B2565,$B1444,$P$2:$P2565,"&lt;="&amp;$P1444,$P$2:$P2565,"&gt;"&amp;$P1444-7)</f>
        <v>6.419354838709677</v>
      </c>
      <c r="AI1444" s="76">
        <f ca="1">IFERROR(__xludf.DUMMYFUNCTION("iferror(stdevp(filter($H$2:$H2568,$B$2:$B2568=$B1447,$O$2:$O2568&lt;=$O1447,$O$2:$O2568&gt;$O1447-7)),0)"),0.894427190999916)</f>
        <v>0.89442719099991597</v>
      </c>
      <c r="AJ1444" s="77">
        <f t="shared" ca="1" si="258"/>
        <v>-0.46885296302414897</v>
      </c>
      <c r="AK1444" s="77">
        <f t="shared" ca="1" si="259"/>
        <v>2</v>
      </c>
      <c r="AL1444" s="76">
        <f t="array" ref="AL1444">AVERAGEIFS($J$2:$J2565,$B$2:$B2565,$B1444,$P$2:$P2565,"&lt;="&amp;$P1444,$P$2:$P2565,"&gt;"&amp;$P1444-7)</f>
        <v>9.612903225806452</v>
      </c>
      <c r="AM1444" s="76">
        <f ca="1">IFERROR(__xludf.DUMMYFUNCTION("iferror(stdevp(filter($I$2:$I2568,$B$2:$B2568=$B1447,$O$2:$O2568&lt;=$O1447,$O$2:$O2568&gt;$O1447-7)),0)"),0)</f>
        <v>0</v>
      </c>
      <c r="AN1444" s="77">
        <f t="shared" ca="1" si="260"/>
        <v>0</v>
      </c>
      <c r="AO1444" s="77">
        <f t="shared" ca="1" si="261"/>
        <v>3</v>
      </c>
      <c r="AP1444" s="76">
        <f t="array" ref="AP1444">AVERAGEIFS($K$2:$K2565,$B$2:$B2565,$B1444,$P$2:$P2565,"&lt;="&amp;$P1444,$P$2:$P2565,"&gt;"&amp;$P1444-7)</f>
        <v>10</v>
      </c>
      <c r="AQ1444" s="76">
        <f ca="1">IFERROR(__xludf.DUMMYFUNCTION("iferror(stdevp(filter($J$2:$J2568,$B$2:$B2568=$B1447,$O$2:$O2568&lt;=$O1447,$O$2:$O2568&gt;$O1447-7)),0)"),0)</f>
        <v>0</v>
      </c>
      <c r="AR1444" s="77">
        <f t="shared" ca="1" si="262"/>
        <v>0</v>
      </c>
      <c r="AS1444" s="77">
        <f t="shared" ca="1" si="263"/>
        <v>3</v>
      </c>
      <c r="AT1444" s="78">
        <f t="shared" ca="1" si="264"/>
        <v>0.625</v>
      </c>
    </row>
    <row r="1445" spans="1:46" ht="12.5" x14ac:dyDescent="0.25">
      <c r="A1445" s="75">
        <v>45004.504873101847</v>
      </c>
      <c r="B1445" s="1" t="s">
        <v>13</v>
      </c>
      <c r="C1445" s="1" t="str">
        <f>INDEX(TBL_Name,MATCH(Table2[[#This Row],[Athlete Name]],listNames,0),2)</f>
        <v>Athlete 7</v>
      </c>
      <c r="D1445" s="1" t="s">
        <v>130</v>
      </c>
      <c r="E1445" s="1">
        <v>8</v>
      </c>
      <c r="F1445" s="1">
        <v>7</v>
      </c>
      <c r="G1445" s="1">
        <v>7</v>
      </c>
      <c r="H1445" s="1" t="s">
        <v>197</v>
      </c>
      <c r="I1445" s="1">
        <v>5</v>
      </c>
      <c r="J1445" s="1">
        <v>10</v>
      </c>
      <c r="K1445" s="1">
        <v>10</v>
      </c>
      <c r="L1445" s="1">
        <v>60</v>
      </c>
      <c r="M1445" s="1" t="e">
        <f t="shared" ref="M1445" ca="1" si="427">_xludf.concat($B1445,$P1445)</f>
        <v>#NAME?</v>
      </c>
      <c r="N1445" s="1" t="e">
        <f t="shared" si="248"/>
        <v>#VALUE!</v>
      </c>
      <c r="O1445" s="1" t="e">
        <f t="shared" ref="O1445" ca="1" si="428">IF($N1445=_xludf.MINIFS($N$2:$N2951,$R$2:$R2951,$R1445),1,
($N1445-_xludf.MINIFS($N$2:$N2951,$R$2:$R2951,$R1445))+1)</f>
        <v>#VALUE!</v>
      </c>
      <c r="P1445" s="13" t="e">
        <f t="shared" si="250"/>
        <v>#VALUE!</v>
      </c>
      <c r="Q1445" s="1" t="str">
        <f>RIGHT(YEAR($A1445),2)-(MONTH($A1445)&lt;=[3]Roster!$K$25)
 &amp;"-"&amp;
 RIGHT(YEAR($A1445),2)+(MONTH($A1445)&gt;=[3]Roster!$K$26)</f>
        <v>22-23</v>
      </c>
      <c r="R1445" s="1" t="e">
        <f>CHOOSE(MONTH($P1445),[3]Roster!$K$9,[3]Roster!$K$10,[3]Roster!$K$11,[3]Roster!$K$12,[3]Roster!$K$13,[3]Roster!$K$14,[3]Roster!$K$15,[3]Roster!$K$16,[3]Roster!$K$17,[3]Roster!$K$18,[3]Roster!$K$19,[3]Roster!$K$20)&amp;" "&amp;$Q1445</f>
        <v>#VALUE!</v>
      </c>
      <c r="S1445" s="1">
        <f t="shared" si="251"/>
        <v>1</v>
      </c>
      <c r="T1445" s="1" t="str">
        <f t="array" ref="T1445">IFERROR(INDEX([3]Roster!$D$3:$D$42,MATCH($B1445,[3]Roster!$C$3:$C$42,0)),"")</f>
        <v>MID/D</v>
      </c>
      <c r="U1445" s="1" t="str">
        <f t="array" ref="U1445">IFERROR(INDEX([3]Roster!$E$3:$E$42,MATCH($B1445,[3]Roster!$C$3:$C$42,0)),"")</f>
        <v>MID/D</v>
      </c>
      <c r="V1445" s="76">
        <f t="array" ref="V1445">AVERAGEIFS($E$2:$E2565,$B$2:$B2565,$B1445,$P$2:$P2565,"&lt;="&amp;$P1445,$P$2:$P2565,"&gt;"&amp;$P1445-7)</f>
        <v>7.6857142857142859</v>
      </c>
      <c r="W1445" s="76">
        <f ca="1">IFERROR(__xludf.DUMMYFUNCTION("iferror(stdevp(filter($D$2:$D2568,$B$2:$B2568=$B1448,$O$2:$O2568&lt;=$O1448,$O$2:$O2568&gt;$O1448-7)),0)"),0.903507902905251)</f>
        <v>0.90350790290525096</v>
      </c>
      <c r="X1445" s="77">
        <f t="shared" ca="1" si="252"/>
        <v>0.34785054261852161</v>
      </c>
      <c r="Y1445" s="77">
        <f t="shared" ca="1" si="253"/>
        <v>3</v>
      </c>
      <c r="Z1445" s="76">
        <f t="array" ref="Z1445">AVERAGEIFS($F$2:$F2565,$B$2:$B2565,$B1445,$P$2:$P2565,"&lt;="&amp;$P1445,$P$2:$P2565,"&gt;"&amp;$P1445-7)</f>
        <v>7.0857142857142854</v>
      </c>
      <c r="AA1445" s="76">
        <f ca="1">IFERROR(__xludf.DUMMYFUNCTION("iferror(stdevp(filter($E$2:$E2568,$B$2:$B2568=$B1448,$O$2:$O2568&lt;=$O1448,$O$2:$O2568&gt;$O1448-7)),0)"),0.638876564999939)</f>
        <v>0.63887656499993895</v>
      </c>
      <c r="AB1445" s="77">
        <f t="shared" ca="1" si="254"/>
        <v>-0.13416407864998711</v>
      </c>
      <c r="AC1445" s="77">
        <f t="shared" ca="1" si="255"/>
        <v>2</v>
      </c>
      <c r="AD1445" s="76">
        <f t="array" ref="AD1445">AVERAGEIFS($G$2:$G2565,$B$2:$B2565,$B1445,$P$2:$P2565,"&lt;="&amp;$P1445,$P$2:$P2565,"&gt;"&amp;$P1445-7)</f>
        <v>7.1428571428571432</v>
      </c>
      <c r="AE1445" s="76">
        <f ca="1">IFERROR(__xludf.DUMMYFUNCTION("iferror(stdevp(filter($F$2:$F2568,$B$2:$B2568=$B1448,$O$2:$O2568&lt;=$O1448,$O$2:$O2568&gt;$O1448-7)),0)"),0.699854212223765)</f>
        <v>0.69985421222376498</v>
      </c>
      <c r="AF1445" s="77">
        <f t="shared" ca="1" si="256"/>
        <v>-0.20412414523193212</v>
      </c>
      <c r="AG1445" s="77">
        <f t="shared" ca="1" si="257"/>
        <v>2</v>
      </c>
      <c r="AH1445" s="76">
        <f t="array" ref="AH1445">AVERAGEIFS($I$2:$I2565,$B$2:$B2565,$B1445,$P$2:$P2565,"&lt;="&amp;$P1445,$P$2:$P2565,"&gt;"&amp;$P1445-7)</f>
        <v>7.0285714285714285</v>
      </c>
      <c r="AI1445" s="76">
        <f ca="1">IFERROR(__xludf.DUMMYFUNCTION("iferror(stdevp(filter($H$2:$H2568,$B$2:$B2568=$B1448,$O$2:$O2568&lt;=$O1448,$O$2:$O2568&gt;$O1448-7)),0)"),0.989743318610787)</f>
        <v>0.98974331861078702</v>
      </c>
      <c r="AJ1445" s="77">
        <f t="shared" ca="1" si="258"/>
        <v>-2.0495934556231714</v>
      </c>
      <c r="AK1445" s="77">
        <f t="shared" ca="1" si="259"/>
        <v>1</v>
      </c>
      <c r="AL1445" s="76">
        <f t="array" ref="AL1445">AVERAGEIFS($J$2:$J2565,$B$2:$B2565,$B1445,$P$2:$P2565,"&lt;="&amp;$P1445,$P$2:$P2565,"&gt;"&amp;$P1445-7)</f>
        <v>9.742857142857142</v>
      </c>
      <c r="AM1445" s="76">
        <f ca="1">IFERROR(__xludf.DUMMYFUNCTION("iferror(stdevp(filter($I$2:$I2568,$B$2:$B2568=$B1448,$O$2:$O2568&lt;=$O1448,$O$2:$O2568&gt;$O1448-7)),0)"),0.699854212223765)</f>
        <v>0.69985421222376498</v>
      </c>
      <c r="AN1445" s="77">
        <f t="shared" ca="1" si="260"/>
        <v>0.36742346141747806</v>
      </c>
      <c r="AO1445" s="77">
        <f t="shared" ca="1" si="261"/>
        <v>3</v>
      </c>
      <c r="AP1445" s="76">
        <f t="array" ref="AP1445">AVERAGEIFS($K$2:$K2565,$B$2:$B2565,$B1445,$P$2:$P2565,"&lt;="&amp;$P1445,$P$2:$P2565,"&gt;"&amp;$P1445-7)</f>
        <v>9.4285714285714288</v>
      </c>
      <c r="AQ1445" s="76">
        <f ca="1">IFERROR(__xludf.DUMMYFUNCTION("iferror(stdevp(filter($J$2:$J2568,$B$2:$B2568=$B1448,$O$2:$O2568&lt;=$O1448,$O$2:$O2568&gt;$O1448-7)),0)"),0.728431359084683)</f>
        <v>0.72843135908468304</v>
      </c>
      <c r="AR1445" s="77">
        <f t="shared" ca="1" si="262"/>
        <v>0.78446454055273629</v>
      </c>
      <c r="AS1445" s="77">
        <f t="shared" ca="1" si="263"/>
        <v>3</v>
      </c>
      <c r="AT1445" s="78">
        <f t="shared" ca="1" si="264"/>
        <v>0.58333333333333337</v>
      </c>
    </row>
    <row r="1446" spans="1:46" ht="12.5" x14ac:dyDescent="0.25">
      <c r="A1446" s="75">
        <v>45004.50737230324</v>
      </c>
      <c r="B1446" s="1" t="s">
        <v>17</v>
      </c>
      <c r="C1446" s="1" t="str">
        <f>INDEX(TBL_Name,MATCH(Table2[[#This Row],[Athlete Name]],listNames,0),2)</f>
        <v>Athlete 10</v>
      </c>
      <c r="D1446" s="1" t="s">
        <v>130</v>
      </c>
      <c r="E1446" s="1">
        <v>9</v>
      </c>
      <c r="F1446" s="1">
        <v>10</v>
      </c>
      <c r="G1446" s="1">
        <v>7</v>
      </c>
      <c r="H1446" s="1" t="s">
        <v>71</v>
      </c>
      <c r="I1446" s="1">
        <v>6</v>
      </c>
      <c r="J1446" s="1">
        <v>8</v>
      </c>
      <c r="K1446" s="1">
        <v>8</v>
      </c>
      <c r="L1446" s="1">
        <v>82</v>
      </c>
      <c r="M1446" s="1" t="e">
        <f t="shared" ref="M1446" ca="1" si="429">_xludf.concat($B1446,$P1446)</f>
        <v>#NAME?</v>
      </c>
      <c r="N1446" s="1" t="e">
        <f t="shared" si="248"/>
        <v>#VALUE!</v>
      </c>
      <c r="O1446" s="1" t="e">
        <f t="shared" ref="O1446" ca="1" si="430">IF($N1446=_xludf.MINIFS($N$2:$N2952,$R$2:$R2952,$R1446),1,
($N1446-_xludf.MINIFS($N$2:$N2952,$R$2:$R2952,$R1446))+1)</f>
        <v>#VALUE!</v>
      </c>
      <c r="P1446" s="13" t="e">
        <f t="shared" si="250"/>
        <v>#VALUE!</v>
      </c>
      <c r="Q1446" s="1" t="str">
        <f>RIGHT(YEAR($A1446),2)-(MONTH($A1446)&lt;=[3]Roster!$K$25)
 &amp;"-"&amp;
 RIGHT(YEAR($A1446),2)+(MONTH($A1446)&gt;=[3]Roster!$K$26)</f>
        <v>22-23</v>
      </c>
      <c r="R1446" s="1" t="e">
        <f>CHOOSE(MONTH($P1446),[3]Roster!$K$9,[3]Roster!$K$10,[3]Roster!$K$11,[3]Roster!$K$12,[3]Roster!$K$13,[3]Roster!$K$14,[3]Roster!$K$15,[3]Roster!$K$16,[3]Roster!$K$17,[3]Roster!$K$18,[3]Roster!$K$19,[3]Roster!$K$20)&amp;" "&amp;$Q1446</f>
        <v>#VALUE!</v>
      </c>
      <c r="S1446" s="1">
        <f t="shared" si="251"/>
        <v>1</v>
      </c>
      <c r="T1446" s="1" t="str">
        <f t="array" ref="T1446">IFERROR(INDEX([3]Roster!$D$3:$D$42,MATCH($B1446,[3]Roster!$C$3:$C$42,0)),"")</f>
        <v>D</v>
      </c>
      <c r="U1446" s="1" t="str">
        <f t="array" ref="U1446">IFERROR(INDEX([3]Roster!$E$3:$E$42,MATCH($B1446,[3]Roster!$C$3:$C$42,0)),"")</f>
        <v>D</v>
      </c>
      <c r="V1446" s="76">
        <f t="array" ref="V1446">AVERAGEIFS($E$2:$E2565,$B$2:$B2565,$B1446,$P$2:$P2565,"&lt;="&amp;$P1446,$P$2:$P2565,"&gt;"&amp;$P1446-7)</f>
        <v>6.9024390243902438</v>
      </c>
      <c r="W1446" s="76">
        <f ca="1">IFERROR(__xludf.DUMMYFUNCTION("iferror(stdevp(filter($D$2:$D2568,$B$2:$B2568=$B1449,$O$2:$O2568&lt;=$O1449,$O$2:$O2568&gt;$O1449-7)),0)"),1.10554159678513)</f>
        <v>1.1055415967851301</v>
      </c>
      <c r="X1446" s="77">
        <f t="shared" ca="1" si="252"/>
        <v>1.8973152902698351</v>
      </c>
      <c r="Y1446" s="77">
        <f t="shared" ca="1" si="253"/>
        <v>4</v>
      </c>
      <c r="Z1446" s="76">
        <f t="array" ref="Z1446">AVERAGEIFS($F$2:$F2565,$B$2:$B2565,$B1446,$P$2:$P2565,"&lt;="&amp;$P1446,$P$2:$P2565,"&gt;"&amp;$P1446-7)</f>
        <v>7.2926829268292686</v>
      </c>
      <c r="AA1446" s="76">
        <f ca="1">IFERROR(__xludf.DUMMYFUNCTION("iferror(stdevp(filter($E$2:$E2568,$B$2:$B2568=$B1449,$O$2:$O2568&lt;=$O1449,$O$2:$O2568&gt;$O1449-7)),0)"),2)</f>
        <v>2</v>
      </c>
      <c r="AB1446" s="77">
        <f t="shared" ca="1" si="254"/>
        <v>1.3536585365853657</v>
      </c>
      <c r="AC1446" s="77">
        <f t="shared" ca="1" si="255"/>
        <v>4</v>
      </c>
      <c r="AD1446" s="76">
        <f t="array" ref="AD1446">AVERAGEIFS($G$2:$G2565,$B$2:$B2565,$B1446,$P$2:$P2565,"&lt;="&amp;$P1446,$P$2:$P2565,"&gt;"&amp;$P1446-7)</f>
        <v>7.8048780487804876</v>
      </c>
      <c r="AE1446" s="76">
        <f ca="1">IFERROR(__xludf.DUMMYFUNCTION("iferror(stdevp(filter($F$2:$F2568,$B$2:$B2568=$B1449,$O$2:$O2568&lt;=$O1449,$O$2:$O2568&gt;$O1449-7)),0)"),1.88561808316412)</f>
        <v>1.8856180831641201</v>
      </c>
      <c r="AF1446" s="77">
        <f t="shared" ca="1" si="256"/>
        <v>-0.42685104474066121</v>
      </c>
      <c r="AG1446" s="77">
        <f t="shared" ca="1" si="257"/>
        <v>2</v>
      </c>
      <c r="AH1446" s="76">
        <f t="array" ref="AH1446">AVERAGEIFS($I$2:$I2565,$B$2:$B2565,$B1446,$P$2:$P2565,"&lt;="&amp;$P1446,$P$2:$P2565,"&gt;"&amp;$P1446-7)</f>
        <v>6.3170731707317076</v>
      </c>
      <c r="AI1446" s="76">
        <f ca="1">IFERROR(__xludf.DUMMYFUNCTION("iferror(stdevp(filter($H$2:$H2568,$B$2:$B2568=$B1449,$O$2:$O2568&lt;=$O1449,$O$2:$O2568&gt;$O1449-7)),0)"),0.957427107756338)</f>
        <v>0.95742710775633799</v>
      </c>
      <c r="AJ1446" s="77">
        <f t="shared" ca="1" si="258"/>
        <v>-0.33117212596449869</v>
      </c>
      <c r="AK1446" s="77">
        <f t="shared" ca="1" si="259"/>
        <v>2</v>
      </c>
      <c r="AL1446" s="76">
        <f t="array" ref="AL1446">AVERAGEIFS($J$2:$J2565,$B$2:$B2565,$B1446,$P$2:$P2565,"&lt;="&amp;$P1446,$P$2:$P2565,"&gt;"&amp;$P1446-7)</f>
        <v>6.9024390243902438</v>
      </c>
      <c r="AM1446" s="76">
        <f ca="1">IFERROR(__xludf.DUMMYFUNCTION("iferror(stdevp(filter($I$2:$I2568,$B$2:$B2568=$B1449,$O$2:$O2568&lt;=$O1449,$O$2:$O2568&gt;$O1449-7)),0)"),0)</f>
        <v>0</v>
      </c>
      <c r="AN1446" s="77">
        <f t="shared" ca="1" si="260"/>
        <v>0</v>
      </c>
      <c r="AO1446" s="77">
        <f t="shared" ca="1" si="261"/>
        <v>3</v>
      </c>
      <c r="AP1446" s="76">
        <f t="array" ref="AP1446">AVERAGEIFS($K$2:$K2565,$B$2:$B2565,$B1446,$P$2:$P2565,"&lt;="&amp;$P1446,$P$2:$P2565,"&gt;"&amp;$P1446-7)</f>
        <v>8</v>
      </c>
      <c r="AQ1446" s="76">
        <f ca="1">IFERROR(__xludf.DUMMYFUNCTION("iferror(stdevp(filter($J$2:$J2568,$B$2:$B2568=$B1449,$O$2:$O2568&lt;=$O1449,$O$2:$O2568&gt;$O1449-7)),0)"),1.10554159678513)</f>
        <v>1.1055415967851301</v>
      </c>
      <c r="AR1446" s="77">
        <f t="shared" ca="1" si="262"/>
        <v>0</v>
      </c>
      <c r="AS1446" s="77">
        <f t="shared" ca="1" si="263"/>
        <v>3</v>
      </c>
      <c r="AT1446" s="78">
        <f t="shared" ca="1" si="264"/>
        <v>0.75</v>
      </c>
    </row>
    <row r="1447" spans="1:46" ht="12.5" x14ac:dyDescent="0.25">
      <c r="A1447" s="75">
        <v>45004.508620462962</v>
      </c>
      <c r="B1447" s="1" t="s">
        <v>20</v>
      </c>
      <c r="C1447" s="1" t="str">
        <f>INDEX(TBL_Name,MATCH(Table2[[#This Row],[Athlete Name]],listNames,0),2)</f>
        <v>Athlete 12</v>
      </c>
      <c r="D1447" s="1" t="s">
        <v>130</v>
      </c>
      <c r="E1447" s="1">
        <v>8</v>
      </c>
      <c r="F1447" s="1">
        <v>6</v>
      </c>
      <c r="G1447" s="1">
        <v>7</v>
      </c>
      <c r="H1447" s="1" t="s">
        <v>1629</v>
      </c>
      <c r="I1447" s="1">
        <v>4</v>
      </c>
      <c r="J1447" s="1">
        <v>9</v>
      </c>
      <c r="K1447" s="1">
        <v>9</v>
      </c>
      <c r="L1447" s="1">
        <v>70</v>
      </c>
      <c r="M1447" s="1" t="e">
        <f t="shared" ref="M1447" ca="1" si="431">_xludf.concat($B1447,$P1447)</f>
        <v>#NAME?</v>
      </c>
      <c r="N1447" s="1" t="e">
        <f t="shared" si="248"/>
        <v>#VALUE!</v>
      </c>
      <c r="O1447" s="1" t="e">
        <f t="shared" ref="O1447" ca="1" si="432">IF($N1447=_xludf.MINIFS($N$2:$N2953,$R$2:$R2953,$R1447),1,
($N1447-_xludf.MINIFS($N$2:$N2953,$R$2:$R2953,$R1447))+1)</f>
        <v>#VALUE!</v>
      </c>
      <c r="P1447" s="13" t="e">
        <f t="shared" si="250"/>
        <v>#VALUE!</v>
      </c>
      <c r="Q1447" s="1" t="str">
        <f>RIGHT(YEAR($A1447),2)-(MONTH($A1447)&lt;=[3]Roster!$K$25)
 &amp;"-"&amp;
 RIGHT(YEAR($A1447),2)+(MONTH($A1447)&gt;=[3]Roster!$K$26)</f>
        <v>22-23</v>
      </c>
      <c r="R1447" s="1" t="e">
        <f>CHOOSE(MONTH($P1447),[3]Roster!$K$9,[3]Roster!$K$10,[3]Roster!$K$11,[3]Roster!$K$12,[3]Roster!$K$13,[3]Roster!$K$14,[3]Roster!$K$15,[3]Roster!$K$16,[3]Roster!$K$17,[3]Roster!$K$18,[3]Roster!$K$19,[3]Roster!$K$20)&amp;" "&amp;$Q1447</f>
        <v>#VALUE!</v>
      </c>
      <c r="S1447" s="1">
        <f t="shared" si="251"/>
        <v>1</v>
      </c>
      <c r="T1447" s="1" t="str">
        <f t="array" ref="T1447">IFERROR(INDEX([3]Roster!$D$3:$D$42,MATCH($B1447,[3]Roster!$C$3:$C$42,0)),"")</f>
        <v>D</v>
      </c>
      <c r="U1447" s="1" t="str">
        <f t="array" ref="U1447">IFERROR(INDEX([3]Roster!$E$3:$E$42,MATCH($B1447,[3]Roster!$C$3:$C$42,0)),"")</f>
        <v>D</v>
      </c>
      <c r="V1447" s="76">
        <f t="array" ref="V1447">AVERAGEIFS($E$2:$E2565,$B$2:$B2565,$B1447,$P$2:$P2565,"&lt;="&amp;$P1447,$P$2:$P2565,"&gt;"&amp;$P1447-7)</f>
        <v>7.4761904761904763</v>
      </c>
      <c r="W1447" s="76">
        <f ca="1">IFERROR(__xludf.DUMMYFUNCTION("iferror(stdevp(filter($D$2:$D2568,$B$2:$B2568=$B1450,$O$2:$O2568&lt;=$O1450,$O$2:$O2568&gt;$O1450-7)),0)"),0)</f>
        <v>0</v>
      </c>
      <c r="X1447" s="77">
        <f t="shared" ca="1" si="252"/>
        <v>0</v>
      </c>
      <c r="Y1447" s="77">
        <f t="shared" ca="1" si="253"/>
        <v>3</v>
      </c>
      <c r="Z1447" s="76">
        <f t="array" ref="Z1447">AVERAGEIFS($F$2:$F2565,$B$2:$B2565,$B1447,$P$2:$P2565,"&lt;="&amp;$P1447,$P$2:$P2565,"&gt;"&amp;$P1447-7)</f>
        <v>8.1904761904761898</v>
      </c>
      <c r="AA1447" s="76">
        <f ca="1">IFERROR(__xludf.DUMMYFUNCTION("iferror(stdevp(filter($E$2:$E2568,$B$2:$B2568=$B1450,$O$2:$O2568&lt;=$O1450,$O$2:$O2568&gt;$O1450-7)),0)"),0.942809041582063)</f>
        <v>0.94280904158206302</v>
      </c>
      <c r="AB1447" s="77">
        <f t="shared" ca="1" si="254"/>
        <v>-2.3233508524700848</v>
      </c>
      <c r="AC1447" s="77">
        <f t="shared" ca="1" si="255"/>
        <v>1</v>
      </c>
      <c r="AD1447" s="76">
        <f t="array" ref="AD1447">AVERAGEIFS($G$2:$G2565,$B$2:$B2565,$B1447,$P$2:$P2565,"&lt;="&amp;$P1447,$P$2:$P2565,"&gt;"&amp;$P1447-7)</f>
        <v>8.5714285714285712</v>
      </c>
      <c r="AE1447" s="76">
        <f ca="1">IFERROR(__xludf.DUMMYFUNCTION("iferror(stdevp(filter($F$2:$F2568,$B$2:$B2568=$B1450,$O$2:$O2568&lt;=$O1450,$O$2:$O2568&gt;$O1450-7)),0)"),0.942809041582063)</f>
        <v>0.94280904158206302</v>
      </c>
      <c r="AF1447" s="77">
        <f t="shared" ca="1" si="256"/>
        <v>-1.6667516985111481</v>
      </c>
      <c r="AG1447" s="77">
        <f t="shared" ca="1" si="257"/>
        <v>1</v>
      </c>
      <c r="AH1447" s="76">
        <f t="array" ref="AH1447">AVERAGEIFS($I$2:$I2565,$B$2:$B2565,$B1447,$P$2:$P2565,"&lt;="&amp;$P1447,$P$2:$P2565,"&gt;"&amp;$P1447-7)</f>
        <v>5.6190476190476186</v>
      </c>
      <c r="AI1447" s="76">
        <f ca="1">IFERROR(__xludf.DUMMYFUNCTION("iferror(stdevp(filter($H$2:$H2568,$B$2:$B2568=$B1450,$O$2:$O2568&lt;=$O1450,$O$2:$O2568&gt;$O1450-7)),0)"),1.24721912892464)</f>
        <v>1.2472191289246399</v>
      </c>
      <c r="AJ1447" s="77">
        <f t="shared" ca="1" si="258"/>
        <v>-1.2981260321460684</v>
      </c>
      <c r="AK1447" s="77">
        <f t="shared" ca="1" si="259"/>
        <v>1</v>
      </c>
      <c r="AL1447" s="76">
        <f t="array" ref="AL1447">AVERAGEIFS($J$2:$J2565,$B$2:$B2565,$B1447,$P$2:$P2565,"&lt;="&amp;$P1447,$P$2:$P2565,"&gt;"&amp;$P1447-7)</f>
        <v>7</v>
      </c>
      <c r="AM1447" s="76">
        <f ca="1">IFERROR(__xludf.DUMMYFUNCTION("iferror(stdevp(filter($I$2:$I2568,$B$2:$B2568=$B1450,$O$2:$O2568&lt;=$O1450,$O$2:$O2568&gt;$O1450-7)),0)"),0.471404520791031)</f>
        <v>0.47140452079103101</v>
      </c>
      <c r="AN1447" s="77">
        <f t="shared" ca="1" si="260"/>
        <v>4.242640687119291</v>
      </c>
      <c r="AO1447" s="77">
        <f t="shared" ca="1" si="261"/>
        <v>4</v>
      </c>
      <c r="AP1447" s="76">
        <f t="array" ref="AP1447">AVERAGEIFS($K$2:$K2565,$B$2:$B2565,$B1447,$P$2:$P2565,"&lt;="&amp;$P1447,$P$2:$P2565,"&gt;"&amp;$P1447-7)</f>
        <v>7.4285714285714288</v>
      </c>
      <c r="AQ1447" s="76">
        <f ca="1">IFERROR(__xludf.DUMMYFUNCTION("iferror(stdevp(filter($J$2:$J2568,$B$2:$B2568=$B1450,$O$2:$O2568&lt;=$O1450,$O$2:$O2568&gt;$O1450-7)),0)"),0.471404520791031)</f>
        <v>0.47140452079103101</v>
      </c>
      <c r="AR1447" s="77">
        <f t="shared" ca="1" si="262"/>
        <v>3.3335033970222998</v>
      </c>
      <c r="AS1447" s="77">
        <f t="shared" ca="1" si="263"/>
        <v>4</v>
      </c>
      <c r="AT1447" s="78">
        <f t="shared" ca="1" si="264"/>
        <v>0.58333333333333337</v>
      </c>
    </row>
    <row r="1448" spans="1:46" ht="12.5" x14ac:dyDescent="0.25">
      <c r="A1448" s="75">
        <v>45004.516524108796</v>
      </c>
      <c r="B1448" s="1" t="s">
        <v>4</v>
      </c>
      <c r="C1448" s="1" t="str">
        <f>INDEX(TBL_Name,MATCH(Table2[[#This Row],[Athlete Name]],listNames,0),2)</f>
        <v>Athlete 1</v>
      </c>
      <c r="D1448" s="1" t="s">
        <v>130</v>
      </c>
      <c r="E1448" s="1">
        <v>9</v>
      </c>
      <c r="F1448" s="1">
        <v>5</v>
      </c>
      <c r="G1448" s="1">
        <v>5</v>
      </c>
      <c r="H1448" s="1" t="s">
        <v>506</v>
      </c>
      <c r="I1448" s="1">
        <v>9</v>
      </c>
      <c r="J1448" s="1">
        <v>5</v>
      </c>
      <c r="K1448" s="1">
        <v>9</v>
      </c>
      <c r="L1448" s="1">
        <v>90</v>
      </c>
      <c r="M1448" s="1" t="e">
        <f t="shared" ref="M1448" ca="1" si="433">_xludf.concat($B1448,$P1448)</f>
        <v>#NAME?</v>
      </c>
      <c r="N1448" s="1" t="e">
        <f t="shared" si="248"/>
        <v>#VALUE!</v>
      </c>
      <c r="O1448" s="1" t="e">
        <f t="shared" ref="O1448" ca="1" si="434">IF($N1448=_xludf.MINIFS($N$2:$N2954,$R$2:$R2954,$R1448),1,
($N1448-_xludf.MINIFS($N$2:$N2954,$R$2:$R2954,$R1448))+1)</f>
        <v>#VALUE!</v>
      </c>
      <c r="P1448" s="13" t="e">
        <f t="shared" si="250"/>
        <v>#VALUE!</v>
      </c>
      <c r="Q1448" s="1" t="str">
        <f>RIGHT(YEAR($A1448),2)-(MONTH($A1448)&lt;=[3]Roster!$K$25)
 &amp;"-"&amp;
 RIGHT(YEAR($A1448),2)+(MONTH($A1448)&gt;=[3]Roster!$K$26)</f>
        <v>22-23</v>
      </c>
      <c r="R1448" s="1" t="e">
        <f>CHOOSE(MONTH($P1448),[3]Roster!$K$9,[3]Roster!$K$10,[3]Roster!$K$11,[3]Roster!$K$12,[3]Roster!$K$13,[3]Roster!$K$14,[3]Roster!$K$15,[3]Roster!$K$16,[3]Roster!$K$17,[3]Roster!$K$18,[3]Roster!$K$19,[3]Roster!$K$20)&amp;" "&amp;$Q1448</f>
        <v>#VALUE!</v>
      </c>
      <c r="S1448" s="1">
        <f t="shared" si="251"/>
        <v>1</v>
      </c>
      <c r="T1448" s="1" t="str">
        <f t="array" ref="T1448">IFERROR(INDEX([3]Roster!$D$3:$D$42,MATCH($B1448,[3]Roster!$C$3:$C$42,0)),"")</f>
        <v>FWD</v>
      </c>
      <c r="U1448" s="1" t="str">
        <f t="array" ref="U1448">IFERROR(INDEX([3]Roster!$E$3:$E$42,MATCH($B1448,[3]Roster!$C$3:$C$42,0)),"")</f>
        <v>FWD</v>
      </c>
      <c r="V1448" s="76">
        <f t="array" ref="V1448">AVERAGEIFS($E$2:$E2565,$B$2:$B2565,$B1448,$P$2:$P2565,"&lt;="&amp;$P1448,$P$2:$P2565,"&gt;"&amp;$P1448-7)</f>
        <v>8.3809523809523814</v>
      </c>
      <c r="W1448" s="76">
        <f ca="1">IFERROR(__xludf.DUMMYFUNCTION("iferror(stdevp(filter($D$2:$D2568,$B$2:$B2568=$B1451,$O$2:$O2568&lt;=$O1451,$O$2:$O2568&gt;$O1451-7)),0)"),0.433012701892219)</f>
        <v>0.43301270189221902</v>
      </c>
      <c r="X1448" s="77">
        <f t="shared" ca="1" si="252"/>
        <v>1.4296292379933591</v>
      </c>
      <c r="Y1448" s="77">
        <f t="shared" ca="1" si="253"/>
        <v>4</v>
      </c>
      <c r="Z1448" s="76">
        <f t="array" ref="Z1448">AVERAGEIFS($F$2:$F2565,$B$2:$B2565,$B1448,$P$2:$P2565,"&lt;="&amp;$P1448,$P$2:$P2565,"&gt;"&amp;$P1448-7)</f>
        <v>6.8571428571428568</v>
      </c>
      <c r="AA1448" s="76">
        <f ca="1">IFERROR(__xludf.DUMMYFUNCTION("iferror(stdevp(filter($E$2:$E2568,$B$2:$B2568=$B1451,$O$2:$O2568&lt;=$O1451,$O$2:$O2568&gt;$O1451-7)),0)"),1.22474487139158)</f>
        <v>1.2247448713915801</v>
      </c>
      <c r="AB1448" s="77">
        <f t="shared" ca="1" si="254"/>
        <v>-1.5163507931515021</v>
      </c>
      <c r="AC1448" s="77">
        <f t="shared" ca="1" si="255"/>
        <v>1</v>
      </c>
      <c r="AD1448" s="76">
        <f t="array" ref="AD1448">AVERAGEIFS($G$2:$G2565,$B$2:$B2565,$B1448,$P$2:$P2565,"&lt;="&amp;$P1448,$P$2:$P2565,"&gt;"&amp;$P1448-7)</f>
        <v>5.7619047619047619</v>
      </c>
      <c r="AE1448" s="76">
        <f ca="1">IFERROR(__xludf.DUMMYFUNCTION("iferror(stdevp(filter($F$2:$F2568,$B$2:$B2568=$B1451,$O$2:$O2568&lt;=$O1451,$O$2:$O2568&gt;$O1451-7)),0)"),1.11803398874989)</f>
        <v>1.11803398874989</v>
      </c>
      <c r="AF1448" s="77">
        <f t="shared" ca="1" si="256"/>
        <v>-0.68146833599993883</v>
      </c>
      <c r="AG1448" s="77">
        <f t="shared" ca="1" si="257"/>
        <v>2</v>
      </c>
      <c r="AH1448" s="76">
        <f t="array" ref="AH1448">AVERAGEIFS($I$2:$I2565,$B$2:$B2565,$B1448,$P$2:$P2565,"&lt;="&amp;$P1448,$P$2:$P2565,"&gt;"&amp;$P1448-7)</f>
        <v>6.8571428571428568</v>
      </c>
      <c r="AI1448" s="76">
        <f ca="1">IFERROR(__xludf.DUMMYFUNCTION("iferror(stdevp(filter($H$2:$H2568,$B$2:$B2568=$B1451,$O$2:$O2568&lt;=$O1451,$O$2:$O2568&gt;$O1451-7)),0)"),0.5)</f>
        <v>0.5</v>
      </c>
      <c r="AJ1448" s="77">
        <f t="shared" ca="1" si="258"/>
        <v>4.2857142857142865</v>
      </c>
      <c r="AK1448" s="77">
        <f t="shared" ca="1" si="259"/>
        <v>4</v>
      </c>
      <c r="AL1448" s="76">
        <f t="array" ref="AL1448">AVERAGEIFS($J$2:$J2565,$B$2:$B2565,$B1448,$P$2:$P2565,"&lt;="&amp;$P1448,$P$2:$P2565,"&gt;"&amp;$P1448-7)</f>
        <v>5.0952380952380949</v>
      </c>
      <c r="AM1448" s="76">
        <f ca="1">IFERROR(__xludf.DUMMYFUNCTION("iferror(stdevp(filter($I$2:$I2568,$B$2:$B2568=$B1451,$O$2:$O2568&lt;=$O1451,$O$2:$O2568&gt;$O1451-7)),0)"),1.08972473588516)</f>
        <v>1.0897247358851601</v>
      </c>
      <c r="AN1448" s="77">
        <f t="shared" ca="1" si="260"/>
        <v>-8.7396470045928654E-2</v>
      </c>
      <c r="AO1448" s="77">
        <f t="shared" ca="1" si="261"/>
        <v>2</v>
      </c>
      <c r="AP1448" s="76">
        <f t="array" ref="AP1448">AVERAGEIFS($K$2:$K2565,$B$2:$B2565,$B1448,$P$2:$P2565,"&lt;="&amp;$P1448,$P$2:$P2565,"&gt;"&amp;$P1448-7)</f>
        <v>5.3809523809523814</v>
      </c>
      <c r="AQ1448" s="76">
        <f ca="1">IFERROR(__xludf.DUMMYFUNCTION("iferror(stdevp(filter($J$2:$J2568,$B$2:$B2568=$B1451,$O$2:$O2568&lt;=$O1451,$O$2:$O2568&gt;$O1451-7)),0)"),1.87082869338697)</f>
        <v>1.87082869338697</v>
      </c>
      <c r="AR1448" s="77">
        <f t="shared" ca="1" si="262"/>
        <v>1.9344623224137389</v>
      </c>
      <c r="AS1448" s="77">
        <f t="shared" ca="1" si="263"/>
        <v>4</v>
      </c>
      <c r="AT1448" s="78">
        <f t="shared" ca="1" si="264"/>
        <v>0.70833333333333337</v>
      </c>
    </row>
    <row r="1449" spans="1:46" ht="12.5" x14ac:dyDescent="0.25">
      <c r="A1449" s="75">
        <v>45004.516766712964</v>
      </c>
      <c r="B1449" s="1" t="s">
        <v>29</v>
      </c>
      <c r="C1449" s="1" t="str">
        <f>INDEX(TBL_Name,MATCH(Table2[[#This Row],[Athlete Name]],listNames,0),2)</f>
        <v>Athlete 18</v>
      </c>
      <c r="D1449" s="1" t="s">
        <v>130</v>
      </c>
      <c r="E1449" s="1">
        <v>9</v>
      </c>
      <c r="F1449" s="1">
        <v>6</v>
      </c>
      <c r="G1449" s="1">
        <v>8</v>
      </c>
      <c r="H1449" s="1" t="s">
        <v>1602</v>
      </c>
      <c r="I1449" s="1">
        <v>7</v>
      </c>
      <c r="J1449" s="1">
        <v>7</v>
      </c>
      <c r="K1449" s="1">
        <v>8</v>
      </c>
      <c r="L1449" s="1">
        <v>91</v>
      </c>
      <c r="M1449" s="1" t="e">
        <f t="shared" ref="M1449" ca="1" si="435">_xludf.concat($B1449,$P1449)</f>
        <v>#NAME?</v>
      </c>
      <c r="N1449" s="1" t="e">
        <f t="shared" si="248"/>
        <v>#VALUE!</v>
      </c>
      <c r="O1449" s="1" t="e">
        <f t="shared" ref="O1449" ca="1" si="436">IF($N1449=_xludf.MINIFS($N$2:$N2955,$R$2:$R2955,$R1449),1,
($N1449-_xludf.MINIFS($N$2:$N2955,$R$2:$R2955,$R1449))+1)</f>
        <v>#VALUE!</v>
      </c>
      <c r="P1449" s="13" t="e">
        <f t="shared" si="250"/>
        <v>#VALUE!</v>
      </c>
      <c r="Q1449" s="1" t="str">
        <f>RIGHT(YEAR($A1449),2)-(MONTH($A1449)&lt;=[3]Roster!$K$25)
 &amp;"-"&amp;
 RIGHT(YEAR($A1449),2)+(MONTH($A1449)&gt;=[3]Roster!$K$26)</f>
        <v>22-23</v>
      </c>
      <c r="R1449" s="1" t="e">
        <f>CHOOSE(MONTH($P1449),[3]Roster!$K$9,[3]Roster!$K$10,[3]Roster!$K$11,[3]Roster!$K$12,[3]Roster!$K$13,[3]Roster!$K$14,[3]Roster!$K$15,[3]Roster!$K$16,[3]Roster!$K$17,[3]Roster!$K$18,[3]Roster!$K$19,[3]Roster!$K$20)&amp;" "&amp;$Q1449</f>
        <v>#VALUE!</v>
      </c>
      <c r="S1449" s="1">
        <f t="shared" si="251"/>
        <v>1</v>
      </c>
      <c r="T1449" s="1" t="str">
        <f t="array" ref="T1449">IFERROR(INDEX([3]Roster!$D$3:$D$42,MATCH($B1449,[3]Roster!$C$3:$C$42,0)),"")</f>
        <v>GK</v>
      </c>
      <c r="U1449" s="1" t="str">
        <f t="array" ref="U1449">IFERROR(INDEX([3]Roster!$E$3:$E$42,MATCH($B1449,[3]Roster!$C$3:$C$42,0)),"")</f>
        <v>GK</v>
      </c>
      <c r="V1449" s="76">
        <f t="array" ref="V1449">AVERAGEIFS($E$2:$E2565,$B$2:$B2565,$B1449,$P$2:$P2565,"&lt;="&amp;$P1449,$P$2:$P2565,"&gt;"&amp;$P1449-7)</f>
        <v>8.53125</v>
      </c>
      <c r="W1449" s="76">
        <f ca="1">IFERROR(__xludf.DUMMYFUNCTION("iferror(stdevp(filter($D$2:$D2568,$B$2:$B2568=$B1452,$O$2:$O2568&lt;=$O1452,$O$2:$O2568&gt;$O1452-7)),0)"),1.38505138783323)</f>
        <v>1.38505138783323</v>
      </c>
      <c r="X1449" s="77">
        <f t="shared" ca="1" si="252"/>
        <v>0.33843509642866826</v>
      </c>
      <c r="Y1449" s="77">
        <f t="shared" ca="1" si="253"/>
        <v>3</v>
      </c>
      <c r="Z1449" s="76">
        <f t="array" ref="Z1449">AVERAGEIFS($F$2:$F2565,$B$2:$B2565,$B1449,$P$2:$P2565,"&lt;="&amp;$P1449,$P$2:$P2565,"&gt;"&amp;$P1449-7)</f>
        <v>8.125</v>
      </c>
      <c r="AA1449" s="76">
        <f ca="1">IFERROR(__xludf.DUMMYFUNCTION("iferror(stdevp(filter($E$2:$E2568,$B$2:$B2568=$B1452,$O$2:$O2568&lt;=$O1452,$O$2:$O2568&gt;$O1452-7)),0)"),1.03015750727542)</f>
        <v>1.0301575072754201</v>
      </c>
      <c r="AB1449" s="77">
        <f t="shared" ca="1" si="254"/>
        <v>-2.0627913547125818</v>
      </c>
      <c r="AC1449" s="77">
        <f t="shared" ca="1" si="255"/>
        <v>1</v>
      </c>
      <c r="AD1449" s="76">
        <f t="array" ref="AD1449">AVERAGEIFS($G$2:$G2565,$B$2:$B2565,$B1449,$P$2:$P2565,"&lt;="&amp;$P1449,$P$2:$P2565,"&gt;"&amp;$P1449-7)</f>
        <v>8.09375</v>
      </c>
      <c r="AE1449" s="76">
        <f ca="1">IFERROR(__xludf.DUMMYFUNCTION("iferror(stdevp(filter($F$2:$F2568,$B$2:$B2568=$B1452,$O$2:$O2568&lt;=$O1452,$O$2:$O2568&gt;$O1452-7)),0)"),0.755928946018454)</f>
        <v>0.75592894601845395</v>
      </c>
      <c r="AF1449" s="77">
        <f t="shared" ca="1" si="256"/>
        <v>-0.12401959270615277</v>
      </c>
      <c r="AG1449" s="77">
        <f t="shared" ca="1" si="257"/>
        <v>2</v>
      </c>
      <c r="AH1449" s="76">
        <f t="array" ref="AH1449">AVERAGEIFS($I$2:$I2565,$B$2:$B2565,$B1449,$P$2:$P2565,"&lt;="&amp;$P1449,$P$2:$P2565,"&gt;"&amp;$P1449-7)</f>
        <v>7.875</v>
      </c>
      <c r="AI1449" s="76">
        <f ca="1">IFERROR(__xludf.DUMMYFUNCTION("iferror(stdevp(filter($H$2:$H2568,$B$2:$B2568=$B1452,$O$2:$O2568&lt;=$O1452,$O$2:$O2568&gt;$O1452-7)),0)"),0.925820099772551)</f>
        <v>0.92582009977255098</v>
      </c>
      <c r="AJ1449" s="77">
        <f t="shared" ca="1" si="258"/>
        <v>-0.94510801851781345</v>
      </c>
      <c r="AK1449" s="77">
        <f t="shared" ca="1" si="259"/>
        <v>2</v>
      </c>
      <c r="AL1449" s="76">
        <f t="array" ref="AL1449">AVERAGEIFS($J$2:$J2565,$B$2:$B2565,$B1449,$P$2:$P2565,"&lt;="&amp;$P1449,$P$2:$P2565,"&gt;"&amp;$P1449-7)</f>
        <v>8.34375</v>
      </c>
      <c r="AM1449" s="76">
        <f ca="1">IFERROR(__xludf.DUMMYFUNCTION("iferror(stdevp(filter($I$2:$I2568,$B$2:$B2568=$B1452,$O$2:$O2568&lt;=$O1452,$O$2:$O2568&gt;$O1452-7)),0)"),0.903507902905251)</f>
        <v>0.90350790290525096</v>
      </c>
      <c r="AN1449" s="77">
        <f t="shared" ca="1" si="260"/>
        <v>-1.4872587120479415</v>
      </c>
      <c r="AO1449" s="77">
        <f t="shared" ca="1" si="261"/>
        <v>1</v>
      </c>
      <c r="AP1449" s="76">
        <f t="array" ref="AP1449">AVERAGEIFS($K$2:$K2565,$B$2:$B2565,$B1449,$P$2:$P2565,"&lt;="&amp;$P1449,$P$2:$P2565,"&gt;"&amp;$P1449-7)</f>
        <v>8.46875</v>
      </c>
      <c r="AQ1449" s="76">
        <f ca="1">IFERROR(__xludf.DUMMYFUNCTION("iferror(stdevp(filter($J$2:$J2568,$B$2:$B2568=$B1452,$O$2:$O2568&lt;=$O1452,$O$2:$O2568&gt;$O1452-7)),0)"),0.832993127835042)</f>
        <v>0.83299312783504198</v>
      </c>
      <c r="AR1449" s="77">
        <f t="shared" ca="1" si="262"/>
        <v>-0.56272973249885772</v>
      </c>
      <c r="AS1449" s="77">
        <f t="shared" ca="1" si="263"/>
        <v>2</v>
      </c>
      <c r="AT1449" s="78">
        <f t="shared" ca="1" si="264"/>
        <v>0.45833333333333331</v>
      </c>
    </row>
    <row r="1450" spans="1:46" ht="12.5" x14ac:dyDescent="0.25">
      <c r="A1450" s="75">
        <v>45004.735277071755</v>
      </c>
      <c r="B1450" s="1" t="s">
        <v>12</v>
      </c>
      <c r="C1450" s="1" t="str">
        <f>INDEX(TBL_Name,MATCH(Table2[[#This Row],[Athlete Name]],listNames,0),2)</f>
        <v>Athlete 6</v>
      </c>
      <c r="D1450" s="1" t="s">
        <v>130</v>
      </c>
      <c r="E1450" s="1">
        <v>10</v>
      </c>
      <c r="F1450" s="1">
        <v>5</v>
      </c>
      <c r="G1450" s="1">
        <v>6</v>
      </c>
      <c r="H1450" s="1" t="s">
        <v>739</v>
      </c>
      <c r="I1450" s="1">
        <v>9</v>
      </c>
      <c r="J1450" s="1">
        <v>8</v>
      </c>
      <c r="K1450" s="1">
        <v>10</v>
      </c>
      <c r="L1450" s="1">
        <v>50</v>
      </c>
      <c r="M1450" s="1" t="e">
        <f t="shared" ref="M1450" ca="1" si="437">_xludf.concat($B1450,$P1450)</f>
        <v>#NAME?</v>
      </c>
      <c r="N1450" s="1" t="e">
        <f t="shared" si="248"/>
        <v>#VALUE!</v>
      </c>
      <c r="O1450" s="1" t="e">
        <f t="shared" ref="O1450" ca="1" si="438">IF($N1450=_xludf.MINIFS($N$2:$N2956,$R$2:$R2956,$R1450),1,
($N1450-_xludf.MINIFS($N$2:$N2956,$R$2:$R2956,$R1450))+1)</f>
        <v>#VALUE!</v>
      </c>
      <c r="P1450" s="13" t="e">
        <f t="shared" si="250"/>
        <v>#VALUE!</v>
      </c>
      <c r="Q1450" s="1" t="str">
        <f>RIGHT(YEAR($A1450),2)-(MONTH($A1450)&lt;=[3]Roster!$K$25)
 &amp;"-"&amp;
 RIGHT(YEAR($A1450),2)+(MONTH($A1450)&gt;=[3]Roster!$K$26)</f>
        <v>22-23</v>
      </c>
      <c r="R1450" s="1" t="e">
        <f>CHOOSE(MONTH($P1450),[3]Roster!$K$9,[3]Roster!$K$10,[3]Roster!$K$11,[3]Roster!$K$12,[3]Roster!$K$13,[3]Roster!$K$14,[3]Roster!$K$15,[3]Roster!$K$16,[3]Roster!$K$17,[3]Roster!$K$18,[3]Roster!$K$19,[3]Roster!$K$20)&amp;" "&amp;$Q1450</f>
        <v>#VALUE!</v>
      </c>
      <c r="S1450" s="1">
        <f t="shared" si="251"/>
        <v>1</v>
      </c>
      <c r="T1450" s="1" t="str">
        <f t="array" ref="T1450">IFERROR(INDEX([3]Roster!$D$3:$D$42,MATCH($B1450,[3]Roster!$C$3:$C$42,0)),"")</f>
        <v>MID</v>
      </c>
      <c r="U1450" s="1" t="str">
        <f t="array" ref="U1450">IFERROR(INDEX([3]Roster!$E$3:$E$42,MATCH($B1450,[3]Roster!$C$3:$C$42,0)),"")</f>
        <v>MID</v>
      </c>
      <c r="V1450" s="76">
        <f t="array" ref="V1450">AVERAGEIFS($E$2:$E2565,$B$2:$B2565,$B1450,$P$2:$P2565,"&lt;="&amp;$P1450,$P$2:$P2565,"&gt;"&amp;$P1450-7)</f>
        <v>9.75</v>
      </c>
      <c r="W1450" s="76">
        <f ca="1">IFERROR(__xludf.DUMMYFUNCTION("iferror(stdevp(filter($D$2:$D2568,$B$2:$B2568=$B1453,$O$2:$O2568&lt;=$O1453,$O$2:$O2568&gt;$O1453-7)),0)"),0)</f>
        <v>0</v>
      </c>
      <c r="X1450" s="77">
        <f t="shared" ca="1" si="252"/>
        <v>0</v>
      </c>
      <c r="Y1450" s="77">
        <f t="shared" ca="1" si="253"/>
        <v>3</v>
      </c>
      <c r="Z1450" s="76">
        <f t="array" ref="Z1450">AVERAGEIFS($F$2:$F2565,$B$2:$B2565,$B1450,$P$2:$P2565,"&lt;="&amp;$P1450,$P$2:$P2565,"&gt;"&amp;$P1450-7)</f>
        <v>7.083333333333333</v>
      </c>
      <c r="AA1450" s="76">
        <f ca="1">IFERROR(__xludf.DUMMYFUNCTION("iferror(stdevp(filter($E$2:$E2568,$B$2:$B2568=$B1453,$O$2:$O2568&lt;=$O1453,$O$2:$O2568&gt;$O1453-7)),0)"),0)</f>
        <v>0</v>
      </c>
      <c r="AB1450" s="77">
        <f t="shared" ca="1" si="254"/>
        <v>0</v>
      </c>
      <c r="AC1450" s="77">
        <f t="shared" ca="1" si="255"/>
        <v>3</v>
      </c>
      <c r="AD1450" s="76">
        <f t="array" ref="AD1450">AVERAGEIFS($G$2:$G2565,$B$2:$B2565,$B1450,$P$2:$P2565,"&lt;="&amp;$P1450,$P$2:$P2565,"&gt;"&amp;$P1450-7)</f>
        <v>7.083333333333333</v>
      </c>
      <c r="AE1450" s="76">
        <f ca="1">IFERROR(__xludf.DUMMYFUNCTION("iferror(stdevp(filter($F$2:$F2568,$B$2:$B2568=$B1453,$O$2:$O2568&lt;=$O1453,$O$2:$O2568&gt;$O1453-7)),0)"),0)</f>
        <v>0</v>
      </c>
      <c r="AF1450" s="77">
        <f t="shared" ca="1" si="256"/>
        <v>0</v>
      </c>
      <c r="AG1450" s="77">
        <f t="shared" ca="1" si="257"/>
        <v>3</v>
      </c>
      <c r="AH1450" s="76">
        <f t="array" ref="AH1450">AVERAGEIFS($I$2:$I2565,$B$2:$B2565,$B1450,$P$2:$P2565,"&lt;="&amp;$P1450,$P$2:$P2565,"&gt;"&amp;$P1450-7)</f>
        <v>6.583333333333333</v>
      </c>
      <c r="AI1450" s="76">
        <f ca="1">IFERROR(__xludf.DUMMYFUNCTION("iferror(stdevp(filter($H$2:$H2568,$B$2:$B2568=$B1453,$O$2:$O2568&lt;=$O1453,$O$2:$O2568&gt;$O1453-7)),0)"),0)</f>
        <v>0</v>
      </c>
      <c r="AJ1450" s="77">
        <f t="shared" ca="1" si="258"/>
        <v>0</v>
      </c>
      <c r="AK1450" s="77">
        <f t="shared" ca="1" si="259"/>
        <v>3</v>
      </c>
      <c r="AL1450" s="76">
        <f t="array" ref="AL1450">AVERAGEIFS($J$2:$J2565,$B$2:$B2565,$B1450,$P$2:$P2565,"&lt;="&amp;$P1450,$P$2:$P2565,"&gt;"&amp;$P1450-7)</f>
        <v>6.666666666666667</v>
      </c>
      <c r="AM1450" s="76">
        <f ca="1">IFERROR(__xludf.DUMMYFUNCTION("iferror(stdevp(filter($I$2:$I2568,$B$2:$B2568=$B1453,$O$2:$O2568&lt;=$O1453,$O$2:$O2568&gt;$O1453-7)),0)"),0)</f>
        <v>0</v>
      </c>
      <c r="AN1450" s="77">
        <f t="shared" ca="1" si="260"/>
        <v>0</v>
      </c>
      <c r="AO1450" s="77">
        <f t="shared" ca="1" si="261"/>
        <v>3</v>
      </c>
      <c r="AP1450" s="76">
        <f t="array" ref="AP1450">AVERAGEIFS($K$2:$K2565,$B$2:$B2565,$B1450,$P$2:$P2565,"&lt;="&amp;$P1450,$P$2:$P2565,"&gt;"&amp;$P1450-7)</f>
        <v>8.25</v>
      </c>
      <c r="AQ1450" s="76">
        <f ca="1">IFERROR(__xludf.DUMMYFUNCTION("iferror(stdevp(filter($J$2:$J2568,$B$2:$B2568=$B1453,$O$2:$O2568&lt;=$O1453,$O$2:$O2568&gt;$O1453-7)),0)"),0)</f>
        <v>0</v>
      </c>
      <c r="AR1450" s="77">
        <f t="shared" ca="1" si="262"/>
        <v>0</v>
      </c>
      <c r="AS1450" s="77">
        <f t="shared" ca="1" si="263"/>
        <v>3</v>
      </c>
      <c r="AT1450" s="78">
        <f t="shared" ca="1" si="264"/>
        <v>0.75</v>
      </c>
    </row>
    <row r="1451" spans="1:46" ht="12.5" x14ac:dyDescent="0.25">
      <c r="A1451" s="75">
        <v>45004.763445833334</v>
      </c>
      <c r="B1451" s="1" t="s">
        <v>10</v>
      </c>
      <c r="C1451" s="1" t="str">
        <f>INDEX(TBL_Name,MATCH(Table2[[#This Row],[Athlete Name]],listNames,0),2)</f>
        <v>Athlete 5</v>
      </c>
      <c r="D1451" s="1" t="s">
        <v>130</v>
      </c>
      <c r="E1451" s="1">
        <v>9</v>
      </c>
      <c r="F1451" s="1">
        <v>8</v>
      </c>
      <c r="G1451" s="1">
        <v>8</v>
      </c>
      <c r="H1451" s="1" t="s">
        <v>415</v>
      </c>
      <c r="I1451" s="1">
        <v>5</v>
      </c>
      <c r="J1451" s="1">
        <v>8</v>
      </c>
      <c r="K1451" s="1">
        <v>8</v>
      </c>
      <c r="L1451" s="1">
        <v>75</v>
      </c>
      <c r="M1451" s="1" t="e">
        <f t="shared" ref="M1451" ca="1" si="439">_xludf.concat($B1451,$P1451)</f>
        <v>#NAME?</v>
      </c>
      <c r="N1451" s="1" t="e">
        <f t="shared" si="248"/>
        <v>#VALUE!</v>
      </c>
      <c r="O1451" s="1" t="e">
        <f t="shared" ref="O1451" ca="1" si="440">IF($N1451=_xludf.MINIFS($N$2:$N2957,$R$2:$R2957,$R1451),1,
($N1451-_xludf.MINIFS($N$2:$N2957,$R$2:$R2957,$R1451))+1)</f>
        <v>#VALUE!</v>
      </c>
      <c r="P1451" s="13" t="e">
        <f t="shared" si="250"/>
        <v>#VALUE!</v>
      </c>
      <c r="Q1451" s="1" t="str">
        <f>RIGHT(YEAR($A1451),2)-(MONTH($A1451)&lt;=[3]Roster!$K$25)
 &amp;"-"&amp;
 RIGHT(YEAR($A1451),2)+(MONTH($A1451)&gt;=[3]Roster!$K$26)</f>
        <v>22-23</v>
      </c>
      <c r="R1451" s="1" t="e">
        <f>CHOOSE(MONTH($P1451),[3]Roster!$K$9,[3]Roster!$K$10,[3]Roster!$K$11,[3]Roster!$K$12,[3]Roster!$K$13,[3]Roster!$K$14,[3]Roster!$K$15,[3]Roster!$K$16,[3]Roster!$K$17,[3]Roster!$K$18,[3]Roster!$K$19,[3]Roster!$K$20)&amp;" "&amp;$Q1451</f>
        <v>#VALUE!</v>
      </c>
      <c r="S1451" s="1">
        <f t="shared" si="251"/>
        <v>1</v>
      </c>
      <c r="T1451" s="1" t="str">
        <f t="array" ref="T1451">IFERROR(INDEX([3]Roster!$D$3:$D$42,MATCH($B1451,[3]Roster!$C$3:$C$42,0)),"")</f>
        <v>MID</v>
      </c>
      <c r="U1451" s="1" t="str">
        <f t="array" ref="U1451">IFERROR(INDEX([3]Roster!$E$3:$E$42,MATCH($B1451,[3]Roster!$C$3:$C$42,0)),"")</f>
        <v>MID</v>
      </c>
      <c r="V1451" s="76">
        <f t="array" ref="V1451">AVERAGEIFS($E$2:$E2565,$B$2:$B2565,$B1451,$P$2:$P2565,"&lt;="&amp;$P1451,$P$2:$P2565,"&gt;"&amp;$P1451-7)</f>
        <v>8.4042553191489358</v>
      </c>
      <c r="W1451" s="76">
        <f ca="1">IFERROR(__xludf.DUMMYFUNCTION("iferror(stdevp(filter($D$2:$D2568,$B$2:$B2568=$B1454,$O$2:$O2568&lt;=$O1454,$O$2:$O2568&gt;$O1454-7)),0)"),0.489897948556635)</f>
        <v>0.48989794855663499</v>
      </c>
      <c r="X1451" s="77">
        <f t="shared" ca="1" si="252"/>
        <v>1.2160587375519347</v>
      </c>
      <c r="Y1451" s="77">
        <f t="shared" ca="1" si="253"/>
        <v>4</v>
      </c>
      <c r="Z1451" s="76">
        <f t="array" ref="Z1451">AVERAGEIFS($F$2:$F2565,$B$2:$B2565,$B1451,$P$2:$P2565,"&lt;="&amp;$P1451,$P$2:$P2565,"&gt;"&amp;$P1451-7)</f>
        <v>8.085106382978724</v>
      </c>
      <c r="AA1451" s="76">
        <f ca="1">IFERROR(__xludf.DUMMYFUNCTION("iferror(stdevp(filter($E$2:$E2568,$B$2:$B2568=$B1454,$O$2:$O2568&lt;=$O1454,$O$2:$O2568&gt;$O1454-7)),0)"),1.16619037896906)</f>
        <v>1.16619037896906</v>
      </c>
      <c r="AB1451" s="77">
        <f t="shared" ca="1" si="254"/>
        <v>-7.29781213372383E-2</v>
      </c>
      <c r="AC1451" s="77">
        <f t="shared" ca="1" si="255"/>
        <v>2</v>
      </c>
      <c r="AD1451" s="76">
        <f t="array" ref="AD1451">AVERAGEIFS($G$2:$G2565,$B$2:$B2565,$B1451,$P$2:$P2565,"&lt;="&amp;$P1451,$P$2:$P2565,"&gt;"&amp;$P1451-7)</f>
        <v>8.0638297872340434</v>
      </c>
      <c r="AE1451" s="76">
        <f ca="1">IFERROR(__xludf.DUMMYFUNCTION("iferror(stdevp(filter($F$2:$F2568,$B$2:$B2568=$B1454,$O$2:$O2568&lt;=$O1454,$O$2:$O2568&gt;$O1454-7)),0)"),1.09544511501033)</f>
        <v>1.0954451150103299</v>
      </c>
      <c r="AF1451" s="77">
        <f t="shared" ca="1" si="256"/>
        <v>-5.8268357181401567E-2</v>
      </c>
      <c r="AG1451" s="77">
        <f t="shared" ca="1" si="257"/>
        <v>2</v>
      </c>
      <c r="AH1451" s="76">
        <f t="array" ref="AH1451">AVERAGEIFS($I$2:$I2565,$B$2:$B2565,$B1451,$P$2:$P2565,"&lt;="&amp;$P1451,$P$2:$P2565,"&gt;"&amp;$P1451-7)</f>
        <v>6.7446808510638299</v>
      </c>
      <c r="AI1451" s="76">
        <f ca="1">IFERROR(__xludf.DUMMYFUNCTION("iferror(stdevp(filter($H$2:$H2568,$B$2:$B2568=$B1454,$O$2:$O2568&lt;=$O1454,$O$2:$O2568&gt;$O1454-7)),0)"),1.26491106406735)</f>
        <v>1.26491106406735</v>
      </c>
      <c r="AJ1451" s="77">
        <f t="shared" ca="1" si="258"/>
        <v>-1.379291319860678</v>
      </c>
      <c r="AK1451" s="77">
        <f t="shared" ca="1" si="259"/>
        <v>1</v>
      </c>
      <c r="AL1451" s="76">
        <f t="array" ref="AL1451">AVERAGEIFS($J$2:$J2565,$B$2:$B2565,$B1451,$P$2:$P2565,"&lt;="&amp;$P1451,$P$2:$P2565,"&gt;"&amp;$P1451-7)</f>
        <v>8.1063829787234045</v>
      </c>
      <c r="AM1451" s="76">
        <f ca="1">IFERROR(__xludf.DUMMYFUNCTION("iferror(stdevp(filter($I$2:$I2568,$B$2:$B2568=$B1454,$O$2:$O2568&lt;=$O1454,$O$2:$O2568&gt;$O1454-7)),0)"),0)</f>
        <v>0</v>
      </c>
      <c r="AN1451" s="77">
        <f t="shared" ca="1" si="260"/>
        <v>0</v>
      </c>
      <c r="AO1451" s="77">
        <f t="shared" ca="1" si="261"/>
        <v>3</v>
      </c>
      <c r="AP1451" s="76">
        <f t="array" ref="AP1451">AVERAGEIFS($K$2:$K2565,$B$2:$B2565,$B1451,$P$2:$P2565,"&lt;="&amp;$P1451,$P$2:$P2565,"&gt;"&amp;$P1451-7)</f>
        <v>8.2978723404255312</v>
      </c>
      <c r="AQ1451" s="76">
        <f ca="1">IFERROR(__xludf.DUMMYFUNCTION("iferror(stdevp(filter($J$2:$J2568,$B$2:$B2568=$B1454,$O$2:$O2568&lt;=$O1454,$O$2:$O2568&gt;$O1454-7)),0)"),0.489897948556635)</f>
        <v>0.48989794855663499</v>
      </c>
      <c r="AR1451" s="77">
        <f t="shared" ca="1" si="262"/>
        <v>-0.60802936877596558</v>
      </c>
      <c r="AS1451" s="77">
        <f t="shared" ca="1" si="263"/>
        <v>2</v>
      </c>
      <c r="AT1451" s="78">
        <f t="shared" ca="1" si="264"/>
        <v>0.58333333333333337</v>
      </c>
    </row>
    <row r="1452" spans="1:46" ht="12.5" x14ac:dyDescent="0.25">
      <c r="A1452" s="75">
        <v>45004.784784629628</v>
      </c>
      <c r="B1452" s="1" t="s">
        <v>9</v>
      </c>
      <c r="C1452" s="1" t="str">
        <f>INDEX(TBL_Name,MATCH(Table2[[#This Row],[Athlete Name]],listNames,0),2)</f>
        <v>Athlete 4</v>
      </c>
      <c r="D1452" s="1" t="s">
        <v>130</v>
      </c>
      <c r="E1452" s="1">
        <v>8</v>
      </c>
      <c r="F1452" s="1">
        <v>8</v>
      </c>
      <c r="G1452" s="1">
        <v>9</v>
      </c>
      <c r="H1452" s="1" t="s">
        <v>1382</v>
      </c>
      <c r="I1452" s="1">
        <v>4</v>
      </c>
      <c r="J1452" s="1">
        <v>8</v>
      </c>
      <c r="K1452" s="1">
        <v>8</v>
      </c>
      <c r="L1452" s="1">
        <v>90</v>
      </c>
      <c r="M1452" s="1" t="e">
        <f t="shared" ref="M1452" ca="1" si="441">_xludf.concat($B1452,$P1452)</f>
        <v>#NAME?</v>
      </c>
      <c r="N1452" s="1" t="e">
        <f t="shared" si="248"/>
        <v>#VALUE!</v>
      </c>
      <c r="O1452" s="1" t="e">
        <f t="shared" ref="O1452" ca="1" si="442">IF($N1452=_xludf.MINIFS($N$2:$N2958,$R$2:$R2958,$R1452),1,
($N1452-_xludf.MINIFS($N$2:$N2958,$R$2:$R2958,$R1452))+1)</f>
        <v>#VALUE!</v>
      </c>
      <c r="P1452" s="13" t="e">
        <f t="shared" si="250"/>
        <v>#VALUE!</v>
      </c>
      <c r="Q1452" s="1" t="str">
        <f>RIGHT(YEAR($A1452),2)-(MONTH($A1452)&lt;=[3]Roster!$K$25)
 &amp;"-"&amp;
 RIGHT(YEAR($A1452),2)+(MONTH($A1452)&gt;=[3]Roster!$K$26)</f>
        <v>22-23</v>
      </c>
      <c r="R1452" s="1" t="e">
        <f>CHOOSE(MONTH($P1452),[3]Roster!$K$9,[3]Roster!$K$10,[3]Roster!$K$11,[3]Roster!$K$12,[3]Roster!$K$13,[3]Roster!$K$14,[3]Roster!$K$15,[3]Roster!$K$16,[3]Roster!$K$17,[3]Roster!$K$18,[3]Roster!$K$19,[3]Roster!$K$20)&amp;" "&amp;$Q1452</f>
        <v>#VALUE!</v>
      </c>
      <c r="S1452" s="1">
        <f t="shared" si="251"/>
        <v>1</v>
      </c>
      <c r="T1452" s="1" t="str">
        <f t="array" ref="T1452">IFERROR(INDEX([3]Roster!$D$3:$D$42,MATCH($B1452,[3]Roster!$C$3:$C$42,0)),"")</f>
        <v>F/MID</v>
      </c>
      <c r="U1452" s="1" t="str">
        <f t="array" ref="U1452">IFERROR(INDEX([3]Roster!$E$3:$E$42,MATCH($B1452,[3]Roster!$C$3:$C$42,0)),"")</f>
        <v>F/MID</v>
      </c>
      <c r="V1452" s="76">
        <f t="array" ref="V1452">AVERAGEIFS($E$2:$E2565,$B$2:$B2565,$B1452,$P$2:$P2565,"&lt;="&amp;$P1452,$P$2:$P2565,"&gt;"&amp;$P1452-7)</f>
        <v>7.4230769230769234</v>
      </c>
      <c r="W1452" s="76">
        <f ca="1">IFERROR(__xludf.DUMMYFUNCTION("iferror(stdevp(filter($D$2:$D2568,$B$2:$B2568=$B1455,$O$2:$O2568&lt;=$O1455,$O$2:$O2568&gt;$O1455-7)),0)"),0.5)</f>
        <v>0.5</v>
      </c>
      <c r="X1452" s="77">
        <f t="shared" ca="1" si="252"/>
        <v>1.1538461538461533</v>
      </c>
      <c r="Y1452" s="77">
        <f t="shared" ca="1" si="253"/>
        <v>4</v>
      </c>
      <c r="Z1452" s="76">
        <f t="array" ref="Z1452">AVERAGEIFS($F$2:$F2565,$B$2:$B2565,$B1452,$P$2:$P2565,"&lt;="&amp;$P1452,$P$2:$P2565,"&gt;"&amp;$P1452-7)</f>
        <v>7.1538461538461542</v>
      </c>
      <c r="AA1452" s="76">
        <f ca="1">IFERROR(__xludf.DUMMYFUNCTION("iferror(stdevp(filter($E$2:$E2568,$B$2:$B2568=$B1455,$O$2:$O2568&lt;=$O1455,$O$2:$O2568&gt;$O1455-7)),0)"),1.92028643696715)</f>
        <v>1.92028643696715</v>
      </c>
      <c r="AB1452" s="77">
        <f t="shared" ca="1" si="254"/>
        <v>0.44063939101201954</v>
      </c>
      <c r="AC1452" s="77">
        <f t="shared" ca="1" si="255"/>
        <v>3</v>
      </c>
      <c r="AD1452" s="76">
        <f t="array" ref="AD1452">AVERAGEIFS($G$2:$G2565,$B$2:$B2565,$B1452,$P$2:$P2565,"&lt;="&amp;$P1452,$P$2:$P2565,"&gt;"&amp;$P1452-7)</f>
        <v>7.615384615384615</v>
      </c>
      <c r="AE1452" s="76">
        <f ca="1">IFERROR(__xludf.DUMMYFUNCTION("iferror(stdevp(filter($F$2:$F2568,$B$2:$B2568=$B1455,$O$2:$O2568&lt;=$O1455,$O$2:$O2568&gt;$O1455-7)),0)"),1.4790199457749)</f>
        <v>1.4790199457749</v>
      </c>
      <c r="AF1452" s="77">
        <f t="shared" ca="1" si="256"/>
        <v>0.93617086677620576</v>
      </c>
      <c r="AG1452" s="77">
        <f t="shared" ca="1" si="257"/>
        <v>3</v>
      </c>
      <c r="AH1452" s="76">
        <f t="array" ref="AH1452">AVERAGEIFS($I$2:$I2565,$B$2:$B2565,$B1452,$P$2:$P2565,"&lt;="&amp;$P1452,$P$2:$P2565,"&gt;"&amp;$P1452-7)</f>
        <v>5.1923076923076925</v>
      </c>
      <c r="AI1452" s="76">
        <f ca="1">IFERROR(__xludf.DUMMYFUNCTION("iferror(stdevp(filter($H$2:$H2568,$B$2:$B2568=$B1455,$O$2:$O2568&lt;=$O1455,$O$2:$O2568&gt;$O1455-7)),0)"),0.433012701892219)</f>
        <v>0.43301270189221902</v>
      </c>
      <c r="AJ1452" s="77">
        <f t="shared" ca="1" si="258"/>
        <v>-2.7535166684428329</v>
      </c>
      <c r="AK1452" s="77">
        <f t="shared" ca="1" si="259"/>
        <v>1</v>
      </c>
      <c r="AL1452" s="76">
        <f t="array" ref="AL1452">AVERAGEIFS($J$2:$J2565,$B$2:$B2565,$B1452,$P$2:$P2565,"&lt;="&amp;$P1452,$P$2:$P2565,"&gt;"&amp;$P1452-7)</f>
        <v>7.6923076923076925</v>
      </c>
      <c r="AM1452" s="76">
        <f ca="1">IFERROR(__xludf.DUMMYFUNCTION("iferror(stdevp(filter($I$2:$I2568,$B$2:$B2568=$B1455,$O$2:$O2568&lt;=$O1455,$O$2:$O2568&gt;$O1455-7)),0)"),0.5)</f>
        <v>0.5</v>
      </c>
      <c r="AN1452" s="77">
        <f t="shared" ca="1" si="260"/>
        <v>0.61538461538461497</v>
      </c>
      <c r="AO1452" s="77">
        <f t="shared" ca="1" si="261"/>
        <v>3</v>
      </c>
      <c r="AP1452" s="76">
        <f t="array" ref="AP1452">AVERAGEIFS($K$2:$K2565,$B$2:$B2565,$B1452,$P$2:$P2565,"&lt;="&amp;$P1452,$P$2:$P2565,"&gt;"&amp;$P1452-7)</f>
        <v>7.8461538461538458</v>
      </c>
      <c r="AQ1452" s="76">
        <f ca="1">IFERROR(__xludf.DUMMYFUNCTION("iferror(stdevp(filter($J$2:$J2568,$B$2:$B2568=$B1455,$O$2:$O2568&lt;=$O1455,$O$2:$O2568&gt;$O1455-7)),0)"),0)</f>
        <v>0</v>
      </c>
      <c r="AR1452" s="77">
        <f t="shared" ca="1" si="262"/>
        <v>0</v>
      </c>
      <c r="AS1452" s="77">
        <f t="shared" ca="1" si="263"/>
        <v>3</v>
      </c>
      <c r="AT1452" s="78">
        <f t="shared" ca="1" si="264"/>
        <v>0.70833333333333337</v>
      </c>
    </row>
    <row r="1453" spans="1:46" ht="12.5" x14ac:dyDescent="0.25">
      <c r="A1453" s="75">
        <v>45004.858207812504</v>
      </c>
      <c r="B1453" s="1" t="s">
        <v>24</v>
      </c>
      <c r="C1453" s="1" t="str">
        <f>INDEX(TBL_Name,MATCH(Table2[[#This Row],[Athlete Name]],listNames,0),2)</f>
        <v>Athlete 16</v>
      </c>
      <c r="D1453" s="1" t="s">
        <v>130</v>
      </c>
      <c r="E1453" s="1">
        <v>4</v>
      </c>
      <c r="F1453" s="1">
        <v>6</v>
      </c>
      <c r="G1453" s="1">
        <v>7</v>
      </c>
      <c r="H1453" s="1" t="s">
        <v>137</v>
      </c>
      <c r="I1453" s="1">
        <v>2</v>
      </c>
      <c r="J1453" s="1">
        <v>10</v>
      </c>
      <c r="K1453" s="1">
        <v>8</v>
      </c>
      <c r="L1453" s="1">
        <v>61</v>
      </c>
      <c r="M1453" s="1" t="e">
        <f t="shared" ref="M1453" ca="1" si="443">_xludf.concat($B1453,$P1453)</f>
        <v>#NAME?</v>
      </c>
      <c r="N1453" s="1" t="e">
        <f t="shared" si="248"/>
        <v>#VALUE!</v>
      </c>
      <c r="O1453" s="1" t="e">
        <f t="shared" ref="O1453" ca="1" si="444">IF($N1453=_xludf.MINIFS($N$2:$N2959,$R$2:$R2959,$R1453),1,
($N1453-_xludf.MINIFS($N$2:$N2959,$R$2:$R2959,$R1453))+1)</f>
        <v>#VALUE!</v>
      </c>
      <c r="P1453" s="13" t="e">
        <f t="shared" si="250"/>
        <v>#VALUE!</v>
      </c>
      <c r="Q1453" s="1" t="str">
        <f>RIGHT(YEAR($A1453),2)-(MONTH($A1453)&lt;=[3]Roster!$K$25)
 &amp;"-"&amp;
 RIGHT(YEAR($A1453),2)+(MONTH($A1453)&gt;=[3]Roster!$K$26)</f>
        <v>22-23</v>
      </c>
      <c r="R1453" s="1" t="e">
        <f>CHOOSE(MONTH($P1453),[3]Roster!$K$9,[3]Roster!$K$10,[3]Roster!$K$11,[3]Roster!$K$12,[3]Roster!$K$13,[3]Roster!$K$14,[3]Roster!$K$15,[3]Roster!$K$16,[3]Roster!$K$17,[3]Roster!$K$18,[3]Roster!$K$19,[3]Roster!$K$20)&amp;" "&amp;$Q1453</f>
        <v>#VALUE!</v>
      </c>
      <c r="S1453" s="1">
        <f t="shared" si="251"/>
        <v>1</v>
      </c>
      <c r="T1453" s="1" t="str">
        <f t="array" ref="T1453">IFERROR(INDEX([3]Roster!$D$3:$D$42,MATCH($B1453,[3]Roster!$C$3:$C$42,0)),"")</f>
        <v>D</v>
      </c>
      <c r="U1453" s="1" t="str">
        <f t="array" ref="U1453">IFERROR(INDEX([3]Roster!$E$3:$E$42,MATCH($B1453,[3]Roster!$C$3:$C$42,0)),"")</f>
        <v>D</v>
      </c>
      <c r="V1453" s="76">
        <f t="array" ref="V1453">AVERAGEIFS($E$2:$E2565,$B$2:$B2565,$B1453,$P$2:$P2565,"&lt;="&amp;$P1453,$P$2:$P2565,"&gt;"&amp;$P1453-7)</f>
        <v>4.1818181818181817</v>
      </c>
      <c r="W1453" s="76">
        <f ca="1">IFERROR(__xludf.DUMMYFUNCTION("iferror(stdevp(filter($D$2:$D2568,$B$2:$B2568=$B1456,$O$2:$O2568&lt;=$O1456,$O$2:$O2568&gt;$O1456-7)),0)"),1.01980390271855)</f>
        <v>1.0198039027185499</v>
      </c>
      <c r="X1453" s="77">
        <f t="shared" ca="1" si="252"/>
        <v>-0.17828739558016837</v>
      </c>
      <c r="Y1453" s="77">
        <f t="shared" ca="1" si="253"/>
        <v>2</v>
      </c>
      <c r="Z1453" s="76">
        <f t="array" ref="Z1453">AVERAGEIFS($F$2:$F2565,$B$2:$B2565,$B1453,$P$2:$P2565,"&lt;="&amp;$P1453,$P$2:$P2565,"&gt;"&amp;$P1453-7)</f>
        <v>6</v>
      </c>
      <c r="AA1453" s="76">
        <f ca="1">IFERROR(__xludf.DUMMYFUNCTION("iferror(stdevp(filter($E$2:$E2568,$B$2:$B2568=$B1456,$O$2:$O2568&lt;=$O1456,$O$2:$O2568&gt;$O1456-7)),0)"),1.01980390271855)</f>
        <v>1.0198039027185499</v>
      </c>
      <c r="AB1453" s="77">
        <f t="shared" ca="1" si="254"/>
        <v>0</v>
      </c>
      <c r="AC1453" s="77">
        <f t="shared" ca="1" si="255"/>
        <v>3</v>
      </c>
      <c r="AD1453" s="76">
        <f t="array" ref="AD1453">AVERAGEIFS($G$2:$G2565,$B$2:$B2565,$B1453,$P$2:$P2565,"&lt;="&amp;$P1453,$P$2:$P2565,"&gt;"&amp;$P1453-7)</f>
        <v>5.9090909090909092</v>
      </c>
      <c r="AE1453" s="76">
        <f ca="1">IFERROR(__xludf.DUMMYFUNCTION("iferror(stdevp(filter($F$2:$F2568,$B$2:$B2568=$B1456,$O$2:$O2568&lt;=$O1456,$O$2:$O2568&gt;$O1456-7)),0)"),0.748331477354788)</f>
        <v>0.748331477354788</v>
      </c>
      <c r="AF1453" s="77">
        <f t="shared" ca="1" si="256"/>
        <v>1.4577885922495879</v>
      </c>
      <c r="AG1453" s="77">
        <f t="shared" ca="1" si="257"/>
        <v>4</v>
      </c>
      <c r="AH1453" s="76">
        <f t="array" ref="AH1453">AVERAGEIFS($I$2:$I2565,$B$2:$B2565,$B1453,$P$2:$P2565,"&lt;="&amp;$P1453,$P$2:$P2565,"&gt;"&amp;$P1453-7)</f>
        <v>4.9545454545454541</v>
      </c>
      <c r="AI1453" s="76">
        <f ca="1">IFERROR(__xludf.DUMMYFUNCTION("iferror(stdevp(filter($H$2:$H2568,$B$2:$B2568=$B1456,$O$2:$O2568&lt;=$O1456,$O$2:$O2568&gt;$O1456-7)),0)"),1.09544511501033)</f>
        <v>1.0954451150103299</v>
      </c>
      <c r="AJ1453" s="77">
        <f t="shared" ca="1" si="258"/>
        <v>-2.6971186543815051</v>
      </c>
      <c r="AK1453" s="77">
        <f t="shared" ca="1" si="259"/>
        <v>1</v>
      </c>
      <c r="AL1453" s="76">
        <f t="array" ref="AL1453">AVERAGEIFS($J$2:$J2565,$B$2:$B2565,$B1453,$P$2:$P2565,"&lt;="&amp;$P1453,$P$2:$P2565,"&gt;"&amp;$P1453-7)</f>
        <v>6.9090909090909092</v>
      </c>
      <c r="AM1453" s="76">
        <f ca="1">IFERROR(__xludf.DUMMYFUNCTION("iferror(stdevp(filter($I$2:$I2568,$B$2:$B2568=$B1456,$O$2:$O2568&lt;=$O1456,$O$2:$O2568&gt;$O1456-7)),0)"),2.03960780543711)</f>
        <v>2.0396078054371101</v>
      </c>
      <c r="AN1453" s="77">
        <f t="shared" ca="1" si="260"/>
        <v>1.5154428624314249</v>
      </c>
      <c r="AO1453" s="77">
        <f t="shared" ca="1" si="261"/>
        <v>4</v>
      </c>
      <c r="AP1453" s="76">
        <f t="array" ref="AP1453">AVERAGEIFS($K$2:$K2565,$B$2:$B2565,$B1453,$P$2:$P2565,"&lt;="&amp;$P1453,$P$2:$P2565,"&gt;"&amp;$P1453-7)</f>
        <v>6.7272727272727275</v>
      </c>
      <c r="AQ1453" s="76">
        <f ca="1">IFERROR(__xludf.DUMMYFUNCTION("iferror(stdevp(filter($J$2:$J2568,$B$2:$B2568=$B1456,$O$2:$O2568&lt;=$O1456,$O$2:$O2568&gt;$O1456-7)),0)"),1.72046505340852)</f>
        <v>1.72046505340852</v>
      </c>
      <c r="AR1453" s="77">
        <f t="shared" ca="1" si="262"/>
        <v>0.73975770109703398</v>
      </c>
      <c r="AS1453" s="77">
        <f t="shared" ca="1" si="263"/>
        <v>3</v>
      </c>
      <c r="AT1453" s="78">
        <f t="shared" ca="1" si="264"/>
        <v>0.70833333333333337</v>
      </c>
    </row>
    <row r="1454" spans="1:46" ht="12.5" x14ac:dyDescent="0.25">
      <c r="A1454" s="75">
        <v>45005.30374949074</v>
      </c>
      <c r="B1454" s="1" t="s">
        <v>17</v>
      </c>
      <c r="C1454" s="1" t="str">
        <f>INDEX(TBL_Name,MATCH(Table2[[#This Row],[Athlete Name]],listNames,0),2)</f>
        <v>Athlete 10</v>
      </c>
      <c r="D1454" s="1" t="s">
        <v>130</v>
      </c>
      <c r="E1454" s="1">
        <v>4</v>
      </c>
      <c r="F1454" s="1">
        <v>7</v>
      </c>
      <c r="G1454" s="1">
        <v>6</v>
      </c>
      <c r="H1454" s="1"/>
      <c r="I1454" s="1">
        <v>9</v>
      </c>
      <c r="J1454" s="1">
        <v>6</v>
      </c>
      <c r="K1454" s="1">
        <v>9</v>
      </c>
      <c r="L1454" s="1">
        <v>88</v>
      </c>
      <c r="M1454" s="1" t="e">
        <f t="shared" ref="M1454" ca="1" si="445">_xludf.concat($B1454,$P1454)</f>
        <v>#NAME?</v>
      </c>
      <c r="N1454" s="1" t="e">
        <f t="shared" si="248"/>
        <v>#VALUE!</v>
      </c>
      <c r="O1454" s="1" t="e">
        <f t="shared" ref="O1454" ca="1" si="446">IF($N1454=_xludf.MINIFS($N$2:$N2960,$R$2:$R2960,$R1454),1,
($N1454-_xludf.MINIFS($N$2:$N2960,$R$2:$R2960,$R1454))+1)</f>
        <v>#VALUE!</v>
      </c>
      <c r="P1454" s="13" t="e">
        <f t="shared" si="250"/>
        <v>#VALUE!</v>
      </c>
      <c r="Q1454" s="1" t="str">
        <f>RIGHT(YEAR($A1454),2)-(MONTH($A1454)&lt;=[3]Roster!$K$25)
 &amp;"-"&amp;
 RIGHT(YEAR($A1454),2)+(MONTH($A1454)&gt;=[3]Roster!$K$26)</f>
        <v>22-23</v>
      </c>
      <c r="R1454" s="1" t="e">
        <f>CHOOSE(MONTH($P1454),[3]Roster!$K$9,[3]Roster!$K$10,[3]Roster!$K$11,[3]Roster!$K$12,[3]Roster!$K$13,[3]Roster!$K$14,[3]Roster!$K$15,[3]Roster!$K$16,[3]Roster!$K$17,[3]Roster!$K$18,[3]Roster!$K$19,[3]Roster!$K$20)&amp;" "&amp;$Q1454</f>
        <v>#VALUE!</v>
      </c>
      <c r="S1454" s="1">
        <f t="shared" si="251"/>
        <v>1</v>
      </c>
      <c r="T1454" s="1" t="str">
        <f t="array" ref="T1454">IFERROR(INDEX([3]Roster!$D$3:$D$42,MATCH($B1454,[3]Roster!$C$3:$C$42,0)),"")</f>
        <v>D</v>
      </c>
      <c r="U1454" s="1" t="str">
        <f t="array" ref="U1454">IFERROR(INDEX([3]Roster!$E$3:$E$42,MATCH($B1454,[3]Roster!$C$3:$C$42,0)),"")</f>
        <v>D</v>
      </c>
      <c r="V1454" s="76">
        <f t="array" ref="V1454">AVERAGEIFS($E$2:$E2565,$B$2:$B2565,$B1454,$P$2:$P2565,"&lt;="&amp;$P1454,$P$2:$P2565,"&gt;"&amp;$P1454-7)</f>
        <v>6.9024390243902438</v>
      </c>
      <c r="W1454" s="76">
        <f ca="1">IFERROR(__xludf.DUMMYFUNCTION("iferror(stdevp(filter($D$2:$D2568,$B$2:$B2568=$B1457,$O$2:$O2568&lt;=$O1457,$O$2:$O2568&gt;$O1457-7)),0)"),1.63299316185545)</f>
        <v>1.6329931618554501</v>
      </c>
      <c r="X1454" s="77">
        <f t="shared" ca="1" si="252"/>
        <v>-1.7773736548243813</v>
      </c>
      <c r="Y1454" s="77">
        <f t="shared" ca="1" si="253"/>
        <v>1</v>
      </c>
      <c r="Z1454" s="76">
        <f t="array" ref="Z1454">AVERAGEIFS($F$2:$F2565,$B$2:$B2565,$B1454,$P$2:$P2565,"&lt;="&amp;$P1454,$P$2:$P2565,"&gt;"&amp;$P1454-7)</f>
        <v>7.2926829268292686</v>
      </c>
      <c r="AA1454" s="76">
        <f ca="1">IFERROR(__xludf.DUMMYFUNCTION("iferror(stdevp(filter($E$2:$E2568,$B$2:$B2568=$B1457,$O$2:$O2568&lt;=$O1457,$O$2:$O2568&gt;$O1457-7)),0)"),1.95078331845327)</f>
        <v>1.9507833184532699</v>
      </c>
      <c r="AB1454" s="77">
        <f t="shared" ca="1" si="254"/>
        <v>-0.15003353989172408</v>
      </c>
      <c r="AC1454" s="77">
        <f t="shared" ca="1" si="255"/>
        <v>2</v>
      </c>
      <c r="AD1454" s="76">
        <f t="array" ref="AD1454">AVERAGEIFS($G$2:$G2565,$B$2:$B2565,$B1454,$P$2:$P2565,"&lt;="&amp;$P1454,$P$2:$P2565,"&gt;"&amp;$P1454-7)</f>
        <v>7.8048780487804876</v>
      </c>
      <c r="AE1454" s="76">
        <f ca="1">IFERROR(__xludf.DUMMYFUNCTION("iferror(stdevp(filter($F$2:$F2568,$B$2:$B2568=$B1457,$O$2:$O2568&lt;=$O1457,$O$2:$O2568&gt;$O1457-7)),0)"),1.67497927018681)</f>
        <v>1.67497927018681</v>
      </c>
      <c r="AF1454" s="77">
        <f t="shared" ca="1" si="256"/>
        <v>-1.0775524693981378</v>
      </c>
      <c r="AG1454" s="77">
        <f t="shared" ca="1" si="257"/>
        <v>1</v>
      </c>
      <c r="AH1454" s="76">
        <f t="array" ref="AH1454">AVERAGEIFS($I$2:$I2565,$B$2:$B2565,$B1454,$P$2:$P2565,"&lt;="&amp;$P1454,$P$2:$P2565,"&gt;"&amp;$P1454-7)</f>
        <v>6.3170731707317076</v>
      </c>
      <c r="AI1454" s="76">
        <f ca="1">IFERROR(__xludf.DUMMYFUNCTION("iferror(stdevp(filter($H$2:$H2568,$B$2:$B2568=$B1457,$O$2:$O2568&lt;=$O1457,$O$2:$O2568&gt;$O1457-7)),0)"),1.24721912892464)</f>
        <v>1.2472191289246399</v>
      </c>
      <c r="AJ1454" s="77">
        <f t="shared" ca="1" si="258"/>
        <v>2.151127069051233</v>
      </c>
      <c r="AK1454" s="77">
        <f t="shared" ca="1" si="259"/>
        <v>4</v>
      </c>
      <c r="AL1454" s="76">
        <f t="array" ref="AL1454">AVERAGEIFS($J$2:$J2565,$B$2:$B2565,$B1454,$P$2:$P2565,"&lt;="&amp;$P1454,$P$2:$P2565,"&gt;"&amp;$P1454-7)</f>
        <v>6.9024390243902438</v>
      </c>
      <c r="AM1454" s="76">
        <f ca="1">IFERROR(__xludf.DUMMYFUNCTION("iferror(stdevp(filter($I$2:$I2568,$B$2:$B2568=$B1457,$O$2:$O2568&lt;=$O1457,$O$2:$O2568&gt;$O1457-7)),0)"),0.74535599249993)</f>
        <v>0.74535599249993001</v>
      </c>
      <c r="AN1454" s="77">
        <f t="shared" ca="1" si="260"/>
        <v>-1.2107490024511054</v>
      </c>
      <c r="AO1454" s="77">
        <f t="shared" ca="1" si="261"/>
        <v>1</v>
      </c>
      <c r="AP1454" s="76">
        <f t="array" ref="AP1454">AVERAGEIFS($K$2:$K2565,$B$2:$B2565,$B1454,$P$2:$P2565,"&lt;="&amp;$P1454,$P$2:$P2565,"&gt;"&amp;$P1454-7)</f>
        <v>8</v>
      </c>
      <c r="AQ1454" s="76">
        <f ca="1">IFERROR(__xludf.DUMMYFUNCTION("iferror(stdevp(filter($J$2:$J2568,$B$2:$B2568=$B1457,$O$2:$O2568&lt;=$O1457,$O$2:$O2568&gt;$O1457-7)),0)"),1.10554159678513)</f>
        <v>1.1055415967851301</v>
      </c>
      <c r="AR1454" s="77">
        <f t="shared" ca="1" si="262"/>
        <v>0.90453403373329344</v>
      </c>
      <c r="AS1454" s="77">
        <f t="shared" ca="1" si="263"/>
        <v>3</v>
      </c>
      <c r="AT1454" s="78">
        <f t="shared" ca="1" si="264"/>
        <v>0.5</v>
      </c>
    </row>
    <row r="1455" spans="1:46" ht="12.5" x14ac:dyDescent="0.25">
      <c r="A1455" s="75">
        <v>45005.415594502316</v>
      </c>
      <c r="B1455" s="1" t="s">
        <v>29</v>
      </c>
      <c r="C1455" s="1" t="str">
        <f>INDEX(TBL_Name,MATCH(Table2[[#This Row],[Athlete Name]],listNames,0),2)</f>
        <v>Athlete 18</v>
      </c>
      <c r="D1455" s="1" t="s">
        <v>130</v>
      </c>
      <c r="E1455" s="1">
        <v>9</v>
      </c>
      <c r="F1455" s="1">
        <v>7</v>
      </c>
      <c r="G1455" s="1">
        <v>9</v>
      </c>
      <c r="H1455" s="1" t="s">
        <v>1602</v>
      </c>
      <c r="I1455" s="1">
        <v>8</v>
      </c>
      <c r="J1455" s="1">
        <v>9</v>
      </c>
      <c r="K1455" s="1">
        <v>10</v>
      </c>
      <c r="L1455" s="1">
        <v>90</v>
      </c>
      <c r="M1455" s="1" t="e">
        <f t="shared" ref="M1455" ca="1" si="447">_xludf.concat($B1455,$P1455)</f>
        <v>#NAME?</v>
      </c>
      <c r="N1455" s="1" t="e">
        <f t="shared" si="248"/>
        <v>#VALUE!</v>
      </c>
      <c r="O1455" s="1" t="e">
        <f t="shared" ref="O1455" ca="1" si="448">IF($N1455=_xludf.MINIFS($N$2:$N2961,$R$2:$R2961,$R1455),1,
($N1455-_xludf.MINIFS($N$2:$N2961,$R$2:$R2961,$R1455))+1)</f>
        <v>#VALUE!</v>
      </c>
      <c r="P1455" s="13" t="e">
        <f t="shared" si="250"/>
        <v>#VALUE!</v>
      </c>
      <c r="Q1455" s="1" t="str">
        <f>RIGHT(YEAR($A1455),2)-(MONTH($A1455)&lt;=[3]Roster!$K$25)
 &amp;"-"&amp;
 RIGHT(YEAR($A1455),2)+(MONTH($A1455)&gt;=[3]Roster!$K$26)</f>
        <v>22-23</v>
      </c>
      <c r="R1455" s="1" t="e">
        <f>CHOOSE(MONTH($P1455),[3]Roster!$K$9,[3]Roster!$K$10,[3]Roster!$K$11,[3]Roster!$K$12,[3]Roster!$K$13,[3]Roster!$K$14,[3]Roster!$K$15,[3]Roster!$K$16,[3]Roster!$K$17,[3]Roster!$K$18,[3]Roster!$K$19,[3]Roster!$K$20)&amp;" "&amp;$Q1455</f>
        <v>#VALUE!</v>
      </c>
      <c r="S1455" s="1">
        <f t="shared" si="251"/>
        <v>1</v>
      </c>
      <c r="T1455" s="1" t="str">
        <f t="array" ref="T1455">IFERROR(INDEX([3]Roster!$D$3:$D$42,MATCH($B1455,[3]Roster!$C$3:$C$42,0)),"")</f>
        <v>GK</v>
      </c>
      <c r="U1455" s="1" t="str">
        <f t="array" ref="U1455">IFERROR(INDEX([3]Roster!$E$3:$E$42,MATCH($B1455,[3]Roster!$C$3:$C$42,0)),"")</f>
        <v>GK</v>
      </c>
      <c r="V1455" s="76">
        <f t="array" ref="V1455">AVERAGEIFS($E$2:$E2565,$B$2:$B2565,$B1455,$P$2:$P2565,"&lt;="&amp;$P1455,$P$2:$P2565,"&gt;"&amp;$P1455-7)</f>
        <v>8.53125</v>
      </c>
      <c r="W1455" s="76">
        <f ca="1">IFERROR(__xludf.DUMMYFUNCTION("iferror(stdevp(filter($D$2:$D2568,$B$2:$B2568=$B1458,$O$2:$O2568&lt;=$O1458,$O$2:$O2568&gt;$O1458-7)),0)"),1.29362644830534)</f>
        <v>1.2936264483053399</v>
      </c>
      <c r="X1455" s="77">
        <f t="shared" ca="1" si="252"/>
        <v>0.36235344493309174</v>
      </c>
      <c r="Y1455" s="77">
        <f t="shared" ca="1" si="253"/>
        <v>3</v>
      </c>
      <c r="Z1455" s="76">
        <f t="array" ref="Z1455">AVERAGEIFS($F$2:$F2565,$B$2:$B2565,$B1455,$P$2:$P2565,"&lt;="&amp;$P1455,$P$2:$P2565,"&gt;"&amp;$P1455-7)</f>
        <v>8.125</v>
      </c>
      <c r="AA1455" s="76">
        <f ca="1">IFERROR(__xludf.DUMMYFUNCTION("iferror(stdevp(filter($E$2:$E2568,$B$2:$B2568=$B1458,$O$2:$O2568&lt;=$O1458,$O$2:$O2568&gt;$O1458-7)),0)"),0.903507902905251)</f>
        <v>0.90350790290525096</v>
      </c>
      <c r="AB1455" s="77">
        <f t="shared" ca="1" si="254"/>
        <v>-1.2451468286912997</v>
      </c>
      <c r="AC1455" s="77">
        <f t="shared" ca="1" si="255"/>
        <v>1</v>
      </c>
      <c r="AD1455" s="76">
        <f t="array" ref="AD1455">AVERAGEIFS($G$2:$G2565,$B$2:$B2565,$B1455,$P$2:$P2565,"&lt;="&amp;$P1455,$P$2:$P2565,"&gt;"&amp;$P1455-7)</f>
        <v>8.09375</v>
      </c>
      <c r="AE1455" s="76">
        <f ca="1">IFERROR(__xludf.DUMMYFUNCTION("iferror(stdevp(filter($F$2:$F2568,$B$2:$B2568=$B1458,$O$2:$O2568&lt;=$O1458,$O$2:$O2568&gt;$O1458-7)),0)"),0.699854212223765)</f>
        <v>0.69985421222376498</v>
      </c>
      <c r="AF1455" s="77">
        <f t="shared" ca="1" si="256"/>
        <v>1.2949125463150659</v>
      </c>
      <c r="AG1455" s="77">
        <f t="shared" ca="1" si="257"/>
        <v>4</v>
      </c>
      <c r="AH1455" s="76">
        <f t="array" ref="AH1455">AVERAGEIFS($I$2:$I2565,$B$2:$B2565,$B1455,$P$2:$P2565,"&lt;="&amp;$P1455,$P$2:$P2565,"&gt;"&amp;$P1455-7)</f>
        <v>7.875</v>
      </c>
      <c r="AI1455" s="76">
        <f ca="1">IFERROR(__xludf.DUMMYFUNCTION("iferror(stdevp(filter($H$2:$H2568,$B$2:$B2568=$B1458,$O$2:$O2568&lt;=$O1458,$O$2:$O2568&gt;$O1458-7)),0)"),0.451753951452625)</f>
        <v>0.45175395145262498</v>
      </c>
      <c r="AJ1455" s="77">
        <f t="shared" ca="1" si="258"/>
        <v>0.27669929526473358</v>
      </c>
      <c r="AK1455" s="77">
        <f t="shared" ca="1" si="259"/>
        <v>3</v>
      </c>
      <c r="AL1455" s="76">
        <f t="array" ref="AL1455">AVERAGEIFS($J$2:$J2565,$B$2:$B2565,$B1455,$P$2:$P2565,"&lt;="&amp;$P1455,$P$2:$P2565,"&gt;"&amp;$P1455-7)</f>
        <v>8.34375</v>
      </c>
      <c r="AM1455" s="76">
        <f ca="1">IFERROR(__xludf.DUMMYFUNCTION("iferror(stdevp(filter($I$2:$I2568,$B$2:$B2568=$B1458,$O$2:$O2568&lt;=$O1458,$O$2:$O2568&gt;$O1458-7)),0)"),0.989743318610787)</f>
        <v>0.98974331861078702</v>
      </c>
      <c r="AN1455" s="77">
        <f t="shared" ca="1" si="260"/>
        <v>0.66305069977246089</v>
      </c>
      <c r="AO1455" s="77">
        <f t="shared" ca="1" si="261"/>
        <v>3</v>
      </c>
      <c r="AP1455" s="76">
        <f t="array" ref="AP1455">AVERAGEIFS($K$2:$K2565,$B$2:$B2565,$B1455,$P$2:$P2565,"&lt;="&amp;$P1455,$P$2:$P2565,"&gt;"&amp;$P1455-7)</f>
        <v>8.46875</v>
      </c>
      <c r="AQ1455" s="76">
        <f ca="1">IFERROR(__xludf.DUMMYFUNCTION("iferror(stdevp(filter($J$2:$J2568,$B$2:$B2568=$B1458,$O$2:$O2568&lt;=$O1458,$O$2:$O2568&gt;$O1458-7)),0)"),0.903507902905251)</f>
        <v>0.90350790290525096</v>
      </c>
      <c r="AR1455" s="77">
        <f t="shared" ca="1" si="262"/>
        <v>1.6947831834964913</v>
      </c>
      <c r="AS1455" s="77">
        <f t="shared" ca="1" si="263"/>
        <v>4</v>
      </c>
      <c r="AT1455" s="78">
        <f t="shared" ca="1" si="264"/>
        <v>0.75</v>
      </c>
    </row>
    <row r="1456" spans="1:46" ht="12.5" x14ac:dyDescent="0.25">
      <c r="A1456" s="75">
        <v>45005.426284745372</v>
      </c>
      <c r="B1456" s="1" t="s">
        <v>12</v>
      </c>
      <c r="C1456" s="1" t="str">
        <f>INDEX(TBL_Name,MATCH(Table2[[#This Row],[Athlete Name]],listNames,0),2)</f>
        <v>Athlete 6</v>
      </c>
      <c r="D1456" s="1" t="s">
        <v>130</v>
      </c>
      <c r="E1456" s="1">
        <v>10</v>
      </c>
      <c r="F1456" s="1">
        <v>7</v>
      </c>
      <c r="G1456" s="1">
        <v>6</v>
      </c>
      <c r="H1456" s="1" t="s">
        <v>699</v>
      </c>
      <c r="I1456" s="1">
        <v>7</v>
      </c>
      <c r="J1456" s="1">
        <v>8</v>
      </c>
      <c r="K1456" s="1">
        <v>9</v>
      </c>
      <c r="L1456" s="1">
        <v>70</v>
      </c>
      <c r="M1456" s="1" t="e">
        <f t="shared" ref="M1456" ca="1" si="449">_xludf.concat($B1456,$P1456)</f>
        <v>#NAME?</v>
      </c>
      <c r="N1456" s="1" t="e">
        <f t="shared" si="248"/>
        <v>#VALUE!</v>
      </c>
      <c r="O1456" s="1" t="e">
        <f t="shared" ref="O1456" ca="1" si="450">IF($N1456=_xludf.MINIFS($N$2:$N2962,$R$2:$R2962,$R1456),1,
($N1456-_xludf.MINIFS($N$2:$N2962,$R$2:$R2962,$R1456))+1)</f>
        <v>#VALUE!</v>
      </c>
      <c r="P1456" s="13" t="e">
        <f t="shared" si="250"/>
        <v>#VALUE!</v>
      </c>
      <c r="Q1456" s="1" t="str">
        <f>RIGHT(YEAR($A1456),2)-(MONTH($A1456)&lt;=[3]Roster!$K$25)
 &amp;"-"&amp;
 RIGHT(YEAR($A1456),2)+(MONTH($A1456)&gt;=[3]Roster!$K$26)</f>
        <v>22-23</v>
      </c>
      <c r="R1456" s="1" t="e">
        <f>CHOOSE(MONTH($P1456),[3]Roster!$K$9,[3]Roster!$K$10,[3]Roster!$K$11,[3]Roster!$K$12,[3]Roster!$K$13,[3]Roster!$K$14,[3]Roster!$K$15,[3]Roster!$K$16,[3]Roster!$K$17,[3]Roster!$K$18,[3]Roster!$K$19,[3]Roster!$K$20)&amp;" "&amp;$Q1456</f>
        <v>#VALUE!</v>
      </c>
      <c r="S1456" s="1">
        <f t="shared" si="251"/>
        <v>1</v>
      </c>
      <c r="T1456" s="1" t="str">
        <f t="array" ref="T1456">IFERROR(INDEX([3]Roster!$D$3:$D$42,MATCH($B1456,[3]Roster!$C$3:$C$42,0)),"")</f>
        <v>MID</v>
      </c>
      <c r="U1456" s="1" t="str">
        <f t="array" ref="U1456">IFERROR(INDEX([3]Roster!$E$3:$E$42,MATCH($B1456,[3]Roster!$C$3:$C$42,0)),"")</f>
        <v>MID</v>
      </c>
      <c r="V1456" s="76">
        <f t="array" ref="V1456">AVERAGEIFS($E$2:$E2565,$B$2:$B2565,$B1456,$P$2:$P2565,"&lt;="&amp;$P1456,$P$2:$P2565,"&gt;"&amp;$P1456-7)</f>
        <v>9.75</v>
      </c>
      <c r="W1456" s="76">
        <f ca="1">IFERROR(__xludf.DUMMYFUNCTION("iferror(stdevp(filter($D$2:$D2568,$B$2:$B2568=$B1459,$O$2:$O2568&lt;=$O1459,$O$2:$O2568&gt;$O1459-7)),0)"),0)</f>
        <v>0</v>
      </c>
      <c r="X1456" s="77">
        <f t="shared" ca="1" si="252"/>
        <v>0</v>
      </c>
      <c r="Y1456" s="77">
        <f t="shared" ca="1" si="253"/>
        <v>3</v>
      </c>
      <c r="Z1456" s="76">
        <f t="array" ref="Z1456">AVERAGEIFS($F$2:$F2565,$B$2:$B2565,$B1456,$P$2:$P2565,"&lt;="&amp;$P1456,$P$2:$P2565,"&gt;"&amp;$P1456-7)</f>
        <v>7.083333333333333</v>
      </c>
      <c r="AA1456" s="76">
        <f ca="1">IFERROR(__xludf.DUMMYFUNCTION("iferror(stdevp(filter($E$2:$E2568,$B$2:$B2568=$B1459,$O$2:$O2568&lt;=$O1459,$O$2:$O2568&gt;$O1459-7)),0)"),1)</f>
        <v>1</v>
      </c>
      <c r="AB1456" s="77">
        <f t="shared" ca="1" si="254"/>
        <v>-8.3333333333333037E-2</v>
      </c>
      <c r="AC1456" s="77">
        <f t="shared" ca="1" si="255"/>
        <v>2</v>
      </c>
      <c r="AD1456" s="76">
        <f t="array" ref="AD1456">AVERAGEIFS($G$2:$G2565,$B$2:$B2565,$B1456,$P$2:$P2565,"&lt;="&amp;$P1456,$P$2:$P2565,"&gt;"&amp;$P1456-7)</f>
        <v>7.083333333333333</v>
      </c>
      <c r="AE1456" s="76">
        <f ca="1">IFERROR(__xludf.DUMMYFUNCTION("iferror(stdevp(filter($F$2:$F2568,$B$2:$B2568=$B1459,$O$2:$O2568&lt;=$O1459,$O$2:$O2568&gt;$O1459-7)),0)"),0)</f>
        <v>0</v>
      </c>
      <c r="AF1456" s="77">
        <f t="shared" ca="1" si="256"/>
        <v>0</v>
      </c>
      <c r="AG1456" s="77">
        <f t="shared" ca="1" si="257"/>
        <v>3</v>
      </c>
      <c r="AH1456" s="76">
        <f t="array" ref="AH1456">AVERAGEIFS($I$2:$I2565,$B$2:$B2565,$B1456,$P$2:$P2565,"&lt;="&amp;$P1456,$P$2:$P2565,"&gt;"&amp;$P1456-7)</f>
        <v>6.583333333333333</v>
      </c>
      <c r="AI1456" s="76">
        <f ca="1">IFERROR(__xludf.DUMMYFUNCTION("iferror(stdevp(filter($H$2:$H2568,$B$2:$B2568=$B1459,$O$2:$O2568&lt;=$O1459,$O$2:$O2568&gt;$O1459-7)),0)"),1)</f>
        <v>1</v>
      </c>
      <c r="AJ1456" s="77">
        <f t="shared" ca="1" si="258"/>
        <v>0.41666666666666696</v>
      </c>
      <c r="AK1456" s="77">
        <f t="shared" ca="1" si="259"/>
        <v>3</v>
      </c>
      <c r="AL1456" s="76">
        <f t="array" ref="AL1456">AVERAGEIFS($J$2:$J2565,$B$2:$B2565,$B1456,$P$2:$P2565,"&lt;="&amp;$P1456,$P$2:$P2565,"&gt;"&amp;$P1456-7)</f>
        <v>6.666666666666667</v>
      </c>
      <c r="AM1456" s="76">
        <f ca="1">IFERROR(__xludf.DUMMYFUNCTION("iferror(stdevp(filter($I$2:$I2568,$B$2:$B2568=$B1459,$O$2:$O2568&lt;=$O1459,$O$2:$O2568&gt;$O1459-7)),0)"),0)</f>
        <v>0</v>
      </c>
      <c r="AN1456" s="77">
        <f t="shared" ca="1" si="260"/>
        <v>0</v>
      </c>
      <c r="AO1456" s="77">
        <f t="shared" ca="1" si="261"/>
        <v>3</v>
      </c>
      <c r="AP1456" s="76">
        <f t="array" ref="AP1456">AVERAGEIFS($K$2:$K2565,$B$2:$B2565,$B1456,$P$2:$P2565,"&lt;="&amp;$P1456,$P$2:$P2565,"&gt;"&amp;$P1456-7)</f>
        <v>8.25</v>
      </c>
      <c r="AQ1456" s="76">
        <f ca="1">IFERROR(__xludf.DUMMYFUNCTION("iferror(stdevp(filter($J$2:$J2568,$B$2:$B2568=$B1459,$O$2:$O2568&lt;=$O1459,$O$2:$O2568&gt;$O1459-7)),0)"),0.5)</f>
        <v>0.5</v>
      </c>
      <c r="AR1456" s="77">
        <f t="shared" ca="1" si="262"/>
        <v>1.5</v>
      </c>
      <c r="AS1456" s="77">
        <f t="shared" ca="1" si="263"/>
        <v>4</v>
      </c>
      <c r="AT1456" s="78">
        <f t="shared" ca="1" si="264"/>
        <v>0.75</v>
      </c>
    </row>
    <row r="1457" spans="1:46" ht="12.5" x14ac:dyDescent="0.25">
      <c r="A1457" s="75">
        <v>45005.426633668976</v>
      </c>
      <c r="B1457" s="1" t="s">
        <v>6</v>
      </c>
      <c r="C1457" s="1" t="str">
        <f>INDEX(TBL_Name,MATCH(Table2[[#This Row],[Athlete Name]],listNames,0),2)</f>
        <v>Athlete 2</v>
      </c>
      <c r="D1457" s="1" t="s">
        <v>130</v>
      </c>
      <c r="E1457" s="1">
        <v>10</v>
      </c>
      <c r="F1457" s="1">
        <v>9</v>
      </c>
      <c r="G1457" s="1">
        <v>8</v>
      </c>
      <c r="H1457" s="1" t="s">
        <v>70</v>
      </c>
      <c r="I1457" s="1">
        <v>9</v>
      </c>
      <c r="J1457" s="1">
        <v>9</v>
      </c>
      <c r="K1457" s="1">
        <v>10</v>
      </c>
      <c r="L1457" s="1">
        <v>96</v>
      </c>
      <c r="M1457" s="1" t="e">
        <f t="shared" ref="M1457" ca="1" si="451">_xludf.concat($B1457,$P1457)</f>
        <v>#NAME?</v>
      </c>
      <c r="N1457" s="1" t="e">
        <f t="shared" si="248"/>
        <v>#VALUE!</v>
      </c>
      <c r="O1457" s="1" t="e">
        <f t="shared" ref="O1457" ca="1" si="452">IF($N1457=_xludf.MINIFS($N$2:$N2963,$R$2:$R2963,$R1457),1,
($N1457-_xludf.MINIFS($N$2:$N2963,$R$2:$R2963,$R1457))+1)</f>
        <v>#VALUE!</v>
      </c>
      <c r="P1457" s="13" t="e">
        <f t="shared" si="250"/>
        <v>#VALUE!</v>
      </c>
      <c r="Q1457" s="1" t="str">
        <f>RIGHT(YEAR($A1457),2)-(MONTH($A1457)&lt;=[3]Roster!$K$25)
 &amp;"-"&amp;
 RIGHT(YEAR($A1457),2)+(MONTH($A1457)&gt;=[3]Roster!$K$26)</f>
        <v>22-23</v>
      </c>
      <c r="R1457" s="1" t="e">
        <f>CHOOSE(MONTH($P1457),[3]Roster!$K$9,[3]Roster!$K$10,[3]Roster!$K$11,[3]Roster!$K$12,[3]Roster!$K$13,[3]Roster!$K$14,[3]Roster!$K$15,[3]Roster!$K$16,[3]Roster!$K$17,[3]Roster!$K$18,[3]Roster!$K$19,[3]Roster!$K$20)&amp;" "&amp;$Q1457</f>
        <v>#VALUE!</v>
      </c>
      <c r="S1457" s="1">
        <f t="shared" si="251"/>
        <v>1</v>
      </c>
      <c r="T1457" s="1" t="str">
        <f t="array" ref="T1457">IFERROR(INDEX([3]Roster!$D$3:$D$42,MATCH($B1457,[3]Roster!$C$3:$C$42,0)),"")</f>
        <v>FWD</v>
      </c>
      <c r="U1457" s="1" t="str">
        <f t="array" ref="U1457">IFERROR(INDEX([3]Roster!$E$3:$E$42,MATCH($B1457,[3]Roster!$C$3:$C$42,0)),"")</f>
        <v>FWD</v>
      </c>
      <c r="V1457" s="76">
        <f t="array" ref="V1457">AVERAGEIFS($E$2:$E2565,$B$2:$B2565,$B1457,$P$2:$P2565,"&lt;="&amp;$P1457,$P$2:$P2565,"&gt;"&amp;$P1457-7)</f>
        <v>9.7441860465116275</v>
      </c>
      <c r="W1457" s="76">
        <f ca="1">IFERROR(__xludf.DUMMYFUNCTION("iferror(stdevp(filter($D$2:$D2568,$B$2:$B2568=$B1460,$O$2:$O2568&lt;=$O1460,$O$2:$O2568&gt;$O1460-7)),0)"),0.349927106111882)</f>
        <v>0.34992710611188199</v>
      </c>
      <c r="X1457" s="77">
        <f t="shared" ca="1" si="252"/>
        <v>0.73104926431901307</v>
      </c>
      <c r="Y1457" s="77">
        <f t="shared" ca="1" si="253"/>
        <v>3</v>
      </c>
      <c r="Z1457" s="76">
        <f t="array" ref="Z1457">AVERAGEIFS($F$2:$F2565,$B$2:$B2565,$B1457,$P$2:$P2565,"&lt;="&amp;$P1457,$P$2:$P2565,"&gt;"&amp;$P1457-7)</f>
        <v>8.279069767441861</v>
      </c>
      <c r="AA1457" s="76">
        <f ca="1">IFERROR(__xludf.DUMMYFUNCTION("iferror(stdevp(filter($E$2:$E2568,$B$2:$B2568=$B1460,$O$2:$O2568&lt;=$O1460,$O$2:$O2568&gt;$O1460-7)),0)"),0.63887656499994)</f>
        <v>0.63887656499994006</v>
      </c>
      <c r="AB1457" s="77">
        <f t="shared" ca="1" si="254"/>
        <v>1.1284343049243115</v>
      </c>
      <c r="AC1457" s="77">
        <f t="shared" ca="1" si="255"/>
        <v>4</v>
      </c>
      <c r="AD1457" s="76">
        <f t="array" ref="AD1457">AVERAGEIFS($G$2:$G2565,$B$2:$B2565,$B1457,$P$2:$P2565,"&lt;="&amp;$P1457,$P$2:$P2565,"&gt;"&amp;$P1457-7)</f>
        <v>8.604651162790697</v>
      </c>
      <c r="AE1457" s="76">
        <f ca="1">IFERROR(__xludf.DUMMYFUNCTION("iferror(stdevp(filter($F$2:$F2568,$B$2:$B2568=$B1460,$O$2:$O2568&lt;=$O1460,$O$2:$O2568&gt;$O1460-7)),0)"),0.832993127835043)</f>
        <v>0.83299312783504298</v>
      </c>
      <c r="AF1457" s="77">
        <f t="shared" ca="1" si="256"/>
        <v>-0.72587773246364118</v>
      </c>
      <c r="AG1457" s="77">
        <f t="shared" ca="1" si="257"/>
        <v>2</v>
      </c>
      <c r="AH1457" s="76">
        <f t="array" ref="AH1457">AVERAGEIFS($I$2:$I2565,$B$2:$B2565,$B1457,$P$2:$P2565,"&lt;="&amp;$P1457,$P$2:$P2565,"&gt;"&amp;$P1457-7)</f>
        <v>8.3488372093023262</v>
      </c>
      <c r="AI1457" s="76">
        <f ca="1">IFERROR(__xludf.DUMMYFUNCTION("iferror(stdevp(filter($H$2:$H2568,$B$2:$B2568=$B1460,$O$2:$O2568&lt;=$O1460,$O$2:$O2568&gt;$O1460-7)),0)"),0.494871659305393)</f>
        <v>0.49487165930539301</v>
      </c>
      <c r="AJ1457" s="77">
        <f t="shared" ca="1" si="258"/>
        <v>1.315821543734496</v>
      </c>
      <c r="AK1457" s="77">
        <f t="shared" ca="1" si="259"/>
        <v>4</v>
      </c>
      <c r="AL1457" s="76">
        <f t="array" ref="AL1457">AVERAGEIFS($J$2:$J2565,$B$2:$B2565,$B1457,$P$2:$P2565,"&lt;="&amp;$P1457,$P$2:$P2565,"&gt;"&amp;$P1457-7)</f>
        <v>8.3023255813953494</v>
      </c>
      <c r="AM1457" s="76">
        <f ca="1">IFERROR(__xludf.DUMMYFUNCTION("iferror(stdevp(filter($I$2:$I2568,$B$2:$B2568=$B1460,$O$2:$O2568&lt;=$O1460,$O$2:$O2568&gt;$O1460-7)),0)"),0.699854212223765)</f>
        <v>0.69985421222376498</v>
      </c>
      <c r="AN1457" s="77">
        <f t="shared" ca="1" si="260"/>
        <v>0.99688536043501386</v>
      </c>
      <c r="AO1457" s="77">
        <f t="shared" ca="1" si="261"/>
        <v>3</v>
      </c>
      <c r="AP1457" s="76">
        <f t="array" ref="AP1457">AVERAGEIFS($K$2:$K2565,$B$2:$B2565,$B1457,$P$2:$P2565,"&lt;="&amp;$P1457,$P$2:$P2565,"&gt;"&amp;$P1457-7)</f>
        <v>8.9069767441860463</v>
      </c>
      <c r="AQ1457" s="76">
        <f ca="1">IFERROR(__xludf.DUMMYFUNCTION("iferror(stdevp(filter($J$2:$J2568,$B$2:$B2568=$B1460,$O$2:$O2568&lt;=$O1460,$O$2:$O2568&gt;$O1460-7)),0)"),0)</f>
        <v>0</v>
      </c>
      <c r="AR1457" s="77">
        <f t="shared" ca="1" si="262"/>
        <v>0</v>
      </c>
      <c r="AS1457" s="77">
        <f t="shared" ca="1" si="263"/>
        <v>3</v>
      </c>
      <c r="AT1457" s="78">
        <f t="shared" ca="1" si="264"/>
        <v>0.79166666666666663</v>
      </c>
    </row>
    <row r="1458" spans="1:46" ht="12.5" x14ac:dyDescent="0.25">
      <c r="A1458" s="75">
        <v>45005.456719305555</v>
      </c>
      <c r="B1458" s="1" t="s">
        <v>7</v>
      </c>
      <c r="C1458" s="1" t="str">
        <f>INDEX(TBL_Name,MATCH(Table2[[#This Row],[Athlete Name]],listNames,0),2)</f>
        <v>Athlete 3</v>
      </c>
      <c r="D1458" s="1" t="s">
        <v>130</v>
      </c>
      <c r="E1458" s="1">
        <v>5</v>
      </c>
      <c r="F1458" s="1">
        <v>9</v>
      </c>
      <c r="G1458" s="1">
        <v>5</v>
      </c>
      <c r="H1458" s="1" t="s">
        <v>446</v>
      </c>
      <c r="I1458" s="1">
        <v>5</v>
      </c>
      <c r="J1458" s="1">
        <v>4</v>
      </c>
      <c r="K1458" s="1">
        <v>7</v>
      </c>
      <c r="L1458" s="1">
        <v>70</v>
      </c>
      <c r="M1458" s="1" t="e">
        <f t="shared" ref="M1458" ca="1" si="453">_xludf.concat($B1458,$P1458)</f>
        <v>#NAME?</v>
      </c>
      <c r="N1458" s="1" t="e">
        <f t="shared" si="248"/>
        <v>#VALUE!</v>
      </c>
      <c r="O1458" s="1" t="e">
        <f t="shared" ref="O1458" ca="1" si="454">IF($N1458=_xludf.MINIFS($N$2:$N2964,$R$2:$R2964,$R1458),1,
($N1458-_xludf.MINIFS($N$2:$N2964,$R$2:$R2964,$R1458))+1)</f>
        <v>#VALUE!</v>
      </c>
      <c r="P1458" s="13" t="e">
        <f t="shared" si="250"/>
        <v>#VALUE!</v>
      </c>
      <c r="Q1458" s="1" t="str">
        <f>RIGHT(YEAR($A1458),2)-(MONTH($A1458)&lt;=[3]Roster!$K$25)
 &amp;"-"&amp;
 RIGHT(YEAR($A1458),2)+(MONTH($A1458)&gt;=[3]Roster!$K$26)</f>
        <v>22-23</v>
      </c>
      <c r="R1458" s="1" t="e">
        <f>CHOOSE(MONTH($P1458),[3]Roster!$K$9,[3]Roster!$K$10,[3]Roster!$K$11,[3]Roster!$K$12,[3]Roster!$K$13,[3]Roster!$K$14,[3]Roster!$K$15,[3]Roster!$K$16,[3]Roster!$K$17,[3]Roster!$K$18,[3]Roster!$K$19,[3]Roster!$K$20)&amp;" "&amp;$Q1458</f>
        <v>#VALUE!</v>
      </c>
      <c r="S1458" s="1">
        <f t="shared" si="251"/>
        <v>1</v>
      </c>
      <c r="T1458" s="1" t="str">
        <f t="array" ref="T1458">IFERROR(INDEX([3]Roster!$D$3:$D$42,MATCH($B1458,[3]Roster!$C$3:$C$42,0)),"")</f>
        <v>F/MID</v>
      </c>
      <c r="U1458" s="1" t="str">
        <f t="array" ref="U1458">IFERROR(INDEX([3]Roster!$E$3:$E$42,MATCH($B1458,[3]Roster!$C$3:$C$42,0)),"")</f>
        <v>F/MID</v>
      </c>
      <c r="V1458" s="76">
        <f t="array" ref="V1458">AVERAGEIFS($E$2:$E2565,$B$2:$B2565,$B1458,$P$2:$P2565,"&lt;="&amp;$P1458,$P$2:$P2565,"&gt;"&amp;$P1458-7)</f>
        <v>6</v>
      </c>
      <c r="W1458" s="76">
        <f ca="1">IFERROR(__xludf.DUMMYFUNCTION("iferror(stdevp(filter($D$2:$D2568,$B$2:$B2568=$B1461,$O$2:$O2568&lt;=$O1461,$O$2:$O2568&gt;$O1461-7)),0)"),1.2909944487358)</f>
        <v>1.2909944487358</v>
      </c>
      <c r="X1458" s="77">
        <f t="shared" ca="1" si="252"/>
        <v>-0.77459666924148673</v>
      </c>
      <c r="Y1458" s="77">
        <f t="shared" ca="1" si="253"/>
        <v>2</v>
      </c>
      <c r="Z1458" s="76">
        <f t="array" ref="Z1458">AVERAGEIFS($F$2:$F2565,$B$2:$B2565,$B1458,$P$2:$P2565,"&lt;="&amp;$P1458,$P$2:$P2565,"&gt;"&amp;$P1458-7)</f>
        <v>7.3703703703703702</v>
      </c>
      <c r="AA1458" s="76">
        <f ca="1">IFERROR(__xludf.DUMMYFUNCTION("iferror(stdevp(filter($E$2:$E2568,$B$2:$B2568=$B1461,$O$2:$O2568&lt;=$O1461,$O$2:$O2568&gt;$O1461-7)),0)"),2.06155281280883)</f>
        <v>2.0615528128088298</v>
      </c>
      <c r="AB1458" s="77">
        <f t="shared" ca="1" si="254"/>
        <v>0.79048648159990031</v>
      </c>
      <c r="AC1458" s="77">
        <f t="shared" ca="1" si="255"/>
        <v>3</v>
      </c>
      <c r="AD1458" s="76">
        <f t="array" ref="AD1458">AVERAGEIFS($G$2:$G2565,$B$2:$B2565,$B1458,$P$2:$P2565,"&lt;="&amp;$P1458,$P$2:$P2565,"&gt;"&amp;$P1458-7)</f>
        <v>7.7777777777777777</v>
      </c>
      <c r="AE1458" s="76">
        <f ca="1">IFERROR(__xludf.DUMMYFUNCTION("iferror(stdevp(filter($F$2:$F2568,$B$2:$B2568=$B1461,$O$2:$O2568&lt;=$O1461,$O$2:$O2568&gt;$O1461-7)),0)"),1.5)</f>
        <v>1.5</v>
      </c>
      <c r="AF1458" s="77">
        <f t="shared" ca="1" si="256"/>
        <v>-1.8518518518518519</v>
      </c>
      <c r="AG1458" s="77">
        <f t="shared" ca="1" si="257"/>
        <v>1</v>
      </c>
      <c r="AH1458" s="76">
        <f t="array" ref="AH1458">AVERAGEIFS($I$2:$I2565,$B$2:$B2565,$B1458,$P$2:$P2565,"&lt;="&amp;$P1458,$P$2:$P2565,"&gt;"&amp;$P1458-7)</f>
        <v>6.333333333333333</v>
      </c>
      <c r="AI1458" s="76">
        <f ca="1">IFERROR(__xludf.DUMMYFUNCTION("iferror(stdevp(filter($H$2:$H2568,$B$2:$B2568=$B1461,$O$2:$O2568&lt;=$O1461,$O$2:$O2568&gt;$O1461-7)),0)"),1.49071198499985)</f>
        <v>1.49071198499985</v>
      </c>
      <c r="AJ1458" s="77">
        <f t="shared" ca="1" si="258"/>
        <v>-0.89442719099992152</v>
      </c>
      <c r="AK1458" s="77">
        <f t="shared" ca="1" si="259"/>
        <v>2</v>
      </c>
      <c r="AL1458" s="76">
        <f t="array" ref="AL1458">AVERAGEIFS($J$2:$J2565,$B$2:$B2565,$B1458,$P$2:$P2565,"&lt;="&amp;$P1458,$P$2:$P2565,"&gt;"&amp;$P1458-7)</f>
        <v>5.4230769230769234</v>
      </c>
      <c r="AM1458" s="76">
        <f ca="1">IFERROR(__xludf.DUMMYFUNCTION("iferror(stdevp(filter($I$2:$I2568,$B$2:$B2568=$B1461,$O$2:$O2568&lt;=$O1461,$O$2:$O2568&gt;$O1461-7)),0)"),1.46249406456535)</f>
        <v>1.4624940645653499</v>
      </c>
      <c r="AN1458" s="77">
        <f t="shared" ca="1" si="260"/>
        <v>-0.97304799900152672</v>
      </c>
      <c r="AO1458" s="77">
        <f t="shared" ca="1" si="261"/>
        <v>2</v>
      </c>
      <c r="AP1458" s="76">
        <f t="array" ref="AP1458">AVERAGEIFS($K$2:$K2565,$B$2:$B2565,$B1458,$P$2:$P2565,"&lt;="&amp;$P1458,$P$2:$P2565,"&gt;"&amp;$P1458-7)</f>
        <v>7.5769230769230766</v>
      </c>
      <c r="AQ1458" s="76">
        <f ca="1">IFERROR(__xludf.DUMMYFUNCTION("iferror(stdevp(filter($J$2:$J2568,$B$2:$B2568=$B1461,$O$2:$O2568&lt;=$O1461,$O$2:$O2568&gt;$O1461-7)),0)"),0.687184270936276)</f>
        <v>0.68718427093627599</v>
      </c>
      <c r="AR1458" s="77">
        <f t="shared" ca="1" si="262"/>
        <v>-0.83954639435653777</v>
      </c>
      <c r="AS1458" s="77">
        <f t="shared" ca="1" si="263"/>
        <v>2</v>
      </c>
      <c r="AT1458" s="78">
        <f t="shared" ca="1" si="264"/>
        <v>0.5</v>
      </c>
    </row>
    <row r="1459" spans="1:46" ht="12.5" x14ac:dyDescent="0.25">
      <c r="A1459" s="75">
        <v>45005.46246023148</v>
      </c>
      <c r="B1459" s="1" t="s">
        <v>4</v>
      </c>
      <c r="C1459" s="1" t="str">
        <f>INDEX(TBL_Name,MATCH(Table2[[#This Row],[Athlete Name]],listNames,0),2)</f>
        <v>Athlete 1</v>
      </c>
      <c r="D1459" s="1" t="s">
        <v>130</v>
      </c>
      <c r="E1459" s="1">
        <v>9</v>
      </c>
      <c r="F1459" s="1">
        <v>6</v>
      </c>
      <c r="G1459" s="1">
        <v>7</v>
      </c>
      <c r="H1459" s="1" t="s">
        <v>506</v>
      </c>
      <c r="I1459" s="1">
        <v>8</v>
      </c>
      <c r="J1459" s="1">
        <v>6</v>
      </c>
      <c r="K1459" s="1">
        <v>5</v>
      </c>
      <c r="L1459" s="1">
        <v>88</v>
      </c>
      <c r="M1459" s="1" t="e">
        <f t="shared" ref="M1459" ca="1" si="455">_xludf.concat($B1459,$P1459)</f>
        <v>#NAME?</v>
      </c>
      <c r="N1459" s="1" t="e">
        <f t="shared" si="248"/>
        <v>#VALUE!</v>
      </c>
      <c r="O1459" s="1" t="e">
        <f t="shared" ref="O1459" ca="1" si="456">IF($N1459=_xludf.MINIFS($N$2:$N2965,$R$2:$R2965,$R1459),1,
($N1459-_xludf.MINIFS($N$2:$N2965,$R$2:$R2965,$R1459))+1)</f>
        <v>#VALUE!</v>
      </c>
      <c r="P1459" s="13" t="e">
        <f t="shared" si="250"/>
        <v>#VALUE!</v>
      </c>
      <c r="Q1459" s="1" t="str">
        <f>RIGHT(YEAR($A1459),2)-(MONTH($A1459)&lt;=[3]Roster!$K$25)
 &amp;"-"&amp;
 RIGHT(YEAR($A1459),2)+(MONTH($A1459)&gt;=[3]Roster!$K$26)</f>
        <v>22-23</v>
      </c>
      <c r="R1459" s="1" t="e">
        <f>CHOOSE(MONTH($P1459),[3]Roster!$K$9,[3]Roster!$K$10,[3]Roster!$K$11,[3]Roster!$K$12,[3]Roster!$K$13,[3]Roster!$K$14,[3]Roster!$K$15,[3]Roster!$K$16,[3]Roster!$K$17,[3]Roster!$K$18,[3]Roster!$K$19,[3]Roster!$K$20)&amp;" "&amp;$Q1459</f>
        <v>#VALUE!</v>
      </c>
      <c r="S1459" s="1">
        <f t="shared" si="251"/>
        <v>1</v>
      </c>
      <c r="T1459" s="1" t="str">
        <f t="array" ref="T1459">IFERROR(INDEX([3]Roster!$D$3:$D$42,MATCH($B1459,[3]Roster!$C$3:$C$42,0)),"")</f>
        <v>FWD</v>
      </c>
      <c r="U1459" s="1" t="str">
        <f t="array" ref="U1459">IFERROR(INDEX([3]Roster!$E$3:$E$42,MATCH($B1459,[3]Roster!$C$3:$C$42,0)),"")</f>
        <v>FWD</v>
      </c>
      <c r="V1459" s="76">
        <f t="array" ref="V1459">AVERAGEIFS($E$2:$E2565,$B$2:$B2565,$B1459,$P$2:$P2565,"&lt;="&amp;$P1459,$P$2:$P2565,"&gt;"&amp;$P1459-7)</f>
        <v>8.3809523809523814</v>
      </c>
      <c r="W1459" s="76">
        <f ca="1">IFERROR(__xludf.DUMMYFUNCTION("iferror(stdevp(filter($D$2:$D2568,$B$2:$B2568=$B1462,$O$2:$O2568&lt;=$O1462,$O$2:$O2568&gt;$O1462-7)),0)"),0.433012701892219)</f>
        <v>0.43301270189221902</v>
      </c>
      <c r="X1459" s="77">
        <f t="shared" ca="1" si="252"/>
        <v>1.4296292379933591</v>
      </c>
      <c r="Y1459" s="77">
        <f t="shared" ca="1" si="253"/>
        <v>4</v>
      </c>
      <c r="Z1459" s="76">
        <f t="array" ref="Z1459">AVERAGEIFS($F$2:$F2565,$B$2:$B2565,$B1459,$P$2:$P2565,"&lt;="&amp;$P1459,$P$2:$P2565,"&gt;"&amp;$P1459-7)</f>
        <v>6.8571428571428568</v>
      </c>
      <c r="AA1459" s="76">
        <f ca="1">IFERROR(__xludf.DUMMYFUNCTION("iferror(stdevp(filter($E$2:$E2568,$B$2:$B2568=$B1462,$O$2:$O2568&lt;=$O1462,$O$2:$O2568&gt;$O1462-7)),0)"),1.11803398874989)</f>
        <v>1.11803398874989</v>
      </c>
      <c r="AB1459" s="77">
        <f t="shared" ca="1" si="254"/>
        <v>-0.76665187799993084</v>
      </c>
      <c r="AC1459" s="77">
        <f t="shared" ca="1" si="255"/>
        <v>2</v>
      </c>
      <c r="AD1459" s="76">
        <f t="array" ref="AD1459">AVERAGEIFS($G$2:$G2565,$B$2:$B2565,$B1459,$P$2:$P2565,"&lt;="&amp;$P1459,$P$2:$P2565,"&gt;"&amp;$P1459-7)</f>
        <v>5.7619047619047619</v>
      </c>
      <c r="AE1459" s="76">
        <f ca="1">IFERROR(__xludf.DUMMYFUNCTION("iferror(stdevp(filter($F$2:$F2568,$B$2:$B2568=$B1462,$O$2:$O2568&lt;=$O1462,$O$2:$O2568&gt;$O1462-7)),0)"),0.82915619758885)</f>
        <v>0.82915619758884995</v>
      </c>
      <c r="AF1459" s="77">
        <f t="shared" ca="1" si="256"/>
        <v>1.4931990398136865</v>
      </c>
      <c r="AG1459" s="77">
        <f t="shared" ca="1" si="257"/>
        <v>4</v>
      </c>
      <c r="AH1459" s="76">
        <f t="array" ref="AH1459">AVERAGEIFS($I$2:$I2565,$B$2:$B2565,$B1459,$P$2:$P2565,"&lt;="&amp;$P1459,$P$2:$P2565,"&gt;"&amp;$P1459-7)</f>
        <v>6.8571428571428568</v>
      </c>
      <c r="AI1459" s="76">
        <f ca="1">IFERROR(__xludf.DUMMYFUNCTION("iferror(stdevp(filter($H$2:$H2568,$B$2:$B2568=$B1462,$O$2:$O2568&lt;=$O1462,$O$2:$O2568&gt;$O1462-7)),0)"),0.433012701892219)</f>
        <v>0.43301270189221902</v>
      </c>
      <c r="AJ1459" s="77">
        <f t="shared" ca="1" si="258"/>
        <v>2.6393155162954347</v>
      </c>
      <c r="AK1459" s="77">
        <f t="shared" ca="1" si="259"/>
        <v>4</v>
      </c>
      <c r="AL1459" s="76">
        <f t="array" ref="AL1459">AVERAGEIFS($J$2:$J2565,$B$2:$B2565,$B1459,$P$2:$P2565,"&lt;="&amp;$P1459,$P$2:$P2565,"&gt;"&amp;$P1459-7)</f>
        <v>5.0952380952380949</v>
      </c>
      <c r="AM1459" s="76">
        <f ca="1">IFERROR(__xludf.DUMMYFUNCTION("iferror(stdevp(filter($I$2:$I2568,$B$2:$B2568=$B1462,$O$2:$O2568&lt;=$O1462,$O$2:$O2568&gt;$O1462-7)),0)"),0.707106781186547)</f>
        <v>0.70710678118654702</v>
      </c>
      <c r="AN1459" s="77">
        <f t="shared" ca="1" si="260"/>
        <v>1.2795265564328018</v>
      </c>
      <c r="AO1459" s="77">
        <f t="shared" ca="1" si="261"/>
        <v>4</v>
      </c>
      <c r="AP1459" s="76">
        <f t="array" ref="AP1459">AVERAGEIFS($K$2:$K2565,$B$2:$B2565,$B1459,$P$2:$P2565,"&lt;="&amp;$P1459,$P$2:$P2565,"&gt;"&amp;$P1459-7)</f>
        <v>5.3809523809523814</v>
      </c>
      <c r="AQ1459" s="76">
        <f ca="1">IFERROR(__xludf.DUMMYFUNCTION("iferror(stdevp(filter($J$2:$J2568,$B$2:$B2568=$B1462,$O$2:$O2568&lt;=$O1462,$O$2:$O2568&gt;$O1462-7)),0)"),1.87082869338697)</f>
        <v>1.87082869338697</v>
      </c>
      <c r="AR1459" s="77">
        <f t="shared" ca="1" si="262"/>
        <v>-0.20362761288565698</v>
      </c>
      <c r="AS1459" s="77">
        <f t="shared" ca="1" si="263"/>
        <v>2</v>
      </c>
      <c r="AT1459" s="78">
        <f t="shared" ca="1" si="264"/>
        <v>0.83333333333333337</v>
      </c>
    </row>
    <row r="1460" spans="1:46" ht="12.5" x14ac:dyDescent="0.25">
      <c r="A1460" s="75">
        <v>45005.480848483799</v>
      </c>
      <c r="B1460" s="1" t="s">
        <v>15</v>
      </c>
      <c r="C1460" s="1" t="str">
        <f>INDEX(TBL_Name,MATCH(Table2[[#This Row],[Athlete Name]],listNames,0),2)</f>
        <v>Athlete 8</v>
      </c>
      <c r="D1460" s="1" t="s">
        <v>130</v>
      </c>
      <c r="E1460" s="1">
        <v>7</v>
      </c>
      <c r="F1460" s="1">
        <v>10</v>
      </c>
      <c r="G1460" s="1">
        <v>8</v>
      </c>
      <c r="H1460" s="1" t="s">
        <v>197</v>
      </c>
      <c r="I1460" s="1">
        <v>7</v>
      </c>
      <c r="J1460" s="1">
        <v>10</v>
      </c>
      <c r="K1460" s="1">
        <v>10</v>
      </c>
      <c r="L1460" s="1">
        <v>82</v>
      </c>
      <c r="M1460" s="1" t="e">
        <f t="shared" ref="M1460" ca="1" si="457">_xludf.concat($B1460,$P1460)</f>
        <v>#NAME?</v>
      </c>
      <c r="N1460" s="1" t="e">
        <f t="shared" si="248"/>
        <v>#VALUE!</v>
      </c>
      <c r="O1460" s="1" t="e">
        <f t="shared" ref="O1460" ca="1" si="458">IF($N1460=_xludf.MINIFS($N$2:$N2966,$R$2:$R2966,$R1460),1,
($N1460-_xludf.MINIFS($N$2:$N2966,$R$2:$R2966,$R1460))+1)</f>
        <v>#VALUE!</v>
      </c>
      <c r="P1460" s="13" t="e">
        <f t="shared" si="250"/>
        <v>#VALUE!</v>
      </c>
      <c r="Q1460" s="1" t="str">
        <f>RIGHT(YEAR($A1460),2)-(MONTH($A1460)&lt;=[3]Roster!$K$25)
 &amp;"-"&amp;
 RIGHT(YEAR($A1460),2)+(MONTH($A1460)&gt;=[3]Roster!$K$26)</f>
        <v>22-23</v>
      </c>
      <c r="R1460" s="1" t="e">
        <f>CHOOSE(MONTH($P1460),[3]Roster!$K$9,[3]Roster!$K$10,[3]Roster!$K$11,[3]Roster!$K$12,[3]Roster!$K$13,[3]Roster!$K$14,[3]Roster!$K$15,[3]Roster!$K$16,[3]Roster!$K$17,[3]Roster!$K$18,[3]Roster!$K$19,[3]Roster!$K$20)&amp;" "&amp;$Q1460</f>
        <v>#VALUE!</v>
      </c>
      <c r="S1460" s="1">
        <f t="shared" si="251"/>
        <v>1</v>
      </c>
      <c r="T1460" s="1" t="str">
        <f t="array" ref="T1460">IFERROR(INDEX([3]Roster!$D$3:$D$42,MATCH($B1460,[3]Roster!$C$3:$C$42,0)),"")</f>
        <v>MID/D</v>
      </c>
      <c r="U1460" s="1" t="str">
        <f t="array" ref="U1460">IFERROR(INDEX([3]Roster!$E$3:$E$42,MATCH($B1460,[3]Roster!$C$3:$C$42,0)),"")</f>
        <v>MID/D</v>
      </c>
      <c r="V1460" s="76">
        <f t="array" ref="V1460">AVERAGEIFS($E$2:$E2565,$B$2:$B2565,$B1460,$P$2:$P2565,"&lt;="&amp;$P1460,$P$2:$P2565,"&gt;"&amp;$P1460-7)</f>
        <v>8.935483870967742</v>
      </c>
      <c r="W1460" s="76">
        <f ca="1">IFERROR(__xludf.DUMMYFUNCTION("iferror(stdevp(filter($D$2:$D2568,$B$2:$B2568=$B1463,$O$2:$O2568&lt;=$O1463,$O$2:$O2568&gt;$O1463-7)),0)"),2.28035085019827)</f>
        <v>2.2803508501982699</v>
      </c>
      <c r="X1460" s="77">
        <f t="shared" ca="1" si="252"/>
        <v>-0.84876582513583698</v>
      </c>
      <c r="Y1460" s="77">
        <f t="shared" ca="1" si="253"/>
        <v>2</v>
      </c>
      <c r="Z1460" s="76">
        <f t="array" ref="Z1460">AVERAGEIFS($F$2:$F2565,$B$2:$B2565,$B1460,$P$2:$P2565,"&lt;="&amp;$P1460,$P$2:$P2565,"&gt;"&amp;$P1460-7)</f>
        <v>8.741935483870968</v>
      </c>
      <c r="AA1460" s="76">
        <f ca="1">IFERROR(__xludf.DUMMYFUNCTION("iferror(stdevp(filter($E$2:$E2568,$B$2:$B2568=$B1463,$O$2:$O2568&lt;=$O1463,$O$2:$O2568&gt;$O1463-7)),0)"),1.6)</f>
        <v>1.6</v>
      </c>
      <c r="AB1460" s="77">
        <f t="shared" ca="1" si="254"/>
        <v>0.78629032258064502</v>
      </c>
      <c r="AC1460" s="77">
        <f t="shared" ca="1" si="255"/>
        <v>3</v>
      </c>
      <c r="AD1460" s="76">
        <f t="array" ref="AD1460">AVERAGEIFS($G$2:$G2565,$B$2:$B2565,$B1460,$P$2:$P2565,"&lt;="&amp;$P1460,$P$2:$P2565,"&gt;"&amp;$P1460-7)</f>
        <v>7.32258064516129</v>
      </c>
      <c r="AE1460" s="76">
        <f ca="1">IFERROR(__xludf.DUMMYFUNCTION("iferror(stdevp(filter($F$2:$F2568,$B$2:$B2568=$B1463,$O$2:$O2568&lt;=$O1463,$O$2:$O2568&gt;$O1463-7)),0)"),0.489897948556635)</f>
        <v>0.48989794855663499</v>
      </c>
      <c r="AF1460" s="77">
        <f t="shared" ca="1" si="256"/>
        <v>1.3827764677001835</v>
      </c>
      <c r="AG1460" s="77">
        <f t="shared" ca="1" si="257"/>
        <v>4</v>
      </c>
      <c r="AH1460" s="76">
        <f t="array" ref="AH1460">AVERAGEIFS($I$2:$I2565,$B$2:$B2565,$B1460,$P$2:$P2565,"&lt;="&amp;$P1460,$P$2:$P2565,"&gt;"&amp;$P1460-7)</f>
        <v>6.419354838709677</v>
      </c>
      <c r="AI1460" s="76">
        <f ca="1">IFERROR(__xludf.DUMMYFUNCTION("iferror(stdevp(filter($H$2:$H2568,$B$2:$B2568=$B1463,$O$2:$O2568&lt;=$O1463,$O$2:$O2568&gt;$O1463-7)),0)"),0.748331477354788)</f>
        <v>0.748331477354788</v>
      </c>
      <c r="AJ1460" s="77">
        <f t="shared" ca="1" si="258"/>
        <v>0.77591973458445873</v>
      </c>
      <c r="AK1460" s="77">
        <f t="shared" ca="1" si="259"/>
        <v>3</v>
      </c>
      <c r="AL1460" s="76">
        <f t="array" ref="AL1460">AVERAGEIFS($J$2:$J2565,$B$2:$B2565,$B1460,$P$2:$P2565,"&lt;="&amp;$P1460,$P$2:$P2565,"&gt;"&amp;$P1460-7)</f>
        <v>9.612903225806452</v>
      </c>
      <c r="AM1460" s="76">
        <f ca="1">IFERROR(__xludf.DUMMYFUNCTION("iferror(stdevp(filter($I$2:$I2568,$B$2:$B2568=$B1463,$O$2:$O2568&lt;=$O1463,$O$2:$O2568&gt;$O1463-7)),0)"),0)</f>
        <v>0</v>
      </c>
      <c r="AN1460" s="77">
        <f t="shared" ca="1" si="260"/>
        <v>0</v>
      </c>
      <c r="AO1460" s="77">
        <f t="shared" ca="1" si="261"/>
        <v>3</v>
      </c>
      <c r="AP1460" s="76">
        <f t="array" ref="AP1460">AVERAGEIFS($K$2:$K2565,$B$2:$B2565,$B1460,$P$2:$P2565,"&lt;="&amp;$P1460,$P$2:$P2565,"&gt;"&amp;$P1460-7)</f>
        <v>10</v>
      </c>
      <c r="AQ1460" s="76">
        <f ca="1">IFERROR(__xludf.DUMMYFUNCTION("iferror(stdevp(filter($J$2:$J2568,$B$2:$B2568=$B1463,$O$2:$O2568&lt;=$O1463,$O$2:$O2568&gt;$O1463-7)),0)"),0)</f>
        <v>0</v>
      </c>
      <c r="AR1460" s="77">
        <f t="shared" ca="1" si="262"/>
        <v>0</v>
      </c>
      <c r="AS1460" s="77">
        <f t="shared" ca="1" si="263"/>
        <v>3</v>
      </c>
      <c r="AT1460" s="78">
        <f t="shared" ca="1" si="264"/>
        <v>0.75</v>
      </c>
    </row>
    <row r="1461" spans="1:46" ht="12.5" x14ac:dyDescent="0.25">
      <c r="A1461" s="75">
        <v>45005.486687997683</v>
      </c>
      <c r="B1461" s="1" t="s">
        <v>24</v>
      </c>
      <c r="C1461" s="1" t="str">
        <f>INDEX(TBL_Name,MATCH(Table2[[#This Row],[Athlete Name]],listNames,0),2)</f>
        <v>Athlete 16</v>
      </c>
      <c r="D1461" s="1" t="s">
        <v>130</v>
      </c>
      <c r="E1461" s="1">
        <v>4</v>
      </c>
      <c r="F1461" s="1">
        <v>6</v>
      </c>
      <c r="G1461" s="1">
        <v>6</v>
      </c>
      <c r="H1461" s="1" t="s">
        <v>1065</v>
      </c>
      <c r="I1461" s="1">
        <v>3</v>
      </c>
      <c r="J1461" s="1">
        <v>10</v>
      </c>
      <c r="K1461" s="1">
        <v>9</v>
      </c>
      <c r="L1461" s="1">
        <v>85</v>
      </c>
      <c r="M1461" s="1" t="e">
        <f t="shared" ref="M1461" ca="1" si="459">_xludf.concat($B1461,$P1461)</f>
        <v>#NAME?</v>
      </c>
      <c r="N1461" s="1" t="e">
        <f t="shared" si="248"/>
        <v>#VALUE!</v>
      </c>
      <c r="O1461" s="1" t="e">
        <f t="shared" ref="O1461" ca="1" si="460">IF($N1461=_xludf.MINIFS($N$2:$N2967,$R$2:$R2967,$R1461),1,
($N1461-_xludf.MINIFS($N$2:$N2967,$R$2:$R2967,$R1461))+1)</f>
        <v>#VALUE!</v>
      </c>
      <c r="P1461" s="13" t="e">
        <f t="shared" si="250"/>
        <v>#VALUE!</v>
      </c>
      <c r="Q1461" s="1" t="str">
        <f>RIGHT(YEAR($A1461),2)-(MONTH($A1461)&lt;=[3]Roster!$K$25)
 &amp;"-"&amp;
 RIGHT(YEAR($A1461),2)+(MONTH($A1461)&gt;=[3]Roster!$K$26)</f>
        <v>22-23</v>
      </c>
      <c r="R1461" s="1" t="e">
        <f>CHOOSE(MONTH($P1461),[3]Roster!$K$9,[3]Roster!$K$10,[3]Roster!$K$11,[3]Roster!$K$12,[3]Roster!$K$13,[3]Roster!$K$14,[3]Roster!$K$15,[3]Roster!$K$16,[3]Roster!$K$17,[3]Roster!$K$18,[3]Roster!$K$19,[3]Roster!$K$20)&amp;" "&amp;$Q1461</f>
        <v>#VALUE!</v>
      </c>
      <c r="S1461" s="1">
        <f t="shared" si="251"/>
        <v>1</v>
      </c>
      <c r="T1461" s="1" t="str">
        <f t="array" ref="T1461">IFERROR(INDEX([3]Roster!$D$3:$D$42,MATCH($B1461,[3]Roster!$C$3:$C$42,0)),"")</f>
        <v>D</v>
      </c>
      <c r="U1461" s="1" t="str">
        <f t="array" ref="U1461">IFERROR(INDEX([3]Roster!$E$3:$E$42,MATCH($B1461,[3]Roster!$C$3:$C$42,0)),"")</f>
        <v>D</v>
      </c>
      <c r="V1461" s="76">
        <f t="array" ref="V1461">AVERAGEIFS($E$2:$E2565,$B$2:$B2565,$B1461,$P$2:$P2565,"&lt;="&amp;$P1461,$P$2:$P2565,"&gt;"&amp;$P1461-7)</f>
        <v>4.1818181818181817</v>
      </c>
      <c r="W1461" s="76">
        <f ca="1">IFERROR(__xludf.DUMMYFUNCTION("iferror(stdevp(filter($D$2:$D2568,$B$2:$B2568=$B1464,$O$2:$O2568&lt;=$O1464,$O$2:$O2568&gt;$O1464-7)),0)"),1.01980390271855)</f>
        <v>1.0198039027185499</v>
      </c>
      <c r="X1461" s="77">
        <f t="shared" ca="1" si="252"/>
        <v>-0.17828739558016837</v>
      </c>
      <c r="Y1461" s="77">
        <f t="shared" ca="1" si="253"/>
        <v>2</v>
      </c>
      <c r="Z1461" s="76">
        <f t="array" ref="Z1461">AVERAGEIFS($F$2:$F2565,$B$2:$B2565,$B1461,$P$2:$P2565,"&lt;="&amp;$P1461,$P$2:$P2565,"&gt;"&amp;$P1461-7)</f>
        <v>6</v>
      </c>
      <c r="AA1461" s="76">
        <f ca="1">IFERROR(__xludf.DUMMYFUNCTION("iferror(stdevp(filter($E$2:$E2568,$B$2:$B2568=$B1464,$O$2:$O2568&lt;=$O1464,$O$2:$O2568&gt;$O1464-7)),0)"),1.01980390271855)</f>
        <v>1.0198039027185499</v>
      </c>
      <c r="AB1461" s="77">
        <f t="shared" ca="1" si="254"/>
        <v>0</v>
      </c>
      <c r="AC1461" s="77">
        <f t="shared" ca="1" si="255"/>
        <v>3</v>
      </c>
      <c r="AD1461" s="76">
        <f t="array" ref="AD1461">AVERAGEIFS($G$2:$G2565,$B$2:$B2565,$B1461,$P$2:$P2565,"&lt;="&amp;$P1461,$P$2:$P2565,"&gt;"&amp;$P1461-7)</f>
        <v>5.9090909090909092</v>
      </c>
      <c r="AE1461" s="76">
        <f ca="1">IFERROR(__xludf.DUMMYFUNCTION("iferror(stdevp(filter($F$2:$F2568,$B$2:$B2568=$B1464,$O$2:$O2568&lt;=$O1464,$O$2:$O2568&gt;$O1464-7)),0)"),0.748331477354788)</f>
        <v>0.748331477354788</v>
      </c>
      <c r="AF1461" s="77">
        <f t="shared" ca="1" si="256"/>
        <v>0.12148238268746557</v>
      </c>
      <c r="AG1461" s="77">
        <f t="shared" ca="1" si="257"/>
        <v>3</v>
      </c>
      <c r="AH1461" s="76">
        <f t="array" ref="AH1461">AVERAGEIFS($I$2:$I2565,$B$2:$B2565,$B1461,$P$2:$P2565,"&lt;="&amp;$P1461,$P$2:$P2565,"&gt;"&amp;$P1461-7)</f>
        <v>4.9545454545454541</v>
      </c>
      <c r="AI1461" s="76">
        <f ca="1">IFERROR(__xludf.DUMMYFUNCTION("iferror(stdevp(filter($H$2:$H2568,$B$2:$B2568=$B1464,$O$2:$O2568&lt;=$O1464,$O$2:$O2568&gt;$O1464-7)),0)"),1.16619037896906)</f>
        <v>1.16619037896906</v>
      </c>
      <c r="AJ1461" s="77">
        <f t="shared" ca="1" si="258"/>
        <v>-1.6760089002563361</v>
      </c>
      <c r="AK1461" s="77">
        <f t="shared" ca="1" si="259"/>
        <v>1</v>
      </c>
      <c r="AL1461" s="76">
        <f t="array" ref="AL1461">AVERAGEIFS($J$2:$J2565,$B$2:$B2565,$B1461,$P$2:$P2565,"&lt;="&amp;$P1461,$P$2:$P2565,"&gt;"&amp;$P1461-7)</f>
        <v>6.9090909090909092</v>
      </c>
      <c r="AM1461" s="76">
        <f ca="1">IFERROR(__xludf.DUMMYFUNCTION("iferror(stdevp(filter($I$2:$I2568,$B$2:$B2568=$B1464,$O$2:$O2568&lt;=$O1464,$O$2:$O2568&gt;$O1464-7)),0)"),2.19089023002066)</f>
        <v>2.1908902300206599</v>
      </c>
      <c r="AN1461" s="77">
        <f t="shared" ca="1" si="260"/>
        <v>1.410800526907249</v>
      </c>
      <c r="AO1461" s="77">
        <f t="shared" ca="1" si="261"/>
        <v>4</v>
      </c>
      <c r="AP1461" s="76">
        <f t="array" ref="AP1461">AVERAGEIFS($K$2:$K2565,$B$2:$B2565,$B1461,$P$2:$P2565,"&lt;="&amp;$P1461,$P$2:$P2565,"&gt;"&amp;$P1461-7)</f>
        <v>6.7272727272727275</v>
      </c>
      <c r="AQ1461" s="76">
        <f ca="1">IFERROR(__xludf.DUMMYFUNCTION("iferror(stdevp(filter($J$2:$J2568,$B$2:$B2568=$B1464,$O$2:$O2568&lt;=$O1464,$O$2:$O2568&gt;$O1464-7)),0)"),1.72046505340852)</f>
        <v>1.72046505340852</v>
      </c>
      <c r="AR1461" s="77">
        <f t="shared" ca="1" si="262"/>
        <v>1.3209958948161322</v>
      </c>
      <c r="AS1461" s="77">
        <f t="shared" ca="1" si="263"/>
        <v>4</v>
      </c>
      <c r="AT1461" s="78">
        <f t="shared" ca="1" si="264"/>
        <v>0.70833333333333337</v>
      </c>
    </row>
    <row r="1462" spans="1:46" ht="12.5" x14ac:dyDescent="0.25">
      <c r="A1462" s="75">
        <v>45005.491100636573</v>
      </c>
      <c r="B1462" s="1" t="s">
        <v>21</v>
      </c>
      <c r="C1462" s="1" t="str">
        <f>INDEX(TBL_Name,MATCH(Table2[[#This Row],[Athlete Name]],listNames,0),2)</f>
        <v>Athlete 13</v>
      </c>
      <c r="D1462" s="1" t="s">
        <v>130</v>
      </c>
      <c r="E1462" s="1">
        <v>7</v>
      </c>
      <c r="F1462" s="1">
        <v>9</v>
      </c>
      <c r="G1462" s="1">
        <v>9</v>
      </c>
      <c r="H1462" s="1" t="s">
        <v>549</v>
      </c>
      <c r="I1462" s="1">
        <v>6</v>
      </c>
      <c r="J1462" s="1">
        <v>7</v>
      </c>
      <c r="K1462" s="1">
        <v>7</v>
      </c>
      <c r="L1462" s="1">
        <v>75</v>
      </c>
      <c r="M1462" s="1" t="e">
        <f t="shared" ref="M1462" ca="1" si="461">_xludf.concat($B1462,$P1462)</f>
        <v>#NAME?</v>
      </c>
      <c r="N1462" s="1" t="e">
        <f t="shared" si="248"/>
        <v>#VALUE!</v>
      </c>
      <c r="O1462" s="1" t="e">
        <f t="shared" ref="O1462" ca="1" si="462">IF($N1462=_xludf.MINIFS($N$2:$N2968,$R$2:$R2968,$R1462),1,
($N1462-_xludf.MINIFS($N$2:$N2968,$R$2:$R2968,$R1462))+1)</f>
        <v>#VALUE!</v>
      </c>
      <c r="P1462" s="13" t="e">
        <f t="shared" si="250"/>
        <v>#VALUE!</v>
      </c>
      <c r="Q1462" s="1" t="str">
        <f>RIGHT(YEAR($A1462),2)-(MONTH($A1462)&lt;=[3]Roster!$K$25)
 &amp;"-"&amp;
 RIGHT(YEAR($A1462),2)+(MONTH($A1462)&gt;=[3]Roster!$K$26)</f>
        <v>22-23</v>
      </c>
      <c r="R1462" s="1" t="e">
        <f>CHOOSE(MONTH($P1462),[3]Roster!$K$9,[3]Roster!$K$10,[3]Roster!$K$11,[3]Roster!$K$12,[3]Roster!$K$13,[3]Roster!$K$14,[3]Roster!$K$15,[3]Roster!$K$16,[3]Roster!$K$17,[3]Roster!$K$18,[3]Roster!$K$19,[3]Roster!$K$20)&amp;" "&amp;$Q1462</f>
        <v>#VALUE!</v>
      </c>
      <c r="S1462" s="1">
        <f t="shared" si="251"/>
        <v>1</v>
      </c>
      <c r="T1462" s="1" t="str">
        <f t="array" ref="T1462">IFERROR(INDEX([3]Roster!$D$3:$D$42,MATCH($B1462,[3]Roster!$C$3:$C$42,0)),"")</f>
        <v>D</v>
      </c>
      <c r="U1462" s="1" t="str">
        <f t="array" ref="U1462">IFERROR(INDEX([3]Roster!$E$3:$E$42,MATCH($B1462,[3]Roster!$C$3:$C$42,0)),"")</f>
        <v>D</v>
      </c>
      <c r="V1462" s="76">
        <f t="array" ref="V1462">AVERAGEIFS($E$2:$E2565,$B$2:$B2565,$B1462,$P$2:$P2565,"&lt;="&amp;$P1462,$P$2:$P2565,"&gt;"&amp;$P1462-7)</f>
        <v>6.6304347826086953</v>
      </c>
      <c r="W1462" s="76">
        <f ca="1">IFERROR(__xludf.DUMMYFUNCTION("iferror(stdevp(filter($D$2:$D2568,$B$2:$B2568=$B1465,$O$2:$O2568&lt;=$O1465,$O$2:$O2568&gt;$O1465-7)),0)"),0.728431359084683)</f>
        <v>0.72843135908468304</v>
      </c>
      <c r="X1462" s="77">
        <f t="shared" ca="1" si="252"/>
        <v>0.50734391481399865</v>
      </c>
      <c r="Y1462" s="77">
        <f t="shared" ca="1" si="253"/>
        <v>3</v>
      </c>
      <c r="Z1462" s="76">
        <f t="array" ref="Z1462">AVERAGEIFS($F$2:$F2565,$B$2:$B2565,$B1462,$P$2:$P2565,"&lt;="&amp;$P1462,$P$2:$P2565,"&gt;"&amp;$P1462-7)</f>
        <v>7.6956521739130439</v>
      </c>
      <c r="AA1462" s="76">
        <f ca="1">IFERROR(__xludf.DUMMYFUNCTION("iferror(stdevp(filter($E$2:$E2568,$B$2:$B2568=$B1465,$O$2:$O2568&lt;=$O1465,$O$2:$O2568&gt;$O1465-7)),0)"),0.989743318610787)</f>
        <v>0.98974331861078702</v>
      </c>
      <c r="AB1462" s="77">
        <f t="shared" ca="1" si="254"/>
        <v>1.3178647448893628</v>
      </c>
      <c r="AC1462" s="77">
        <f t="shared" ca="1" si="255"/>
        <v>4</v>
      </c>
      <c r="AD1462" s="76">
        <f t="array" ref="AD1462">AVERAGEIFS($G$2:$G2565,$B$2:$B2565,$B1462,$P$2:$P2565,"&lt;="&amp;$P1462,$P$2:$P2565,"&gt;"&amp;$P1462-7)</f>
        <v>8.2608695652173907</v>
      </c>
      <c r="AE1462" s="76">
        <f ca="1">IFERROR(__xludf.DUMMYFUNCTION("iferror(stdevp(filter($F$2:$F2568,$B$2:$B2568=$B1465,$O$2:$O2568&lt;=$O1465,$O$2:$O2568&gt;$O1465-7)),0)"),0.494871659305393)</f>
        <v>0.49487165930539301</v>
      </c>
      <c r="AF1462" s="77">
        <f t="shared" ca="1" si="256"/>
        <v>1.4935800442079477</v>
      </c>
      <c r="AG1462" s="77">
        <f t="shared" ca="1" si="257"/>
        <v>4</v>
      </c>
      <c r="AH1462" s="76">
        <f t="array" ref="AH1462">AVERAGEIFS($I$2:$I2565,$B$2:$B2565,$B1462,$P$2:$P2565,"&lt;="&amp;$P1462,$P$2:$P2565,"&gt;"&amp;$P1462-7)</f>
        <v>5.7391304347826084</v>
      </c>
      <c r="AI1462" s="76">
        <f ca="1">IFERROR(__xludf.DUMMYFUNCTION("iferror(stdevp(filter($H$2:$H2568,$B$2:$B2568=$B1465,$O$2:$O2568&lt;=$O1465,$O$2:$O2568&gt;$O1465-7)),0)"),0.638876564999939)</f>
        <v>0.63887656499993895</v>
      </c>
      <c r="AJ1462" s="77">
        <f t="shared" ca="1" si="258"/>
        <v>0.40832545676083221</v>
      </c>
      <c r="AK1462" s="77">
        <f t="shared" ca="1" si="259"/>
        <v>3</v>
      </c>
      <c r="AL1462" s="76">
        <f t="array" ref="AL1462">AVERAGEIFS($J$2:$J2565,$B$2:$B2565,$B1462,$P$2:$P2565,"&lt;="&amp;$P1462,$P$2:$P2565,"&gt;"&amp;$P1462-7)</f>
        <v>6.5434782608695654</v>
      </c>
      <c r="AM1462" s="76">
        <f ca="1">IFERROR(__xludf.DUMMYFUNCTION("iferror(stdevp(filter($I$2:$I2568,$B$2:$B2568=$B1465,$O$2:$O2568&lt;=$O1465,$O$2:$O2568&gt;$O1465-7)),0)"),0.349927106111882)</f>
        <v>0.34992710611188199</v>
      </c>
      <c r="AN1462" s="77">
        <f t="shared" ca="1" si="260"/>
        <v>1.3046195369171292</v>
      </c>
      <c r="AO1462" s="77">
        <f t="shared" ca="1" si="261"/>
        <v>4</v>
      </c>
      <c r="AP1462" s="76">
        <f t="array" ref="AP1462">AVERAGEIFS($K$2:$K2565,$B$2:$B2565,$B1462,$P$2:$P2565,"&lt;="&amp;$P1462,$P$2:$P2565,"&gt;"&amp;$P1462-7)</f>
        <v>6.6086956521739131</v>
      </c>
      <c r="AQ1462" s="76">
        <f ca="1">IFERROR(__xludf.DUMMYFUNCTION("iferror(stdevp(filter($J$2:$J2568,$B$2:$B2568=$B1465,$O$2:$O2568&lt;=$O1465,$O$2:$O2568&gt;$O1465-7)),0)"),0)</f>
        <v>0</v>
      </c>
      <c r="AR1462" s="77">
        <f t="shared" ca="1" si="262"/>
        <v>0</v>
      </c>
      <c r="AS1462" s="77">
        <f t="shared" ca="1" si="263"/>
        <v>3</v>
      </c>
      <c r="AT1462" s="78">
        <f t="shared" ca="1" si="264"/>
        <v>0.875</v>
      </c>
    </row>
    <row r="1463" spans="1:46" ht="12.5" x14ac:dyDescent="0.25">
      <c r="A1463" s="75">
        <v>45005.502818217588</v>
      </c>
      <c r="B1463" s="1" t="s">
        <v>10</v>
      </c>
      <c r="C1463" s="1" t="str">
        <f>INDEX(TBL_Name,MATCH(Table2[[#This Row],[Athlete Name]],listNames,0),2)</f>
        <v>Athlete 5</v>
      </c>
      <c r="D1463" s="1" t="s">
        <v>130</v>
      </c>
      <c r="E1463" s="1">
        <v>8</v>
      </c>
      <c r="F1463" s="1">
        <v>8</v>
      </c>
      <c r="G1463" s="1">
        <v>8</v>
      </c>
      <c r="H1463" s="1" t="s">
        <v>326</v>
      </c>
      <c r="I1463" s="1">
        <v>8</v>
      </c>
      <c r="J1463" s="1">
        <v>8</v>
      </c>
      <c r="K1463" s="1">
        <v>9</v>
      </c>
      <c r="L1463" s="1">
        <v>84</v>
      </c>
      <c r="M1463" s="1" t="e">
        <f t="shared" ref="M1463" ca="1" si="463">_xludf.concat($B1463,$P1463)</f>
        <v>#NAME?</v>
      </c>
      <c r="N1463" s="1" t="e">
        <f t="shared" si="248"/>
        <v>#VALUE!</v>
      </c>
      <c r="O1463" s="1" t="e">
        <f t="shared" ref="O1463" ca="1" si="464">IF($N1463=_xludf.MINIFS($N$2:$N2969,$R$2:$R2969,$R1463),1,
($N1463-_xludf.MINIFS($N$2:$N2969,$R$2:$R2969,$R1463))+1)</f>
        <v>#VALUE!</v>
      </c>
      <c r="P1463" s="13" t="e">
        <f t="shared" si="250"/>
        <v>#VALUE!</v>
      </c>
      <c r="Q1463" s="1" t="str">
        <f>RIGHT(YEAR($A1463),2)-(MONTH($A1463)&lt;=[3]Roster!$K$25)
 &amp;"-"&amp;
 RIGHT(YEAR($A1463),2)+(MONTH($A1463)&gt;=[3]Roster!$K$26)</f>
        <v>22-23</v>
      </c>
      <c r="R1463" s="1" t="e">
        <f>CHOOSE(MONTH($P1463),[3]Roster!$K$9,[3]Roster!$K$10,[3]Roster!$K$11,[3]Roster!$K$12,[3]Roster!$K$13,[3]Roster!$K$14,[3]Roster!$K$15,[3]Roster!$K$16,[3]Roster!$K$17,[3]Roster!$K$18,[3]Roster!$K$19,[3]Roster!$K$20)&amp;" "&amp;$Q1463</f>
        <v>#VALUE!</v>
      </c>
      <c r="S1463" s="1">
        <f t="shared" si="251"/>
        <v>1</v>
      </c>
      <c r="T1463" s="1" t="str">
        <f t="array" ref="T1463">IFERROR(INDEX([3]Roster!$D$3:$D$42,MATCH($B1463,[3]Roster!$C$3:$C$42,0)),"")</f>
        <v>MID</v>
      </c>
      <c r="U1463" s="1" t="str">
        <f t="array" ref="U1463">IFERROR(INDEX([3]Roster!$E$3:$E$42,MATCH($B1463,[3]Roster!$C$3:$C$42,0)),"")</f>
        <v>MID</v>
      </c>
      <c r="V1463" s="76">
        <f t="array" ref="V1463">AVERAGEIFS($E$2:$E2565,$B$2:$B2565,$B1463,$P$2:$P2565,"&lt;="&amp;$P1463,$P$2:$P2565,"&gt;"&amp;$P1463-7)</f>
        <v>8.4042553191489358</v>
      </c>
      <c r="W1463" s="76">
        <f ca="1">IFERROR(__xludf.DUMMYFUNCTION("iferror(stdevp(filter($D$2:$D2568,$B$2:$B2568=$B1466,$O$2:$O2568&lt;=$O1466,$O$2:$O2568&gt;$O1466-7)),0)"),0.489897948556635)</f>
        <v>0.48989794855663499</v>
      </c>
      <c r="X1463" s="77">
        <f t="shared" ca="1" si="252"/>
        <v>-0.82518271476738292</v>
      </c>
      <c r="Y1463" s="77">
        <f t="shared" ca="1" si="253"/>
        <v>2</v>
      </c>
      <c r="Z1463" s="76">
        <f t="array" ref="Z1463">AVERAGEIFS($F$2:$F2565,$B$2:$B2565,$B1463,$P$2:$P2565,"&lt;="&amp;$P1463,$P$2:$P2565,"&gt;"&amp;$P1463-7)</f>
        <v>8.085106382978724</v>
      </c>
      <c r="AA1463" s="76">
        <f ca="1">IFERROR(__xludf.DUMMYFUNCTION("iferror(stdevp(filter($E$2:$E2568,$B$2:$B2568=$B1466,$O$2:$O2568&lt;=$O1466,$O$2:$O2568&gt;$O1466-7)),0)"),0.489897948556635)</f>
        <v>0.48989794855663499</v>
      </c>
      <c r="AB1463" s="77">
        <f t="shared" ca="1" si="254"/>
        <v>-0.17372267679313458</v>
      </c>
      <c r="AC1463" s="77">
        <f t="shared" ca="1" si="255"/>
        <v>2</v>
      </c>
      <c r="AD1463" s="76">
        <f t="array" ref="AD1463">AVERAGEIFS($G$2:$G2565,$B$2:$B2565,$B1463,$P$2:$P2565,"&lt;="&amp;$P1463,$P$2:$P2565,"&gt;"&amp;$P1463-7)</f>
        <v>8.0638297872340434</v>
      </c>
      <c r="AE1463" s="76">
        <f ca="1">IFERROR(__xludf.DUMMYFUNCTION("iferror(stdevp(filter($F$2:$F2568,$B$2:$B2568=$B1466,$O$2:$O2568&lt;=$O1466,$O$2:$O2568&gt;$O1466-7)),0)"),0.489897948556635)</f>
        <v>0.48989794855663499</v>
      </c>
      <c r="AF1463" s="77">
        <f t="shared" ca="1" si="256"/>
        <v>-0.13029200759485185</v>
      </c>
      <c r="AG1463" s="77">
        <f t="shared" ca="1" si="257"/>
        <v>2</v>
      </c>
      <c r="AH1463" s="76">
        <f t="array" ref="AH1463">AVERAGEIFS($I$2:$I2565,$B$2:$B2565,$B1463,$P$2:$P2565,"&lt;="&amp;$P1463,$P$2:$P2565,"&gt;"&amp;$P1463-7)</f>
        <v>6.7446808510638299</v>
      </c>
      <c r="AI1463" s="76">
        <f ca="1">IFERROR(__xludf.DUMMYFUNCTION("iferror(stdevp(filter($H$2:$H2568,$B$2:$B2568=$B1466,$O$2:$O2568&lt;=$O1466,$O$2:$O2568&gt;$O1466-7)),0)"),1.26491106406735)</f>
        <v>1.26491106406735</v>
      </c>
      <c r="AJ1463" s="77">
        <f t="shared" ca="1" si="258"/>
        <v>0.99241692526560976</v>
      </c>
      <c r="AK1463" s="77">
        <f t="shared" ca="1" si="259"/>
        <v>3</v>
      </c>
      <c r="AL1463" s="76">
        <f t="array" ref="AL1463">AVERAGEIFS($J$2:$J2565,$B$2:$B2565,$B1463,$P$2:$P2565,"&lt;="&amp;$P1463,$P$2:$P2565,"&gt;"&amp;$P1463-7)</f>
        <v>8.1063829787234045</v>
      </c>
      <c r="AM1463" s="76">
        <f ca="1">IFERROR(__xludf.DUMMYFUNCTION("iferror(stdevp(filter($I$2:$I2568,$B$2:$B2568=$B1466,$O$2:$O2568&lt;=$O1466,$O$2:$O2568&gt;$O1466-7)),0)"),0)</f>
        <v>0</v>
      </c>
      <c r="AN1463" s="77">
        <f t="shared" ca="1" si="260"/>
        <v>0</v>
      </c>
      <c r="AO1463" s="77">
        <f t="shared" ca="1" si="261"/>
        <v>3</v>
      </c>
      <c r="AP1463" s="76">
        <f t="array" ref="AP1463">AVERAGEIFS($K$2:$K2565,$B$2:$B2565,$B1463,$P$2:$P2565,"&lt;="&amp;$P1463,$P$2:$P2565,"&gt;"&amp;$P1463-7)</f>
        <v>8.2978723404255312</v>
      </c>
      <c r="AQ1463" s="76">
        <f ca="1">IFERROR(__xludf.DUMMYFUNCTION("iferror(stdevp(filter($J$2:$J2568,$B$2:$B2568=$B1466,$O$2:$O2568&lt;=$O1466,$O$2:$O2568&gt;$O1466-7)),0)"),0.399999999999999)</f>
        <v>0.39999999999999902</v>
      </c>
      <c r="AR1463" s="77">
        <f t="shared" ca="1" si="262"/>
        <v>1.7553191489361761</v>
      </c>
      <c r="AS1463" s="77">
        <f t="shared" ca="1" si="263"/>
        <v>4</v>
      </c>
      <c r="AT1463" s="78">
        <f t="shared" ca="1" si="264"/>
        <v>0.66666666666666663</v>
      </c>
    </row>
    <row r="1464" spans="1:46" ht="12.5" x14ac:dyDescent="0.25">
      <c r="A1464" s="75">
        <v>45005.589852627316</v>
      </c>
      <c r="B1464" s="1" t="s">
        <v>16</v>
      </c>
      <c r="C1464" s="1" t="str">
        <f>INDEX(TBL_Name,MATCH(Table2[[#This Row],[Athlete Name]],listNames,0),2)</f>
        <v>Athlete 9</v>
      </c>
      <c r="D1464" s="1" t="s">
        <v>130</v>
      </c>
      <c r="E1464" s="1">
        <v>9</v>
      </c>
      <c r="F1464" s="1">
        <v>7</v>
      </c>
      <c r="G1464" s="1">
        <v>8</v>
      </c>
      <c r="H1464" s="1" t="s">
        <v>742</v>
      </c>
      <c r="I1464" s="1">
        <v>6</v>
      </c>
      <c r="J1464" s="1">
        <v>8</v>
      </c>
      <c r="K1464" s="1">
        <v>8</v>
      </c>
      <c r="L1464" s="1">
        <v>85</v>
      </c>
      <c r="M1464" s="1" t="e">
        <f t="shared" ref="M1464" ca="1" si="465">_xludf.concat($B1464,$P1464)</f>
        <v>#NAME?</v>
      </c>
      <c r="N1464" s="1" t="e">
        <f t="shared" si="248"/>
        <v>#VALUE!</v>
      </c>
      <c r="O1464" s="1" t="e">
        <f t="shared" ref="O1464" ca="1" si="466">IF($N1464=_xludf.MINIFS($N$2:$N2970,$R$2:$R2970,$R1464),1,
($N1464-_xludf.MINIFS($N$2:$N2970,$R$2:$R2970,$R1464))+1)</f>
        <v>#VALUE!</v>
      </c>
      <c r="P1464" s="13" t="e">
        <f t="shared" si="250"/>
        <v>#VALUE!</v>
      </c>
      <c r="Q1464" s="1" t="str">
        <f>RIGHT(YEAR($A1464),2)-(MONTH($A1464)&lt;=[3]Roster!$K$25)
 &amp;"-"&amp;
 RIGHT(YEAR($A1464),2)+(MONTH($A1464)&gt;=[3]Roster!$K$26)</f>
        <v>22-23</v>
      </c>
      <c r="R1464" s="1" t="e">
        <f>CHOOSE(MONTH($P1464),[3]Roster!$K$9,[3]Roster!$K$10,[3]Roster!$K$11,[3]Roster!$K$12,[3]Roster!$K$13,[3]Roster!$K$14,[3]Roster!$K$15,[3]Roster!$K$16,[3]Roster!$K$17,[3]Roster!$K$18,[3]Roster!$K$19,[3]Roster!$K$20)&amp;" "&amp;$Q1464</f>
        <v>#VALUE!</v>
      </c>
      <c r="S1464" s="1">
        <f t="shared" si="251"/>
        <v>1</v>
      </c>
      <c r="T1464" s="1" t="str">
        <f t="array" ref="T1464">IFERROR(INDEX([3]Roster!$D$3:$D$42,MATCH($B1464,[3]Roster!$C$3:$C$42,0)),"")</f>
        <v>MID/D</v>
      </c>
      <c r="U1464" s="1" t="str">
        <f t="array" ref="U1464">IFERROR(INDEX([3]Roster!$E$3:$E$42,MATCH($B1464,[3]Roster!$C$3:$C$42,0)),"")</f>
        <v>MID/D</v>
      </c>
      <c r="V1464" s="76">
        <f t="array" ref="V1464">AVERAGEIFS($E$2:$E2565,$B$2:$B2565,$B1464,$P$2:$P2565,"&lt;="&amp;$P1464,$P$2:$P2565,"&gt;"&amp;$P1464-7)</f>
        <v>8.9600000000000009</v>
      </c>
      <c r="W1464" s="76">
        <f ca="1">IFERROR(__xludf.DUMMYFUNCTION("iferror(stdevp(filter($D$2:$D2568,$B$2:$B2568=$B1467,$O$2:$O2568&lt;=$O1467,$O$2:$O2568&gt;$O1467-7)),0)"),0)</f>
        <v>0</v>
      </c>
      <c r="X1464" s="77">
        <f t="shared" ca="1" si="252"/>
        <v>0</v>
      </c>
      <c r="Y1464" s="77">
        <f t="shared" ca="1" si="253"/>
        <v>3</v>
      </c>
      <c r="Z1464" s="76">
        <f t="array" ref="Z1464">AVERAGEIFS($F$2:$F2565,$B$2:$B2565,$B1464,$P$2:$P2565,"&lt;="&amp;$P1464,$P$2:$P2565,"&gt;"&amp;$P1464-7)</f>
        <v>7.48</v>
      </c>
      <c r="AA1464" s="76">
        <f ca="1">IFERROR(__xludf.DUMMYFUNCTION("iferror(stdevp(filter($E$2:$E2568,$B$2:$B2568=$B1467,$O$2:$O2568&lt;=$O1467,$O$2:$O2568&gt;$O1467-7)),0)"),0.471404520791031)</f>
        <v>0.47140452079103101</v>
      </c>
      <c r="AB1464" s="77">
        <f t="shared" ca="1" si="254"/>
        <v>-1.0182337649086308</v>
      </c>
      <c r="AC1464" s="77">
        <f t="shared" ca="1" si="255"/>
        <v>1</v>
      </c>
      <c r="AD1464" s="76">
        <f t="array" ref="AD1464">AVERAGEIFS($G$2:$G2565,$B$2:$B2565,$B1464,$P$2:$P2565,"&lt;="&amp;$P1464,$P$2:$P2565,"&gt;"&amp;$P1464-7)</f>
        <v>7.56</v>
      </c>
      <c r="AE1464" s="76">
        <f ca="1">IFERROR(__xludf.DUMMYFUNCTION("iferror(stdevp(filter($F$2:$F2568,$B$2:$B2568=$B1467,$O$2:$O2568&lt;=$O1467,$O$2:$O2568&gt;$O1467-7)),0)"),0.471404520791031)</f>
        <v>0.47140452079103101</v>
      </c>
      <c r="AF1464" s="77">
        <f t="shared" ca="1" si="256"/>
        <v>0.93338095116624487</v>
      </c>
      <c r="AG1464" s="77">
        <f t="shared" ca="1" si="257"/>
        <v>3</v>
      </c>
      <c r="AH1464" s="76">
        <f t="array" ref="AH1464">AVERAGEIFS($I$2:$I2565,$B$2:$B2565,$B1464,$P$2:$P2565,"&lt;="&amp;$P1464,$P$2:$P2565,"&gt;"&amp;$P1464-7)</f>
        <v>5.8</v>
      </c>
      <c r="AI1464" s="76">
        <f ca="1">IFERROR(__xludf.DUMMYFUNCTION("iferror(stdevp(filter($H$2:$H2568,$B$2:$B2568=$B1467,$O$2:$O2568&lt;=$O1467,$O$2:$O2568&gt;$O1467-7)),0)"),1.41421356237309)</f>
        <v>1.41421356237309</v>
      </c>
      <c r="AJ1464" s="77">
        <f t="shared" ca="1" si="258"/>
        <v>0.14142135623731014</v>
      </c>
      <c r="AK1464" s="77">
        <f t="shared" ca="1" si="259"/>
        <v>3</v>
      </c>
      <c r="AL1464" s="76">
        <f t="array" ref="AL1464">AVERAGEIFS($J$2:$J2565,$B$2:$B2565,$B1464,$P$2:$P2565,"&lt;="&amp;$P1464,$P$2:$P2565,"&gt;"&amp;$P1464-7)</f>
        <v>7.8</v>
      </c>
      <c r="AM1464" s="76">
        <f ca="1">IFERROR(__xludf.DUMMYFUNCTION("iferror(stdevp(filter($I$2:$I2568,$B$2:$B2568=$B1467,$O$2:$O2568&lt;=$O1467,$O$2:$O2568&gt;$O1467-7)),0)"),0)</f>
        <v>0</v>
      </c>
      <c r="AN1464" s="77">
        <f t="shared" ca="1" si="260"/>
        <v>0</v>
      </c>
      <c r="AO1464" s="77">
        <f t="shared" ca="1" si="261"/>
        <v>3</v>
      </c>
      <c r="AP1464" s="76">
        <f t="array" ref="AP1464">AVERAGEIFS($K$2:$K2565,$B$2:$B2565,$B1464,$P$2:$P2565,"&lt;="&amp;$P1464,$P$2:$P2565,"&gt;"&amp;$P1464-7)</f>
        <v>8.6</v>
      </c>
      <c r="AQ1464" s="76">
        <f ca="1">IFERROR(__xludf.DUMMYFUNCTION("iferror(stdevp(filter($J$2:$J2568,$B$2:$B2568=$B1467,$O$2:$O2568&lt;=$O1467,$O$2:$O2568&gt;$O1467-7)),0)"),0.471404520791031)</f>
        <v>0.47140452079103101</v>
      </c>
      <c r="AR1464" s="77">
        <f t="shared" ca="1" si="262"/>
        <v>-1.2727922061357866</v>
      </c>
      <c r="AS1464" s="77">
        <f t="shared" ca="1" si="263"/>
        <v>1</v>
      </c>
      <c r="AT1464" s="78">
        <f t="shared" ca="1" si="264"/>
        <v>0.58333333333333337</v>
      </c>
    </row>
    <row r="1465" spans="1:46" ht="12.5" x14ac:dyDescent="0.25">
      <c r="A1465" s="75">
        <v>45005.590302881945</v>
      </c>
      <c r="B1465" s="1" t="s">
        <v>23</v>
      </c>
      <c r="C1465" s="1" t="str">
        <f>INDEX(TBL_Name,MATCH(Table2[[#This Row],[Athlete Name]],listNames,0),2)</f>
        <v>Athlete 15</v>
      </c>
      <c r="D1465" s="1" t="s">
        <v>150</v>
      </c>
      <c r="E1465" s="1">
        <v>6</v>
      </c>
      <c r="F1465" s="1">
        <v>5</v>
      </c>
      <c r="G1465" s="1">
        <v>6</v>
      </c>
      <c r="H1465" s="1" t="s">
        <v>1513</v>
      </c>
      <c r="I1465" s="1">
        <v>8</v>
      </c>
      <c r="J1465" s="1">
        <v>10</v>
      </c>
      <c r="K1465" s="1">
        <v>7</v>
      </c>
      <c r="L1465" s="1">
        <v>75</v>
      </c>
      <c r="M1465" s="1" t="e">
        <f t="shared" ref="M1465" ca="1" si="467">_xludf.concat($B1465,$P1465)</f>
        <v>#NAME?</v>
      </c>
      <c r="N1465" s="1" t="e">
        <f t="shared" si="248"/>
        <v>#VALUE!</v>
      </c>
      <c r="O1465" s="1" t="e">
        <f t="shared" ref="O1465" ca="1" si="468">IF($N1465=_xludf.MINIFS($N$2:$N2971,$R$2:$R2971,$R1465),1,
($N1465-_xludf.MINIFS($N$2:$N2971,$R$2:$R2971,$R1465))+1)</f>
        <v>#VALUE!</v>
      </c>
      <c r="P1465" s="13" t="e">
        <f t="shared" si="250"/>
        <v>#VALUE!</v>
      </c>
      <c r="Q1465" s="1" t="str">
        <f>RIGHT(YEAR($A1465),2)-(MONTH($A1465)&lt;=[3]Roster!$K$25)
 &amp;"-"&amp;
 RIGHT(YEAR($A1465),2)+(MONTH($A1465)&gt;=[3]Roster!$K$26)</f>
        <v>22-23</v>
      </c>
      <c r="R1465" s="1" t="e">
        <f>CHOOSE(MONTH($P1465),[3]Roster!$K$9,[3]Roster!$K$10,[3]Roster!$K$11,[3]Roster!$K$12,[3]Roster!$K$13,[3]Roster!$K$14,[3]Roster!$K$15,[3]Roster!$K$16,[3]Roster!$K$17,[3]Roster!$K$18,[3]Roster!$K$19,[3]Roster!$K$20)&amp;" "&amp;$Q1465</f>
        <v>#VALUE!</v>
      </c>
      <c r="S1465" s="1">
        <f t="shared" si="251"/>
        <v>3</v>
      </c>
      <c r="T1465" s="1" t="str">
        <f t="array" ref="T1465">IFERROR(INDEX([3]Roster!$D$3:$D$42,MATCH($B1465,[3]Roster!$C$3:$C$42,0)),"")</f>
        <v>D</v>
      </c>
      <c r="U1465" s="1" t="str">
        <f t="array" ref="U1465">IFERROR(INDEX([3]Roster!$E$3:$E$42,MATCH($B1465,[3]Roster!$C$3:$C$42,0)),"")</f>
        <v>D</v>
      </c>
      <c r="V1465" s="76">
        <f t="array" ref="V1465">AVERAGEIFS($E$2:$E2565,$B$2:$B2565,$B1465,$P$2:$P2565,"&lt;="&amp;$P1465,$P$2:$P2565,"&gt;"&amp;$P1465-7)</f>
        <v>4.7777777777777777</v>
      </c>
      <c r="W1465" s="76">
        <f ca="1">IFERROR(__xludf.DUMMYFUNCTION("iferror(stdevp(filter($D$2:$D2568,$B$2:$B2568=$B1468,$O$2:$O2568&lt;=$O1468,$O$2:$O2568&gt;$O1468-7)),0)"),2)</f>
        <v>2</v>
      </c>
      <c r="X1465" s="77">
        <f t="shared" ca="1" si="252"/>
        <v>0.61111111111111116</v>
      </c>
      <c r="Y1465" s="77">
        <f t="shared" ca="1" si="253"/>
        <v>3</v>
      </c>
      <c r="Z1465" s="76">
        <f t="array" ref="Z1465">AVERAGEIFS($F$2:$F2565,$B$2:$B2565,$B1465,$P$2:$P2565,"&lt;="&amp;$P1465,$P$2:$P2565,"&gt;"&amp;$P1465-7)</f>
        <v>6.4444444444444446</v>
      </c>
      <c r="AA1465" s="76">
        <f ca="1">IFERROR(__xludf.DUMMYFUNCTION("iferror(stdevp(filter($E$2:$E2568,$B$2:$B2568=$B1468,$O$2:$O2568&lt;=$O1468,$O$2:$O2568&gt;$O1468-7)),0)"),0.5)</f>
        <v>0.5</v>
      </c>
      <c r="AB1465" s="77">
        <f t="shared" ca="1" si="254"/>
        <v>-2.8888888888888893</v>
      </c>
      <c r="AC1465" s="77">
        <f t="shared" ca="1" si="255"/>
        <v>1</v>
      </c>
      <c r="AD1465" s="76">
        <f t="array" ref="AD1465">AVERAGEIFS($G$2:$G2565,$B$2:$B2565,$B1465,$P$2:$P2565,"&lt;="&amp;$P1465,$P$2:$P2565,"&gt;"&amp;$P1465-7)</f>
        <v>7.4444444444444446</v>
      </c>
      <c r="AE1465" s="76">
        <f ca="1">IFERROR(__xludf.DUMMYFUNCTION("iferror(stdevp(filter($F$2:$F2568,$B$2:$B2568=$B1468,$O$2:$O2568&lt;=$O1468,$O$2:$O2568&gt;$O1468-7)),0)"),0.5)</f>
        <v>0.5</v>
      </c>
      <c r="AF1465" s="77">
        <f t="shared" ca="1" si="256"/>
        <v>-2.8888888888888893</v>
      </c>
      <c r="AG1465" s="77">
        <f t="shared" ca="1" si="257"/>
        <v>1</v>
      </c>
      <c r="AH1465" s="76">
        <f t="array" ref="AH1465">AVERAGEIFS($I$2:$I2565,$B$2:$B2565,$B1465,$P$2:$P2565,"&lt;="&amp;$P1465,$P$2:$P2565,"&gt;"&amp;$P1465-7)</f>
        <v>6.7777777777777777</v>
      </c>
      <c r="AI1465" s="76">
        <f ca="1">IFERROR(__xludf.DUMMYFUNCTION("iferror(stdevp(filter($H$2:$H2568,$B$2:$B2568=$B1468,$O$2:$O2568&lt;=$O1468,$O$2:$O2568&gt;$O1468-7)),0)"),1.5)</f>
        <v>1.5</v>
      </c>
      <c r="AJ1465" s="77">
        <f t="shared" ca="1" si="258"/>
        <v>0.81481481481481488</v>
      </c>
      <c r="AK1465" s="77">
        <f t="shared" ca="1" si="259"/>
        <v>3</v>
      </c>
      <c r="AL1465" s="76">
        <f t="array" ref="AL1465">AVERAGEIFS($J$2:$J2565,$B$2:$B2565,$B1465,$P$2:$P2565,"&lt;="&amp;$P1465,$P$2:$P2565,"&gt;"&amp;$P1465-7)</f>
        <v>8.2222222222222214</v>
      </c>
      <c r="AM1465" s="76">
        <f ca="1">IFERROR(__xludf.DUMMYFUNCTION("iferror(stdevp(filter($I$2:$I2568,$B$2:$B2568=$B1468,$O$2:$O2568&lt;=$O1468,$O$2:$O2568&gt;$O1468-7)),0)"),0)</f>
        <v>0</v>
      </c>
      <c r="AN1465" s="77">
        <f t="shared" ca="1" si="260"/>
        <v>0</v>
      </c>
      <c r="AO1465" s="77">
        <f t="shared" ca="1" si="261"/>
        <v>3</v>
      </c>
      <c r="AP1465" s="76">
        <f t="array" ref="AP1465">AVERAGEIFS($K$2:$K2565,$B$2:$B2565,$B1465,$P$2:$P2565,"&lt;="&amp;$P1465,$P$2:$P2565,"&gt;"&amp;$P1465-7)</f>
        <v>8.1111111111111107</v>
      </c>
      <c r="AQ1465" s="76">
        <f ca="1">IFERROR(__xludf.DUMMYFUNCTION("iferror(stdevp(filter($J$2:$J2568,$B$2:$B2568=$B1468,$O$2:$O2568&lt;=$O1468,$O$2:$O2568&gt;$O1468-7)),0)"),0)</f>
        <v>0</v>
      </c>
      <c r="AR1465" s="77">
        <f t="shared" ca="1" si="262"/>
        <v>0</v>
      </c>
      <c r="AS1465" s="77">
        <f t="shared" ca="1" si="263"/>
        <v>3</v>
      </c>
      <c r="AT1465" s="78">
        <f t="shared" ca="1" si="264"/>
        <v>0.58333333333333337</v>
      </c>
    </row>
    <row r="1466" spans="1:46" ht="12.5" x14ac:dyDescent="0.25">
      <c r="A1466" s="75">
        <v>45005.596095057874</v>
      </c>
      <c r="B1466" s="1" t="s">
        <v>9</v>
      </c>
      <c r="C1466" s="1" t="str">
        <f>INDEX(TBL_Name,MATCH(Table2[[#This Row],[Athlete Name]],listNames,0),2)</f>
        <v>Athlete 4</v>
      </c>
      <c r="D1466" s="1" t="s">
        <v>130</v>
      </c>
      <c r="E1466" s="1">
        <v>6</v>
      </c>
      <c r="F1466" s="1">
        <v>7</v>
      </c>
      <c r="G1466" s="1">
        <v>8</v>
      </c>
      <c r="H1466" s="1" t="s">
        <v>1382</v>
      </c>
      <c r="I1466" s="1">
        <v>4</v>
      </c>
      <c r="J1466" s="1">
        <v>7</v>
      </c>
      <c r="K1466" s="1">
        <v>7</v>
      </c>
      <c r="L1466" s="1">
        <v>90</v>
      </c>
      <c r="M1466" s="1" t="e">
        <f t="shared" ref="M1466" ca="1" si="469">_xludf.concat($B1466,$P1466)</f>
        <v>#NAME?</v>
      </c>
      <c r="N1466" s="1" t="e">
        <f t="shared" si="248"/>
        <v>#VALUE!</v>
      </c>
      <c r="O1466" s="1" t="e">
        <f t="shared" ref="O1466" ca="1" si="470">IF($N1466=_xludf.MINIFS($N$2:$N2972,$R$2:$R2972,$R1466),1,
($N1466-_xludf.MINIFS($N$2:$N2972,$R$2:$R2972,$R1466))+1)</f>
        <v>#VALUE!</v>
      </c>
      <c r="P1466" s="13" t="e">
        <f t="shared" si="250"/>
        <v>#VALUE!</v>
      </c>
      <c r="Q1466" s="1" t="str">
        <f>RIGHT(YEAR($A1466),2)-(MONTH($A1466)&lt;=[3]Roster!$K$25)
 &amp;"-"&amp;
 RIGHT(YEAR($A1466),2)+(MONTH($A1466)&gt;=[3]Roster!$K$26)</f>
        <v>22-23</v>
      </c>
      <c r="R1466" s="1" t="e">
        <f>CHOOSE(MONTH($P1466),[3]Roster!$K$9,[3]Roster!$K$10,[3]Roster!$K$11,[3]Roster!$K$12,[3]Roster!$K$13,[3]Roster!$K$14,[3]Roster!$K$15,[3]Roster!$K$16,[3]Roster!$K$17,[3]Roster!$K$18,[3]Roster!$K$19,[3]Roster!$K$20)&amp;" "&amp;$Q1466</f>
        <v>#VALUE!</v>
      </c>
      <c r="S1466" s="1">
        <f t="shared" si="251"/>
        <v>1</v>
      </c>
      <c r="T1466" s="1" t="str">
        <f t="array" ref="T1466">IFERROR(INDEX([3]Roster!$D$3:$D$42,MATCH($B1466,[3]Roster!$C$3:$C$42,0)),"")</f>
        <v>F/MID</v>
      </c>
      <c r="U1466" s="1" t="str">
        <f t="array" ref="U1466">IFERROR(INDEX([3]Roster!$E$3:$E$42,MATCH($B1466,[3]Roster!$C$3:$C$42,0)),"")</f>
        <v>F/MID</v>
      </c>
      <c r="V1466" s="76">
        <f t="array" ref="V1466">AVERAGEIFS($E$2:$E2565,$B$2:$B2565,$B1466,$P$2:$P2565,"&lt;="&amp;$P1466,$P$2:$P2565,"&gt;"&amp;$P1466-7)</f>
        <v>7.4230769230769234</v>
      </c>
      <c r="W1466" s="76">
        <f ca="1">IFERROR(__xludf.DUMMYFUNCTION("iferror(stdevp(filter($D$2:$D2568,$B$2:$B2568=$B1469,$O$2:$O2568&lt;=$O1469,$O$2:$O2568&gt;$O1469-7)),0)"),0.707106781186547)</f>
        <v>0.70710678118654702</v>
      </c>
      <c r="X1466" s="77">
        <f t="shared" ca="1" si="252"/>
        <v>-2.0125346849155603</v>
      </c>
      <c r="Y1466" s="77">
        <f t="shared" ca="1" si="253"/>
        <v>1</v>
      </c>
      <c r="Z1466" s="76">
        <f t="array" ref="Z1466">AVERAGEIFS($F$2:$F2565,$B$2:$B2565,$B1466,$P$2:$P2565,"&lt;="&amp;$P1466,$P$2:$P2565,"&gt;"&amp;$P1466-7)</f>
        <v>7.1538461538461542</v>
      </c>
      <c r="AA1466" s="76">
        <f ca="1">IFERROR(__xludf.DUMMYFUNCTION("iferror(stdevp(filter($E$2:$E2568,$B$2:$B2568=$B1469,$O$2:$O2568&lt;=$O1469,$O$2:$O2568&gt;$O1469-7)),0)"),1.6393596310755)</f>
        <v>1.6393596310755001</v>
      </c>
      <c r="AB1466" s="77">
        <f t="shared" ca="1" si="254"/>
        <v>-9.3845274050833857E-2</v>
      </c>
      <c r="AC1466" s="77">
        <f t="shared" ca="1" si="255"/>
        <v>2</v>
      </c>
      <c r="AD1466" s="76">
        <f t="array" ref="AD1466">AVERAGEIFS($G$2:$G2565,$B$2:$B2565,$B1466,$P$2:$P2565,"&lt;="&amp;$P1466,$P$2:$P2565,"&gt;"&amp;$P1466-7)</f>
        <v>7.615384615384615</v>
      </c>
      <c r="AE1466" s="76">
        <f ca="1">IFERROR(__xludf.DUMMYFUNCTION("iferror(stdevp(filter($F$2:$F2568,$B$2:$B2568=$B1469,$O$2:$O2568&lt;=$O1469,$O$2:$O2568&gt;$O1469-7)),0)"),1.4790199457749)</f>
        <v>1.4790199457749</v>
      </c>
      <c r="AF1466" s="77">
        <f t="shared" ca="1" si="256"/>
        <v>0.26004746299339071</v>
      </c>
      <c r="AG1466" s="77">
        <f t="shared" ca="1" si="257"/>
        <v>3</v>
      </c>
      <c r="AH1466" s="76">
        <f t="array" ref="AH1466">AVERAGEIFS($I$2:$I2565,$B$2:$B2565,$B1466,$P$2:$P2565,"&lt;="&amp;$P1466,$P$2:$P2565,"&gt;"&amp;$P1466-7)</f>
        <v>5.1923076923076925</v>
      </c>
      <c r="AI1466" s="76">
        <f ca="1">IFERROR(__xludf.DUMMYFUNCTION("iferror(stdevp(filter($H$2:$H2568,$B$2:$B2568=$B1469,$O$2:$O2568&lt;=$O1469,$O$2:$O2568&gt;$O1469-7)),0)"),0.5)</f>
        <v>0.5</v>
      </c>
      <c r="AJ1466" s="77">
        <f t="shared" ca="1" si="258"/>
        <v>-2.384615384615385</v>
      </c>
      <c r="AK1466" s="77">
        <f t="shared" ca="1" si="259"/>
        <v>1</v>
      </c>
      <c r="AL1466" s="76">
        <f t="array" ref="AL1466">AVERAGEIFS($J$2:$J2565,$B$2:$B2565,$B1466,$P$2:$P2565,"&lt;="&amp;$P1466,$P$2:$P2565,"&gt;"&amp;$P1466-7)</f>
        <v>7.6923076923076925</v>
      </c>
      <c r="AM1466" s="76">
        <f ca="1">IFERROR(__xludf.DUMMYFUNCTION("iferror(stdevp(filter($I$2:$I2568,$B$2:$B2568=$B1469,$O$2:$O2568&lt;=$O1469,$O$2:$O2568&gt;$O1469-7)),0)"),0.5)</f>
        <v>0.5</v>
      </c>
      <c r="AN1466" s="77">
        <f t="shared" ca="1" si="260"/>
        <v>-1.384615384615385</v>
      </c>
      <c r="AO1466" s="77">
        <f t="shared" ca="1" si="261"/>
        <v>1</v>
      </c>
      <c r="AP1466" s="76">
        <f t="array" ref="AP1466">AVERAGEIFS($K$2:$K2565,$B$2:$B2565,$B1466,$P$2:$P2565,"&lt;="&amp;$P1466,$P$2:$P2565,"&gt;"&amp;$P1466-7)</f>
        <v>7.8461538461538458</v>
      </c>
      <c r="AQ1466" s="76">
        <f ca="1">IFERROR(__xludf.DUMMYFUNCTION("iferror(stdevp(filter($J$2:$J2568,$B$2:$B2568=$B1469,$O$2:$O2568&lt;=$O1469,$O$2:$O2568&gt;$O1469-7)),0)"),0.433012701892219)</f>
        <v>0.43301270189221902</v>
      </c>
      <c r="AR1466" s="77">
        <f t="shared" ca="1" si="262"/>
        <v>-1.9541086034110415</v>
      </c>
      <c r="AS1466" s="77">
        <f t="shared" ca="1" si="263"/>
        <v>1</v>
      </c>
      <c r="AT1466" s="78">
        <f t="shared" ca="1" si="264"/>
        <v>0.375</v>
      </c>
    </row>
    <row r="1467" spans="1:46" ht="12.5" x14ac:dyDescent="0.25">
      <c r="A1467" s="75">
        <v>45005.600455497683</v>
      </c>
      <c r="B1467" s="1" t="s">
        <v>22</v>
      </c>
      <c r="C1467" s="1" t="str">
        <f>INDEX(TBL_Name,MATCH(Table2[[#This Row],[Athlete Name]],listNames,0),2)</f>
        <v>Athlete 14</v>
      </c>
      <c r="D1467" s="1" t="s">
        <v>130</v>
      </c>
      <c r="E1467" s="1">
        <v>7</v>
      </c>
      <c r="F1467" s="1">
        <v>4</v>
      </c>
      <c r="G1467" s="1">
        <v>6</v>
      </c>
      <c r="H1467" s="1" t="s">
        <v>236</v>
      </c>
      <c r="I1467" s="1">
        <v>6</v>
      </c>
      <c r="J1467" s="1">
        <v>8</v>
      </c>
      <c r="K1467" s="1">
        <v>7</v>
      </c>
      <c r="L1467" s="1">
        <v>85</v>
      </c>
      <c r="M1467" s="1" t="e">
        <f t="shared" ref="M1467" ca="1" si="471">_xludf.concat($B1467,$P1467)</f>
        <v>#NAME?</v>
      </c>
      <c r="N1467" s="1" t="e">
        <f t="shared" si="248"/>
        <v>#VALUE!</v>
      </c>
      <c r="O1467" s="1" t="e">
        <f t="shared" ref="O1467" ca="1" si="472">IF($N1467=_xludf.MINIFS($N$2:$N2973,$R$2:$R2973,$R1467),1,
($N1467-_xludf.MINIFS($N$2:$N2973,$R$2:$R2973,$R1467))+1)</f>
        <v>#VALUE!</v>
      </c>
      <c r="P1467" s="13" t="e">
        <f t="shared" si="250"/>
        <v>#VALUE!</v>
      </c>
      <c r="Q1467" s="1" t="str">
        <f>RIGHT(YEAR($A1467),2)-(MONTH($A1467)&lt;=[3]Roster!$K$25)
 &amp;"-"&amp;
 RIGHT(YEAR($A1467),2)+(MONTH($A1467)&gt;=[3]Roster!$K$26)</f>
        <v>22-23</v>
      </c>
      <c r="R1467" s="1" t="e">
        <f>CHOOSE(MONTH($P1467),[3]Roster!$K$9,[3]Roster!$K$10,[3]Roster!$K$11,[3]Roster!$K$12,[3]Roster!$K$13,[3]Roster!$K$14,[3]Roster!$K$15,[3]Roster!$K$16,[3]Roster!$K$17,[3]Roster!$K$18,[3]Roster!$K$19,[3]Roster!$K$20)&amp;" "&amp;$Q1467</f>
        <v>#VALUE!</v>
      </c>
      <c r="S1467" s="1">
        <f t="shared" si="251"/>
        <v>1</v>
      </c>
      <c r="T1467" s="1" t="str">
        <f t="array" ref="T1467">IFERROR(INDEX([3]Roster!$D$3:$D$42,MATCH($B1467,[3]Roster!$C$3:$C$42,0)),"")</f>
        <v>D</v>
      </c>
      <c r="U1467" s="1" t="str">
        <f t="array" ref="U1467">IFERROR(INDEX([3]Roster!$E$3:$E$42,MATCH($B1467,[3]Roster!$C$3:$C$42,0)),"")</f>
        <v>D</v>
      </c>
      <c r="V1467" s="76">
        <f t="array" ref="V1467">AVERAGEIFS($E$2:$E2565,$B$2:$B2565,$B1467,$P$2:$P2565,"&lt;="&amp;$P1467,$P$2:$P2565,"&gt;"&amp;$P1467-7)</f>
        <v>5.791666666666667</v>
      </c>
      <c r="W1467" s="76">
        <f ca="1">IFERROR(__xludf.DUMMYFUNCTION("iferror(stdevp(filter($D$2:$D2568,$B$2:$B2568=$B1470,$O$2:$O2568&lt;=$O1470,$O$2:$O2568&gt;$O1470-7)),0)"),0.707106781186547)</f>
        <v>0.70710678118654702</v>
      </c>
      <c r="X1467" s="77">
        <f t="shared" ca="1" si="252"/>
        <v>1.7088413878674906</v>
      </c>
      <c r="Y1467" s="77">
        <f t="shared" ca="1" si="253"/>
        <v>4</v>
      </c>
      <c r="Z1467" s="76">
        <f t="array" ref="Z1467">AVERAGEIFS($F$2:$F2565,$B$2:$B2565,$B1467,$P$2:$P2565,"&lt;="&amp;$P1467,$P$2:$P2565,"&gt;"&amp;$P1467-7)</f>
        <v>5.458333333333333</v>
      </c>
      <c r="AA1467" s="76">
        <f ca="1">IFERROR(__xludf.DUMMYFUNCTION("iferror(stdevp(filter($E$2:$E2568,$B$2:$B2568=$B1470,$O$2:$O2568&lt;=$O1470,$O$2:$O2568&gt;$O1470-7)),0)"),1.6393596310755)</f>
        <v>1.6393596310755001</v>
      </c>
      <c r="AB1467" s="77">
        <f t="shared" ca="1" si="254"/>
        <v>-0.88957499360686043</v>
      </c>
      <c r="AC1467" s="77">
        <f t="shared" ca="1" si="255"/>
        <v>2</v>
      </c>
      <c r="AD1467" s="76">
        <f t="array" ref="AD1467">AVERAGEIFS($G$2:$G2565,$B$2:$B2565,$B1467,$P$2:$P2565,"&lt;="&amp;$P1467,$P$2:$P2565,"&gt;"&amp;$P1467-7)</f>
        <v>6.833333333333333</v>
      </c>
      <c r="AE1467" s="76">
        <f ca="1">IFERROR(__xludf.DUMMYFUNCTION("iferror(stdevp(filter($F$2:$F2568,$B$2:$B2568=$B1470,$O$2:$O2568&lt;=$O1470,$O$2:$O2568&gt;$O1470-7)),0)"),1.5)</f>
        <v>1.5</v>
      </c>
      <c r="AF1467" s="77">
        <f t="shared" ca="1" si="256"/>
        <v>-0.55555555555555536</v>
      </c>
      <c r="AG1467" s="77">
        <f t="shared" ca="1" si="257"/>
        <v>2</v>
      </c>
      <c r="AH1467" s="76">
        <f t="array" ref="AH1467">AVERAGEIFS($I$2:$I2565,$B$2:$B2565,$B1467,$P$2:$P2565,"&lt;="&amp;$P1467,$P$2:$P2565,"&gt;"&amp;$P1467-7)</f>
        <v>5.125</v>
      </c>
      <c r="AI1467" s="76">
        <f ca="1">IFERROR(__xludf.DUMMYFUNCTION("iferror(stdevp(filter($H$2:$H2568,$B$2:$B2568=$B1470,$O$2:$O2568&lt;=$O1470,$O$2:$O2568&gt;$O1470-7)),0)"),0.433012701892219)</f>
        <v>0.43301270189221902</v>
      </c>
      <c r="AJ1467" s="77">
        <f t="shared" ca="1" si="258"/>
        <v>2.0207259421636916</v>
      </c>
      <c r="AK1467" s="77">
        <f t="shared" ca="1" si="259"/>
        <v>4</v>
      </c>
      <c r="AL1467" s="76">
        <f t="array" ref="AL1467">AVERAGEIFS($J$2:$J2565,$B$2:$B2565,$B1467,$P$2:$P2565,"&lt;="&amp;$P1467,$P$2:$P2565,"&gt;"&amp;$P1467-7)</f>
        <v>7.125</v>
      </c>
      <c r="AM1467" s="76">
        <f ca="1">IFERROR(__xludf.DUMMYFUNCTION("iferror(stdevp(filter($I$2:$I2568,$B$2:$B2568=$B1470,$O$2:$O2568&lt;=$O1470,$O$2:$O2568&gt;$O1470-7)),0)"),0.866025403784438)</f>
        <v>0.86602540378443804</v>
      </c>
      <c r="AN1467" s="77">
        <f t="shared" ca="1" si="260"/>
        <v>1.0103629710818458</v>
      </c>
      <c r="AO1467" s="77">
        <f t="shared" ca="1" si="261"/>
        <v>4</v>
      </c>
      <c r="AP1467" s="76">
        <f t="array" ref="AP1467">AVERAGEIFS($K$2:$K2565,$B$2:$B2565,$B1467,$P$2:$P2565,"&lt;="&amp;$P1467,$P$2:$P2565,"&gt;"&amp;$P1467-7)</f>
        <v>7.083333333333333</v>
      </c>
      <c r="AQ1467" s="76">
        <f ca="1">IFERROR(__xludf.DUMMYFUNCTION("iferror(stdevp(filter($J$2:$J2568,$B$2:$B2568=$B1470,$O$2:$O2568&lt;=$O1470,$O$2:$O2568&gt;$O1470-7)),0)"),1.22474487139158)</f>
        <v>1.2247448713915801</v>
      </c>
      <c r="AR1467" s="77">
        <f t="shared" ca="1" si="262"/>
        <v>-6.8041381743977433E-2</v>
      </c>
      <c r="AS1467" s="77">
        <f t="shared" ca="1" si="263"/>
        <v>2</v>
      </c>
      <c r="AT1467" s="78">
        <f t="shared" ca="1" si="264"/>
        <v>0.75</v>
      </c>
    </row>
    <row r="1468" spans="1:46" ht="12.5" x14ac:dyDescent="0.25">
      <c r="A1468" s="75">
        <v>45005.600644849532</v>
      </c>
      <c r="B1468" s="1" t="s">
        <v>19</v>
      </c>
      <c r="C1468" s="1" t="str">
        <f>INDEX(TBL_Name,MATCH(Table2[[#This Row],[Athlete Name]],listNames,0),2)</f>
        <v>Athlete 11</v>
      </c>
      <c r="D1468" s="1" t="s">
        <v>130</v>
      </c>
      <c r="E1468" s="1">
        <v>4</v>
      </c>
      <c r="F1468" s="1">
        <v>8</v>
      </c>
      <c r="G1468" s="1">
        <v>8</v>
      </c>
      <c r="H1468" s="1" t="s">
        <v>193</v>
      </c>
      <c r="I1468" s="1">
        <v>7</v>
      </c>
      <c r="J1468" s="1">
        <v>8</v>
      </c>
      <c r="K1468" s="1">
        <v>9</v>
      </c>
      <c r="L1468" s="1">
        <v>70</v>
      </c>
      <c r="M1468" s="1" t="e">
        <f t="shared" ref="M1468" ca="1" si="473">_xludf.concat($B1468,$P1468)</f>
        <v>#NAME?</v>
      </c>
      <c r="N1468" s="1" t="e">
        <f t="shared" si="248"/>
        <v>#VALUE!</v>
      </c>
      <c r="O1468" s="1" t="e">
        <f t="shared" ref="O1468" ca="1" si="474">IF($N1468=_xludf.MINIFS($N$2:$N2974,$R$2:$R2974,$R1468),1,
($N1468-_xludf.MINIFS($N$2:$N2974,$R$2:$R2974,$R1468))+1)</f>
        <v>#VALUE!</v>
      </c>
      <c r="P1468" s="13" t="e">
        <f t="shared" si="250"/>
        <v>#VALUE!</v>
      </c>
      <c r="Q1468" s="1" t="str">
        <f>RIGHT(YEAR($A1468),2)-(MONTH($A1468)&lt;=[3]Roster!$K$25)
 &amp;"-"&amp;
 RIGHT(YEAR($A1468),2)+(MONTH($A1468)&gt;=[3]Roster!$K$26)</f>
        <v>22-23</v>
      </c>
      <c r="R1468" s="1" t="e">
        <f>CHOOSE(MONTH($P1468),[3]Roster!$K$9,[3]Roster!$K$10,[3]Roster!$K$11,[3]Roster!$K$12,[3]Roster!$K$13,[3]Roster!$K$14,[3]Roster!$K$15,[3]Roster!$K$16,[3]Roster!$K$17,[3]Roster!$K$18,[3]Roster!$K$19,[3]Roster!$K$20)&amp;" "&amp;$Q1468</f>
        <v>#VALUE!</v>
      </c>
      <c r="S1468" s="1">
        <f t="shared" si="251"/>
        <v>1</v>
      </c>
      <c r="T1468" s="1" t="str">
        <f t="array" ref="T1468">IFERROR(INDEX([3]Roster!$D$3:$D$42,MATCH($B1468,[3]Roster!$C$3:$C$42,0)),"")</f>
        <v>D</v>
      </c>
      <c r="U1468" s="1" t="str">
        <f t="array" ref="U1468">IFERROR(INDEX([3]Roster!$E$3:$E$42,MATCH($B1468,[3]Roster!$C$3:$C$42,0)),"")</f>
        <v>D</v>
      </c>
      <c r="V1468" s="76">
        <f t="array" ref="V1468">AVERAGEIFS($E$2:$E2565,$B$2:$B2565,$B1468,$P$2:$P2565,"&lt;="&amp;$P1468,$P$2:$P2565,"&gt;"&amp;$P1468-7)</f>
        <v>4.6538461538461542</v>
      </c>
      <c r="W1468" s="76">
        <f ca="1">IFERROR(__xludf.DUMMYFUNCTION("iferror(stdevp(filter($D$2:$D2568,$B$2:$B2568=$B1471,$O$2:$O2568&lt;=$O1471,$O$2:$O2568&gt;$O1471-7)),0)"),0)</f>
        <v>0</v>
      </c>
      <c r="X1468" s="77">
        <f t="shared" ca="1" si="252"/>
        <v>0</v>
      </c>
      <c r="Y1468" s="77">
        <f t="shared" ca="1" si="253"/>
        <v>3</v>
      </c>
      <c r="Z1468" s="76">
        <f t="array" ref="Z1468">AVERAGEIFS($F$2:$F2565,$B$2:$B2565,$B1468,$P$2:$P2565,"&lt;="&amp;$P1468,$P$2:$P2565,"&gt;"&amp;$P1468-7)</f>
        <v>6.8461538461538458</v>
      </c>
      <c r="AA1468" s="76">
        <f ca="1">IFERROR(__xludf.DUMMYFUNCTION("iferror(stdevp(filter($E$2:$E2568,$B$2:$B2568=$B1471,$O$2:$O2568&lt;=$O1471,$O$2:$O2568&gt;$O1471-7)),0)"),0.471404520791031)</f>
        <v>0.47140452079103101</v>
      </c>
      <c r="AB1468" s="77">
        <f t="shared" ca="1" si="254"/>
        <v>2.4476773194918997</v>
      </c>
      <c r="AC1468" s="77">
        <f t="shared" ca="1" si="255"/>
        <v>4</v>
      </c>
      <c r="AD1468" s="76">
        <f t="array" ref="AD1468">AVERAGEIFS($G$2:$G2565,$B$2:$B2565,$B1468,$P$2:$P2565,"&lt;="&amp;$P1468,$P$2:$P2565,"&gt;"&amp;$P1468-7)</f>
        <v>7.2692307692307692</v>
      </c>
      <c r="AE1468" s="76">
        <f ca="1">IFERROR(__xludf.DUMMYFUNCTION("iferror(stdevp(filter($F$2:$F2568,$B$2:$B2568=$B1471,$O$2:$O2568&lt;=$O1471,$O$2:$O2568&gt;$O1471-7)),0)"),0.471404520791031)</f>
        <v>0.47140452079103101</v>
      </c>
      <c r="AF1468" s="77">
        <f t="shared" ca="1" si="256"/>
        <v>1.5501956356782027</v>
      </c>
      <c r="AG1468" s="77">
        <f t="shared" ca="1" si="257"/>
        <v>4</v>
      </c>
      <c r="AH1468" s="76">
        <f t="array" ref="AH1468">AVERAGEIFS($I$2:$I2565,$B$2:$B2565,$B1468,$P$2:$P2565,"&lt;="&amp;$P1468,$P$2:$P2565,"&gt;"&amp;$P1468-7)</f>
        <v>4.9230769230769234</v>
      </c>
      <c r="AI1468" s="76">
        <f ca="1">IFERROR(__xludf.DUMMYFUNCTION("iferror(stdevp(filter($H$2:$H2568,$B$2:$B2568=$B1471,$O$2:$O2568&lt;=$O1471,$O$2:$O2568&gt;$O1471-7)),0)"),1.24721912892464)</f>
        <v>1.2472191289246399</v>
      </c>
      <c r="AJ1468" s="77">
        <f t="shared" ca="1" si="258"/>
        <v>1.6652431226851152</v>
      </c>
      <c r="AK1468" s="77">
        <f t="shared" ca="1" si="259"/>
        <v>4</v>
      </c>
      <c r="AL1468" s="76">
        <f t="array" ref="AL1468">AVERAGEIFS($J$2:$J2565,$B$2:$B2565,$B1468,$P$2:$P2565,"&lt;="&amp;$P1468,$P$2:$P2565,"&gt;"&amp;$P1468-7)</f>
        <v>7.5769230769230766</v>
      </c>
      <c r="AM1468" s="76">
        <f ca="1">IFERROR(__xludf.DUMMYFUNCTION("iferror(stdevp(filter($I$2:$I2568,$B$2:$B2568=$B1471,$O$2:$O2568&lt;=$O1471,$O$2:$O2568&gt;$O1471-7)),0)"),0.471404520791031)</f>
        <v>0.47140452079103101</v>
      </c>
      <c r="AN1468" s="77">
        <f t="shared" ca="1" si="260"/>
        <v>0.89748168381369675</v>
      </c>
      <c r="AO1468" s="77">
        <f t="shared" ca="1" si="261"/>
        <v>3</v>
      </c>
      <c r="AP1468" s="76">
        <f t="array" ref="AP1468">AVERAGEIFS($K$2:$K2565,$B$2:$B2565,$B1468,$P$2:$P2565,"&lt;="&amp;$P1468,$P$2:$P2565,"&gt;"&amp;$P1468-7)</f>
        <v>8</v>
      </c>
      <c r="AQ1468" s="76">
        <f ca="1">IFERROR(__xludf.DUMMYFUNCTION("iferror(stdevp(filter($J$2:$J2568,$B$2:$B2568=$B1471,$O$2:$O2568&lt;=$O1471,$O$2:$O2568&gt;$O1471-7)),0)"),0.816496580927726)</f>
        <v>0.81649658092772603</v>
      </c>
      <c r="AR1468" s="77">
        <f t="shared" ca="1" si="262"/>
        <v>1.2247448713915889</v>
      </c>
      <c r="AS1468" s="77">
        <f t="shared" ca="1" si="263"/>
        <v>4</v>
      </c>
      <c r="AT1468" s="78">
        <f t="shared" ca="1" si="264"/>
        <v>0.91666666666666663</v>
      </c>
    </row>
    <row r="1469" spans="1:46" ht="12.5" x14ac:dyDescent="0.25">
      <c r="A1469" s="75">
        <v>45005.60074253472</v>
      </c>
      <c r="B1469" s="1" t="s">
        <v>13</v>
      </c>
      <c r="C1469" s="1" t="str">
        <f>INDEX(TBL_Name,MATCH(Table2[[#This Row],[Athlete Name]],listNames,0),2)</f>
        <v>Athlete 7</v>
      </c>
      <c r="D1469" s="1" t="s">
        <v>130</v>
      </c>
      <c r="E1469" s="1">
        <v>10</v>
      </c>
      <c r="F1469" s="1">
        <v>8</v>
      </c>
      <c r="G1469" s="1">
        <v>8</v>
      </c>
      <c r="H1469" s="1" t="s">
        <v>226</v>
      </c>
      <c r="I1469" s="1">
        <v>7</v>
      </c>
      <c r="J1469" s="1">
        <v>10</v>
      </c>
      <c r="K1469" s="1">
        <v>10</v>
      </c>
      <c r="L1469" s="1">
        <v>70</v>
      </c>
      <c r="M1469" s="1" t="e">
        <f t="shared" ref="M1469" ca="1" si="475">_xludf.concat($B1469,$P1469)</f>
        <v>#NAME?</v>
      </c>
      <c r="N1469" s="1" t="e">
        <f t="shared" si="248"/>
        <v>#VALUE!</v>
      </c>
      <c r="O1469" s="1" t="e">
        <f t="shared" ref="O1469" ca="1" si="476">IF($N1469=_xludf.MINIFS($N$2:$N2975,$R$2:$R2975,$R1469),1,
($N1469-_xludf.MINIFS($N$2:$N2975,$R$2:$R2975,$R1469))+1)</f>
        <v>#VALUE!</v>
      </c>
      <c r="P1469" s="13" t="e">
        <f t="shared" si="250"/>
        <v>#VALUE!</v>
      </c>
      <c r="Q1469" s="1" t="str">
        <f>RIGHT(YEAR($A1469),2)-(MONTH($A1469)&lt;=[3]Roster!$K$25)
 &amp;"-"&amp;
 RIGHT(YEAR($A1469),2)+(MONTH($A1469)&gt;=[3]Roster!$K$26)</f>
        <v>22-23</v>
      </c>
      <c r="R1469" s="1" t="e">
        <f>CHOOSE(MONTH($P1469),[3]Roster!$K$9,[3]Roster!$K$10,[3]Roster!$K$11,[3]Roster!$K$12,[3]Roster!$K$13,[3]Roster!$K$14,[3]Roster!$K$15,[3]Roster!$K$16,[3]Roster!$K$17,[3]Roster!$K$18,[3]Roster!$K$19,[3]Roster!$K$20)&amp;" "&amp;$Q1469</f>
        <v>#VALUE!</v>
      </c>
      <c r="S1469" s="1">
        <f t="shared" si="251"/>
        <v>1</v>
      </c>
      <c r="T1469" s="1" t="str">
        <f t="array" ref="T1469">IFERROR(INDEX([3]Roster!$D$3:$D$42,MATCH($B1469,[3]Roster!$C$3:$C$42,0)),"")</f>
        <v>MID/D</v>
      </c>
      <c r="U1469" s="1" t="str">
        <f t="array" ref="U1469">IFERROR(INDEX([3]Roster!$E$3:$E$42,MATCH($B1469,[3]Roster!$C$3:$C$42,0)),"")</f>
        <v>MID/D</v>
      </c>
      <c r="V1469" s="76">
        <f t="array" ref="V1469">AVERAGEIFS($E$2:$E2565,$B$2:$B2565,$B1469,$P$2:$P2565,"&lt;="&amp;$P1469,$P$2:$P2565,"&gt;"&amp;$P1469-7)</f>
        <v>7.6857142857142859</v>
      </c>
      <c r="W1469" s="76">
        <f ca="1">IFERROR(__xludf.DUMMYFUNCTION("iferror(stdevp(filter($D$2:$D2568,$B$2:$B2568=$B1472,$O$2:$O2568&lt;=$O1472,$O$2:$O2568&gt;$O1472-7)),0)"),0.989743318610787)</f>
        <v>0.98974331861078702</v>
      </c>
      <c r="X1469" s="77">
        <f t="shared" ca="1" si="252"/>
        <v>2.3382685902179841</v>
      </c>
      <c r="Y1469" s="77">
        <f t="shared" ca="1" si="253"/>
        <v>4</v>
      </c>
      <c r="Z1469" s="76">
        <f t="array" ref="Z1469">AVERAGEIFS($F$2:$F2565,$B$2:$B2565,$B1469,$P$2:$P2565,"&lt;="&amp;$P1469,$P$2:$P2565,"&gt;"&amp;$P1469-7)</f>
        <v>7.0857142857142854</v>
      </c>
      <c r="AA1469" s="76">
        <f ca="1">IFERROR(__xludf.DUMMYFUNCTION("iferror(stdevp(filter($E$2:$E2568,$B$2:$B2568=$B1472,$O$2:$O2568&lt;=$O1472,$O$2:$O2568&gt;$O1472-7)),0)"),0.755928946018454)</f>
        <v>0.75592894601845395</v>
      </c>
      <c r="AB1469" s="77">
        <f t="shared" ca="1" si="254"/>
        <v>1.2094863136295284</v>
      </c>
      <c r="AC1469" s="77">
        <f t="shared" ca="1" si="255"/>
        <v>4</v>
      </c>
      <c r="AD1469" s="76">
        <f t="array" ref="AD1469">AVERAGEIFS($G$2:$G2565,$B$2:$B2565,$B1469,$P$2:$P2565,"&lt;="&amp;$P1469,$P$2:$P2565,"&gt;"&amp;$P1469-7)</f>
        <v>7.1428571428571432</v>
      </c>
      <c r="AE1469" s="76">
        <f ca="1">IFERROR(__xludf.DUMMYFUNCTION("iferror(stdevp(filter($F$2:$F2568,$B$2:$B2568=$B1472,$O$2:$O2568&lt;=$O1472,$O$2:$O2568&gt;$O1472-7)),0)"),0.699854212223765)</f>
        <v>0.69985421222376498</v>
      </c>
      <c r="AF1469" s="77">
        <f t="shared" ca="1" si="256"/>
        <v>1.2247448713915889</v>
      </c>
      <c r="AG1469" s="77">
        <f t="shared" ca="1" si="257"/>
        <v>4</v>
      </c>
      <c r="AH1469" s="76">
        <f t="array" ref="AH1469">AVERAGEIFS($I$2:$I2565,$B$2:$B2565,$B1469,$P$2:$P2565,"&lt;="&amp;$P1469,$P$2:$P2565,"&gt;"&amp;$P1469-7)</f>
        <v>7.0285714285714285</v>
      </c>
      <c r="AI1469" s="76">
        <f ca="1">IFERROR(__xludf.DUMMYFUNCTION("iferror(stdevp(filter($H$2:$H2568,$B$2:$B2568=$B1472,$O$2:$O2568&lt;=$O1472,$O$2:$O2568&gt;$O1472-7)),0)"),0.989743318610786)</f>
        <v>0.98974331861078602</v>
      </c>
      <c r="AJ1469" s="77">
        <f t="shared" ca="1" si="258"/>
        <v>-2.8867513459481214E-2</v>
      </c>
      <c r="AK1469" s="77">
        <f t="shared" ca="1" si="259"/>
        <v>2</v>
      </c>
      <c r="AL1469" s="76">
        <f t="array" ref="AL1469">AVERAGEIFS($J$2:$J2565,$B$2:$B2565,$B1469,$P$2:$P2565,"&lt;="&amp;$P1469,$P$2:$P2565,"&gt;"&amp;$P1469-7)</f>
        <v>9.742857142857142</v>
      </c>
      <c r="AM1469" s="76">
        <f ca="1">IFERROR(__xludf.DUMMYFUNCTION("iferror(stdevp(filter($I$2:$I2568,$B$2:$B2568=$B1472,$O$2:$O2568&lt;=$O1472,$O$2:$O2568&gt;$O1472-7)),0)"),0)</f>
        <v>0</v>
      </c>
      <c r="AN1469" s="77">
        <f t="shared" ca="1" si="260"/>
        <v>0</v>
      </c>
      <c r="AO1469" s="77">
        <f t="shared" ca="1" si="261"/>
        <v>3</v>
      </c>
      <c r="AP1469" s="76">
        <f t="array" ref="AP1469">AVERAGEIFS($K$2:$K2565,$B$2:$B2565,$B1469,$P$2:$P2565,"&lt;="&amp;$P1469,$P$2:$P2565,"&gt;"&amp;$P1469-7)</f>
        <v>9.4285714285714288</v>
      </c>
      <c r="AQ1469" s="76">
        <f ca="1">IFERROR(__xludf.DUMMYFUNCTION("iferror(stdevp(filter($J$2:$J2568,$B$2:$B2568=$B1472,$O$2:$O2568&lt;=$O1472,$O$2:$O2568&gt;$O1472-7)),0)"),0.699854212223765)</f>
        <v>0.69985421222376498</v>
      </c>
      <c r="AR1469" s="77">
        <f t="shared" ca="1" si="262"/>
        <v>0.81649658092772592</v>
      </c>
      <c r="AS1469" s="77">
        <f t="shared" ca="1" si="263"/>
        <v>3</v>
      </c>
      <c r="AT1469" s="78">
        <f t="shared" ca="1" si="264"/>
        <v>0.83333333333333337</v>
      </c>
    </row>
    <row r="1470" spans="1:46" ht="12.5" x14ac:dyDescent="0.25">
      <c r="A1470" s="75">
        <v>45005.601835173613</v>
      </c>
      <c r="B1470" s="1" t="s">
        <v>20</v>
      </c>
      <c r="C1470" s="1" t="str">
        <f>INDEX(TBL_Name,MATCH(Table2[[#This Row],[Athlete Name]],listNames,0),2)</f>
        <v>Athlete 12</v>
      </c>
      <c r="D1470" s="1" t="s">
        <v>130</v>
      </c>
      <c r="E1470" s="1">
        <v>8</v>
      </c>
      <c r="F1470" s="1">
        <v>9</v>
      </c>
      <c r="G1470" s="1">
        <v>9</v>
      </c>
      <c r="H1470" s="1" t="s">
        <v>1630</v>
      </c>
      <c r="I1470" s="1">
        <v>5</v>
      </c>
      <c r="J1470" s="1">
        <v>8</v>
      </c>
      <c r="K1470" s="1">
        <v>6</v>
      </c>
      <c r="L1470" s="1">
        <v>75</v>
      </c>
      <c r="M1470" s="1" t="e">
        <f t="shared" ref="M1470" ca="1" si="477">_xludf.concat($B1470,$P1470)</f>
        <v>#NAME?</v>
      </c>
      <c r="N1470" s="1" t="e">
        <f t="shared" si="248"/>
        <v>#VALUE!</v>
      </c>
      <c r="O1470" s="1" t="e">
        <f t="shared" ref="O1470" ca="1" si="478">IF($N1470=_xludf.MINIFS($N$2:$N2976,$R$2:$R2976,$R1470),1,
($N1470-_xludf.MINIFS($N$2:$N2976,$R$2:$R2976,$R1470))+1)</f>
        <v>#VALUE!</v>
      </c>
      <c r="P1470" s="13" t="e">
        <f t="shared" si="250"/>
        <v>#VALUE!</v>
      </c>
      <c r="Q1470" s="1" t="str">
        <f>RIGHT(YEAR($A1470),2)-(MONTH($A1470)&lt;=[3]Roster!$K$25)
 &amp;"-"&amp;
 RIGHT(YEAR($A1470),2)+(MONTH($A1470)&gt;=[3]Roster!$K$26)</f>
        <v>22-23</v>
      </c>
      <c r="R1470" s="1" t="e">
        <f>CHOOSE(MONTH($P1470),[3]Roster!$K$9,[3]Roster!$K$10,[3]Roster!$K$11,[3]Roster!$K$12,[3]Roster!$K$13,[3]Roster!$K$14,[3]Roster!$K$15,[3]Roster!$K$16,[3]Roster!$K$17,[3]Roster!$K$18,[3]Roster!$K$19,[3]Roster!$K$20)&amp;" "&amp;$Q1470</f>
        <v>#VALUE!</v>
      </c>
      <c r="S1470" s="1">
        <f t="shared" si="251"/>
        <v>1</v>
      </c>
      <c r="T1470" s="1" t="str">
        <f t="array" ref="T1470">IFERROR(INDEX([3]Roster!$D$3:$D$42,MATCH($B1470,[3]Roster!$C$3:$C$42,0)),"")</f>
        <v>D</v>
      </c>
      <c r="U1470" s="1" t="str">
        <f t="array" ref="U1470">IFERROR(INDEX([3]Roster!$E$3:$E$42,MATCH($B1470,[3]Roster!$C$3:$C$42,0)),"")</f>
        <v>D</v>
      </c>
      <c r="V1470" s="76">
        <f t="array" ref="V1470">AVERAGEIFS($E$2:$E2565,$B$2:$B2565,$B1470,$P$2:$P2565,"&lt;="&amp;$P1470,$P$2:$P2565,"&gt;"&amp;$P1470-7)</f>
        <v>7.4761904761904763</v>
      </c>
      <c r="W1470" s="76">
        <f ca="1">IFERROR(__xludf.DUMMYFUNCTION("iferror(stdevp(filter($D$2:$D2568,$B$2:$B2568=$B1473,$O$2:$O2568&lt;=$O1473,$O$2:$O2568&gt;$O1473-7)),0)"),0)</f>
        <v>0</v>
      </c>
      <c r="X1470" s="77">
        <f t="shared" ca="1" si="252"/>
        <v>0</v>
      </c>
      <c r="Y1470" s="77">
        <f t="shared" ca="1" si="253"/>
        <v>3</v>
      </c>
      <c r="Z1470" s="76">
        <f t="array" ref="Z1470">AVERAGEIFS($F$2:$F2565,$B$2:$B2565,$B1470,$P$2:$P2565,"&lt;="&amp;$P1470,$P$2:$P2565,"&gt;"&amp;$P1470-7)</f>
        <v>8.1904761904761898</v>
      </c>
      <c r="AA1470" s="76">
        <f ca="1">IFERROR(__xludf.DUMMYFUNCTION("iferror(stdevp(filter($E$2:$E2568,$B$2:$B2568=$B1473,$O$2:$O2568&lt;=$O1473,$O$2:$O2568&gt;$O1473-7)),0)"),1.08972473588516)</f>
        <v>1.0897247358851601</v>
      </c>
      <c r="AB1470" s="77">
        <f t="shared" ca="1" si="254"/>
        <v>0.74286999539039678</v>
      </c>
      <c r="AC1470" s="77">
        <f t="shared" ca="1" si="255"/>
        <v>3</v>
      </c>
      <c r="AD1470" s="76">
        <f t="array" ref="AD1470">AVERAGEIFS($G$2:$G2565,$B$2:$B2565,$B1470,$P$2:$P2565,"&lt;="&amp;$P1470,$P$2:$P2565,"&gt;"&amp;$P1470-7)</f>
        <v>8.5714285714285712</v>
      </c>
      <c r="AE1470" s="76">
        <f ca="1">IFERROR(__xludf.DUMMYFUNCTION("iferror(stdevp(filter($F$2:$F2568,$B$2:$B2568=$B1473,$O$2:$O2568&lt;=$O1473,$O$2:$O2568&gt;$O1473-7)),0)"),0.866025403784438)</f>
        <v>0.86602540378443804</v>
      </c>
      <c r="AF1470" s="77">
        <f t="shared" ca="1" si="256"/>
        <v>0.49487165930539417</v>
      </c>
      <c r="AG1470" s="77">
        <f t="shared" ca="1" si="257"/>
        <v>3</v>
      </c>
      <c r="AH1470" s="76">
        <f t="array" ref="AH1470">AVERAGEIFS($I$2:$I2565,$B$2:$B2565,$B1470,$P$2:$P2565,"&lt;="&amp;$P1470,$P$2:$P2565,"&gt;"&amp;$P1470-7)</f>
        <v>5.6190476190476186</v>
      </c>
      <c r="AI1470" s="76">
        <f ca="1">IFERROR(__xludf.DUMMYFUNCTION("iferror(stdevp(filter($H$2:$H2568,$B$2:$B2568=$B1473,$O$2:$O2568&lt;=$O1473,$O$2:$O2568&gt;$O1473-7)),0)"),1.08972473588516)</f>
        <v>1.0897247358851601</v>
      </c>
      <c r="AJ1470" s="77">
        <f t="shared" ca="1" si="258"/>
        <v>-0.5680770552985378</v>
      </c>
      <c r="AK1470" s="77">
        <f t="shared" ca="1" si="259"/>
        <v>2</v>
      </c>
      <c r="AL1470" s="76">
        <f t="array" ref="AL1470">AVERAGEIFS($J$2:$J2565,$B$2:$B2565,$B1470,$P$2:$P2565,"&lt;="&amp;$P1470,$P$2:$P2565,"&gt;"&amp;$P1470-7)</f>
        <v>7</v>
      </c>
      <c r="AM1470" s="76">
        <f ca="1">IFERROR(__xludf.DUMMYFUNCTION("iferror(stdevp(filter($I$2:$I2568,$B$2:$B2568=$B1473,$O$2:$O2568&lt;=$O1473,$O$2:$O2568&gt;$O1473-7)),0)"),0.433012701892219)</f>
        <v>0.43301270189221902</v>
      </c>
      <c r="AN1470" s="77">
        <f t="shared" ca="1" si="260"/>
        <v>2.3094010767585047</v>
      </c>
      <c r="AO1470" s="77">
        <f t="shared" ca="1" si="261"/>
        <v>4</v>
      </c>
      <c r="AP1470" s="76">
        <f t="array" ref="AP1470">AVERAGEIFS($K$2:$K2565,$B$2:$B2565,$B1470,$P$2:$P2565,"&lt;="&amp;$P1470,$P$2:$P2565,"&gt;"&amp;$P1470-7)</f>
        <v>7.4285714285714288</v>
      </c>
      <c r="AQ1470" s="76">
        <f ca="1">IFERROR(__xludf.DUMMYFUNCTION("iferror(stdevp(filter($J$2:$J2568,$B$2:$B2568=$B1473,$O$2:$O2568&lt;=$O1473,$O$2:$O2568&gt;$O1473-7)),0)"),1.22474487139158)</f>
        <v>1.2247448713915801</v>
      </c>
      <c r="AR1470" s="77">
        <f t="shared" ca="1" si="262"/>
        <v>-1.1664236870396174</v>
      </c>
      <c r="AS1470" s="77">
        <f t="shared" ca="1" si="263"/>
        <v>1</v>
      </c>
      <c r="AT1470" s="78">
        <f t="shared" ca="1" si="264"/>
        <v>0.66666666666666663</v>
      </c>
    </row>
    <row r="1471" spans="1:46" ht="12.5" x14ac:dyDescent="0.25">
      <c r="A1471" s="75">
        <v>45006.421093414348</v>
      </c>
      <c r="B1471" s="1" t="s">
        <v>10</v>
      </c>
      <c r="C1471" s="1" t="str">
        <f>INDEX(TBL_Name,MATCH(Table2[[#This Row],[Athlete Name]],listNames,0),2)</f>
        <v>Athlete 5</v>
      </c>
      <c r="D1471" s="1" t="s">
        <v>130</v>
      </c>
      <c r="E1471" s="1">
        <v>9</v>
      </c>
      <c r="F1471" s="1">
        <v>7</v>
      </c>
      <c r="G1471" s="1">
        <v>7</v>
      </c>
      <c r="H1471" s="1" t="s">
        <v>226</v>
      </c>
      <c r="I1471" s="1">
        <v>9</v>
      </c>
      <c r="J1471" s="1">
        <v>9</v>
      </c>
      <c r="K1471" s="1">
        <v>4</v>
      </c>
      <c r="L1471" s="1">
        <v>62</v>
      </c>
      <c r="M1471" s="1" t="e">
        <f t="shared" ref="M1471" ca="1" si="479">_xludf.concat($B1471,$P1471)</f>
        <v>#NAME?</v>
      </c>
      <c r="N1471" s="1" t="e">
        <f t="shared" si="248"/>
        <v>#VALUE!</v>
      </c>
      <c r="O1471" s="1" t="e">
        <f t="shared" ref="O1471" ca="1" si="480">IF($N1471=_xludf.MINIFS($N$2:$N2977,$R$2:$R2977,$R1471),1,
($N1471-_xludf.MINIFS($N$2:$N2977,$R$2:$R2977,$R1471))+1)</f>
        <v>#VALUE!</v>
      </c>
      <c r="P1471" s="13" t="e">
        <f t="shared" si="250"/>
        <v>#VALUE!</v>
      </c>
      <c r="Q1471" s="1" t="str">
        <f>RIGHT(YEAR($A1471),2)-(MONTH($A1471)&lt;=[3]Roster!$K$25)
 &amp;"-"&amp;
 RIGHT(YEAR($A1471),2)+(MONTH($A1471)&gt;=[3]Roster!$K$26)</f>
        <v>22-23</v>
      </c>
      <c r="R1471" s="1" t="e">
        <f>CHOOSE(MONTH($P1471),[3]Roster!$K$9,[3]Roster!$K$10,[3]Roster!$K$11,[3]Roster!$K$12,[3]Roster!$K$13,[3]Roster!$K$14,[3]Roster!$K$15,[3]Roster!$K$16,[3]Roster!$K$17,[3]Roster!$K$18,[3]Roster!$K$19,[3]Roster!$K$20)&amp;" "&amp;$Q1471</f>
        <v>#VALUE!</v>
      </c>
      <c r="S1471" s="1">
        <f t="shared" si="251"/>
        <v>1</v>
      </c>
      <c r="T1471" s="1" t="str">
        <f t="array" ref="T1471">IFERROR(INDEX([3]Roster!$D$3:$D$42,MATCH($B1471,[3]Roster!$C$3:$C$42,0)),"")</f>
        <v>MID</v>
      </c>
      <c r="U1471" s="1" t="str">
        <f t="array" ref="U1471">IFERROR(INDEX([3]Roster!$E$3:$E$42,MATCH($B1471,[3]Roster!$C$3:$C$42,0)),"")</f>
        <v>MID</v>
      </c>
      <c r="V1471" s="76">
        <f t="array" ref="V1471">AVERAGEIFS($E$2:$E2565,$B$2:$B2565,$B1471,$P$2:$P2565,"&lt;="&amp;$P1471,$P$2:$P2565,"&gt;"&amp;$P1471-7)</f>
        <v>8.4042553191489358</v>
      </c>
      <c r="W1471" s="76">
        <f ca="1">IFERROR(__xludf.DUMMYFUNCTION("iferror(stdevp(filter($D$2:$D2568,$B$2:$B2568=$B1474,$O$2:$O2568&lt;=$O1474,$O$2:$O2568&gt;$O1474-7)),0)"),0.399999999999999)</f>
        <v>0.39999999999999902</v>
      </c>
      <c r="X1471" s="77">
        <f t="shared" ca="1" si="252"/>
        <v>1.4893617021276642</v>
      </c>
      <c r="Y1471" s="77">
        <f t="shared" ca="1" si="253"/>
        <v>4</v>
      </c>
      <c r="Z1471" s="76">
        <f t="array" ref="Z1471">AVERAGEIFS($F$2:$F2565,$B$2:$B2565,$B1471,$P$2:$P2565,"&lt;="&amp;$P1471,$P$2:$P2565,"&gt;"&amp;$P1471-7)</f>
        <v>8.085106382978724</v>
      </c>
      <c r="AA1471" s="76">
        <f ca="1">IFERROR(__xludf.DUMMYFUNCTION("iferror(stdevp(filter($E$2:$E2568,$B$2:$B2568=$B1474,$O$2:$O2568&lt;=$O1474,$O$2:$O2568&gt;$O1474-7)),0)"),0.748331477354788)</f>
        <v>0.748331477354788</v>
      </c>
      <c r="AB1471" s="77">
        <f t="shared" ca="1" si="254"/>
        <v>-1.4500343976099634</v>
      </c>
      <c r="AC1471" s="77">
        <f t="shared" ca="1" si="255"/>
        <v>1</v>
      </c>
      <c r="AD1471" s="76">
        <f t="array" ref="AD1471">AVERAGEIFS($G$2:$G2565,$B$2:$B2565,$B1471,$P$2:$P2565,"&lt;="&amp;$P1471,$P$2:$P2565,"&gt;"&amp;$P1471-7)</f>
        <v>8.0638297872340434</v>
      </c>
      <c r="AE1471" s="76">
        <f ca="1">IFERROR(__xludf.DUMMYFUNCTION("iferror(stdevp(filter($F$2:$F2568,$B$2:$B2568=$B1474,$O$2:$O2568&lt;=$O1474,$O$2:$O2568&gt;$O1474-7)),0)"),0.632455532033675)</f>
        <v>0.63245553203367499</v>
      </c>
      <c r="AF1471" s="77">
        <f t="shared" ca="1" si="256"/>
        <v>-1.6820625851959501</v>
      </c>
      <c r="AG1471" s="77">
        <f t="shared" ca="1" si="257"/>
        <v>1</v>
      </c>
      <c r="AH1471" s="76">
        <f t="array" ref="AH1471">AVERAGEIFS($I$2:$I2565,$B$2:$B2565,$B1471,$P$2:$P2565,"&lt;="&amp;$P1471,$P$2:$P2565,"&gt;"&amp;$P1471-7)</f>
        <v>6.7446808510638299</v>
      </c>
      <c r="AI1471" s="76">
        <f ca="1">IFERROR(__xludf.DUMMYFUNCTION("iferror(stdevp(filter($H$2:$H2568,$B$2:$B2568=$B1474,$O$2:$O2568&lt;=$O1474,$O$2:$O2568&gt;$O1474-7)),0)"),1.4696938456699)</f>
        <v>1.4696938456699</v>
      </c>
      <c r="AJ1471" s="77">
        <f t="shared" ca="1" si="258"/>
        <v>1.5345503116726837</v>
      </c>
      <c r="AK1471" s="77">
        <f t="shared" ca="1" si="259"/>
        <v>4</v>
      </c>
      <c r="AL1471" s="76">
        <f t="array" ref="AL1471">AVERAGEIFS($J$2:$J2565,$B$2:$B2565,$B1471,$P$2:$P2565,"&lt;="&amp;$P1471,$P$2:$P2565,"&gt;"&amp;$P1471-7)</f>
        <v>8.1063829787234045</v>
      </c>
      <c r="AM1471" s="76">
        <f ca="1">IFERROR(__xludf.DUMMYFUNCTION("iferror(stdevp(filter($I$2:$I2568,$B$2:$B2568=$B1474,$O$2:$O2568&lt;=$O1474,$O$2:$O2568&gt;$O1474-7)),0)"),0.4)</f>
        <v>0.4</v>
      </c>
      <c r="AN1471" s="77">
        <f t="shared" ca="1" si="260"/>
        <v>2.2340425531914887</v>
      </c>
      <c r="AO1471" s="77">
        <f t="shared" ca="1" si="261"/>
        <v>4</v>
      </c>
      <c r="AP1471" s="76">
        <f t="array" ref="AP1471">AVERAGEIFS($K$2:$K2565,$B$2:$B2565,$B1471,$P$2:$P2565,"&lt;="&amp;$P1471,$P$2:$P2565,"&gt;"&amp;$P1471-7)</f>
        <v>8.2978723404255312</v>
      </c>
      <c r="AQ1471" s="76">
        <f ca="1">IFERROR(__xludf.DUMMYFUNCTION("iferror(stdevp(filter($J$2:$J2568,$B$2:$B2568=$B1474,$O$2:$O2568&lt;=$O1474,$O$2:$O2568&gt;$O1474-7)),0)"),1.93907194296653)</f>
        <v>1.93907194296653</v>
      </c>
      <c r="AR1471" s="77">
        <f t="shared" ca="1" si="262"/>
        <v>-2.216458422811451</v>
      </c>
      <c r="AS1471" s="77">
        <f t="shared" ca="1" si="263"/>
        <v>1</v>
      </c>
      <c r="AT1471" s="78">
        <f t="shared" ca="1" si="264"/>
        <v>0.625</v>
      </c>
    </row>
    <row r="1472" spans="1:46" ht="12.5" x14ac:dyDescent="0.25">
      <c r="A1472" s="75">
        <v>45006.428220023146</v>
      </c>
      <c r="B1472" s="1" t="s">
        <v>24</v>
      </c>
      <c r="C1472" s="1" t="str">
        <f>INDEX(TBL_Name,MATCH(Table2[[#This Row],[Athlete Name]],listNames,0),2)</f>
        <v>Athlete 16</v>
      </c>
      <c r="D1472" s="1" t="s">
        <v>130</v>
      </c>
      <c r="E1472" s="1">
        <v>3</v>
      </c>
      <c r="F1472" s="1">
        <v>6</v>
      </c>
      <c r="G1472" s="1">
        <v>7</v>
      </c>
      <c r="H1472" s="1" t="s">
        <v>1631</v>
      </c>
      <c r="I1472" s="1">
        <v>6</v>
      </c>
      <c r="J1472" s="1">
        <v>10</v>
      </c>
      <c r="K1472" s="1">
        <v>9</v>
      </c>
      <c r="L1472" s="1">
        <v>85</v>
      </c>
      <c r="M1472" s="1" t="e">
        <f t="shared" ref="M1472" ca="1" si="481">_xludf.concat($B1472,$P1472)</f>
        <v>#NAME?</v>
      </c>
      <c r="N1472" s="1" t="e">
        <f t="shared" si="248"/>
        <v>#VALUE!</v>
      </c>
      <c r="O1472" s="1" t="e">
        <f t="shared" ref="O1472" ca="1" si="482">IF($N1472=_xludf.MINIFS($N$2:$N2978,$R$2:$R2978,$R1472),1,
($N1472-_xludf.MINIFS($N$2:$N2978,$R$2:$R2978,$R1472))+1)</f>
        <v>#VALUE!</v>
      </c>
      <c r="P1472" s="13" t="e">
        <f t="shared" si="250"/>
        <v>#VALUE!</v>
      </c>
      <c r="Q1472" s="1" t="str">
        <f>RIGHT(YEAR($A1472),2)-(MONTH($A1472)&lt;=[3]Roster!$K$25)
 &amp;"-"&amp;
 RIGHT(YEAR($A1472),2)+(MONTH($A1472)&gt;=[3]Roster!$K$26)</f>
        <v>22-23</v>
      </c>
      <c r="R1472" s="1" t="e">
        <f>CHOOSE(MONTH($P1472),[3]Roster!$K$9,[3]Roster!$K$10,[3]Roster!$K$11,[3]Roster!$K$12,[3]Roster!$K$13,[3]Roster!$K$14,[3]Roster!$K$15,[3]Roster!$K$16,[3]Roster!$K$17,[3]Roster!$K$18,[3]Roster!$K$19,[3]Roster!$K$20)&amp;" "&amp;$Q1472</f>
        <v>#VALUE!</v>
      </c>
      <c r="S1472" s="1">
        <f t="shared" si="251"/>
        <v>1</v>
      </c>
      <c r="T1472" s="1" t="str">
        <f t="array" ref="T1472">IFERROR(INDEX([3]Roster!$D$3:$D$42,MATCH($B1472,[3]Roster!$C$3:$C$42,0)),"")</f>
        <v>D</v>
      </c>
      <c r="U1472" s="1" t="str">
        <f t="array" ref="U1472">IFERROR(INDEX([3]Roster!$E$3:$E$42,MATCH($B1472,[3]Roster!$C$3:$C$42,0)),"")</f>
        <v>D</v>
      </c>
      <c r="V1472" s="76">
        <f t="array" ref="V1472">AVERAGEIFS($E$2:$E2565,$B$2:$B2565,$B1472,$P$2:$P2565,"&lt;="&amp;$P1472,$P$2:$P2565,"&gt;"&amp;$P1472-7)</f>
        <v>4.1818181818181817</v>
      </c>
      <c r="W1472" s="76">
        <f ca="1">IFERROR(__xludf.DUMMYFUNCTION("iferror(stdevp(filter($D$2:$D2568,$B$2:$B2568=$B1475,$O$2:$O2568&lt;=$O1475,$O$2:$O2568&gt;$O1475-7)),0)"),1.09544511501033)</f>
        <v>1.0954451150103299</v>
      </c>
      <c r="X1472" s="77">
        <f t="shared" ca="1" si="252"/>
        <v>-1.078847461752602</v>
      </c>
      <c r="Y1472" s="77">
        <f t="shared" ca="1" si="253"/>
        <v>1</v>
      </c>
      <c r="Z1472" s="76">
        <f t="array" ref="Z1472">AVERAGEIFS($F$2:$F2565,$B$2:$B2565,$B1472,$P$2:$P2565,"&lt;="&amp;$P1472,$P$2:$P2565,"&gt;"&amp;$P1472-7)</f>
        <v>6</v>
      </c>
      <c r="AA1472" s="76">
        <f ca="1">IFERROR(__xludf.DUMMYFUNCTION("iferror(stdevp(filter($E$2:$E2568,$B$2:$B2568=$B1475,$O$2:$O2568&lt;=$O1475,$O$2:$O2568&gt;$O1475-7)),0)"),0.979795897113271)</f>
        <v>0.97979589711327097</v>
      </c>
      <c r="AB1472" s="77">
        <f t="shared" ca="1" si="254"/>
        <v>0</v>
      </c>
      <c r="AC1472" s="77">
        <f t="shared" ca="1" si="255"/>
        <v>3</v>
      </c>
      <c r="AD1472" s="76">
        <f t="array" ref="AD1472">AVERAGEIFS($G$2:$G2565,$B$2:$B2565,$B1472,$P$2:$P2565,"&lt;="&amp;$P1472,$P$2:$P2565,"&gt;"&amp;$P1472-7)</f>
        <v>5.9090909090909092</v>
      </c>
      <c r="AE1472" s="76">
        <f ca="1">IFERROR(__xludf.DUMMYFUNCTION("iferror(stdevp(filter($F$2:$F2568,$B$2:$B2568=$B1475,$O$2:$O2568&lt;=$O1475,$O$2:$O2568&gt;$O1475-7)),0)"),0.748331477354788)</f>
        <v>0.748331477354788</v>
      </c>
      <c r="AF1472" s="77">
        <f t="shared" ca="1" si="256"/>
        <v>1.4577885922495879</v>
      </c>
      <c r="AG1472" s="77">
        <f t="shared" ca="1" si="257"/>
        <v>4</v>
      </c>
      <c r="AH1472" s="76">
        <f t="array" ref="AH1472">AVERAGEIFS($I$2:$I2565,$B$2:$B2565,$B1472,$P$2:$P2565,"&lt;="&amp;$P1472,$P$2:$P2565,"&gt;"&amp;$P1472-7)</f>
        <v>4.9545454545454541</v>
      </c>
      <c r="AI1472" s="76">
        <f ca="1">IFERROR(__xludf.DUMMYFUNCTION("iferror(stdevp(filter($H$2:$H2568,$B$2:$B2568=$B1475,$O$2:$O2568&lt;=$O1475,$O$2:$O2568&gt;$O1475-7)),0)"),1.41421356237309)</f>
        <v>1.41421356237309</v>
      </c>
      <c r="AJ1472" s="77">
        <f t="shared" ca="1" si="258"/>
        <v>0.73924799851321166</v>
      </c>
      <c r="AK1472" s="77">
        <f t="shared" ca="1" si="259"/>
        <v>3</v>
      </c>
      <c r="AL1472" s="76">
        <f t="array" ref="AL1472">AVERAGEIFS($J$2:$J2565,$B$2:$B2565,$B1472,$P$2:$P2565,"&lt;="&amp;$P1472,$P$2:$P2565,"&gt;"&amp;$P1472-7)</f>
        <v>6.9090909090909092</v>
      </c>
      <c r="AM1472" s="76">
        <f ca="1">IFERROR(__xludf.DUMMYFUNCTION("iferror(stdevp(filter($I$2:$I2568,$B$2:$B2568=$B1475,$O$2:$O2568&lt;=$O1475,$O$2:$O2568&gt;$O1475-7)),0)"),2.33238075793812)</f>
        <v>2.3323807579381199</v>
      </c>
      <c r="AN1472" s="77">
        <f t="shared" ca="1" si="260"/>
        <v>1.3252163397375685</v>
      </c>
      <c r="AO1472" s="77">
        <f t="shared" ca="1" si="261"/>
        <v>4</v>
      </c>
      <c r="AP1472" s="76">
        <f t="array" ref="AP1472">AVERAGEIFS($K$2:$K2565,$B$2:$B2565,$B1472,$P$2:$P2565,"&lt;="&amp;$P1472,$P$2:$P2565,"&gt;"&amp;$P1472-7)</f>
        <v>6.7272727272727275</v>
      </c>
      <c r="AQ1472" s="76">
        <f ca="1">IFERROR(__xludf.DUMMYFUNCTION("iferror(stdevp(filter($J$2:$J2568,$B$2:$B2568=$B1475,$O$2:$O2568&lt;=$O1475,$O$2:$O2568&gt;$O1475-7)),0)"),1.49666295470957)</f>
        <v>1.49666295470957</v>
      </c>
      <c r="AR1472" s="77">
        <f t="shared" ca="1" si="262"/>
        <v>1.5185297835933269</v>
      </c>
      <c r="AS1472" s="77">
        <f t="shared" ca="1" si="263"/>
        <v>4</v>
      </c>
      <c r="AT1472" s="78">
        <f t="shared" ca="1" si="264"/>
        <v>0.79166666666666663</v>
      </c>
    </row>
    <row r="1473" spans="1:46" ht="12.5" x14ac:dyDescent="0.25">
      <c r="A1473" s="75">
        <v>45006.442939108798</v>
      </c>
      <c r="B1473" s="1" t="s">
        <v>17</v>
      </c>
      <c r="C1473" s="1" t="str">
        <f>INDEX(TBL_Name,MATCH(Table2[[#This Row],[Athlete Name]],listNames,0),2)</f>
        <v>Athlete 10</v>
      </c>
      <c r="D1473" s="1" t="s">
        <v>130</v>
      </c>
      <c r="E1473" s="1">
        <v>4</v>
      </c>
      <c r="F1473" s="1">
        <v>7</v>
      </c>
      <c r="G1473" s="1">
        <v>8</v>
      </c>
      <c r="H1473" s="1" t="s">
        <v>71</v>
      </c>
      <c r="I1473" s="1">
        <v>6</v>
      </c>
      <c r="J1473" s="1">
        <v>5</v>
      </c>
      <c r="K1473" s="1">
        <v>7</v>
      </c>
      <c r="L1473" s="1">
        <v>74</v>
      </c>
      <c r="M1473" s="1" t="e">
        <f t="shared" ref="M1473" ca="1" si="483">_xludf.concat($B1473,$P1473)</f>
        <v>#NAME?</v>
      </c>
      <c r="N1473" s="1" t="e">
        <f t="shared" si="248"/>
        <v>#VALUE!</v>
      </c>
      <c r="O1473" s="1" t="e">
        <f t="shared" ref="O1473" ca="1" si="484">IF($N1473=_xludf.MINIFS($N$2:$N2979,$R$2:$R2979,$R1473),1,
($N1473-_xludf.MINIFS($N$2:$N2979,$R$2:$R2979,$R1473))+1)</f>
        <v>#VALUE!</v>
      </c>
      <c r="P1473" s="13" t="e">
        <f t="shared" si="250"/>
        <v>#VALUE!</v>
      </c>
      <c r="Q1473" s="1" t="str">
        <f>RIGHT(YEAR($A1473),2)-(MONTH($A1473)&lt;=[3]Roster!$K$25)
 &amp;"-"&amp;
 RIGHT(YEAR($A1473),2)+(MONTH($A1473)&gt;=[3]Roster!$K$26)</f>
        <v>22-23</v>
      </c>
      <c r="R1473" s="1" t="e">
        <f>CHOOSE(MONTH($P1473),[3]Roster!$K$9,[3]Roster!$K$10,[3]Roster!$K$11,[3]Roster!$K$12,[3]Roster!$K$13,[3]Roster!$K$14,[3]Roster!$K$15,[3]Roster!$K$16,[3]Roster!$K$17,[3]Roster!$K$18,[3]Roster!$K$19,[3]Roster!$K$20)&amp;" "&amp;$Q1473</f>
        <v>#VALUE!</v>
      </c>
      <c r="S1473" s="1">
        <f t="shared" si="251"/>
        <v>1</v>
      </c>
      <c r="T1473" s="1" t="str">
        <f t="array" ref="T1473">IFERROR(INDEX([3]Roster!$D$3:$D$42,MATCH($B1473,[3]Roster!$C$3:$C$42,0)),"")</f>
        <v>D</v>
      </c>
      <c r="U1473" s="1" t="str">
        <f t="array" ref="U1473">IFERROR(INDEX([3]Roster!$E$3:$E$42,MATCH($B1473,[3]Roster!$C$3:$C$42,0)),"")</f>
        <v>D</v>
      </c>
      <c r="V1473" s="76">
        <f t="array" ref="V1473">AVERAGEIFS($E$2:$E2565,$B$2:$B2565,$B1473,$P$2:$P2565,"&lt;="&amp;$P1473,$P$2:$P2565,"&gt;"&amp;$P1473-7)</f>
        <v>6.9024390243902438</v>
      </c>
      <c r="W1473" s="76">
        <f ca="1">IFERROR(__xludf.DUMMYFUNCTION("iferror(stdevp(filter($D$2:$D2568,$B$2:$B2568=$B1476,$O$2:$O2568&lt;=$O1476,$O$2:$O2568&gt;$O1476-7)),0)"),1.8405855323893)</f>
        <v>1.8405855323892999</v>
      </c>
      <c r="X1473" s="77">
        <f t="shared" ca="1" si="252"/>
        <v>-1.5769107022277478</v>
      </c>
      <c r="Y1473" s="77">
        <f t="shared" ca="1" si="253"/>
        <v>1</v>
      </c>
      <c r="Z1473" s="76">
        <f t="array" ref="Z1473">AVERAGEIFS($F$2:$F2565,$B$2:$B2565,$B1473,$P$2:$P2565,"&lt;="&amp;$P1473,$P$2:$P2565,"&gt;"&amp;$P1473-7)</f>
        <v>7.2926829268292686</v>
      </c>
      <c r="AA1473" s="76">
        <f ca="1">IFERROR(__xludf.DUMMYFUNCTION("iferror(stdevp(filter($E$2:$E2568,$B$2:$B2568=$B1476,$O$2:$O2568&lt;=$O1476,$O$2:$O2568&gt;$O1476-7)),0)"),1.8070158058105)</f>
        <v>1.8070158058104999</v>
      </c>
      <c r="AB1473" s="77">
        <f t="shared" ca="1" si="254"/>
        <v>-0.16197031917935639</v>
      </c>
      <c r="AC1473" s="77">
        <f t="shared" ca="1" si="255"/>
        <v>2</v>
      </c>
      <c r="AD1473" s="76">
        <f t="array" ref="AD1473">AVERAGEIFS($G$2:$G2565,$B$2:$B2565,$B1473,$P$2:$P2565,"&lt;="&amp;$P1473,$P$2:$P2565,"&gt;"&amp;$P1473-7)</f>
        <v>7.8048780487804876</v>
      </c>
      <c r="AE1473" s="76">
        <f ca="1">IFERROR(__xludf.DUMMYFUNCTION("iferror(stdevp(filter($F$2:$F2568,$B$2:$B2568=$B1476,$O$2:$O2568&lt;=$O1476,$O$2:$O2568&gt;$O1476-7)),0)"),1.55182578445717)</f>
        <v>1.5518257844571699</v>
      </c>
      <c r="AF1473" s="77">
        <f t="shared" ca="1" si="256"/>
        <v>0.12573702098123482</v>
      </c>
      <c r="AG1473" s="77">
        <f t="shared" ca="1" si="257"/>
        <v>3</v>
      </c>
      <c r="AH1473" s="76">
        <f t="array" ref="AH1473">AVERAGEIFS($I$2:$I2565,$B$2:$B2565,$B1473,$P$2:$P2565,"&lt;="&amp;$P1473,$P$2:$P2565,"&gt;"&amp;$P1473-7)</f>
        <v>6.3170731707317076</v>
      </c>
      <c r="AI1473" s="76">
        <f ca="1">IFERROR(__xludf.DUMMYFUNCTION("iferror(stdevp(filter($H$2:$H2568,$B$2:$B2568=$B1476,$O$2:$O2568&lt;=$O1476,$O$2:$O2568&gt;$O1476-7)),0)"),1.1780301787479)</f>
        <v>1.1780301787478999</v>
      </c>
      <c r="AJ1473" s="77">
        <f t="shared" ca="1" si="258"/>
        <v>-0.26915538875983386</v>
      </c>
      <c r="AK1473" s="77">
        <f t="shared" ca="1" si="259"/>
        <v>2</v>
      </c>
      <c r="AL1473" s="76">
        <f t="array" ref="AL1473">AVERAGEIFS($J$2:$J2565,$B$2:$B2565,$B1473,$P$2:$P2565,"&lt;="&amp;$P1473,$P$2:$P2565,"&gt;"&amp;$P1473-7)</f>
        <v>6.9024390243902438</v>
      </c>
      <c r="AM1473" s="76">
        <f ca="1">IFERROR(__xludf.DUMMYFUNCTION("iferror(stdevp(filter($I$2:$I2568,$B$2:$B2568=$B1476,$O$2:$O2568&lt;=$O1476,$O$2:$O2568&gt;$O1476-7)),0)"),1.16057691494799)</f>
        <v>1.1605769149479901</v>
      </c>
      <c r="AN1473" s="77">
        <f t="shared" ca="1" si="260"/>
        <v>-1.6392183920662418</v>
      </c>
      <c r="AO1473" s="77">
        <f t="shared" ca="1" si="261"/>
        <v>1</v>
      </c>
      <c r="AP1473" s="76">
        <f t="array" ref="AP1473">AVERAGEIFS($K$2:$K2565,$B$2:$B2565,$B1473,$P$2:$P2565,"&lt;="&amp;$P1473,$P$2:$P2565,"&gt;"&amp;$P1473-7)</f>
        <v>8</v>
      </c>
      <c r="AQ1473" s="76">
        <f ca="1">IFERROR(__xludf.DUMMYFUNCTION("iferror(stdevp(filter($J$2:$J2568,$B$2:$B2568=$B1476,$O$2:$O2568&lt;=$O1476,$O$2:$O2568&gt;$O1476-7)),0)"),1.12485826771597)</f>
        <v>1.12485826771597</v>
      </c>
      <c r="AR1473" s="77">
        <f t="shared" ca="1" si="262"/>
        <v>-0.88900088900133589</v>
      </c>
      <c r="AS1473" s="77">
        <f t="shared" ca="1" si="263"/>
        <v>2</v>
      </c>
      <c r="AT1473" s="78">
        <f t="shared" ca="1" si="264"/>
        <v>0.45833333333333331</v>
      </c>
    </row>
    <row r="1474" spans="1:46" ht="12.5" x14ac:dyDescent="0.25">
      <c r="A1474" s="75">
        <v>45006.457773437505</v>
      </c>
      <c r="B1474" s="1" t="s">
        <v>6</v>
      </c>
      <c r="C1474" s="1" t="str">
        <f>INDEX(TBL_Name,MATCH(Table2[[#This Row],[Athlete Name]],listNames,0),2)</f>
        <v>Athlete 2</v>
      </c>
      <c r="D1474" s="1" t="s">
        <v>130</v>
      </c>
      <c r="E1474" s="1">
        <v>10</v>
      </c>
      <c r="F1474" s="1">
        <v>5</v>
      </c>
      <c r="G1474" s="1">
        <v>8</v>
      </c>
      <c r="H1474" s="1" t="s">
        <v>71</v>
      </c>
      <c r="I1474" s="1">
        <v>8</v>
      </c>
      <c r="J1474" s="1">
        <v>10</v>
      </c>
      <c r="K1474" s="1">
        <v>10</v>
      </c>
      <c r="L1474" s="1">
        <v>96</v>
      </c>
      <c r="M1474" s="1" t="e">
        <f t="shared" ref="M1474" ca="1" si="485">_xludf.concat($B1474,$P1474)</f>
        <v>#NAME?</v>
      </c>
      <c r="N1474" s="1" t="e">
        <f t="shared" si="248"/>
        <v>#VALUE!</v>
      </c>
      <c r="O1474" s="1" t="e">
        <f t="shared" ref="O1474" ca="1" si="486">IF($N1474=_xludf.MINIFS($N$2:$N2980,$R$2:$R2980,$R1474),1,
($N1474-_xludf.MINIFS($N$2:$N2980,$R$2:$R2980,$R1474))+1)</f>
        <v>#VALUE!</v>
      </c>
      <c r="P1474" s="13" t="e">
        <f t="shared" si="250"/>
        <v>#VALUE!</v>
      </c>
      <c r="Q1474" s="1" t="str">
        <f>RIGHT(YEAR($A1474),2)-(MONTH($A1474)&lt;=[3]Roster!$K$25)
 &amp;"-"&amp;
 RIGHT(YEAR($A1474),2)+(MONTH($A1474)&gt;=[3]Roster!$K$26)</f>
        <v>22-23</v>
      </c>
      <c r="R1474" s="1" t="e">
        <f>CHOOSE(MONTH($P1474),[3]Roster!$K$9,[3]Roster!$K$10,[3]Roster!$K$11,[3]Roster!$K$12,[3]Roster!$K$13,[3]Roster!$K$14,[3]Roster!$K$15,[3]Roster!$K$16,[3]Roster!$K$17,[3]Roster!$K$18,[3]Roster!$K$19,[3]Roster!$K$20)&amp;" "&amp;$Q1474</f>
        <v>#VALUE!</v>
      </c>
      <c r="S1474" s="1">
        <f t="shared" si="251"/>
        <v>1</v>
      </c>
      <c r="T1474" s="1" t="str">
        <f t="array" ref="T1474">IFERROR(INDEX([3]Roster!$D$3:$D$42,MATCH($B1474,[3]Roster!$C$3:$C$42,0)),"")</f>
        <v>FWD</v>
      </c>
      <c r="U1474" s="1" t="str">
        <f t="array" ref="U1474">IFERROR(INDEX([3]Roster!$E$3:$E$42,MATCH($B1474,[3]Roster!$C$3:$C$42,0)),"")</f>
        <v>FWD</v>
      </c>
      <c r="V1474" s="76">
        <f t="array" ref="V1474">AVERAGEIFS($E$2:$E2565,$B$2:$B2565,$B1474,$P$2:$P2565,"&lt;="&amp;$P1474,$P$2:$P2565,"&gt;"&amp;$P1474-7)</f>
        <v>9.7441860465116275</v>
      </c>
      <c r="W1474" s="76">
        <f ca="1">IFERROR(__xludf.DUMMYFUNCTION("iferror(stdevp(filter($D$2:$D2568,$B$2:$B2568=$B1477,$O$2:$O2568&lt;=$O1477,$O$2:$O2568&gt;$O1477-7)),0)"),0)</f>
        <v>0</v>
      </c>
      <c r="X1474" s="77">
        <f t="shared" ca="1" si="252"/>
        <v>0</v>
      </c>
      <c r="Y1474" s="77">
        <f t="shared" ca="1" si="253"/>
        <v>3</v>
      </c>
      <c r="Z1474" s="76">
        <f t="array" ref="Z1474">AVERAGEIFS($F$2:$F2565,$B$2:$B2565,$B1474,$P$2:$P2565,"&lt;="&amp;$P1474,$P$2:$P2565,"&gt;"&amp;$P1474-7)</f>
        <v>8.279069767441861</v>
      </c>
      <c r="AA1474" s="76">
        <f ca="1">IFERROR(__xludf.DUMMYFUNCTION("iferror(stdevp(filter($E$2:$E2568,$B$2:$B2568=$B1477,$O$2:$O2568&lt;=$O1477,$O$2:$O2568&gt;$O1477-7)),0)"),1.59078981795143)</f>
        <v>1.5907898179514299</v>
      </c>
      <c r="AB1474" s="77">
        <f t="shared" ca="1" si="254"/>
        <v>-2.0612841058189231</v>
      </c>
      <c r="AC1474" s="77">
        <f t="shared" ca="1" si="255"/>
        <v>1</v>
      </c>
      <c r="AD1474" s="76">
        <f t="array" ref="AD1474">AVERAGEIFS($G$2:$G2565,$B$2:$B2565,$B1474,$P$2:$P2565,"&lt;="&amp;$P1474,$P$2:$P2565,"&gt;"&amp;$P1474-7)</f>
        <v>8.604651162790697</v>
      </c>
      <c r="AE1474" s="76">
        <f ca="1">IFERROR(__xludf.DUMMYFUNCTION("iferror(stdevp(filter($F$2:$F2568,$B$2:$B2568=$B1477,$O$2:$O2568&lt;=$O1477,$O$2:$O2568&gt;$O1477-7)),0)"),0.832993127835042)</f>
        <v>0.83299312783504198</v>
      </c>
      <c r="AF1474" s="77">
        <f t="shared" ca="1" si="256"/>
        <v>-0.72587773246364207</v>
      </c>
      <c r="AG1474" s="77">
        <f t="shared" ca="1" si="257"/>
        <v>2</v>
      </c>
      <c r="AH1474" s="76">
        <f t="array" ref="AH1474">AVERAGEIFS($I$2:$I2565,$B$2:$B2565,$B1474,$P$2:$P2565,"&lt;="&amp;$P1474,$P$2:$P2565,"&gt;"&amp;$P1474-7)</f>
        <v>8.3488372093023262</v>
      </c>
      <c r="AI1474" s="76">
        <f ca="1">IFERROR(__xludf.DUMMYFUNCTION("iferror(stdevp(filter($H$2:$H2568,$B$2:$B2568=$B1477,$O$2:$O2568&lt;=$O1477,$O$2:$O2568&gt;$O1477-7)),0)"),0.494871659305393)</f>
        <v>0.49487165930539301</v>
      </c>
      <c r="AJ1474" s="77">
        <f t="shared" ca="1" si="258"/>
        <v>-0.70490439842919617</v>
      </c>
      <c r="AK1474" s="77">
        <f t="shared" ca="1" si="259"/>
        <v>2</v>
      </c>
      <c r="AL1474" s="76">
        <f t="array" ref="AL1474">AVERAGEIFS($J$2:$J2565,$B$2:$B2565,$B1474,$P$2:$P2565,"&lt;="&amp;$P1474,$P$2:$P2565,"&gt;"&amp;$P1474-7)</f>
        <v>8.3023255813953494</v>
      </c>
      <c r="AM1474" s="76">
        <f ca="1">IFERROR(__xludf.DUMMYFUNCTION("iferror(stdevp(filter($I$2:$I2568,$B$2:$B2568=$B1477,$O$2:$O2568&lt;=$O1477,$O$2:$O2568&gt;$O1477-7)),0)"),0.699854212223765)</f>
        <v>0.69985421222376498</v>
      </c>
      <c r="AN1474" s="77">
        <f t="shared" ca="1" si="260"/>
        <v>2.4257543770585346</v>
      </c>
      <c r="AO1474" s="77">
        <f t="shared" ca="1" si="261"/>
        <v>4</v>
      </c>
      <c r="AP1474" s="76">
        <f t="array" ref="AP1474">AVERAGEIFS($K$2:$K2565,$B$2:$B2565,$B1474,$P$2:$P2565,"&lt;="&amp;$P1474,$P$2:$P2565,"&gt;"&amp;$P1474-7)</f>
        <v>8.9069767441860463</v>
      </c>
      <c r="AQ1474" s="76">
        <f ca="1">IFERROR(__xludf.DUMMYFUNCTION("iferror(stdevp(filter($J$2:$J2568,$B$2:$B2568=$B1477,$O$2:$O2568&lt;=$O1477,$O$2:$O2568&gt;$O1477-7)),0)"),0)</f>
        <v>0</v>
      </c>
      <c r="AR1474" s="77">
        <f t="shared" ca="1" si="262"/>
        <v>0</v>
      </c>
      <c r="AS1474" s="77">
        <f t="shared" ca="1" si="263"/>
        <v>3</v>
      </c>
      <c r="AT1474" s="78">
        <f t="shared" ca="1" si="264"/>
        <v>0.625</v>
      </c>
    </row>
    <row r="1475" spans="1:46" ht="12.5" x14ac:dyDescent="0.25">
      <c r="A1475" s="75">
        <v>45006.458949687498</v>
      </c>
      <c r="B1475" s="1" t="s">
        <v>21</v>
      </c>
      <c r="C1475" s="1" t="str">
        <f>INDEX(TBL_Name,MATCH(Table2[[#This Row],[Athlete Name]],listNames,0),2)</f>
        <v>Athlete 13</v>
      </c>
      <c r="D1475" s="1" t="s">
        <v>130</v>
      </c>
      <c r="E1475" s="1">
        <v>7</v>
      </c>
      <c r="F1475" s="1">
        <v>7</v>
      </c>
      <c r="G1475" s="1">
        <v>9</v>
      </c>
      <c r="H1475" s="1" t="s">
        <v>1632</v>
      </c>
      <c r="I1475" s="1">
        <v>5</v>
      </c>
      <c r="J1475" s="1">
        <v>6</v>
      </c>
      <c r="K1475" s="1">
        <v>6</v>
      </c>
      <c r="L1475" s="1">
        <v>65</v>
      </c>
      <c r="M1475" s="1" t="e">
        <f t="shared" ref="M1475" ca="1" si="487">_xludf.concat($B1475,$P1475)</f>
        <v>#NAME?</v>
      </c>
      <c r="N1475" s="1" t="e">
        <f t="shared" si="248"/>
        <v>#VALUE!</v>
      </c>
      <c r="O1475" s="1" t="e">
        <f t="shared" ref="O1475" ca="1" si="488">IF($N1475=_xludf.MINIFS($N$2:$N2981,$R$2:$R2981,$R1475),1,
($N1475-_xludf.MINIFS($N$2:$N2981,$R$2:$R2981,$R1475))+1)</f>
        <v>#VALUE!</v>
      </c>
      <c r="P1475" s="13" t="e">
        <f t="shared" si="250"/>
        <v>#VALUE!</v>
      </c>
      <c r="Q1475" s="1" t="str">
        <f>RIGHT(YEAR($A1475),2)-(MONTH($A1475)&lt;=[3]Roster!$K$25)
 &amp;"-"&amp;
 RIGHT(YEAR($A1475),2)+(MONTH($A1475)&gt;=[3]Roster!$K$26)</f>
        <v>22-23</v>
      </c>
      <c r="R1475" s="1" t="e">
        <f>CHOOSE(MONTH($P1475),[3]Roster!$K$9,[3]Roster!$K$10,[3]Roster!$K$11,[3]Roster!$K$12,[3]Roster!$K$13,[3]Roster!$K$14,[3]Roster!$K$15,[3]Roster!$K$16,[3]Roster!$K$17,[3]Roster!$K$18,[3]Roster!$K$19,[3]Roster!$K$20)&amp;" "&amp;$Q1475</f>
        <v>#VALUE!</v>
      </c>
      <c r="S1475" s="1">
        <f t="shared" si="251"/>
        <v>1</v>
      </c>
      <c r="T1475" s="1" t="str">
        <f t="array" ref="T1475">IFERROR(INDEX([3]Roster!$D$3:$D$42,MATCH($B1475,[3]Roster!$C$3:$C$42,0)),"")</f>
        <v>D</v>
      </c>
      <c r="U1475" s="1" t="str">
        <f t="array" ref="U1475">IFERROR(INDEX([3]Roster!$E$3:$E$42,MATCH($B1475,[3]Roster!$C$3:$C$42,0)),"")</f>
        <v>D</v>
      </c>
      <c r="V1475" s="76">
        <f t="array" ref="V1475">AVERAGEIFS($E$2:$E2565,$B$2:$B2565,$B1475,$P$2:$P2565,"&lt;="&amp;$P1475,$P$2:$P2565,"&gt;"&amp;$P1475-7)</f>
        <v>6.6304347826086953</v>
      </c>
      <c r="W1475" s="76">
        <f ca="1">IFERROR(__xludf.DUMMYFUNCTION("iferror(stdevp(filter($D$2:$D2568,$B$2:$B2568=$B1478,$O$2:$O2568&lt;=$O1478,$O$2:$O2568&gt;$O1478-7)),0)"),0.728431359084683)</f>
        <v>0.72843135908468304</v>
      </c>
      <c r="X1475" s="77">
        <f t="shared" ca="1" si="252"/>
        <v>0.50734391481399865</v>
      </c>
      <c r="Y1475" s="77">
        <f t="shared" ca="1" si="253"/>
        <v>3</v>
      </c>
      <c r="Z1475" s="76">
        <f t="array" ref="Z1475">AVERAGEIFS($F$2:$F2565,$B$2:$B2565,$B1475,$P$2:$P2565,"&lt;="&amp;$P1475,$P$2:$P2565,"&gt;"&amp;$P1475-7)</f>
        <v>7.6956521739130439</v>
      </c>
      <c r="AA1475" s="76">
        <f ca="1">IFERROR(__xludf.DUMMYFUNCTION("iferror(stdevp(filter($E$2:$E2568,$B$2:$B2568=$B1478,$O$2:$O2568&lt;=$O1478,$O$2:$O2568&gt;$O1478-7)),0)"),0.903507902905251)</f>
        <v>0.90350790290525096</v>
      </c>
      <c r="AB1475" s="77">
        <f t="shared" ca="1" si="254"/>
        <v>-0.76994586508447571</v>
      </c>
      <c r="AC1475" s="77">
        <f t="shared" ca="1" si="255"/>
        <v>2</v>
      </c>
      <c r="AD1475" s="76">
        <f t="array" ref="AD1475">AVERAGEIFS($G$2:$G2565,$B$2:$B2565,$B1475,$P$2:$P2565,"&lt;="&amp;$P1475,$P$2:$P2565,"&gt;"&amp;$P1475-7)</f>
        <v>8.2608695652173907</v>
      </c>
      <c r="AE1475" s="76">
        <f ca="1">IFERROR(__xludf.DUMMYFUNCTION("iferror(stdevp(filter($F$2:$F2568,$B$2:$B2568=$B1478,$O$2:$O2568&lt;=$O1478,$O$2:$O2568&gt;$O1478-7)),0)"),0.494871659305393)</f>
        <v>0.49487165930539301</v>
      </c>
      <c r="AF1475" s="77">
        <f t="shared" ca="1" si="256"/>
        <v>1.4935800442079477</v>
      </c>
      <c r="AG1475" s="77">
        <f t="shared" ca="1" si="257"/>
        <v>4</v>
      </c>
      <c r="AH1475" s="76">
        <f t="array" ref="AH1475">AVERAGEIFS($I$2:$I2565,$B$2:$B2565,$B1475,$P$2:$P2565,"&lt;="&amp;$P1475,$P$2:$P2565,"&gt;"&amp;$P1475-7)</f>
        <v>5.7391304347826084</v>
      </c>
      <c r="AI1475" s="76">
        <f ca="1">IFERROR(__xludf.DUMMYFUNCTION("iferror(stdevp(filter($H$2:$H2568,$B$2:$B2568=$B1478,$O$2:$O2568&lt;=$O1478,$O$2:$O2568&gt;$O1478-7)),0)"),0.638876564999939)</f>
        <v>0.63887656499993895</v>
      </c>
      <c r="AJ1475" s="77">
        <f t="shared" ca="1" si="258"/>
        <v>-1.1569221274890229</v>
      </c>
      <c r="AK1475" s="77">
        <f t="shared" ca="1" si="259"/>
        <v>1</v>
      </c>
      <c r="AL1475" s="76">
        <f t="array" ref="AL1475">AVERAGEIFS($J$2:$J2565,$B$2:$B2565,$B1475,$P$2:$P2565,"&lt;="&amp;$P1475,$P$2:$P2565,"&gt;"&amp;$P1475-7)</f>
        <v>6.5434782608695654</v>
      </c>
      <c r="AM1475" s="76">
        <f ca="1">IFERROR(__xludf.DUMMYFUNCTION("iferror(stdevp(filter($I$2:$I2568,$B$2:$B2568=$B1478,$O$2:$O2568&lt;=$O1478,$O$2:$O2568&gt;$O1478-7)),0)"),0.349927106111882)</f>
        <v>0.34992710611188199</v>
      </c>
      <c r="AN1475" s="77">
        <f t="shared" ca="1" si="260"/>
        <v>-1.5531184963299169</v>
      </c>
      <c r="AO1475" s="77">
        <f t="shared" ca="1" si="261"/>
        <v>1</v>
      </c>
      <c r="AP1475" s="76">
        <f t="array" ref="AP1475">AVERAGEIFS($K$2:$K2565,$B$2:$B2565,$B1475,$P$2:$P2565,"&lt;="&amp;$P1475,$P$2:$P2565,"&gt;"&amp;$P1475-7)</f>
        <v>6.6086956521739131</v>
      </c>
      <c r="AQ1475" s="76">
        <f ca="1">IFERROR(__xludf.DUMMYFUNCTION("iferror(stdevp(filter($J$2:$J2568,$B$2:$B2568=$B1478,$O$2:$O2568&lt;=$O1478,$O$2:$O2568&gt;$O1478-7)),0)"),0.349927106111882)</f>
        <v>0.34992710611188199</v>
      </c>
      <c r="AR1475" s="77">
        <f t="shared" ca="1" si="262"/>
        <v>-1.7394927158895064</v>
      </c>
      <c r="AS1475" s="77">
        <f t="shared" ca="1" si="263"/>
        <v>1</v>
      </c>
      <c r="AT1475" s="78">
        <f t="shared" ca="1" si="264"/>
        <v>0.5</v>
      </c>
    </row>
    <row r="1476" spans="1:46" ht="12.5" x14ac:dyDescent="0.25">
      <c r="A1476" s="75">
        <v>45006.459418009261</v>
      </c>
      <c r="B1476" s="1" t="s">
        <v>9</v>
      </c>
      <c r="C1476" s="1" t="str">
        <f>INDEX(TBL_Name,MATCH(Table2[[#This Row],[Athlete Name]],listNames,0),2)</f>
        <v>Athlete 4</v>
      </c>
      <c r="D1476" s="1" t="s">
        <v>130</v>
      </c>
      <c r="E1476" s="1">
        <v>5</v>
      </c>
      <c r="F1476" s="1">
        <v>6</v>
      </c>
      <c r="G1476" s="1">
        <v>7</v>
      </c>
      <c r="H1476" s="1" t="s">
        <v>1382</v>
      </c>
      <c r="I1476" s="1">
        <v>4</v>
      </c>
      <c r="J1476" s="1">
        <v>7</v>
      </c>
      <c r="K1476" s="1">
        <v>8</v>
      </c>
      <c r="L1476" s="1">
        <v>90</v>
      </c>
      <c r="M1476" s="1" t="e">
        <f t="shared" ref="M1476" ca="1" si="489">_xludf.concat($B1476,$P1476)</f>
        <v>#NAME?</v>
      </c>
      <c r="N1476" s="1" t="e">
        <f t="shared" si="248"/>
        <v>#VALUE!</v>
      </c>
      <c r="O1476" s="1" t="e">
        <f t="shared" ref="O1476" ca="1" si="490">IF($N1476=_xludf.MINIFS($N$2:$N2982,$R$2:$R2982,$R1476),1,
($N1476-_xludf.MINIFS($N$2:$N2982,$R$2:$R2982,$R1476))+1)</f>
        <v>#VALUE!</v>
      </c>
      <c r="P1476" s="13" t="e">
        <f t="shared" si="250"/>
        <v>#VALUE!</v>
      </c>
      <c r="Q1476" s="1" t="str">
        <f>RIGHT(YEAR($A1476),2)-(MONTH($A1476)&lt;=[3]Roster!$K$25)
 &amp;"-"&amp;
 RIGHT(YEAR($A1476),2)+(MONTH($A1476)&gt;=[3]Roster!$K$26)</f>
        <v>22-23</v>
      </c>
      <c r="R1476" s="1" t="e">
        <f>CHOOSE(MONTH($P1476),[3]Roster!$K$9,[3]Roster!$K$10,[3]Roster!$K$11,[3]Roster!$K$12,[3]Roster!$K$13,[3]Roster!$K$14,[3]Roster!$K$15,[3]Roster!$K$16,[3]Roster!$K$17,[3]Roster!$K$18,[3]Roster!$K$19,[3]Roster!$K$20)&amp;" "&amp;$Q1476</f>
        <v>#VALUE!</v>
      </c>
      <c r="S1476" s="1">
        <f t="shared" si="251"/>
        <v>1</v>
      </c>
      <c r="T1476" s="1" t="str">
        <f t="array" ref="T1476">IFERROR(INDEX([3]Roster!$D$3:$D$42,MATCH($B1476,[3]Roster!$C$3:$C$42,0)),"")</f>
        <v>F/MID</v>
      </c>
      <c r="U1476" s="1" t="str">
        <f t="array" ref="U1476">IFERROR(INDEX([3]Roster!$E$3:$E$42,MATCH($B1476,[3]Roster!$C$3:$C$42,0)),"")</f>
        <v>F/MID</v>
      </c>
      <c r="V1476" s="76">
        <f t="array" ref="V1476">AVERAGEIFS($E$2:$E2565,$B$2:$B2565,$B1476,$P$2:$P2565,"&lt;="&amp;$P1476,$P$2:$P2565,"&gt;"&amp;$P1476-7)</f>
        <v>7.4230769230769234</v>
      </c>
      <c r="W1476" s="76">
        <f ca="1">IFERROR(__xludf.DUMMYFUNCTION("iferror(stdevp(filter($D$2:$D2568,$B$2:$B2568=$B1479,$O$2:$O2568&lt;=$O1479,$O$2:$O2568&gt;$O1479-7)),0)"),1.11803398874989)</f>
        <v>1.11803398874989</v>
      </c>
      <c r="X1476" s="77">
        <f t="shared" ca="1" si="252"/>
        <v>-2.1672658858844214</v>
      </c>
      <c r="Y1476" s="77">
        <f t="shared" ca="1" si="253"/>
        <v>1</v>
      </c>
      <c r="Z1476" s="76">
        <f t="array" ref="Z1476">AVERAGEIFS($F$2:$F2565,$B$2:$B2565,$B1476,$P$2:$P2565,"&lt;="&amp;$P1476,$P$2:$P2565,"&gt;"&amp;$P1476-7)</f>
        <v>7.1538461538461542</v>
      </c>
      <c r="AA1476" s="76">
        <f ca="1">IFERROR(__xludf.DUMMYFUNCTION("iferror(stdevp(filter($E$2:$E2568,$B$2:$B2568=$B1479,$O$2:$O2568&lt;=$O1479,$O$2:$O2568&gt;$O1479-7)),0)"),0.82915619758885)</f>
        <v>0.82915619758884995</v>
      </c>
      <c r="AB1476" s="77">
        <f t="shared" ca="1" si="254"/>
        <v>-1.3915908211281403</v>
      </c>
      <c r="AC1476" s="77">
        <f t="shared" ca="1" si="255"/>
        <v>1</v>
      </c>
      <c r="AD1476" s="76">
        <f t="array" ref="AD1476">AVERAGEIFS($G$2:$G2565,$B$2:$B2565,$B1476,$P$2:$P2565,"&lt;="&amp;$P1476,$P$2:$P2565,"&gt;"&amp;$P1476-7)</f>
        <v>7.615384615384615</v>
      </c>
      <c r="AE1476" s="76">
        <f ca="1">IFERROR(__xludf.DUMMYFUNCTION("iferror(stdevp(filter($F$2:$F2568,$B$2:$B2568=$B1479,$O$2:$O2568&lt;=$O1479,$O$2:$O2568&gt;$O1479-7)),0)"),0.82915619758885)</f>
        <v>0.82915619758884995</v>
      </c>
      <c r="AF1476" s="77">
        <f t="shared" ca="1" si="256"/>
        <v>-0.74218177126834073</v>
      </c>
      <c r="AG1476" s="77">
        <f t="shared" ca="1" si="257"/>
        <v>2</v>
      </c>
      <c r="AH1476" s="76">
        <f t="array" ref="AH1476">AVERAGEIFS($I$2:$I2565,$B$2:$B2565,$B1476,$P$2:$P2565,"&lt;="&amp;$P1476,$P$2:$P2565,"&gt;"&amp;$P1476-7)</f>
        <v>5.1923076923076925</v>
      </c>
      <c r="AI1476" s="76">
        <f ca="1">IFERROR(__xludf.DUMMYFUNCTION("iferror(stdevp(filter($H$2:$H2568,$B$2:$B2568=$B1479,$O$2:$O2568&lt;=$O1479,$O$2:$O2568&gt;$O1479-7)),0)"),0.433012701892219)</f>
        <v>0.43301270189221902</v>
      </c>
      <c r="AJ1476" s="77">
        <f t="shared" ca="1" si="258"/>
        <v>-2.7535166684428329</v>
      </c>
      <c r="AK1476" s="77">
        <f t="shared" ca="1" si="259"/>
        <v>1</v>
      </c>
      <c r="AL1476" s="76">
        <f t="array" ref="AL1476">AVERAGEIFS($J$2:$J2565,$B$2:$B2565,$B1476,$P$2:$P2565,"&lt;="&amp;$P1476,$P$2:$P2565,"&gt;"&amp;$P1476-7)</f>
        <v>7.6923076923076925</v>
      </c>
      <c r="AM1476" s="76">
        <f ca="1">IFERROR(__xludf.DUMMYFUNCTION("iferror(stdevp(filter($I$2:$I2568,$B$2:$B2568=$B1479,$O$2:$O2568&lt;=$O1479,$O$2:$O2568&gt;$O1479-7)),0)"),0.5)</f>
        <v>0.5</v>
      </c>
      <c r="AN1476" s="77">
        <f t="shared" ca="1" si="260"/>
        <v>-1.384615384615385</v>
      </c>
      <c r="AO1476" s="77">
        <f t="shared" ca="1" si="261"/>
        <v>1</v>
      </c>
      <c r="AP1476" s="76">
        <f t="array" ref="AP1476">AVERAGEIFS($K$2:$K2565,$B$2:$B2565,$B1476,$P$2:$P2565,"&lt;="&amp;$P1476,$P$2:$P2565,"&gt;"&amp;$P1476-7)</f>
        <v>7.8461538461538458</v>
      </c>
      <c r="AQ1476" s="76">
        <f ca="1">IFERROR(__xludf.DUMMYFUNCTION("iferror(stdevp(filter($J$2:$J2568,$B$2:$B2568=$B1479,$O$2:$O2568&lt;=$O1479,$O$2:$O2568&gt;$O1479-7)),0)"),0.433012701892219)</f>
        <v>0.43301270189221902</v>
      </c>
      <c r="AR1476" s="77">
        <f t="shared" ca="1" si="262"/>
        <v>0.35529247334746306</v>
      </c>
      <c r="AS1476" s="77">
        <f t="shared" ca="1" si="263"/>
        <v>3</v>
      </c>
      <c r="AT1476" s="78">
        <f t="shared" ca="1" si="264"/>
        <v>0.375</v>
      </c>
    </row>
    <row r="1477" spans="1:46" ht="12.5" x14ac:dyDescent="0.25">
      <c r="A1477" s="75">
        <v>45006.46222105324</v>
      </c>
      <c r="B1477" s="1" t="s">
        <v>13</v>
      </c>
      <c r="C1477" s="1" t="str">
        <f>INDEX(TBL_Name,MATCH(Table2[[#This Row],[Athlete Name]],listNames,0),2)</f>
        <v>Athlete 7</v>
      </c>
      <c r="D1477" s="1" t="s">
        <v>130</v>
      </c>
      <c r="E1477" s="1">
        <v>7</v>
      </c>
      <c r="F1477" s="1">
        <v>4</v>
      </c>
      <c r="G1477" s="1">
        <v>6</v>
      </c>
      <c r="H1477" s="1" t="s">
        <v>69</v>
      </c>
      <c r="I1477" s="1">
        <v>7</v>
      </c>
      <c r="J1477" s="1">
        <v>10</v>
      </c>
      <c r="K1477" s="1">
        <v>10</v>
      </c>
      <c r="L1477" s="1">
        <v>50</v>
      </c>
      <c r="M1477" s="1" t="e">
        <f t="shared" ref="M1477" ca="1" si="491">_xludf.concat($B1477,$P1477)</f>
        <v>#NAME?</v>
      </c>
      <c r="N1477" s="1" t="e">
        <f t="shared" si="248"/>
        <v>#VALUE!</v>
      </c>
      <c r="O1477" s="1" t="e">
        <f t="shared" ref="O1477" ca="1" si="492">IF($N1477=_xludf.MINIFS($N$2:$N2983,$R$2:$R2983,$R1477),1,
($N1477-_xludf.MINIFS($N$2:$N2983,$R$2:$R2983,$R1477))+1)</f>
        <v>#VALUE!</v>
      </c>
      <c r="P1477" s="13" t="e">
        <f t="shared" si="250"/>
        <v>#VALUE!</v>
      </c>
      <c r="Q1477" s="1" t="str">
        <f>RIGHT(YEAR($A1477),2)-(MONTH($A1477)&lt;=[3]Roster!$K$25)
 &amp;"-"&amp;
 RIGHT(YEAR($A1477),2)+(MONTH($A1477)&gt;=[3]Roster!$K$26)</f>
        <v>22-23</v>
      </c>
      <c r="R1477" s="1" t="e">
        <f>CHOOSE(MONTH($P1477),[3]Roster!$K$9,[3]Roster!$K$10,[3]Roster!$K$11,[3]Roster!$K$12,[3]Roster!$K$13,[3]Roster!$K$14,[3]Roster!$K$15,[3]Roster!$K$16,[3]Roster!$K$17,[3]Roster!$K$18,[3]Roster!$K$19,[3]Roster!$K$20)&amp;" "&amp;$Q1477</f>
        <v>#VALUE!</v>
      </c>
      <c r="S1477" s="1">
        <f t="shared" si="251"/>
        <v>1</v>
      </c>
      <c r="T1477" s="1" t="str">
        <f t="array" ref="T1477">IFERROR(INDEX([3]Roster!$D$3:$D$42,MATCH($B1477,[3]Roster!$C$3:$C$42,0)),"")</f>
        <v>MID/D</v>
      </c>
      <c r="U1477" s="1" t="str">
        <f t="array" ref="U1477">IFERROR(INDEX([3]Roster!$E$3:$E$42,MATCH($B1477,[3]Roster!$C$3:$C$42,0)),"")</f>
        <v>MID/D</v>
      </c>
      <c r="V1477" s="76">
        <f t="array" ref="V1477">AVERAGEIFS($E$2:$E2565,$B$2:$B2565,$B1477,$P$2:$P2565,"&lt;="&amp;$P1477,$P$2:$P2565,"&gt;"&amp;$P1477-7)</f>
        <v>7.6857142857142859</v>
      </c>
      <c r="W1477" s="76">
        <f ca="1">IFERROR(__xludf.DUMMYFUNCTION("iferror(stdevp(filter($D$2:$D2568,$B$2:$B2568=$B1480,$O$2:$O2568&lt;=$O1480,$O$2:$O2568&gt;$O1480-7)),0)"),1.16057691494799)</f>
        <v>1.1605769149479901</v>
      </c>
      <c r="X1477" s="77">
        <f t="shared" ca="1" si="252"/>
        <v>-0.59083915670079945</v>
      </c>
      <c r="Y1477" s="77">
        <f t="shared" ca="1" si="253"/>
        <v>2</v>
      </c>
      <c r="Z1477" s="76">
        <f t="array" ref="Z1477">AVERAGEIFS($F$2:$F2565,$B$2:$B2565,$B1477,$P$2:$P2565,"&lt;="&amp;$P1477,$P$2:$P2565,"&gt;"&amp;$P1477-7)</f>
        <v>7.0857142857142854</v>
      </c>
      <c r="AA1477" s="76">
        <f ca="1">IFERROR(__xludf.DUMMYFUNCTION("iferror(stdevp(filter($E$2:$E2568,$B$2:$B2568=$B1480,$O$2:$O2568&lt;=$O1480,$O$2:$O2568&gt;$O1480-7)),0)"),1.27775312999987)</f>
        <v>1.2777531299998699</v>
      </c>
      <c r="AB1477" s="77">
        <f t="shared" ca="1" si="254"/>
        <v>-2.4149534156997916</v>
      </c>
      <c r="AC1477" s="77">
        <f t="shared" ca="1" si="255"/>
        <v>1</v>
      </c>
      <c r="AD1477" s="76">
        <f t="array" ref="AD1477">AVERAGEIFS($G$2:$G2565,$B$2:$B2565,$B1477,$P$2:$P2565,"&lt;="&amp;$P1477,$P$2:$P2565,"&gt;"&amp;$P1477-7)</f>
        <v>7.1428571428571432</v>
      </c>
      <c r="AE1477" s="76">
        <f ca="1">IFERROR(__xludf.DUMMYFUNCTION("iferror(stdevp(filter($F$2:$F2568,$B$2:$B2568=$B1480,$O$2:$O2568&lt;=$O1480,$O$2:$O2568&gt;$O1480-7)),0)"),0.832993127835043)</f>
        <v>0.83299312783504298</v>
      </c>
      <c r="AF1477" s="77">
        <f t="shared" ca="1" si="256"/>
        <v>-1.371988681140071</v>
      </c>
      <c r="AG1477" s="77">
        <f t="shared" ca="1" si="257"/>
        <v>1</v>
      </c>
      <c r="AH1477" s="76">
        <f t="array" ref="AH1477">AVERAGEIFS($I$2:$I2565,$B$2:$B2565,$B1477,$P$2:$P2565,"&lt;="&amp;$P1477,$P$2:$P2565,"&gt;"&amp;$P1477-7)</f>
        <v>7.0285714285714285</v>
      </c>
      <c r="AI1477" s="76">
        <f ca="1">IFERROR(__xludf.DUMMYFUNCTION("iferror(stdevp(filter($H$2:$H2568,$B$2:$B2568=$B1480,$O$2:$O2568&lt;=$O1480,$O$2:$O2568&gt;$O1480-7)),0)"),0.989743318610787)</f>
        <v>0.98974331861078702</v>
      </c>
      <c r="AJ1477" s="77">
        <f t="shared" ca="1" si="258"/>
        <v>-2.8867513459481187E-2</v>
      </c>
      <c r="AK1477" s="77">
        <f t="shared" ca="1" si="259"/>
        <v>2</v>
      </c>
      <c r="AL1477" s="76">
        <f t="array" ref="AL1477">AVERAGEIFS($J$2:$J2565,$B$2:$B2565,$B1477,$P$2:$P2565,"&lt;="&amp;$P1477,$P$2:$P2565,"&gt;"&amp;$P1477-7)</f>
        <v>9.742857142857142</v>
      </c>
      <c r="AM1477" s="76">
        <f ca="1">IFERROR(__xludf.DUMMYFUNCTION("iferror(stdevp(filter($I$2:$I2568,$B$2:$B2568=$B1480,$O$2:$O2568&lt;=$O1480,$O$2:$O2568&gt;$O1480-7)),0)"),0)</f>
        <v>0</v>
      </c>
      <c r="AN1477" s="77">
        <f t="shared" ca="1" si="260"/>
        <v>0</v>
      </c>
      <c r="AO1477" s="77">
        <f t="shared" ca="1" si="261"/>
        <v>3</v>
      </c>
      <c r="AP1477" s="76">
        <f t="array" ref="AP1477">AVERAGEIFS($K$2:$K2565,$B$2:$B2565,$B1477,$P$2:$P2565,"&lt;="&amp;$P1477,$P$2:$P2565,"&gt;"&amp;$P1477-7)</f>
        <v>9.4285714285714288</v>
      </c>
      <c r="AQ1477" s="76">
        <f ca="1">IFERROR(__xludf.DUMMYFUNCTION("iferror(stdevp(filter($J$2:$J2568,$B$2:$B2568=$B1480,$O$2:$O2568&lt;=$O1480,$O$2:$O2568&gt;$O1480-7)),0)"),0.699854212223765)</f>
        <v>0.69985421222376498</v>
      </c>
      <c r="AR1477" s="77">
        <f t="shared" ca="1" si="262"/>
        <v>0.81649658092772592</v>
      </c>
      <c r="AS1477" s="77">
        <f t="shared" ca="1" si="263"/>
        <v>3</v>
      </c>
      <c r="AT1477" s="78">
        <f t="shared" ca="1" si="264"/>
        <v>0.5</v>
      </c>
    </row>
    <row r="1478" spans="1:46" ht="12.5" x14ac:dyDescent="0.25">
      <c r="A1478" s="75">
        <v>45006.49764159722</v>
      </c>
      <c r="B1478" s="1" t="s">
        <v>22</v>
      </c>
      <c r="C1478" s="1" t="str">
        <f>INDEX(TBL_Name,MATCH(Table2[[#This Row],[Athlete Name]],listNames,0),2)</f>
        <v>Athlete 14</v>
      </c>
      <c r="D1478" s="1" t="s">
        <v>130</v>
      </c>
      <c r="E1478" s="1">
        <v>6</v>
      </c>
      <c r="F1478" s="1">
        <v>5</v>
      </c>
      <c r="G1478" s="1">
        <v>6</v>
      </c>
      <c r="H1478" s="1" t="s">
        <v>307</v>
      </c>
      <c r="I1478" s="1">
        <v>5</v>
      </c>
      <c r="J1478" s="1">
        <v>8</v>
      </c>
      <c r="K1478" s="1">
        <v>7</v>
      </c>
      <c r="L1478" s="1">
        <v>77</v>
      </c>
      <c r="M1478" s="1" t="e">
        <f t="shared" ref="M1478" ca="1" si="493">_xludf.concat($B1478,$P1478)</f>
        <v>#NAME?</v>
      </c>
      <c r="N1478" s="1" t="e">
        <f t="shared" si="248"/>
        <v>#VALUE!</v>
      </c>
      <c r="O1478" s="1" t="e">
        <f t="shared" ref="O1478" ca="1" si="494">IF($N1478=_xludf.MINIFS($N$2:$N2984,$R$2:$R2984,$R1478),1,
($N1478-_xludf.MINIFS($N$2:$N2984,$R$2:$R2984,$R1478))+1)</f>
        <v>#VALUE!</v>
      </c>
      <c r="P1478" s="13" t="e">
        <f t="shared" si="250"/>
        <v>#VALUE!</v>
      </c>
      <c r="Q1478" s="1" t="str">
        <f>RIGHT(YEAR($A1478),2)-(MONTH($A1478)&lt;=[3]Roster!$K$25)
 &amp;"-"&amp;
 RIGHT(YEAR($A1478),2)+(MONTH($A1478)&gt;=[3]Roster!$K$26)</f>
        <v>22-23</v>
      </c>
      <c r="R1478" s="1" t="e">
        <f>CHOOSE(MONTH($P1478),[3]Roster!$K$9,[3]Roster!$K$10,[3]Roster!$K$11,[3]Roster!$K$12,[3]Roster!$K$13,[3]Roster!$K$14,[3]Roster!$K$15,[3]Roster!$K$16,[3]Roster!$K$17,[3]Roster!$K$18,[3]Roster!$K$19,[3]Roster!$K$20)&amp;" "&amp;$Q1478</f>
        <v>#VALUE!</v>
      </c>
      <c r="S1478" s="1">
        <f t="shared" si="251"/>
        <v>1</v>
      </c>
      <c r="T1478" s="1" t="str">
        <f t="array" ref="T1478">IFERROR(INDEX([3]Roster!$D$3:$D$42,MATCH($B1478,[3]Roster!$C$3:$C$42,0)),"")</f>
        <v>D</v>
      </c>
      <c r="U1478" s="1" t="str">
        <f t="array" ref="U1478">IFERROR(INDEX([3]Roster!$E$3:$E$42,MATCH($B1478,[3]Roster!$C$3:$C$42,0)),"")</f>
        <v>D</v>
      </c>
      <c r="V1478" s="76">
        <f t="array" ref="V1478">AVERAGEIFS($E$2:$E2565,$B$2:$B2565,$B1478,$P$2:$P2565,"&lt;="&amp;$P1478,$P$2:$P2565,"&gt;"&amp;$P1478-7)</f>
        <v>5.791666666666667</v>
      </c>
      <c r="W1478" s="76">
        <f ca="1">IFERROR(__xludf.DUMMYFUNCTION("iferror(stdevp(filter($D$2:$D2568,$B$2:$B2568=$B1481,$O$2:$O2568&lt;=$O1481,$O$2:$O2568&gt;$O1481-7)),0)"),0.707106781186547)</f>
        <v>0.70710678118654702</v>
      </c>
      <c r="X1478" s="77">
        <f t="shared" ca="1" si="252"/>
        <v>0.29462782549439459</v>
      </c>
      <c r="Y1478" s="77">
        <f t="shared" ca="1" si="253"/>
        <v>3</v>
      </c>
      <c r="Z1478" s="76">
        <f t="array" ref="Z1478">AVERAGEIFS($F$2:$F2565,$B$2:$B2565,$B1478,$P$2:$P2565,"&lt;="&amp;$P1478,$P$2:$P2565,"&gt;"&amp;$P1478-7)</f>
        <v>5.458333333333333</v>
      </c>
      <c r="AA1478" s="76">
        <f ca="1">IFERROR(__xludf.DUMMYFUNCTION("iferror(stdevp(filter($E$2:$E2568,$B$2:$B2568=$B1481,$O$2:$O2568&lt;=$O1481,$O$2:$O2568&gt;$O1481-7)),0)"),1.58113883008418)</f>
        <v>1.58113883008418</v>
      </c>
      <c r="AB1478" s="77">
        <f t="shared" ca="1" si="254"/>
        <v>-0.28987545218210303</v>
      </c>
      <c r="AC1478" s="77">
        <f t="shared" ca="1" si="255"/>
        <v>2</v>
      </c>
      <c r="AD1478" s="76">
        <f t="array" ref="AD1478">AVERAGEIFS($G$2:$G2565,$B$2:$B2565,$B1478,$P$2:$P2565,"&lt;="&amp;$P1478,$P$2:$P2565,"&gt;"&amp;$P1478-7)</f>
        <v>6.833333333333333</v>
      </c>
      <c r="AE1478" s="76">
        <f ca="1">IFERROR(__xludf.DUMMYFUNCTION("iferror(stdevp(filter($F$2:$F2568,$B$2:$B2568=$B1481,$O$2:$O2568&lt;=$O1481,$O$2:$O2568&gt;$O1481-7)),0)"),1.29903810567665)</f>
        <v>1.29903810567665</v>
      </c>
      <c r="AF1478" s="77">
        <f t="shared" ca="1" si="256"/>
        <v>-0.64150029909958783</v>
      </c>
      <c r="AG1478" s="77">
        <f t="shared" ca="1" si="257"/>
        <v>2</v>
      </c>
      <c r="AH1478" s="76">
        <f t="array" ref="AH1478">AVERAGEIFS($I$2:$I2565,$B$2:$B2565,$B1478,$P$2:$P2565,"&lt;="&amp;$P1478,$P$2:$P2565,"&gt;"&amp;$P1478-7)</f>
        <v>5.125</v>
      </c>
      <c r="AI1478" s="76">
        <f ca="1">IFERROR(__xludf.DUMMYFUNCTION("iferror(stdevp(filter($H$2:$H2568,$B$2:$B2568=$B1481,$O$2:$O2568&lt;=$O1481,$O$2:$O2568&gt;$O1481-7)),0)"),0.5)</f>
        <v>0.5</v>
      </c>
      <c r="AJ1478" s="77">
        <f t="shared" ca="1" si="258"/>
        <v>-0.25</v>
      </c>
      <c r="AK1478" s="77">
        <f t="shared" ca="1" si="259"/>
        <v>2</v>
      </c>
      <c r="AL1478" s="76">
        <f t="array" ref="AL1478">AVERAGEIFS($J$2:$J2565,$B$2:$B2565,$B1478,$P$2:$P2565,"&lt;="&amp;$P1478,$P$2:$P2565,"&gt;"&amp;$P1478-7)</f>
        <v>7.125</v>
      </c>
      <c r="AM1478" s="76">
        <f ca="1">IFERROR(__xludf.DUMMYFUNCTION("iferror(stdevp(filter($I$2:$I2568,$B$2:$B2568=$B1481,$O$2:$O2568&lt;=$O1481,$O$2:$O2568&gt;$O1481-7)),0)"),0)</f>
        <v>0</v>
      </c>
      <c r="AN1478" s="77">
        <f t="shared" ca="1" si="260"/>
        <v>0</v>
      </c>
      <c r="AO1478" s="77">
        <f t="shared" ca="1" si="261"/>
        <v>3</v>
      </c>
      <c r="AP1478" s="76">
        <f t="array" ref="AP1478">AVERAGEIFS($K$2:$K2565,$B$2:$B2565,$B1478,$P$2:$P2565,"&lt;="&amp;$P1478,$P$2:$P2565,"&gt;"&amp;$P1478-7)</f>
        <v>7.083333333333333</v>
      </c>
      <c r="AQ1478" s="76">
        <f ca="1">IFERROR(__xludf.DUMMYFUNCTION("iferror(stdevp(filter($J$2:$J2568,$B$2:$B2568=$B1481,$O$2:$O2568&lt;=$O1481,$O$2:$O2568&gt;$O1481-7)),0)"),1.29903810567665)</f>
        <v>1.29903810567665</v>
      </c>
      <c r="AR1478" s="77">
        <f t="shared" ca="1" si="262"/>
        <v>-6.4150029909958578E-2</v>
      </c>
      <c r="AS1478" s="77">
        <f t="shared" ca="1" si="263"/>
        <v>2</v>
      </c>
      <c r="AT1478" s="78">
        <f t="shared" ca="1" si="264"/>
        <v>0.58333333333333337</v>
      </c>
    </row>
    <row r="1479" spans="1:46" ht="12.5" x14ac:dyDescent="0.25">
      <c r="A1479" s="75">
        <v>45006.500471041669</v>
      </c>
      <c r="B1479" s="1" t="s">
        <v>16</v>
      </c>
      <c r="C1479" s="1" t="str">
        <f>INDEX(TBL_Name,MATCH(Table2[[#This Row],[Athlete Name]],listNames,0),2)</f>
        <v>Athlete 9</v>
      </c>
      <c r="D1479" s="1" t="s">
        <v>130</v>
      </c>
      <c r="E1479" s="1">
        <v>8</v>
      </c>
      <c r="F1479" s="1">
        <v>8</v>
      </c>
      <c r="G1479" s="1">
        <v>8</v>
      </c>
      <c r="H1479" s="1" t="s">
        <v>1633</v>
      </c>
      <c r="I1479" s="1">
        <v>5</v>
      </c>
      <c r="J1479" s="1">
        <v>8</v>
      </c>
      <c r="K1479" s="1">
        <v>9</v>
      </c>
      <c r="L1479" s="1">
        <v>80</v>
      </c>
      <c r="M1479" s="1" t="e">
        <f t="shared" ref="M1479" ca="1" si="495">_xludf.concat($B1479,$P1479)</f>
        <v>#NAME?</v>
      </c>
      <c r="N1479" s="1" t="e">
        <f t="shared" si="248"/>
        <v>#VALUE!</v>
      </c>
      <c r="O1479" s="1" t="e">
        <f t="shared" ref="O1479" ca="1" si="496">IF($N1479=_xludf.MINIFS($N$2:$N2985,$R$2:$R2985,$R1479),1,
($N1479-_xludf.MINIFS($N$2:$N2985,$R$2:$R2985,$R1479))+1)</f>
        <v>#VALUE!</v>
      </c>
      <c r="P1479" s="13" t="e">
        <f t="shared" si="250"/>
        <v>#VALUE!</v>
      </c>
      <c r="Q1479" s="1" t="str">
        <f>RIGHT(YEAR($A1479),2)-(MONTH($A1479)&lt;=[3]Roster!$K$25)
 &amp;"-"&amp;
 RIGHT(YEAR($A1479),2)+(MONTH($A1479)&gt;=[3]Roster!$K$26)</f>
        <v>22-23</v>
      </c>
      <c r="R1479" s="1" t="e">
        <f>CHOOSE(MONTH($P1479),[3]Roster!$K$9,[3]Roster!$K$10,[3]Roster!$K$11,[3]Roster!$K$12,[3]Roster!$K$13,[3]Roster!$K$14,[3]Roster!$K$15,[3]Roster!$K$16,[3]Roster!$K$17,[3]Roster!$K$18,[3]Roster!$K$19,[3]Roster!$K$20)&amp;" "&amp;$Q1479</f>
        <v>#VALUE!</v>
      </c>
      <c r="S1479" s="1">
        <f t="shared" si="251"/>
        <v>1</v>
      </c>
      <c r="T1479" s="1" t="str">
        <f t="array" ref="T1479">IFERROR(INDEX([3]Roster!$D$3:$D$42,MATCH($B1479,[3]Roster!$C$3:$C$42,0)),"")</f>
        <v>MID/D</v>
      </c>
      <c r="U1479" s="1" t="str">
        <f t="array" ref="U1479">IFERROR(INDEX([3]Roster!$E$3:$E$42,MATCH($B1479,[3]Roster!$C$3:$C$42,0)),"")</f>
        <v>MID/D</v>
      </c>
      <c r="V1479" s="76">
        <f t="array" ref="V1479">AVERAGEIFS($E$2:$E2565,$B$2:$B2565,$B1479,$P$2:$P2565,"&lt;="&amp;$P1479,$P$2:$P2565,"&gt;"&amp;$P1479-7)</f>
        <v>8.9600000000000009</v>
      </c>
      <c r="W1479" s="76">
        <f ca="1">IFERROR(__xludf.DUMMYFUNCTION("iferror(stdevp(filter($D$2:$D2568,$B$2:$B2568=$B1482,$O$2:$O2568&lt;=$O1482,$O$2:$O2568&gt;$O1482-7)),0)"),0.433012701892219)</f>
        <v>0.43301270189221902</v>
      </c>
      <c r="X1479" s="77">
        <f t="shared" ca="1" si="252"/>
        <v>-2.2170250336881665</v>
      </c>
      <c r="Y1479" s="77">
        <f t="shared" ca="1" si="253"/>
        <v>1</v>
      </c>
      <c r="Z1479" s="76">
        <f t="array" ref="Z1479">AVERAGEIFS($F$2:$F2565,$B$2:$B2565,$B1479,$P$2:$P2565,"&lt;="&amp;$P1479,$P$2:$P2565,"&gt;"&amp;$P1479-7)</f>
        <v>7.48</v>
      </c>
      <c r="AA1479" s="76">
        <f ca="1">IFERROR(__xludf.DUMMYFUNCTION("iferror(stdevp(filter($E$2:$E2568,$B$2:$B2568=$B1482,$O$2:$O2568&lt;=$O1482,$O$2:$O2568&gt;$O1482-7)),0)"),0.5)</f>
        <v>0.5</v>
      </c>
      <c r="AB1479" s="77">
        <f t="shared" ca="1" si="254"/>
        <v>1.0399999999999991</v>
      </c>
      <c r="AC1479" s="77">
        <f t="shared" ca="1" si="255"/>
        <v>4</v>
      </c>
      <c r="AD1479" s="76">
        <f t="array" ref="AD1479">AVERAGEIFS($G$2:$G2565,$B$2:$B2565,$B1479,$P$2:$P2565,"&lt;="&amp;$P1479,$P$2:$P2565,"&gt;"&amp;$P1479-7)</f>
        <v>7.56</v>
      </c>
      <c r="AE1479" s="76">
        <f ca="1">IFERROR(__xludf.DUMMYFUNCTION("iferror(stdevp(filter($F$2:$F2568,$B$2:$B2568=$B1482,$O$2:$O2568&lt;=$O1482,$O$2:$O2568&gt;$O1482-7)),0)"),0.433012701892219)</f>
        <v>0.43301270189221902</v>
      </c>
      <c r="AF1479" s="77">
        <f t="shared" ca="1" si="256"/>
        <v>1.0161364737737431</v>
      </c>
      <c r="AG1479" s="77">
        <f t="shared" ca="1" si="257"/>
        <v>4</v>
      </c>
      <c r="AH1479" s="76">
        <f t="array" ref="AH1479">AVERAGEIFS($I$2:$I2565,$B$2:$B2565,$B1479,$P$2:$P2565,"&lt;="&amp;$P1479,$P$2:$P2565,"&gt;"&amp;$P1479-7)</f>
        <v>5.8</v>
      </c>
      <c r="AI1479" s="76">
        <f ca="1">IFERROR(__xludf.DUMMYFUNCTION("iferror(stdevp(filter($H$2:$H2568,$B$2:$B2568=$B1482,$O$2:$O2568&lt;=$O1482,$O$2:$O2568&gt;$O1482-7)),0)"),1.22474487139158)</f>
        <v>1.2247448713915801</v>
      </c>
      <c r="AJ1479" s="77">
        <f t="shared" ca="1" si="258"/>
        <v>-0.65319726474218542</v>
      </c>
      <c r="AK1479" s="77">
        <f t="shared" ca="1" si="259"/>
        <v>2</v>
      </c>
      <c r="AL1479" s="76">
        <f t="array" ref="AL1479">AVERAGEIFS($J$2:$J2565,$B$2:$B2565,$B1479,$P$2:$P2565,"&lt;="&amp;$P1479,$P$2:$P2565,"&gt;"&amp;$P1479-7)</f>
        <v>7.8</v>
      </c>
      <c r="AM1479" s="76">
        <f ca="1">IFERROR(__xludf.DUMMYFUNCTION("iferror(stdevp(filter($I$2:$I2568,$B$2:$B2568=$B1482,$O$2:$O2568&lt;=$O1482,$O$2:$O2568&gt;$O1482-7)),0)"),0)</f>
        <v>0</v>
      </c>
      <c r="AN1479" s="77">
        <f t="shared" ca="1" si="260"/>
        <v>0</v>
      </c>
      <c r="AO1479" s="77">
        <f t="shared" ca="1" si="261"/>
        <v>3</v>
      </c>
      <c r="AP1479" s="76">
        <f t="array" ref="AP1479">AVERAGEIFS($K$2:$K2565,$B$2:$B2565,$B1479,$P$2:$P2565,"&lt;="&amp;$P1479,$P$2:$P2565,"&gt;"&amp;$P1479-7)</f>
        <v>8.6</v>
      </c>
      <c r="AQ1479" s="76">
        <f ca="1">IFERROR(__xludf.DUMMYFUNCTION("iferror(stdevp(filter($J$2:$J2568,$B$2:$B2568=$B1482,$O$2:$O2568&lt;=$O1482,$O$2:$O2568&gt;$O1482-7)),0)"),0.5)</f>
        <v>0.5</v>
      </c>
      <c r="AR1479" s="77">
        <f t="shared" ca="1" si="262"/>
        <v>0.80000000000000071</v>
      </c>
      <c r="AS1479" s="77">
        <f t="shared" ca="1" si="263"/>
        <v>3</v>
      </c>
      <c r="AT1479" s="78">
        <f t="shared" ca="1" si="264"/>
        <v>0.70833333333333337</v>
      </c>
    </row>
    <row r="1480" spans="1:46" ht="12.5" x14ac:dyDescent="0.25">
      <c r="A1480" s="75">
        <v>45006.734706817129</v>
      </c>
      <c r="B1480" s="1" t="s">
        <v>20</v>
      </c>
      <c r="C1480" s="1" t="str">
        <f>INDEX(TBL_Name,MATCH(Table2[[#This Row],[Athlete Name]],listNames,0),2)</f>
        <v>Athlete 12</v>
      </c>
      <c r="D1480" s="1" t="s">
        <v>130</v>
      </c>
      <c r="E1480" s="1">
        <v>9</v>
      </c>
      <c r="F1480" s="1">
        <v>9</v>
      </c>
      <c r="G1480" s="1">
        <v>8</v>
      </c>
      <c r="H1480" s="1" t="s">
        <v>1528</v>
      </c>
      <c r="I1480" s="1">
        <v>6</v>
      </c>
      <c r="J1480" s="1">
        <v>9</v>
      </c>
      <c r="K1480" s="1">
        <v>9</v>
      </c>
      <c r="L1480" s="1">
        <v>80</v>
      </c>
      <c r="M1480" s="1" t="e">
        <f t="shared" ref="M1480" ca="1" si="497">_xludf.concat($B1480,$P1480)</f>
        <v>#NAME?</v>
      </c>
      <c r="N1480" s="1" t="e">
        <f t="shared" si="248"/>
        <v>#VALUE!</v>
      </c>
      <c r="O1480" s="1" t="e">
        <f t="shared" ref="O1480" ca="1" si="498">IF($N1480=_xludf.MINIFS($N$2:$N2986,$R$2:$R2986,$R1480),1,
($N1480-_xludf.MINIFS($N$2:$N2986,$R$2:$R2986,$R1480))+1)</f>
        <v>#VALUE!</v>
      </c>
      <c r="P1480" s="13" t="e">
        <f t="shared" si="250"/>
        <v>#VALUE!</v>
      </c>
      <c r="Q1480" s="1" t="str">
        <f>RIGHT(YEAR($A1480),2)-(MONTH($A1480)&lt;=[3]Roster!$K$25)
 &amp;"-"&amp;
 RIGHT(YEAR($A1480),2)+(MONTH($A1480)&gt;=[3]Roster!$K$26)</f>
        <v>22-23</v>
      </c>
      <c r="R1480" s="1" t="e">
        <f>CHOOSE(MONTH($P1480),[3]Roster!$K$9,[3]Roster!$K$10,[3]Roster!$K$11,[3]Roster!$K$12,[3]Roster!$K$13,[3]Roster!$K$14,[3]Roster!$K$15,[3]Roster!$K$16,[3]Roster!$K$17,[3]Roster!$K$18,[3]Roster!$K$19,[3]Roster!$K$20)&amp;" "&amp;$Q1480</f>
        <v>#VALUE!</v>
      </c>
      <c r="S1480" s="1">
        <f t="shared" si="251"/>
        <v>1</v>
      </c>
      <c r="T1480" s="1" t="str">
        <f t="array" ref="T1480">IFERROR(INDEX([3]Roster!$D$3:$D$42,MATCH($B1480,[3]Roster!$C$3:$C$42,0)),"")</f>
        <v>D</v>
      </c>
      <c r="U1480" s="1" t="str">
        <f t="array" ref="U1480">IFERROR(INDEX([3]Roster!$E$3:$E$42,MATCH($B1480,[3]Roster!$C$3:$C$42,0)),"")</f>
        <v>D</v>
      </c>
      <c r="V1480" s="76">
        <f t="array" ref="V1480">AVERAGEIFS($E$2:$E2565,$B$2:$B2565,$B1480,$P$2:$P2565,"&lt;="&amp;$P1480,$P$2:$P2565,"&gt;"&amp;$P1480-7)</f>
        <v>7.4761904761904763</v>
      </c>
      <c r="W1480" s="76">
        <f ca="1">IFERROR(__xludf.DUMMYFUNCTION("iferror(stdevp(filter($D$2:$D2568,$B$2:$B2568=$B1483,$O$2:$O2568&lt;=$O1483,$O$2:$O2568&gt;$O1483-7)),0)"),0.4)</f>
        <v>0.4</v>
      </c>
      <c r="X1480" s="77">
        <f t="shared" ca="1" si="252"/>
        <v>3.8095238095238093</v>
      </c>
      <c r="Y1480" s="77">
        <f t="shared" ca="1" si="253"/>
        <v>4</v>
      </c>
      <c r="Z1480" s="76">
        <f t="array" ref="Z1480">AVERAGEIFS($F$2:$F2565,$B$2:$B2565,$B1480,$P$2:$P2565,"&lt;="&amp;$P1480,$P$2:$P2565,"&gt;"&amp;$P1480-7)</f>
        <v>8.1904761904761898</v>
      </c>
      <c r="AA1480" s="76">
        <f ca="1">IFERROR(__xludf.DUMMYFUNCTION("iferror(stdevp(filter($E$2:$E2568,$B$2:$B2568=$B1483,$O$2:$O2568&lt;=$O1483,$O$2:$O2568&gt;$O1483-7)),0)"),1.09544511501033)</f>
        <v>1.0954451150103299</v>
      </c>
      <c r="AB1480" s="77">
        <f t="shared" ca="1" si="254"/>
        <v>0.73899075218951205</v>
      </c>
      <c r="AC1480" s="77">
        <f t="shared" ca="1" si="255"/>
        <v>3</v>
      </c>
      <c r="AD1480" s="76">
        <f t="array" ref="AD1480">AVERAGEIFS($G$2:$G2565,$B$2:$B2565,$B1480,$P$2:$P2565,"&lt;="&amp;$P1480,$P$2:$P2565,"&gt;"&amp;$P1480-7)</f>
        <v>8.5714285714285712</v>
      </c>
      <c r="AE1480" s="76">
        <f ca="1">IFERROR(__xludf.DUMMYFUNCTION("iferror(stdevp(filter($F$2:$F2568,$B$2:$B2568=$B1483,$O$2:$O2568&lt;=$O1483,$O$2:$O2568&gt;$O1483-7)),0)"),0.8)</f>
        <v>0.8</v>
      </c>
      <c r="AF1480" s="77">
        <f t="shared" ca="1" si="256"/>
        <v>-0.71428571428571397</v>
      </c>
      <c r="AG1480" s="77">
        <f t="shared" ca="1" si="257"/>
        <v>2</v>
      </c>
      <c r="AH1480" s="76">
        <f t="array" ref="AH1480">AVERAGEIFS($I$2:$I2565,$B$2:$B2565,$B1480,$P$2:$P2565,"&lt;="&amp;$P1480,$P$2:$P2565,"&gt;"&amp;$P1480-7)</f>
        <v>5.6190476190476186</v>
      </c>
      <c r="AI1480" s="76">
        <f ca="1">IFERROR(__xludf.DUMMYFUNCTION("iferror(stdevp(filter($H$2:$H2568,$B$2:$B2568=$B1483,$O$2:$O2568&lt;=$O1483,$O$2:$O2568&gt;$O1483-7)),0)"),1.01980390271855)</f>
        <v>1.0198039027185499</v>
      </c>
      <c r="AJ1480" s="77">
        <f t="shared" ca="1" si="258"/>
        <v>0.37355454312035352</v>
      </c>
      <c r="AK1480" s="77">
        <f t="shared" ca="1" si="259"/>
        <v>3</v>
      </c>
      <c r="AL1480" s="76">
        <f t="array" ref="AL1480">AVERAGEIFS($J$2:$J2565,$B$2:$B2565,$B1480,$P$2:$P2565,"&lt;="&amp;$P1480,$P$2:$P2565,"&gt;"&amp;$P1480-7)</f>
        <v>7</v>
      </c>
      <c r="AM1480" s="76">
        <f ca="1">IFERROR(__xludf.DUMMYFUNCTION("iferror(stdevp(filter($I$2:$I2568,$B$2:$B2568=$B1483,$O$2:$O2568&lt;=$O1483,$O$2:$O2568&gt;$O1483-7)),0)"),0.489897948556635)</f>
        <v>0.48989794855663499</v>
      </c>
      <c r="AN1480" s="77">
        <f t="shared" ca="1" si="260"/>
        <v>4.0824829046386357</v>
      </c>
      <c r="AO1480" s="77">
        <f t="shared" ca="1" si="261"/>
        <v>4</v>
      </c>
      <c r="AP1480" s="76">
        <f t="array" ref="AP1480">AVERAGEIFS($K$2:$K2565,$B$2:$B2565,$B1480,$P$2:$P2565,"&lt;="&amp;$P1480,$P$2:$P2565,"&gt;"&amp;$P1480-7)</f>
        <v>7.4285714285714288</v>
      </c>
      <c r="AQ1480" s="76">
        <f ca="1">IFERROR(__xludf.DUMMYFUNCTION("iferror(stdevp(filter($J$2:$J2568,$B$2:$B2568=$B1483,$O$2:$O2568&lt;=$O1483,$O$2:$O2568&gt;$O1483-7)),0)"),1.16619037896906)</f>
        <v>1.16619037896906</v>
      </c>
      <c r="AR1480" s="77">
        <f t="shared" ca="1" si="262"/>
        <v>1.3474888832625693</v>
      </c>
      <c r="AS1480" s="77">
        <f t="shared" ca="1" si="263"/>
        <v>4</v>
      </c>
      <c r="AT1480" s="78">
        <f t="shared" ca="1" si="264"/>
        <v>0.83333333333333337</v>
      </c>
    </row>
    <row r="1481" spans="1:46" ht="12.5" x14ac:dyDescent="0.25">
      <c r="A1481" s="75">
        <v>45007.306444016205</v>
      </c>
      <c r="B1481" s="1" t="s">
        <v>13</v>
      </c>
      <c r="C1481" s="1" t="str">
        <f>INDEX(TBL_Name,MATCH(Table2[[#This Row],[Athlete Name]],listNames,0),2)</f>
        <v>Athlete 7</v>
      </c>
      <c r="D1481" s="1" t="s">
        <v>130</v>
      </c>
      <c r="E1481" s="1">
        <v>8</v>
      </c>
      <c r="F1481" s="1">
        <v>7</v>
      </c>
      <c r="G1481" s="1">
        <v>7</v>
      </c>
      <c r="H1481" s="1" t="s">
        <v>226</v>
      </c>
      <c r="I1481" s="1">
        <v>7</v>
      </c>
      <c r="J1481" s="1">
        <v>10</v>
      </c>
      <c r="K1481" s="1">
        <v>8</v>
      </c>
      <c r="L1481" s="1">
        <v>70</v>
      </c>
      <c r="M1481" s="1" t="e">
        <f t="shared" ref="M1481" ca="1" si="499">_xludf.concat($B1481,$P1481)</f>
        <v>#NAME?</v>
      </c>
      <c r="N1481" s="1" t="e">
        <f t="shared" si="248"/>
        <v>#VALUE!</v>
      </c>
      <c r="O1481" s="1" t="e">
        <f t="shared" ref="O1481" ca="1" si="500">IF($N1481=_xludf.MINIFS($N$2:$N2987,$R$2:$R2987,$R1481),1,
($N1481-_xludf.MINIFS($N$2:$N2987,$R$2:$R2987,$R1481))+1)</f>
        <v>#VALUE!</v>
      </c>
      <c r="P1481" s="13" t="e">
        <f t="shared" si="250"/>
        <v>#VALUE!</v>
      </c>
      <c r="Q1481" s="1" t="str">
        <f>RIGHT(YEAR($A1481),2)-(MONTH($A1481)&lt;=[3]Roster!$K$25)
 &amp;"-"&amp;
 RIGHT(YEAR($A1481),2)+(MONTH($A1481)&gt;=[3]Roster!$K$26)</f>
        <v>22-23</v>
      </c>
      <c r="R1481" s="1" t="e">
        <f>CHOOSE(MONTH($P1481),[3]Roster!$K$9,[3]Roster!$K$10,[3]Roster!$K$11,[3]Roster!$K$12,[3]Roster!$K$13,[3]Roster!$K$14,[3]Roster!$K$15,[3]Roster!$K$16,[3]Roster!$K$17,[3]Roster!$K$18,[3]Roster!$K$19,[3]Roster!$K$20)&amp;" "&amp;$Q1481</f>
        <v>#VALUE!</v>
      </c>
      <c r="S1481" s="1">
        <f t="shared" si="251"/>
        <v>1</v>
      </c>
      <c r="T1481" s="1" t="str">
        <f t="array" ref="T1481">IFERROR(INDEX([3]Roster!$D$3:$D$42,MATCH($B1481,[3]Roster!$C$3:$C$42,0)),"")</f>
        <v>MID/D</v>
      </c>
      <c r="U1481" s="1" t="str">
        <f t="array" ref="U1481">IFERROR(INDEX([3]Roster!$E$3:$E$42,MATCH($B1481,[3]Roster!$C$3:$C$42,0)),"")</f>
        <v>MID/D</v>
      </c>
      <c r="V1481" s="76">
        <f t="array" ref="V1481">AVERAGEIFS($E$2:$E2565,$B$2:$B2565,$B1481,$P$2:$P2565,"&lt;="&amp;$P1481,$P$2:$P2565,"&gt;"&amp;$P1481-7)</f>
        <v>7.6857142857142859</v>
      </c>
      <c r="W1481" s="76">
        <f ca="1">IFERROR(__xludf.DUMMYFUNCTION("iferror(stdevp(filter($D$2:$D2568,$B$2:$B2568=$B1484,$O$2:$O2568&lt;=$O1484,$O$2:$O2568&gt;$O1484-7)),0)"),1.04978131833564)</f>
        <v>1.0497813183356399</v>
      </c>
      <c r="X1481" s="77">
        <f t="shared" ca="1" si="252"/>
        <v>0.29938207967350156</v>
      </c>
      <c r="Y1481" s="77">
        <f t="shared" ca="1" si="253"/>
        <v>3</v>
      </c>
      <c r="Z1481" s="76">
        <f t="array" ref="Z1481">AVERAGEIFS($F$2:$F2565,$B$2:$B2565,$B1481,$P$2:$P2565,"&lt;="&amp;$P1481,$P$2:$P2565,"&gt;"&amp;$P1481-7)</f>
        <v>7.0857142857142854</v>
      </c>
      <c r="AA1481" s="76">
        <f ca="1">IFERROR(__xludf.DUMMYFUNCTION("iferror(stdevp(filter($E$2:$E2568,$B$2:$B2568=$B1484,$O$2:$O2568&lt;=$O1484,$O$2:$O2568&gt;$O1484-7)),0)"),1.27775312999987)</f>
        <v>1.2777531299998699</v>
      </c>
      <c r="AB1481" s="77">
        <f t="shared" ca="1" si="254"/>
        <v>-6.7082039324993972E-2</v>
      </c>
      <c r="AC1481" s="77">
        <f t="shared" ca="1" si="255"/>
        <v>2</v>
      </c>
      <c r="AD1481" s="76">
        <f t="array" ref="AD1481">AVERAGEIFS($G$2:$G2565,$B$2:$B2565,$B1481,$P$2:$P2565,"&lt;="&amp;$P1481,$P$2:$P2565,"&gt;"&amp;$P1481-7)</f>
        <v>7.1428571428571432</v>
      </c>
      <c r="AE1481" s="76">
        <f ca="1">IFERROR(__xludf.DUMMYFUNCTION("iferror(stdevp(filter($F$2:$F2568,$B$2:$B2568=$B1484,$O$2:$O2568&lt;=$O1484,$O$2:$O2568&gt;$O1484-7)),0)"),0.755928946018454)</f>
        <v>0.75592894601845395</v>
      </c>
      <c r="AF1481" s="77">
        <f t="shared" ca="1" si="256"/>
        <v>-0.18898223650461424</v>
      </c>
      <c r="AG1481" s="77">
        <f t="shared" ca="1" si="257"/>
        <v>2</v>
      </c>
      <c r="AH1481" s="76">
        <f t="array" ref="AH1481">AVERAGEIFS($I$2:$I2565,$B$2:$B2565,$B1481,$P$2:$P2565,"&lt;="&amp;$P1481,$P$2:$P2565,"&gt;"&amp;$P1481-7)</f>
        <v>7.0285714285714285</v>
      </c>
      <c r="AI1481" s="76">
        <f ca="1">IFERROR(__xludf.DUMMYFUNCTION("iferror(stdevp(filter($H$2:$H2568,$B$2:$B2568=$B1484,$O$2:$O2568&lt;=$O1484,$O$2:$O2568&gt;$O1484-7)),0)"),0.989743318610787)</f>
        <v>0.98974331861078702</v>
      </c>
      <c r="AJ1481" s="77">
        <f t="shared" ca="1" si="258"/>
        <v>-2.8867513459481187E-2</v>
      </c>
      <c r="AK1481" s="77">
        <f t="shared" ca="1" si="259"/>
        <v>2</v>
      </c>
      <c r="AL1481" s="76">
        <f t="array" ref="AL1481">AVERAGEIFS($J$2:$J2565,$B$2:$B2565,$B1481,$P$2:$P2565,"&lt;="&amp;$P1481,$P$2:$P2565,"&gt;"&amp;$P1481-7)</f>
        <v>9.742857142857142</v>
      </c>
      <c r="AM1481" s="76">
        <f ca="1">IFERROR(__xludf.DUMMYFUNCTION("iferror(stdevp(filter($I$2:$I2568,$B$2:$B2568=$B1484,$O$2:$O2568&lt;=$O1484,$O$2:$O2568&gt;$O1484-7)),0)"),0)</f>
        <v>0</v>
      </c>
      <c r="AN1481" s="77">
        <f t="shared" ca="1" si="260"/>
        <v>0</v>
      </c>
      <c r="AO1481" s="77">
        <f t="shared" ca="1" si="261"/>
        <v>3</v>
      </c>
      <c r="AP1481" s="76">
        <f t="array" ref="AP1481">AVERAGEIFS($K$2:$K2565,$B$2:$B2565,$B1481,$P$2:$P2565,"&lt;="&amp;$P1481,$P$2:$P2565,"&gt;"&amp;$P1481-7)</f>
        <v>9.4285714285714288</v>
      </c>
      <c r="AQ1481" s="76">
        <f ca="1">IFERROR(__xludf.DUMMYFUNCTION("iferror(stdevp(filter($J$2:$J2568,$B$2:$B2568=$B1484,$O$2:$O2568&lt;=$O1484,$O$2:$O2568&gt;$O1484-7)),0)"),0.903507902905251)</f>
        <v>0.90350790290525096</v>
      </c>
      <c r="AR1481" s="77">
        <f t="shared" ca="1" si="262"/>
        <v>-1.5811388300841904</v>
      </c>
      <c r="AS1481" s="77">
        <f t="shared" ca="1" si="263"/>
        <v>1</v>
      </c>
      <c r="AT1481" s="78">
        <f t="shared" ca="1" si="264"/>
        <v>0.54166666666666663</v>
      </c>
    </row>
    <row r="1482" spans="1:46" ht="12.5" x14ac:dyDescent="0.25">
      <c r="A1482" s="75">
        <v>45007.373743275464</v>
      </c>
      <c r="B1482" s="1" t="s">
        <v>17</v>
      </c>
      <c r="C1482" s="1" t="str">
        <f>INDEX(TBL_Name,MATCH(Table2[[#This Row],[Athlete Name]],listNames,0),2)</f>
        <v>Athlete 10</v>
      </c>
      <c r="D1482" s="1" t="s">
        <v>130</v>
      </c>
      <c r="E1482" s="1">
        <v>4</v>
      </c>
      <c r="F1482" s="1">
        <v>6</v>
      </c>
      <c r="G1482" s="1">
        <v>5</v>
      </c>
      <c r="H1482" s="1" t="s">
        <v>228</v>
      </c>
      <c r="I1482" s="1">
        <v>6</v>
      </c>
      <c r="J1482" s="1">
        <v>9</v>
      </c>
      <c r="K1482" s="1">
        <v>7</v>
      </c>
      <c r="L1482" s="1">
        <v>76</v>
      </c>
      <c r="M1482" s="1" t="e">
        <f t="shared" ref="M1482" ca="1" si="501">_xludf.concat($B1482,$P1482)</f>
        <v>#NAME?</v>
      </c>
      <c r="N1482" s="1" t="e">
        <f t="shared" si="248"/>
        <v>#VALUE!</v>
      </c>
      <c r="O1482" s="1" t="e">
        <f t="shared" ref="O1482" ca="1" si="502">IF($N1482=_xludf.MINIFS($N$2:$N2988,$R$2:$R2988,$R1482),1,
($N1482-_xludf.MINIFS($N$2:$N2988,$R$2:$R2988,$R1482))+1)</f>
        <v>#VALUE!</v>
      </c>
      <c r="P1482" s="13" t="e">
        <f t="shared" si="250"/>
        <v>#VALUE!</v>
      </c>
      <c r="Q1482" s="1" t="str">
        <f>RIGHT(YEAR($A1482),2)-(MONTH($A1482)&lt;=[3]Roster!$K$25)
 &amp;"-"&amp;
 RIGHT(YEAR($A1482),2)+(MONTH($A1482)&gt;=[3]Roster!$K$26)</f>
        <v>22-23</v>
      </c>
      <c r="R1482" s="1" t="e">
        <f>CHOOSE(MONTH($P1482),[3]Roster!$K$9,[3]Roster!$K$10,[3]Roster!$K$11,[3]Roster!$K$12,[3]Roster!$K$13,[3]Roster!$K$14,[3]Roster!$K$15,[3]Roster!$K$16,[3]Roster!$K$17,[3]Roster!$K$18,[3]Roster!$K$19,[3]Roster!$K$20)&amp;" "&amp;$Q1482</f>
        <v>#VALUE!</v>
      </c>
      <c r="S1482" s="1">
        <f t="shared" si="251"/>
        <v>1</v>
      </c>
      <c r="T1482" s="1" t="str">
        <f t="array" ref="T1482">IFERROR(INDEX([3]Roster!$D$3:$D$42,MATCH($B1482,[3]Roster!$C$3:$C$42,0)),"")</f>
        <v>D</v>
      </c>
      <c r="U1482" s="1" t="str">
        <f t="array" ref="U1482">IFERROR(INDEX([3]Roster!$E$3:$E$42,MATCH($B1482,[3]Roster!$C$3:$C$42,0)),"")</f>
        <v>D</v>
      </c>
      <c r="V1482" s="76">
        <f t="array" ref="V1482">AVERAGEIFS($E$2:$E2565,$B$2:$B2565,$B1482,$P$2:$P2565,"&lt;="&amp;$P1482,$P$2:$P2565,"&gt;"&amp;$P1482-7)</f>
        <v>6.9024390243902438</v>
      </c>
      <c r="W1482" s="76">
        <f ca="1">IFERROR(__xludf.DUMMYFUNCTION("iferror(stdevp(filter($D$2:$D2568,$B$2:$B2568=$B1485,$O$2:$O2568&lt;=$O1485,$O$2:$O2568&gt;$O1485-7)),0)"),1.92724822331886)</f>
        <v>1.9272482233188599</v>
      </c>
      <c r="X1482" s="77">
        <f t="shared" ca="1" si="252"/>
        <v>-1.5060016604358495</v>
      </c>
      <c r="Y1482" s="77">
        <f t="shared" ca="1" si="253"/>
        <v>1</v>
      </c>
      <c r="Z1482" s="76">
        <f t="array" ref="Z1482">AVERAGEIFS($F$2:$F2565,$B$2:$B2565,$B1482,$P$2:$P2565,"&lt;="&amp;$P1482,$P$2:$P2565,"&gt;"&amp;$P1482-7)</f>
        <v>7.2926829268292686</v>
      </c>
      <c r="AA1482" s="76">
        <f ca="1">IFERROR(__xludf.DUMMYFUNCTION("iferror(stdevp(filter($E$2:$E2568,$B$2:$B2568=$B1485,$O$2:$O2568&lt;=$O1485,$O$2:$O2568&gt;$O1485-7)),0)"),1.39970842444753)</f>
        <v>1.39970842444753</v>
      </c>
      <c r="AB1482" s="77">
        <f t="shared" ca="1" si="254"/>
        <v>-0.9235372912322759</v>
      </c>
      <c r="AC1482" s="77">
        <f t="shared" ca="1" si="255"/>
        <v>2</v>
      </c>
      <c r="AD1482" s="76">
        <f t="array" ref="AD1482">AVERAGEIFS($G$2:$G2565,$B$2:$B2565,$B1482,$P$2:$P2565,"&lt;="&amp;$P1482,$P$2:$P2565,"&gt;"&amp;$P1482-7)</f>
        <v>7.8048780487804876</v>
      </c>
      <c r="AE1482" s="76">
        <f ca="1">IFERROR(__xludf.DUMMYFUNCTION("iferror(stdevp(filter($F$2:$F2568,$B$2:$B2568=$B1485,$O$2:$O2568&lt;=$O1485,$O$2:$O2568&gt;$O1485-7)),0)"),1.55182578445717)</f>
        <v>1.5518257844571699</v>
      </c>
      <c r="AF1482" s="77">
        <f t="shared" ca="1" si="256"/>
        <v>-1.8074696766052489</v>
      </c>
      <c r="AG1482" s="77">
        <f t="shared" ca="1" si="257"/>
        <v>1</v>
      </c>
      <c r="AH1482" s="76">
        <f t="array" ref="AH1482">AVERAGEIFS($I$2:$I2565,$B$2:$B2565,$B1482,$P$2:$P2565,"&lt;="&amp;$P1482,$P$2:$P2565,"&gt;"&amp;$P1482-7)</f>
        <v>6.3170731707317076</v>
      </c>
      <c r="AI1482" s="76">
        <f ca="1">IFERROR(__xludf.DUMMYFUNCTION("iferror(stdevp(filter($H$2:$H2568,$B$2:$B2568=$B1485,$O$2:$O2568&lt;=$O1485,$O$2:$O2568&gt;$O1485-7)),0)"),1.03015750727542)</f>
        <v>1.0301575072754201</v>
      </c>
      <c r="AJ1482" s="77">
        <f t="shared" ca="1" si="258"/>
        <v>-0.30779096253961075</v>
      </c>
      <c r="AK1482" s="77">
        <f t="shared" ca="1" si="259"/>
        <v>2</v>
      </c>
      <c r="AL1482" s="76">
        <f t="array" ref="AL1482">AVERAGEIFS($J$2:$J2565,$B$2:$B2565,$B1482,$P$2:$P2565,"&lt;="&amp;$P1482,$P$2:$P2565,"&gt;"&amp;$P1482-7)</f>
        <v>6.9024390243902438</v>
      </c>
      <c r="AM1482" s="76">
        <f ca="1">IFERROR(__xludf.DUMMYFUNCTION("iferror(stdevp(filter($I$2:$I2568,$B$2:$B2568=$B1485,$O$2:$O2568&lt;=$O1485,$O$2:$O2568&gt;$O1485-7)),0)"),1.29362644830534)</f>
        <v>1.2936264483053399</v>
      </c>
      <c r="AN1482" s="77">
        <f t="shared" ca="1" si="260"/>
        <v>1.6214580170014121</v>
      </c>
      <c r="AO1482" s="77">
        <f t="shared" ca="1" si="261"/>
        <v>4</v>
      </c>
      <c r="AP1482" s="76">
        <f t="array" ref="AP1482">AVERAGEIFS($K$2:$K2565,$B$2:$B2565,$B1482,$P$2:$P2565,"&lt;="&amp;$P1482,$P$2:$P2565,"&gt;"&amp;$P1482-7)</f>
        <v>8</v>
      </c>
      <c r="AQ1482" s="76">
        <f ca="1">IFERROR(__xludf.DUMMYFUNCTION("iferror(stdevp(filter($J$2:$J2568,$B$2:$B2568=$B1485,$O$2:$O2568&lt;=$O1485,$O$2:$O2568&gt;$O1485-7)),0)"),0.880630571852711)</f>
        <v>0.88063057185271099</v>
      </c>
      <c r="AR1482" s="77">
        <f t="shared" ca="1" si="262"/>
        <v>-1.1355499479153377</v>
      </c>
      <c r="AS1482" s="77">
        <f t="shared" ca="1" si="263"/>
        <v>1</v>
      </c>
      <c r="AT1482" s="78">
        <f t="shared" ca="1" si="264"/>
        <v>0.45833333333333331</v>
      </c>
    </row>
    <row r="1483" spans="1:46" ht="12.5" x14ac:dyDescent="0.25">
      <c r="A1483" s="75">
        <v>45007.383103032407</v>
      </c>
      <c r="B1483" s="1" t="s">
        <v>6</v>
      </c>
      <c r="C1483" s="1" t="str">
        <f>INDEX(TBL_Name,MATCH(Table2[[#This Row],[Athlete Name]],listNames,0),2)</f>
        <v>Athlete 2</v>
      </c>
      <c r="D1483" s="1" t="s">
        <v>130</v>
      </c>
      <c r="E1483" s="1">
        <v>8</v>
      </c>
      <c r="F1483" s="1">
        <v>3</v>
      </c>
      <c r="G1483" s="1">
        <v>7</v>
      </c>
      <c r="H1483" s="1" t="s">
        <v>71</v>
      </c>
      <c r="I1483" s="1">
        <v>9</v>
      </c>
      <c r="J1483" s="1">
        <v>10</v>
      </c>
      <c r="K1483" s="1">
        <v>10</v>
      </c>
      <c r="L1483" s="1">
        <v>93</v>
      </c>
      <c r="M1483" s="1" t="e">
        <f t="shared" ref="M1483" ca="1" si="503">_xludf.concat($B1483,$P1483)</f>
        <v>#NAME?</v>
      </c>
      <c r="N1483" s="1" t="e">
        <f t="shared" si="248"/>
        <v>#VALUE!</v>
      </c>
      <c r="O1483" s="1" t="e">
        <f t="shared" ref="O1483" ca="1" si="504">IF($N1483=_xludf.MINIFS($N$2:$N2989,$R$2:$R2989,$R1483),1,
($N1483-_xludf.MINIFS($N$2:$N2989,$R$2:$R2989,$R1483))+1)</f>
        <v>#VALUE!</v>
      </c>
      <c r="P1483" s="13" t="e">
        <f t="shared" si="250"/>
        <v>#VALUE!</v>
      </c>
      <c r="Q1483" s="1" t="str">
        <f>RIGHT(YEAR($A1483),2)-(MONTH($A1483)&lt;=[3]Roster!$K$25)
 &amp;"-"&amp;
 RIGHT(YEAR($A1483),2)+(MONTH($A1483)&gt;=[3]Roster!$K$26)</f>
        <v>22-23</v>
      </c>
      <c r="R1483" s="1" t="e">
        <f>CHOOSE(MONTH($P1483),[3]Roster!$K$9,[3]Roster!$K$10,[3]Roster!$K$11,[3]Roster!$K$12,[3]Roster!$K$13,[3]Roster!$K$14,[3]Roster!$K$15,[3]Roster!$K$16,[3]Roster!$K$17,[3]Roster!$K$18,[3]Roster!$K$19,[3]Roster!$K$20)&amp;" "&amp;$Q1483</f>
        <v>#VALUE!</v>
      </c>
      <c r="S1483" s="1">
        <f t="shared" si="251"/>
        <v>1</v>
      </c>
      <c r="T1483" s="1" t="str">
        <f t="array" ref="T1483">IFERROR(INDEX([3]Roster!$D$3:$D$42,MATCH($B1483,[3]Roster!$C$3:$C$42,0)),"")</f>
        <v>FWD</v>
      </c>
      <c r="U1483" s="1" t="str">
        <f t="array" ref="U1483">IFERROR(INDEX([3]Roster!$E$3:$E$42,MATCH($B1483,[3]Roster!$C$3:$C$42,0)),"")</f>
        <v>FWD</v>
      </c>
      <c r="V1483" s="76">
        <f t="array" ref="V1483">AVERAGEIFS($E$2:$E2565,$B$2:$B2565,$B1483,$P$2:$P2565,"&lt;="&amp;$P1483,$P$2:$P2565,"&gt;"&amp;$P1483-7)</f>
        <v>9.7441860465116275</v>
      </c>
      <c r="W1483" s="76">
        <f ca="1">IFERROR(__xludf.DUMMYFUNCTION("iferror(stdevp(filter($D$2:$D2568,$B$2:$B2568=$B1486,$O$2:$O2568&lt;=$O1486,$O$2:$O2568&gt;$O1486-7)),0)"),0.699854212223765)</f>
        <v>0.69985421222376498</v>
      </c>
      <c r="X1483" s="77">
        <f t="shared" ca="1" si="252"/>
        <v>-2.4922134010875361</v>
      </c>
      <c r="Y1483" s="77">
        <f t="shared" ca="1" si="253"/>
        <v>1</v>
      </c>
      <c r="Z1483" s="76">
        <f t="array" ref="Z1483">AVERAGEIFS($F$2:$F2565,$B$2:$B2565,$B1483,$P$2:$P2565,"&lt;="&amp;$P1483,$P$2:$P2565,"&gt;"&amp;$P1483-7)</f>
        <v>8.279069767441861</v>
      </c>
      <c r="AA1483" s="76">
        <f ca="1">IFERROR(__xludf.DUMMYFUNCTION("iferror(stdevp(filter($E$2:$E2568,$B$2:$B2568=$B1486,$O$2:$O2568&lt;=$O1486,$O$2:$O2568&gt;$O1486-7)),0)"),2.38190457150472)</f>
        <v>2.38190457150472</v>
      </c>
      <c r="AB1483" s="77">
        <f t="shared" ca="1" si="254"/>
        <v>-2.2163229503803823</v>
      </c>
      <c r="AC1483" s="77">
        <f t="shared" ca="1" si="255"/>
        <v>1</v>
      </c>
      <c r="AD1483" s="76">
        <f t="array" ref="AD1483">AVERAGEIFS($G$2:$G2565,$B$2:$B2565,$B1483,$P$2:$P2565,"&lt;="&amp;$P1483,$P$2:$P2565,"&gt;"&amp;$P1483-7)</f>
        <v>8.604651162790697</v>
      </c>
      <c r="AE1483" s="76">
        <f ca="1">IFERROR(__xludf.DUMMYFUNCTION("iferror(stdevp(filter($F$2:$F2568,$B$2:$B2568=$B1486,$O$2:$O2568&lt;=$O1486,$O$2:$O2568&gt;$O1486-7)),0)"),1.03015750727542)</f>
        <v>1.0301575072754201</v>
      </c>
      <c r="AF1483" s="77">
        <f t="shared" ca="1" si="256"/>
        <v>-1.5576755510278311</v>
      </c>
      <c r="AG1483" s="77">
        <f t="shared" ca="1" si="257"/>
        <v>1</v>
      </c>
      <c r="AH1483" s="76">
        <f t="array" ref="AH1483">AVERAGEIFS($I$2:$I2565,$B$2:$B2565,$B1483,$P$2:$P2565,"&lt;="&amp;$P1483,$P$2:$P2565,"&gt;"&amp;$P1483-7)</f>
        <v>8.3488372093023262</v>
      </c>
      <c r="AI1483" s="76">
        <f ca="1">IFERROR(__xludf.DUMMYFUNCTION("iferror(stdevp(filter($H$2:$H2568,$B$2:$B2568=$B1486,$O$2:$O2568&lt;=$O1486,$O$2:$O2568&gt;$O1486-7)),0)"),0.494871659305393)</f>
        <v>0.49487165930539301</v>
      </c>
      <c r="AJ1483" s="77">
        <f t="shared" ca="1" si="258"/>
        <v>1.315821543734496</v>
      </c>
      <c r="AK1483" s="77">
        <f t="shared" ca="1" si="259"/>
        <v>4</v>
      </c>
      <c r="AL1483" s="76">
        <f t="array" ref="AL1483">AVERAGEIFS($J$2:$J2565,$B$2:$B2565,$B1483,$P$2:$P2565,"&lt;="&amp;$P1483,$P$2:$P2565,"&gt;"&amp;$P1483-7)</f>
        <v>8.3023255813953494</v>
      </c>
      <c r="AM1483" s="76">
        <f ca="1">IFERROR(__xludf.DUMMYFUNCTION("iferror(stdevp(filter($I$2:$I2568,$B$2:$B2568=$B1486,$O$2:$O2568&lt;=$O1486,$O$2:$O2568&gt;$O1486-7)),0)"),0.728431359084683)</f>
        <v>0.72843135908468304</v>
      </c>
      <c r="AN1483" s="77">
        <f t="shared" ca="1" si="260"/>
        <v>2.3305894198979553</v>
      </c>
      <c r="AO1483" s="77">
        <f t="shared" ca="1" si="261"/>
        <v>4</v>
      </c>
      <c r="AP1483" s="76">
        <f t="array" ref="AP1483">AVERAGEIFS($K$2:$K2565,$B$2:$B2565,$B1483,$P$2:$P2565,"&lt;="&amp;$P1483,$P$2:$P2565,"&gt;"&amp;$P1483-7)</f>
        <v>8.9069767441860463</v>
      </c>
      <c r="AQ1483" s="76">
        <f ca="1">IFERROR(__xludf.DUMMYFUNCTION("iferror(stdevp(filter($J$2:$J2568,$B$2:$B2568=$B1486,$O$2:$O2568&lt;=$O1486,$O$2:$O2568&gt;$O1486-7)),0)"),0)</f>
        <v>0</v>
      </c>
      <c r="AR1483" s="77">
        <f t="shared" ca="1" si="262"/>
        <v>0</v>
      </c>
      <c r="AS1483" s="77">
        <f t="shared" ca="1" si="263"/>
        <v>3</v>
      </c>
      <c r="AT1483" s="78">
        <f t="shared" ca="1" si="264"/>
        <v>0.58333333333333337</v>
      </c>
    </row>
    <row r="1484" spans="1:46" ht="12.5" x14ac:dyDescent="0.25">
      <c r="A1484" s="75">
        <v>45007.444855358801</v>
      </c>
      <c r="B1484" s="1" t="s">
        <v>4</v>
      </c>
      <c r="C1484" s="1" t="str">
        <f>INDEX(TBL_Name,MATCH(Table2[[#This Row],[Athlete Name]],listNames,0),2)</f>
        <v>Athlete 1</v>
      </c>
      <c r="D1484" s="1" t="s">
        <v>130</v>
      </c>
      <c r="E1484" s="1">
        <v>9</v>
      </c>
      <c r="F1484" s="1">
        <v>6</v>
      </c>
      <c r="G1484" s="1">
        <v>7</v>
      </c>
      <c r="H1484" s="1" t="s">
        <v>1634</v>
      </c>
      <c r="I1484" s="1">
        <v>7</v>
      </c>
      <c r="J1484" s="1">
        <v>5</v>
      </c>
      <c r="K1484" s="1">
        <v>5</v>
      </c>
      <c r="L1484" s="1">
        <v>85</v>
      </c>
      <c r="M1484" s="1" t="e">
        <f t="shared" ref="M1484" ca="1" si="505">_xludf.concat($B1484,$P1484)</f>
        <v>#NAME?</v>
      </c>
      <c r="N1484" s="1" t="e">
        <f t="shared" si="248"/>
        <v>#VALUE!</v>
      </c>
      <c r="O1484" s="1" t="e">
        <f t="shared" ref="O1484" ca="1" si="506">IF($N1484=_xludf.MINIFS($N$2:$N2990,$R$2:$R2990,$R1484),1,
($N1484-_xludf.MINIFS($N$2:$N2990,$R$2:$R2990,$R1484))+1)</f>
        <v>#VALUE!</v>
      </c>
      <c r="P1484" s="13" t="e">
        <f t="shared" si="250"/>
        <v>#VALUE!</v>
      </c>
      <c r="Q1484" s="1" t="str">
        <f>RIGHT(YEAR($A1484),2)-(MONTH($A1484)&lt;=[3]Roster!$K$25)
 &amp;"-"&amp;
 RIGHT(YEAR($A1484),2)+(MONTH($A1484)&gt;=[3]Roster!$K$26)</f>
        <v>22-23</v>
      </c>
      <c r="R1484" s="1" t="e">
        <f>CHOOSE(MONTH($P1484),[3]Roster!$K$9,[3]Roster!$K$10,[3]Roster!$K$11,[3]Roster!$K$12,[3]Roster!$K$13,[3]Roster!$K$14,[3]Roster!$K$15,[3]Roster!$K$16,[3]Roster!$K$17,[3]Roster!$K$18,[3]Roster!$K$19,[3]Roster!$K$20)&amp;" "&amp;$Q1484</f>
        <v>#VALUE!</v>
      </c>
      <c r="S1484" s="1">
        <f t="shared" si="251"/>
        <v>1</v>
      </c>
      <c r="T1484" s="1" t="str">
        <f t="array" ref="T1484">IFERROR(INDEX([3]Roster!$D$3:$D$42,MATCH($B1484,[3]Roster!$C$3:$C$42,0)),"")</f>
        <v>FWD</v>
      </c>
      <c r="U1484" s="1" t="str">
        <f t="array" ref="U1484">IFERROR(INDEX([3]Roster!$E$3:$E$42,MATCH($B1484,[3]Roster!$C$3:$C$42,0)),"")</f>
        <v>FWD</v>
      </c>
      <c r="V1484" s="76">
        <f t="array" ref="V1484">AVERAGEIFS($E$2:$E2565,$B$2:$B2565,$B1484,$P$2:$P2565,"&lt;="&amp;$P1484,$P$2:$P2565,"&gt;"&amp;$P1484-7)</f>
        <v>8.3809523809523814</v>
      </c>
      <c r="W1484" s="76">
        <f ca="1">IFERROR(__xludf.DUMMYFUNCTION("iferror(stdevp(filter($D$2:$D2568,$B$2:$B2568=$B1487,$O$2:$O2568&lt;=$O1487,$O$2:$O2568&gt;$O1487-7)),0)"),0.433012701892219)</f>
        <v>0.43301270189221902</v>
      </c>
      <c r="X1484" s="77">
        <f t="shared" ca="1" si="252"/>
        <v>1.4296292379933591</v>
      </c>
      <c r="Y1484" s="77">
        <f t="shared" ca="1" si="253"/>
        <v>4</v>
      </c>
      <c r="Z1484" s="76">
        <f t="array" ref="Z1484">AVERAGEIFS($F$2:$F2565,$B$2:$B2565,$B1484,$P$2:$P2565,"&lt;="&amp;$P1484,$P$2:$P2565,"&gt;"&amp;$P1484-7)</f>
        <v>6.8571428571428568</v>
      </c>
      <c r="AA1484" s="76">
        <f ca="1">IFERROR(__xludf.DUMMYFUNCTION("iferror(stdevp(filter($E$2:$E2568,$B$2:$B2568=$B1487,$O$2:$O2568&lt;=$O1487,$O$2:$O2568&gt;$O1487-7)),0)"),0.707106781186547)</f>
        <v>0.70710678118654702</v>
      </c>
      <c r="AB1484" s="77">
        <f t="shared" ca="1" si="254"/>
        <v>-1.2121830534626532</v>
      </c>
      <c r="AC1484" s="77">
        <f t="shared" ca="1" si="255"/>
        <v>1</v>
      </c>
      <c r="AD1484" s="76">
        <f t="array" ref="AD1484">AVERAGEIFS($G$2:$G2565,$B$2:$B2565,$B1484,$P$2:$P2565,"&lt;="&amp;$P1484,$P$2:$P2565,"&gt;"&amp;$P1484-7)</f>
        <v>5.7619047619047619</v>
      </c>
      <c r="AE1484" s="76">
        <f ca="1">IFERROR(__xludf.DUMMYFUNCTION("iferror(stdevp(filter($F$2:$F2568,$B$2:$B2568=$B1487,$O$2:$O2568&lt;=$O1487,$O$2:$O2568&gt;$O1487-7)),0)"),0.866025403784438)</f>
        <v>0.86602540378443804</v>
      </c>
      <c r="AF1484" s="77">
        <f t="shared" ca="1" si="256"/>
        <v>1.4296292379933602</v>
      </c>
      <c r="AG1484" s="77">
        <f t="shared" ca="1" si="257"/>
        <v>4</v>
      </c>
      <c r="AH1484" s="76">
        <f t="array" ref="AH1484">AVERAGEIFS($I$2:$I2565,$B$2:$B2565,$B1484,$P$2:$P2565,"&lt;="&amp;$P1484,$P$2:$P2565,"&gt;"&amp;$P1484-7)</f>
        <v>6.8571428571428568</v>
      </c>
      <c r="AI1484" s="76">
        <f ca="1">IFERROR(__xludf.DUMMYFUNCTION("iferror(stdevp(filter($H$2:$H2568,$B$2:$B2568=$B1487,$O$2:$O2568&lt;=$O1487,$O$2:$O2568&gt;$O1487-7)),0)"),0.707106781186547)</f>
        <v>0.70710678118654702</v>
      </c>
      <c r="AJ1484" s="77">
        <f t="shared" ca="1" si="258"/>
        <v>0.20203050891044283</v>
      </c>
      <c r="AK1484" s="77">
        <f t="shared" ca="1" si="259"/>
        <v>3</v>
      </c>
      <c r="AL1484" s="76">
        <f t="array" ref="AL1484">AVERAGEIFS($J$2:$J2565,$B$2:$B2565,$B1484,$P$2:$P2565,"&lt;="&amp;$P1484,$P$2:$P2565,"&gt;"&amp;$P1484-7)</f>
        <v>5.0952380952380949</v>
      </c>
      <c r="AM1484" s="76">
        <f ca="1">IFERROR(__xludf.DUMMYFUNCTION("iferror(stdevp(filter($I$2:$I2568,$B$2:$B2568=$B1487,$O$2:$O2568&lt;=$O1487,$O$2:$O2568&gt;$O1487-7)),0)"),0.433012701892219)</f>
        <v>0.43301270189221902</v>
      </c>
      <c r="AN1484" s="77">
        <f t="shared" ca="1" si="260"/>
        <v>-0.21994295969128538</v>
      </c>
      <c r="AO1484" s="77">
        <f t="shared" ca="1" si="261"/>
        <v>2</v>
      </c>
      <c r="AP1484" s="76">
        <f t="array" ref="AP1484">AVERAGEIFS($K$2:$K2565,$B$2:$B2565,$B1484,$P$2:$P2565,"&lt;="&amp;$P1484,$P$2:$P2565,"&gt;"&amp;$P1484-7)</f>
        <v>5.3809523809523814</v>
      </c>
      <c r="AQ1484" s="76">
        <f ca="1">IFERROR(__xludf.DUMMYFUNCTION("iferror(stdevp(filter($J$2:$J2568,$B$2:$B2568=$B1487,$O$2:$O2568&lt;=$O1487,$O$2:$O2568&gt;$O1487-7)),0)"),1.6393596310755)</f>
        <v>1.6393596310755001</v>
      </c>
      <c r="AR1484" s="77">
        <f t="shared" ca="1" si="262"/>
        <v>-0.23237877384015976</v>
      </c>
      <c r="AS1484" s="77">
        <f t="shared" ca="1" si="263"/>
        <v>2</v>
      </c>
      <c r="AT1484" s="78">
        <f t="shared" ca="1" si="264"/>
        <v>0.66666666666666663</v>
      </c>
    </row>
    <row r="1485" spans="1:46" ht="12.5" x14ac:dyDescent="0.25">
      <c r="A1485" s="75">
        <v>45007.455886805554</v>
      </c>
      <c r="B1485" s="1" t="s">
        <v>9</v>
      </c>
      <c r="C1485" s="1" t="str">
        <f>INDEX(TBL_Name,MATCH(Table2[[#This Row],[Athlete Name]],listNames,0),2)</f>
        <v>Athlete 4</v>
      </c>
      <c r="D1485" s="1" t="s">
        <v>130</v>
      </c>
      <c r="E1485" s="1">
        <v>7</v>
      </c>
      <c r="F1485" s="1">
        <v>6</v>
      </c>
      <c r="G1485" s="1">
        <v>7</v>
      </c>
      <c r="H1485" s="1" t="s">
        <v>1635</v>
      </c>
      <c r="I1485" s="1">
        <v>5</v>
      </c>
      <c r="J1485" s="1">
        <v>7</v>
      </c>
      <c r="K1485" s="1">
        <v>7</v>
      </c>
      <c r="L1485" s="1">
        <v>90</v>
      </c>
      <c r="M1485" s="1" t="e">
        <f t="shared" ref="M1485" ca="1" si="507">_xludf.concat($B1485,$P1485)</f>
        <v>#NAME?</v>
      </c>
      <c r="N1485" s="1" t="e">
        <f t="shared" si="248"/>
        <v>#VALUE!</v>
      </c>
      <c r="O1485" s="1" t="e">
        <f t="shared" ref="O1485" ca="1" si="508">IF($N1485=_xludf.MINIFS($N$2:$N2991,$R$2:$R2991,$R1485),1,
($N1485-_xludf.MINIFS($N$2:$N2991,$R$2:$R2991,$R1485))+1)</f>
        <v>#VALUE!</v>
      </c>
      <c r="P1485" s="13" t="e">
        <f t="shared" si="250"/>
        <v>#VALUE!</v>
      </c>
      <c r="Q1485" s="1" t="str">
        <f>RIGHT(YEAR($A1485),2)-(MONTH($A1485)&lt;=[3]Roster!$K$25)
 &amp;"-"&amp;
 RIGHT(YEAR($A1485),2)+(MONTH($A1485)&gt;=[3]Roster!$K$26)</f>
        <v>22-23</v>
      </c>
      <c r="R1485" s="1" t="e">
        <f>CHOOSE(MONTH($P1485),[3]Roster!$K$9,[3]Roster!$K$10,[3]Roster!$K$11,[3]Roster!$K$12,[3]Roster!$K$13,[3]Roster!$K$14,[3]Roster!$K$15,[3]Roster!$K$16,[3]Roster!$K$17,[3]Roster!$K$18,[3]Roster!$K$19,[3]Roster!$K$20)&amp;" "&amp;$Q1485</f>
        <v>#VALUE!</v>
      </c>
      <c r="S1485" s="1">
        <f t="shared" si="251"/>
        <v>1</v>
      </c>
      <c r="T1485" s="1" t="str">
        <f t="array" ref="T1485">IFERROR(INDEX([3]Roster!$D$3:$D$42,MATCH($B1485,[3]Roster!$C$3:$C$42,0)),"")</f>
        <v>F/MID</v>
      </c>
      <c r="U1485" s="1" t="str">
        <f t="array" ref="U1485">IFERROR(INDEX([3]Roster!$E$3:$E$42,MATCH($B1485,[3]Roster!$C$3:$C$42,0)),"")</f>
        <v>F/MID</v>
      </c>
      <c r="V1485" s="76">
        <f t="array" ref="V1485">AVERAGEIFS($E$2:$E2565,$B$2:$B2565,$B1485,$P$2:$P2565,"&lt;="&amp;$P1485,$P$2:$P2565,"&gt;"&amp;$P1485-7)</f>
        <v>7.4230769230769234</v>
      </c>
      <c r="W1485" s="76">
        <f ca="1">IFERROR(__xludf.DUMMYFUNCTION("iferror(stdevp(filter($D$2:$D2568,$B$2:$B2568=$B1488,$O$2:$O2568&lt;=$O1488,$O$2:$O2568&gt;$O1488-7)),0)"),1.11803398874989)</f>
        <v>1.11803398874989</v>
      </c>
      <c r="X1485" s="77">
        <f t="shared" ca="1" si="252"/>
        <v>-0.37841150388458167</v>
      </c>
      <c r="Y1485" s="77">
        <f t="shared" ca="1" si="253"/>
        <v>2</v>
      </c>
      <c r="Z1485" s="76">
        <f t="array" ref="Z1485">AVERAGEIFS($F$2:$F2565,$B$2:$B2565,$B1485,$P$2:$P2565,"&lt;="&amp;$P1485,$P$2:$P2565,"&gt;"&amp;$P1485-7)</f>
        <v>7.1538461538461542</v>
      </c>
      <c r="AA1485" s="76">
        <f ca="1">IFERROR(__xludf.DUMMYFUNCTION("iferror(stdevp(filter($E$2:$E2568,$B$2:$B2568=$B1488,$O$2:$O2568&lt;=$O1488,$O$2:$O2568&gt;$O1488-7)),0)"),0.82915619758885)</f>
        <v>0.82915619758884995</v>
      </c>
      <c r="AB1485" s="77">
        <f t="shared" ca="1" si="254"/>
        <v>-1.3915908211281403</v>
      </c>
      <c r="AC1485" s="77">
        <f t="shared" ca="1" si="255"/>
        <v>1</v>
      </c>
      <c r="AD1485" s="76">
        <f t="array" ref="AD1485">AVERAGEIFS($G$2:$G2565,$B$2:$B2565,$B1485,$P$2:$P2565,"&lt;="&amp;$P1485,$P$2:$P2565,"&gt;"&amp;$P1485-7)</f>
        <v>7.615384615384615</v>
      </c>
      <c r="AE1485" s="76">
        <f ca="1">IFERROR(__xludf.DUMMYFUNCTION("iferror(stdevp(filter($F$2:$F2568,$B$2:$B2568=$B1488,$O$2:$O2568&lt;=$O1488,$O$2:$O2568&gt;$O1488-7)),0)"),0.82915619758885)</f>
        <v>0.82915619758884995</v>
      </c>
      <c r="AF1485" s="77">
        <f t="shared" ca="1" si="256"/>
        <v>-0.74218177126834073</v>
      </c>
      <c r="AG1485" s="77">
        <f t="shared" ca="1" si="257"/>
        <v>2</v>
      </c>
      <c r="AH1485" s="76">
        <f t="array" ref="AH1485">AVERAGEIFS($I$2:$I2565,$B$2:$B2565,$B1485,$P$2:$P2565,"&lt;="&amp;$P1485,$P$2:$P2565,"&gt;"&amp;$P1485-7)</f>
        <v>5.1923076923076925</v>
      </c>
      <c r="AI1485" s="76">
        <f ca="1">IFERROR(__xludf.DUMMYFUNCTION("iferror(stdevp(filter($H$2:$H2568,$B$2:$B2568=$B1488,$O$2:$O2568&lt;=$O1488,$O$2:$O2568&gt;$O1488-7)),0)"),0.433012701892219)</f>
        <v>0.43301270189221902</v>
      </c>
      <c r="AJ1485" s="77">
        <f t="shared" ca="1" si="258"/>
        <v>-0.44411559168432829</v>
      </c>
      <c r="AK1485" s="77">
        <f t="shared" ca="1" si="259"/>
        <v>2</v>
      </c>
      <c r="AL1485" s="76">
        <f t="array" ref="AL1485">AVERAGEIFS($J$2:$J2565,$B$2:$B2565,$B1485,$P$2:$P2565,"&lt;="&amp;$P1485,$P$2:$P2565,"&gt;"&amp;$P1485-7)</f>
        <v>7.6923076923076925</v>
      </c>
      <c r="AM1485" s="76">
        <f ca="1">IFERROR(__xludf.DUMMYFUNCTION("iferror(stdevp(filter($I$2:$I2568,$B$2:$B2568=$B1488,$O$2:$O2568&lt;=$O1488,$O$2:$O2568&gt;$O1488-7)),0)"),0.433012701892219)</f>
        <v>0.43301270189221902</v>
      </c>
      <c r="AN1485" s="77">
        <f t="shared" ca="1" si="260"/>
        <v>-1.5988161300635806</v>
      </c>
      <c r="AO1485" s="77">
        <f t="shared" ca="1" si="261"/>
        <v>1</v>
      </c>
      <c r="AP1485" s="76">
        <f t="array" ref="AP1485">AVERAGEIFS($K$2:$K2565,$B$2:$B2565,$B1485,$P$2:$P2565,"&lt;="&amp;$P1485,$P$2:$P2565,"&gt;"&amp;$P1485-7)</f>
        <v>7.8461538461538458</v>
      </c>
      <c r="AQ1485" s="76">
        <f ca="1">IFERROR(__xludf.DUMMYFUNCTION("iferror(stdevp(filter($J$2:$J2568,$B$2:$B2568=$B1488,$O$2:$O2568&lt;=$O1488,$O$2:$O2568&gt;$O1488-7)),0)"),0.5)</f>
        <v>0.5</v>
      </c>
      <c r="AR1485" s="77">
        <f t="shared" ca="1" si="262"/>
        <v>-1.6923076923076916</v>
      </c>
      <c r="AS1485" s="77">
        <f t="shared" ca="1" si="263"/>
        <v>1</v>
      </c>
      <c r="AT1485" s="78">
        <f t="shared" ca="1" si="264"/>
        <v>0.375</v>
      </c>
    </row>
    <row r="1486" spans="1:46" ht="12.5" x14ac:dyDescent="0.25">
      <c r="A1486" s="75">
        <v>45007.498331990741</v>
      </c>
      <c r="B1486" s="1" t="s">
        <v>29</v>
      </c>
      <c r="C1486" s="1" t="str">
        <f>INDEX(TBL_Name,MATCH(Table2[[#This Row],[Athlete Name]],listNames,0),2)</f>
        <v>Athlete 18</v>
      </c>
      <c r="D1486" s="1" t="s">
        <v>130</v>
      </c>
      <c r="E1486" s="1">
        <v>9</v>
      </c>
      <c r="F1486" s="1">
        <v>6</v>
      </c>
      <c r="G1486" s="1">
        <v>7</v>
      </c>
      <c r="H1486" s="1" t="s">
        <v>1515</v>
      </c>
      <c r="I1486" s="1">
        <v>9</v>
      </c>
      <c r="J1486" s="1">
        <v>9</v>
      </c>
      <c r="K1486" s="1">
        <v>9</v>
      </c>
      <c r="L1486" s="1">
        <v>97</v>
      </c>
      <c r="M1486" s="1" t="e">
        <f t="shared" ref="M1486" ca="1" si="509">_xludf.concat($B1486,$P1486)</f>
        <v>#NAME?</v>
      </c>
      <c r="N1486" s="1" t="e">
        <f t="shared" si="248"/>
        <v>#VALUE!</v>
      </c>
      <c r="O1486" s="1" t="e">
        <f t="shared" ref="O1486" ca="1" si="510">IF($N1486=_xludf.MINIFS($N$2:$N2992,$R$2:$R2992,$R1486),1,
($N1486-_xludf.MINIFS($N$2:$N2992,$R$2:$R2992,$R1486))+1)</f>
        <v>#VALUE!</v>
      </c>
      <c r="P1486" s="13" t="e">
        <f t="shared" si="250"/>
        <v>#VALUE!</v>
      </c>
      <c r="Q1486" s="1" t="str">
        <f>RIGHT(YEAR($A1486),2)-(MONTH($A1486)&lt;=[3]Roster!$K$25)
 &amp;"-"&amp;
 RIGHT(YEAR($A1486),2)+(MONTH($A1486)&gt;=[3]Roster!$K$26)</f>
        <v>22-23</v>
      </c>
      <c r="R1486" s="1" t="e">
        <f>CHOOSE(MONTH($P1486),[3]Roster!$K$9,[3]Roster!$K$10,[3]Roster!$K$11,[3]Roster!$K$12,[3]Roster!$K$13,[3]Roster!$K$14,[3]Roster!$K$15,[3]Roster!$K$16,[3]Roster!$K$17,[3]Roster!$K$18,[3]Roster!$K$19,[3]Roster!$K$20)&amp;" "&amp;$Q1486</f>
        <v>#VALUE!</v>
      </c>
      <c r="S1486" s="1">
        <f t="shared" si="251"/>
        <v>1</v>
      </c>
      <c r="T1486" s="1" t="str">
        <f t="array" ref="T1486">IFERROR(INDEX([3]Roster!$D$3:$D$42,MATCH($B1486,[3]Roster!$C$3:$C$42,0)),"")</f>
        <v>GK</v>
      </c>
      <c r="U1486" s="1" t="str">
        <f t="array" ref="U1486">IFERROR(INDEX([3]Roster!$E$3:$E$42,MATCH($B1486,[3]Roster!$C$3:$C$42,0)),"")</f>
        <v>GK</v>
      </c>
      <c r="V1486" s="76">
        <f t="array" ref="V1486">AVERAGEIFS($E$2:$E2565,$B$2:$B2565,$B1486,$P$2:$P2565,"&lt;="&amp;$P1486,$P$2:$P2565,"&gt;"&amp;$P1486-7)</f>
        <v>8.53125</v>
      </c>
      <c r="W1486" s="76">
        <f ca="1">IFERROR(__xludf.DUMMYFUNCTION("iferror(stdevp(filter($D$2:$D2568,$B$2:$B2568=$B1489,$O$2:$O2568&lt;=$O1489,$O$2:$O2568&gt;$O1489-7)),0)"),0.687184270936276)</f>
        <v>0.68718427093627599</v>
      </c>
      <c r="X1486" s="77">
        <f t="shared" ca="1" si="252"/>
        <v>0.68213144541468729</v>
      </c>
      <c r="Y1486" s="77">
        <f t="shared" ca="1" si="253"/>
        <v>3</v>
      </c>
      <c r="Z1486" s="76">
        <f t="array" ref="Z1486">AVERAGEIFS($F$2:$F2565,$B$2:$B2565,$B1486,$P$2:$P2565,"&lt;="&amp;$P1486,$P$2:$P2565,"&gt;"&amp;$P1486-7)</f>
        <v>8.125</v>
      </c>
      <c r="AA1486" s="76">
        <f ca="1">IFERROR(__xludf.DUMMYFUNCTION("iferror(stdevp(filter($E$2:$E2568,$B$2:$B2568=$B1489,$O$2:$O2568&lt;=$O1489,$O$2:$O2568&gt;$O1489-7)),0)"),1.10554159678513)</f>
        <v>1.1055415967851301</v>
      </c>
      <c r="AB1486" s="77">
        <f t="shared" ca="1" si="254"/>
        <v>-1.9221348216832486</v>
      </c>
      <c r="AC1486" s="77">
        <f t="shared" ca="1" si="255"/>
        <v>1</v>
      </c>
      <c r="AD1486" s="76">
        <f t="array" ref="AD1486">AVERAGEIFS($G$2:$G2565,$B$2:$B2565,$B1486,$P$2:$P2565,"&lt;="&amp;$P1486,$P$2:$P2565,"&gt;"&amp;$P1486-7)</f>
        <v>8.09375</v>
      </c>
      <c r="AE1486" s="76">
        <f ca="1">IFERROR(__xludf.DUMMYFUNCTION("iferror(stdevp(filter($F$2:$F2568,$B$2:$B2568=$B1489,$O$2:$O2568&lt;=$O1489,$O$2:$O2568&gt;$O1489-7)),0)"),0.745355992499929)</f>
        <v>0.74535599249992901</v>
      </c>
      <c r="AF1486" s="77">
        <f t="shared" ca="1" si="256"/>
        <v>-1.4674196102342387</v>
      </c>
      <c r="AG1486" s="77">
        <f t="shared" ca="1" si="257"/>
        <v>1</v>
      </c>
      <c r="AH1486" s="76">
        <f t="array" ref="AH1486">AVERAGEIFS($I$2:$I2565,$B$2:$B2565,$B1486,$P$2:$P2565,"&lt;="&amp;$P1486,$P$2:$P2565,"&gt;"&amp;$P1486-7)</f>
        <v>7.875</v>
      </c>
      <c r="AI1486" s="76">
        <f ca="1">IFERROR(__xludf.DUMMYFUNCTION("iferror(stdevp(filter($H$2:$H2568,$B$2:$B2568=$B1489,$O$2:$O2568&lt;=$O1489,$O$2:$O2568&gt;$O1489-7)),0)"),0.687184270936276)</f>
        <v>0.68718427093627599</v>
      </c>
      <c r="AJ1486" s="77">
        <f t="shared" ca="1" si="258"/>
        <v>1.6371154689952494</v>
      </c>
      <c r="AK1486" s="77">
        <f t="shared" ca="1" si="259"/>
        <v>4</v>
      </c>
      <c r="AL1486" s="76">
        <f t="array" ref="AL1486">AVERAGEIFS($J$2:$J2565,$B$2:$B2565,$B1486,$P$2:$P2565,"&lt;="&amp;$P1486,$P$2:$P2565,"&gt;"&amp;$P1486-7)</f>
        <v>8.34375</v>
      </c>
      <c r="AM1486" s="76">
        <f ca="1">IFERROR(__xludf.DUMMYFUNCTION("iferror(stdevp(filter($I$2:$I2568,$B$2:$B2568=$B1489,$O$2:$O2568&lt;=$O1489,$O$2:$O2568&gt;$O1489-7)),0)"),0.74535599249993)</f>
        <v>0.74535599249993001</v>
      </c>
      <c r="AN1486" s="77">
        <f t="shared" ca="1" si="260"/>
        <v>0.8804517661405421</v>
      </c>
      <c r="AO1486" s="77">
        <f t="shared" ca="1" si="261"/>
        <v>3</v>
      </c>
      <c r="AP1486" s="76">
        <f t="array" ref="AP1486">AVERAGEIFS($K$2:$K2565,$B$2:$B2565,$B1486,$P$2:$P2565,"&lt;="&amp;$P1486,$P$2:$P2565,"&gt;"&amp;$P1486-7)</f>
        <v>8.46875</v>
      </c>
      <c r="AQ1486" s="76">
        <f ca="1">IFERROR(__xludf.DUMMYFUNCTION("iferror(stdevp(filter($J$2:$J2568,$B$2:$B2568=$B1489,$O$2:$O2568&lt;=$O1489,$O$2:$O2568&gt;$O1489-7)),0)"),0.957427107756338)</f>
        <v>0.95742710775633799</v>
      </c>
      <c r="AR1486" s="77">
        <f t="shared" ca="1" si="262"/>
        <v>0.55487252835878698</v>
      </c>
      <c r="AS1486" s="77">
        <f t="shared" ca="1" si="263"/>
        <v>3</v>
      </c>
      <c r="AT1486" s="78">
        <f t="shared" ca="1" si="264"/>
        <v>0.625</v>
      </c>
    </row>
    <row r="1487" spans="1:46" ht="12.5" x14ac:dyDescent="0.25">
      <c r="A1487" s="75">
        <v>45007.498744780096</v>
      </c>
      <c r="B1487" s="1" t="s">
        <v>7</v>
      </c>
      <c r="C1487" s="1" t="str">
        <f>INDEX(TBL_Name,MATCH(Table2[[#This Row],[Athlete Name]],listNames,0),2)</f>
        <v>Athlete 3</v>
      </c>
      <c r="D1487" s="1" t="s">
        <v>130</v>
      </c>
      <c r="E1487" s="1">
        <v>6</v>
      </c>
      <c r="F1487" s="1">
        <v>8</v>
      </c>
      <c r="G1487" s="1">
        <v>8</v>
      </c>
      <c r="H1487" s="1" t="s">
        <v>72</v>
      </c>
      <c r="I1487" s="1">
        <v>6</v>
      </c>
      <c r="J1487" s="1">
        <v>6</v>
      </c>
      <c r="K1487" s="1">
        <v>8</v>
      </c>
      <c r="L1487" s="1">
        <v>85</v>
      </c>
      <c r="M1487" s="1" t="e">
        <f t="shared" ref="M1487" ca="1" si="511">_xludf.concat($B1487,$P1487)</f>
        <v>#NAME?</v>
      </c>
      <c r="N1487" s="1" t="e">
        <f t="shared" si="248"/>
        <v>#VALUE!</v>
      </c>
      <c r="O1487" s="1" t="e">
        <f t="shared" ref="O1487" ca="1" si="512">IF($N1487=_xludf.MINIFS($N$2:$N2993,$R$2:$R2993,$R1487),1,
($N1487-_xludf.MINIFS($N$2:$N2993,$R$2:$R2993,$R1487))+1)</f>
        <v>#VALUE!</v>
      </c>
      <c r="P1487" s="13" t="e">
        <f t="shared" si="250"/>
        <v>#VALUE!</v>
      </c>
      <c r="Q1487" s="1" t="str">
        <f>RIGHT(YEAR($A1487),2)-(MONTH($A1487)&lt;=[3]Roster!$K$25)
 &amp;"-"&amp;
 RIGHT(YEAR($A1487),2)+(MONTH($A1487)&gt;=[3]Roster!$K$26)</f>
        <v>22-23</v>
      </c>
      <c r="R1487" s="1" t="e">
        <f>CHOOSE(MONTH($P1487),[3]Roster!$K$9,[3]Roster!$K$10,[3]Roster!$K$11,[3]Roster!$K$12,[3]Roster!$K$13,[3]Roster!$K$14,[3]Roster!$K$15,[3]Roster!$K$16,[3]Roster!$K$17,[3]Roster!$K$18,[3]Roster!$K$19,[3]Roster!$K$20)&amp;" "&amp;$Q1487</f>
        <v>#VALUE!</v>
      </c>
      <c r="S1487" s="1">
        <f t="shared" si="251"/>
        <v>1</v>
      </c>
      <c r="T1487" s="1" t="str">
        <f t="array" ref="T1487">IFERROR(INDEX([3]Roster!$D$3:$D$42,MATCH($B1487,[3]Roster!$C$3:$C$42,0)),"")</f>
        <v>F/MID</v>
      </c>
      <c r="U1487" s="1" t="str">
        <f t="array" ref="U1487">IFERROR(INDEX([3]Roster!$E$3:$E$42,MATCH($B1487,[3]Roster!$C$3:$C$42,0)),"")</f>
        <v>F/MID</v>
      </c>
      <c r="V1487" s="76">
        <f t="array" ref="V1487">AVERAGEIFS($E$2:$E2565,$B$2:$B2565,$B1487,$P$2:$P2565,"&lt;="&amp;$P1487,$P$2:$P2565,"&gt;"&amp;$P1487-7)</f>
        <v>6</v>
      </c>
      <c r="W1487" s="76">
        <f ca="1">IFERROR(__xludf.DUMMYFUNCTION("iferror(stdevp(filter($D$2:$D2568,$B$2:$B2568=$B1490,$O$2:$O2568&lt;=$O1490,$O$2:$O2568&gt;$O1490-7)),0)"),1.2909944487358)</f>
        <v>1.2909944487358</v>
      </c>
      <c r="X1487" s="77">
        <f t="shared" ca="1" si="252"/>
        <v>0</v>
      </c>
      <c r="Y1487" s="77">
        <f t="shared" ca="1" si="253"/>
        <v>3</v>
      </c>
      <c r="Z1487" s="76">
        <f t="array" ref="Z1487">AVERAGEIFS($F$2:$F2565,$B$2:$B2565,$B1487,$P$2:$P2565,"&lt;="&amp;$P1487,$P$2:$P2565,"&gt;"&amp;$P1487-7)</f>
        <v>7.3703703703703702</v>
      </c>
      <c r="AA1487" s="76">
        <f ca="1">IFERROR(__xludf.DUMMYFUNCTION("iferror(stdevp(filter($E$2:$E2568,$B$2:$B2568=$B1490,$O$2:$O2568&lt;=$O1490,$O$2:$O2568&gt;$O1490-7)),0)"),0.471404520791031)</f>
        <v>0.47140452079103101</v>
      </c>
      <c r="AB1487" s="77">
        <f t="shared" ca="1" si="254"/>
        <v>1.3356461422412587</v>
      </c>
      <c r="AC1487" s="77">
        <f t="shared" ca="1" si="255"/>
        <v>4</v>
      </c>
      <c r="AD1487" s="76">
        <f t="array" ref="AD1487">AVERAGEIFS($G$2:$G2565,$B$2:$B2565,$B1487,$P$2:$P2565,"&lt;="&amp;$P1487,$P$2:$P2565,"&gt;"&amp;$P1487-7)</f>
        <v>7.7777777777777777</v>
      </c>
      <c r="AE1487" s="76">
        <f ca="1">IFERROR(__xludf.DUMMYFUNCTION("iferror(stdevp(filter($F$2:$F2568,$B$2:$B2568=$B1490,$O$2:$O2568&lt;=$O1490,$O$2:$O2568&gt;$O1490-7)),0)"),1.34370962471642)</f>
        <v>1.34370962471642</v>
      </c>
      <c r="AF1487" s="77">
        <f t="shared" ca="1" si="256"/>
        <v>0.16537964611894529</v>
      </c>
      <c r="AG1487" s="77">
        <f t="shared" ca="1" si="257"/>
        <v>3</v>
      </c>
      <c r="AH1487" s="76">
        <f t="array" ref="AH1487">AVERAGEIFS($I$2:$I2565,$B$2:$B2565,$B1487,$P$2:$P2565,"&lt;="&amp;$P1487,$P$2:$P2565,"&gt;"&amp;$P1487-7)</f>
        <v>6.333333333333333</v>
      </c>
      <c r="AI1487" s="76">
        <f ca="1">IFERROR(__xludf.DUMMYFUNCTION("iferror(stdevp(filter($H$2:$H2568,$B$2:$B2568=$B1490,$O$2:$O2568&lt;=$O1490,$O$2:$O2568&gt;$O1490-7)),0)"),1.49071198499985)</f>
        <v>1.49071198499985</v>
      </c>
      <c r="AJ1487" s="77">
        <f t="shared" ca="1" si="258"/>
        <v>-0.22360679774998024</v>
      </c>
      <c r="AK1487" s="77">
        <f t="shared" ca="1" si="259"/>
        <v>2</v>
      </c>
      <c r="AL1487" s="76">
        <f t="array" ref="AL1487">AVERAGEIFS($J$2:$J2565,$B$2:$B2565,$B1487,$P$2:$P2565,"&lt;="&amp;$P1487,$P$2:$P2565,"&gt;"&amp;$P1487-7)</f>
        <v>5.4230769230769234</v>
      </c>
      <c r="AM1487" s="76">
        <f ca="1">IFERROR(__xludf.DUMMYFUNCTION("iferror(stdevp(filter($I$2:$I2568,$B$2:$B2568=$B1490,$O$2:$O2568&lt;=$O1490,$O$2:$O2568&gt;$O1490-7)),0)"),1.46249406456535)</f>
        <v>1.4624940645653499</v>
      </c>
      <c r="AN1487" s="77">
        <f t="shared" ca="1" si="260"/>
        <v>0.39447891851413219</v>
      </c>
      <c r="AO1487" s="77">
        <f t="shared" ca="1" si="261"/>
        <v>3</v>
      </c>
      <c r="AP1487" s="76">
        <f t="array" ref="AP1487">AVERAGEIFS($K$2:$K2565,$B$2:$B2565,$B1487,$P$2:$P2565,"&lt;="&amp;$P1487,$P$2:$P2565,"&gt;"&amp;$P1487-7)</f>
        <v>7.5769230769230766</v>
      </c>
      <c r="AQ1487" s="76">
        <f ca="1">IFERROR(__xludf.DUMMYFUNCTION("iferror(stdevp(filter($J$2:$J2568,$B$2:$B2568=$B1490,$O$2:$O2568&lt;=$O1490,$O$2:$O2568&gt;$O1490-7)),0)"),0.687184270936276)</f>
        <v>0.68718427093627599</v>
      </c>
      <c r="AR1487" s="77">
        <f t="shared" ca="1" si="262"/>
        <v>0.61566735586146171</v>
      </c>
      <c r="AS1487" s="77">
        <f t="shared" ca="1" si="263"/>
        <v>3</v>
      </c>
      <c r="AT1487" s="78">
        <f t="shared" ca="1" si="264"/>
        <v>0.75</v>
      </c>
    </row>
    <row r="1488" spans="1:46" ht="12.5" x14ac:dyDescent="0.25">
      <c r="A1488" s="75">
        <v>45007.502485868055</v>
      </c>
      <c r="B1488" s="1" t="s">
        <v>15</v>
      </c>
      <c r="C1488" s="1" t="str">
        <f>INDEX(TBL_Name,MATCH(Table2[[#This Row],[Athlete Name]],listNames,0),2)</f>
        <v>Athlete 8</v>
      </c>
      <c r="D1488" s="1" t="s">
        <v>130</v>
      </c>
      <c r="E1488" s="1">
        <v>10</v>
      </c>
      <c r="F1488" s="1">
        <v>10</v>
      </c>
      <c r="G1488" s="1">
        <v>7</v>
      </c>
      <c r="H1488" s="1" t="s">
        <v>231</v>
      </c>
      <c r="I1488" s="1">
        <v>6</v>
      </c>
      <c r="J1488" s="1">
        <v>10</v>
      </c>
      <c r="K1488" s="1">
        <v>10</v>
      </c>
      <c r="L1488" s="1">
        <v>82</v>
      </c>
      <c r="M1488" s="1" t="e">
        <f t="shared" ref="M1488" ca="1" si="513">_xludf.concat($B1488,$P1488)</f>
        <v>#NAME?</v>
      </c>
      <c r="N1488" s="1" t="e">
        <f t="shared" si="248"/>
        <v>#VALUE!</v>
      </c>
      <c r="O1488" s="1" t="e">
        <f t="shared" ref="O1488" ca="1" si="514">IF($N1488=_xludf.MINIFS($N$2:$N2994,$R$2:$R2994,$R1488),1,
($N1488-_xludf.MINIFS($N$2:$N2994,$R$2:$R2994,$R1488))+1)</f>
        <v>#VALUE!</v>
      </c>
      <c r="P1488" s="13" t="e">
        <f t="shared" si="250"/>
        <v>#VALUE!</v>
      </c>
      <c r="Q1488" s="1" t="str">
        <f>RIGHT(YEAR($A1488),2)-(MONTH($A1488)&lt;=[3]Roster!$K$25)
 &amp;"-"&amp;
 RIGHT(YEAR($A1488),2)+(MONTH($A1488)&gt;=[3]Roster!$K$26)</f>
        <v>22-23</v>
      </c>
      <c r="R1488" s="1" t="e">
        <f>CHOOSE(MONTH($P1488),[3]Roster!$K$9,[3]Roster!$K$10,[3]Roster!$K$11,[3]Roster!$K$12,[3]Roster!$K$13,[3]Roster!$K$14,[3]Roster!$K$15,[3]Roster!$K$16,[3]Roster!$K$17,[3]Roster!$K$18,[3]Roster!$K$19,[3]Roster!$K$20)&amp;" "&amp;$Q1488</f>
        <v>#VALUE!</v>
      </c>
      <c r="S1488" s="1">
        <f t="shared" si="251"/>
        <v>1</v>
      </c>
      <c r="T1488" s="1" t="str">
        <f t="array" ref="T1488">IFERROR(INDEX([3]Roster!$D$3:$D$42,MATCH($B1488,[3]Roster!$C$3:$C$42,0)),"")</f>
        <v>MID/D</v>
      </c>
      <c r="U1488" s="1" t="str">
        <f t="array" ref="U1488">IFERROR(INDEX([3]Roster!$E$3:$E$42,MATCH($B1488,[3]Roster!$C$3:$C$42,0)),"")</f>
        <v>MID/D</v>
      </c>
      <c r="V1488" s="76">
        <f t="array" ref="V1488">AVERAGEIFS($E$2:$E2565,$B$2:$B2565,$B1488,$P$2:$P2565,"&lt;="&amp;$P1488,$P$2:$P2565,"&gt;"&amp;$P1488-7)</f>
        <v>8.935483870967742</v>
      </c>
      <c r="W1488" s="76">
        <f ca="1">IFERROR(__xludf.DUMMYFUNCTION("iferror(stdevp(filter($D$2:$D2568,$B$2:$B2568=$B1491,$O$2:$O2568&lt;=$O1491,$O$2:$O2568&gt;$O1491-7)),0)"),1.22474487139158)</f>
        <v>1.2247448713915801</v>
      </c>
      <c r="X1488" s="77">
        <f t="shared" ca="1" si="252"/>
        <v>0.86917377969726306</v>
      </c>
      <c r="Y1488" s="77">
        <f t="shared" ca="1" si="253"/>
        <v>3</v>
      </c>
      <c r="Z1488" s="76">
        <f t="array" ref="Z1488">AVERAGEIFS($F$2:$F2565,$B$2:$B2565,$B1488,$P$2:$P2565,"&lt;="&amp;$P1488,$P$2:$P2565,"&gt;"&amp;$P1488-7)</f>
        <v>8.741935483870968</v>
      </c>
      <c r="AA1488" s="76">
        <f ca="1">IFERROR(__xludf.DUMMYFUNCTION("iferror(stdevp(filter($E$2:$E2568,$B$2:$B2568=$B1491,$O$2:$O2568&lt;=$O1491,$O$2:$O2568&gt;$O1491-7)),0)"),0.866025403784438)</f>
        <v>0.86602540378443804</v>
      </c>
      <c r="AB1488" s="77">
        <f t="shared" ca="1" si="254"/>
        <v>1.4526877740900268</v>
      </c>
      <c r="AC1488" s="77">
        <f t="shared" ca="1" si="255"/>
        <v>4</v>
      </c>
      <c r="AD1488" s="76">
        <f t="array" ref="AD1488">AVERAGEIFS($G$2:$G2565,$B$2:$B2565,$B1488,$P$2:$P2565,"&lt;="&amp;$P1488,$P$2:$P2565,"&gt;"&amp;$P1488-7)</f>
        <v>7.32258064516129</v>
      </c>
      <c r="AE1488" s="76">
        <f ca="1">IFERROR(__xludf.DUMMYFUNCTION("iferror(stdevp(filter($F$2:$F2568,$B$2:$B2568=$B1491,$O$2:$O2568&lt;=$O1491,$O$2:$O2568&gt;$O1491-7)),0)"),0.5)</f>
        <v>0.5</v>
      </c>
      <c r="AF1488" s="77">
        <f t="shared" ca="1" si="256"/>
        <v>-0.64516129032258007</v>
      </c>
      <c r="AG1488" s="77">
        <f t="shared" ca="1" si="257"/>
        <v>2</v>
      </c>
      <c r="AH1488" s="76">
        <f t="array" ref="AH1488">AVERAGEIFS($I$2:$I2565,$B$2:$B2565,$B1488,$P$2:$P2565,"&lt;="&amp;$P1488,$P$2:$P2565,"&gt;"&amp;$P1488-7)</f>
        <v>6.419354838709677</v>
      </c>
      <c r="AI1488" s="76">
        <f ca="1">IFERROR(__xludf.DUMMYFUNCTION("iferror(stdevp(filter($H$2:$H2568,$B$2:$B2568=$B1491,$O$2:$O2568&lt;=$O1491,$O$2:$O2568&gt;$O1491-7)),0)"),0.433012701892219)</f>
        <v>0.43301270189221902</v>
      </c>
      <c r="AJ1488" s="77">
        <f t="shared" ca="1" si="258"/>
        <v>-0.9684585160600172</v>
      </c>
      <c r="AK1488" s="77">
        <f t="shared" ca="1" si="259"/>
        <v>2</v>
      </c>
      <c r="AL1488" s="76">
        <f t="array" ref="AL1488">AVERAGEIFS($J$2:$J2565,$B$2:$B2565,$B1488,$P$2:$P2565,"&lt;="&amp;$P1488,$P$2:$P2565,"&gt;"&amp;$P1488-7)</f>
        <v>9.612903225806452</v>
      </c>
      <c r="AM1488" s="76">
        <f ca="1">IFERROR(__xludf.DUMMYFUNCTION("iferror(stdevp(filter($I$2:$I2568,$B$2:$B2568=$B1491,$O$2:$O2568&lt;=$O1491,$O$2:$O2568&gt;$O1491-7)),0)"),0)</f>
        <v>0</v>
      </c>
      <c r="AN1488" s="77">
        <f t="shared" ca="1" si="260"/>
        <v>0</v>
      </c>
      <c r="AO1488" s="77">
        <f t="shared" ca="1" si="261"/>
        <v>3</v>
      </c>
      <c r="AP1488" s="76">
        <f t="array" ref="AP1488">AVERAGEIFS($K$2:$K2565,$B$2:$B2565,$B1488,$P$2:$P2565,"&lt;="&amp;$P1488,$P$2:$P2565,"&gt;"&amp;$P1488-7)</f>
        <v>10</v>
      </c>
      <c r="AQ1488" s="76">
        <f ca="1">IFERROR(__xludf.DUMMYFUNCTION("iferror(stdevp(filter($J$2:$J2568,$B$2:$B2568=$B1491,$O$2:$O2568&lt;=$O1491,$O$2:$O2568&gt;$O1491-7)),0)"),0)</f>
        <v>0</v>
      </c>
      <c r="AR1488" s="77">
        <f t="shared" ca="1" si="262"/>
        <v>0</v>
      </c>
      <c r="AS1488" s="77">
        <f t="shared" ca="1" si="263"/>
        <v>3</v>
      </c>
      <c r="AT1488" s="78">
        <f t="shared" ca="1" si="264"/>
        <v>0.70833333333333337</v>
      </c>
    </row>
    <row r="1489" spans="1:46" ht="12.5" x14ac:dyDescent="0.25">
      <c r="A1489" s="75">
        <v>45007.513039178244</v>
      </c>
      <c r="B1489" s="1" t="s">
        <v>10</v>
      </c>
      <c r="C1489" s="1" t="str">
        <f>INDEX(TBL_Name,MATCH(Table2[[#This Row],[Athlete Name]],listNames,0),2)</f>
        <v>Athlete 5</v>
      </c>
      <c r="D1489" s="1" t="s">
        <v>130</v>
      </c>
      <c r="E1489" s="1">
        <v>8</v>
      </c>
      <c r="F1489" s="1">
        <v>8</v>
      </c>
      <c r="G1489" s="1">
        <v>8</v>
      </c>
      <c r="H1489" s="1" t="s">
        <v>226</v>
      </c>
      <c r="I1489" s="1">
        <v>7</v>
      </c>
      <c r="J1489" s="1">
        <v>7</v>
      </c>
      <c r="K1489" s="1">
        <v>8</v>
      </c>
      <c r="L1489" s="1">
        <v>76</v>
      </c>
      <c r="M1489" s="1" t="e">
        <f t="shared" ref="M1489" ca="1" si="515">_xludf.concat($B1489,$P1489)</f>
        <v>#NAME?</v>
      </c>
      <c r="N1489" s="1" t="e">
        <f t="shared" si="248"/>
        <v>#VALUE!</v>
      </c>
      <c r="O1489" s="1" t="e">
        <f t="shared" ref="O1489" ca="1" si="516">IF($N1489=_xludf.MINIFS($N$2:$N2995,$R$2:$R2995,$R1489),1,
($N1489-_xludf.MINIFS($N$2:$N2995,$R$2:$R2995,$R1489))+1)</f>
        <v>#VALUE!</v>
      </c>
      <c r="P1489" s="13" t="e">
        <f t="shared" si="250"/>
        <v>#VALUE!</v>
      </c>
      <c r="Q1489" s="1" t="str">
        <f>RIGHT(YEAR($A1489),2)-(MONTH($A1489)&lt;=[3]Roster!$K$25)
 &amp;"-"&amp;
 RIGHT(YEAR($A1489),2)+(MONTH($A1489)&gt;=[3]Roster!$K$26)</f>
        <v>22-23</v>
      </c>
      <c r="R1489" s="1" t="e">
        <f>CHOOSE(MONTH($P1489),[3]Roster!$K$9,[3]Roster!$K$10,[3]Roster!$K$11,[3]Roster!$K$12,[3]Roster!$K$13,[3]Roster!$K$14,[3]Roster!$K$15,[3]Roster!$K$16,[3]Roster!$K$17,[3]Roster!$K$18,[3]Roster!$K$19,[3]Roster!$K$20)&amp;" "&amp;$Q1489</f>
        <v>#VALUE!</v>
      </c>
      <c r="S1489" s="1">
        <f t="shared" si="251"/>
        <v>1</v>
      </c>
      <c r="T1489" s="1" t="str">
        <f t="array" ref="T1489">IFERROR(INDEX([3]Roster!$D$3:$D$42,MATCH($B1489,[3]Roster!$C$3:$C$42,0)),"")</f>
        <v>MID</v>
      </c>
      <c r="U1489" s="1" t="str">
        <f t="array" ref="U1489">IFERROR(INDEX([3]Roster!$E$3:$E$42,MATCH($B1489,[3]Roster!$C$3:$C$42,0)),"")</f>
        <v>MID</v>
      </c>
      <c r="V1489" s="76">
        <f t="array" ref="V1489">AVERAGEIFS($E$2:$E2565,$B$2:$B2565,$B1489,$P$2:$P2565,"&lt;="&amp;$P1489,$P$2:$P2565,"&gt;"&amp;$P1489-7)</f>
        <v>8.4042553191489358</v>
      </c>
      <c r="W1489" s="76">
        <f ca="1">IFERROR(__xludf.DUMMYFUNCTION("iferror(stdevp(filter($D$2:$D2568,$B$2:$B2568=$B1492,$O$2:$O2568&lt;=$O1492,$O$2:$O2568&gt;$O1492-7)),0)"),0.471404520791031)</f>
        <v>0.47140452079103101</v>
      </c>
      <c r="X1489" s="77">
        <f t="shared" ca="1" si="252"/>
        <v>-0.8575550325028346</v>
      </c>
      <c r="Y1489" s="77">
        <f t="shared" ca="1" si="253"/>
        <v>2</v>
      </c>
      <c r="Z1489" s="76">
        <f t="array" ref="Z1489">AVERAGEIFS($F$2:$F2565,$B$2:$B2565,$B1489,$P$2:$P2565,"&lt;="&amp;$P1489,$P$2:$P2565,"&gt;"&amp;$P1489-7)</f>
        <v>8.085106382978724</v>
      </c>
      <c r="AA1489" s="76">
        <f ca="1">IFERROR(__xludf.DUMMYFUNCTION("iferror(stdevp(filter($E$2:$E2568,$B$2:$B2568=$B1492,$O$2:$O2568&lt;=$O1492,$O$2:$O2568&gt;$O1492-7)),0)"),0.687184270936276)</f>
        <v>0.68718427093627599</v>
      </c>
      <c r="AB1489" s="77">
        <f t="shared" ca="1" si="254"/>
        <v>-0.12384797874195823</v>
      </c>
      <c r="AC1489" s="77">
        <f t="shared" ca="1" si="255"/>
        <v>2</v>
      </c>
      <c r="AD1489" s="76">
        <f t="array" ref="AD1489">AVERAGEIFS($G$2:$G2565,$B$2:$B2565,$B1489,$P$2:$P2565,"&lt;="&amp;$P1489,$P$2:$P2565,"&gt;"&amp;$P1489-7)</f>
        <v>8.0638297872340434</v>
      </c>
      <c r="AE1489" s="76">
        <f ca="1">IFERROR(__xludf.DUMMYFUNCTION("iferror(stdevp(filter($F$2:$F2568,$B$2:$B2568=$B1492,$O$2:$O2568&lt;=$O1492,$O$2:$O2568&gt;$O1492-7)),0)"),0.577350269189625)</f>
        <v>0.57735026918962495</v>
      </c>
      <c r="AF1489" s="77">
        <f t="shared" ca="1" si="256"/>
        <v>-0.11055643452567468</v>
      </c>
      <c r="AG1489" s="77">
        <f t="shared" ca="1" si="257"/>
        <v>2</v>
      </c>
      <c r="AH1489" s="76">
        <f t="array" ref="AH1489">AVERAGEIFS($I$2:$I2565,$B$2:$B2565,$B1489,$P$2:$P2565,"&lt;="&amp;$P1489,$P$2:$P2565,"&gt;"&amp;$P1489-7)</f>
        <v>6.7446808510638299</v>
      </c>
      <c r="AI1489" s="76">
        <f ca="1">IFERROR(__xludf.DUMMYFUNCTION("iferror(stdevp(filter($H$2:$H2568,$B$2:$B2568=$B1492,$O$2:$O2568&lt;=$O1492,$O$2:$O2568&gt;$O1492-7)),0)"),1.34370962471642)</f>
        <v>1.34370962471642</v>
      </c>
      <c r="AJ1489" s="77">
        <f t="shared" ca="1" si="258"/>
        <v>0.19001065724304339</v>
      </c>
      <c r="AK1489" s="77">
        <f t="shared" ca="1" si="259"/>
        <v>3</v>
      </c>
      <c r="AL1489" s="76">
        <f t="array" ref="AL1489">AVERAGEIFS($J$2:$J2565,$B$2:$B2565,$B1489,$P$2:$P2565,"&lt;="&amp;$P1489,$P$2:$P2565,"&gt;"&amp;$P1489-7)</f>
        <v>8.1063829787234045</v>
      </c>
      <c r="AM1489" s="76">
        <f ca="1">IFERROR(__xludf.DUMMYFUNCTION("iferror(stdevp(filter($I$2:$I2568,$B$2:$B2568=$B1492,$O$2:$O2568&lt;=$O1492,$O$2:$O2568&gt;$O1492-7)),0)"),0.577350269189625)</f>
        <v>0.57735026918962495</v>
      </c>
      <c r="AN1489" s="77">
        <f t="shared" ca="1" si="260"/>
        <v>-1.9163115317783355</v>
      </c>
      <c r="AO1489" s="77">
        <f t="shared" ca="1" si="261"/>
        <v>1</v>
      </c>
      <c r="AP1489" s="76">
        <f t="array" ref="AP1489">AVERAGEIFS($K$2:$K2565,$B$2:$B2565,$B1489,$P$2:$P2565,"&lt;="&amp;$P1489,$P$2:$P2565,"&gt;"&amp;$P1489-7)</f>
        <v>8.2978723404255312</v>
      </c>
      <c r="AQ1489" s="76">
        <f ca="1">IFERROR(__xludf.DUMMYFUNCTION("iferror(stdevp(filter($J$2:$J2568,$B$2:$B2568=$B1492,$O$2:$O2568&lt;=$O1492,$O$2:$O2568&gt;$O1492-7)),0)"),1.7716909687891)</f>
        <v>1.7716909687891</v>
      </c>
      <c r="AR1489" s="77">
        <f t="shared" ca="1" si="262"/>
        <v>-0.16812883605153692</v>
      </c>
      <c r="AS1489" s="77">
        <f t="shared" ca="1" si="263"/>
        <v>2</v>
      </c>
      <c r="AT1489" s="78">
        <f t="shared" ca="1" si="264"/>
        <v>0.5</v>
      </c>
    </row>
    <row r="1490" spans="1:46" ht="12.5" x14ac:dyDescent="0.25">
      <c r="A1490" s="75">
        <v>45007.514786134256</v>
      </c>
      <c r="B1490" s="1" t="s">
        <v>12</v>
      </c>
      <c r="C1490" s="1" t="str">
        <f>INDEX(TBL_Name,MATCH(Table2[[#This Row],[Athlete Name]],listNames,0),2)</f>
        <v>Athlete 6</v>
      </c>
      <c r="D1490" s="1" t="s">
        <v>130</v>
      </c>
      <c r="E1490" s="1">
        <v>10</v>
      </c>
      <c r="F1490" s="1">
        <v>8</v>
      </c>
      <c r="G1490" s="1">
        <v>8</v>
      </c>
      <c r="H1490" s="1" t="s">
        <v>1636</v>
      </c>
      <c r="I1490" s="1">
        <v>3</v>
      </c>
      <c r="J1490" s="1">
        <v>8</v>
      </c>
      <c r="K1490" s="1">
        <v>8</v>
      </c>
      <c r="L1490" s="1">
        <v>45</v>
      </c>
      <c r="M1490" s="1" t="e">
        <f t="shared" ref="M1490" ca="1" si="517">_xludf.concat($B1490,$P1490)</f>
        <v>#NAME?</v>
      </c>
      <c r="N1490" s="1" t="e">
        <f t="shared" si="248"/>
        <v>#VALUE!</v>
      </c>
      <c r="O1490" s="1" t="e">
        <f t="shared" ref="O1490" ca="1" si="518">IF($N1490=_xludf.MINIFS($N$2:$N2996,$R$2:$R2996,$R1490),1,
($N1490-_xludf.MINIFS($N$2:$N2996,$R$2:$R2996,$R1490))+1)</f>
        <v>#VALUE!</v>
      </c>
      <c r="P1490" s="13" t="e">
        <f t="shared" si="250"/>
        <v>#VALUE!</v>
      </c>
      <c r="Q1490" s="1" t="str">
        <f>RIGHT(YEAR($A1490),2)-(MONTH($A1490)&lt;=[3]Roster!$K$25)
 &amp;"-"&amp;
 RIGHT(YEAR($A1490),2)+(MONTH($A1490)&gt;=[3]Roster!$K$26)</f>
        <v>22-23</v>
      </c>
      <c r="R1490" s="1" t="e">
        <f>CHOOSE(MONTH($P1490),[3]Roster!$K$9,[3]Roster!$K$10,[3]Roster!$K$11,[3]Roster!$K$12,[3]Roster!$K$13,[3]Roster!$K$14,[3]Roster!$K$15,[3]Roster!$K$16,[3]Roster!$K$17,[3]Roster!$K$18,[3]Roster!$K$19,[3]Roster!$K$20)&amp;" "&amp;$Q1490</f>
        <v>#VALUE!</v>
      </c>
      <c r="S1490" s="1">
        <f t="shared" si="251"/>
        <v>1</v>
      </c>
      <c r="T1490" s="1" t="str">
        <f t="array" ref="T1490">IFERROR(INDEX([3]Roster!$D$3:$D$42,MATCH($B1490,[3]Roster!$C$3:$C$42,0)),"")</f>
        <v>MID</v>
      </c>
      <c r="U1490" s="1" t="str">
        <f t="array" ref="U1490">IFERROR(INDEX([3]Roster!$E$3:$E$42,MATCH($B1490,[3]Roster!$C$3:$C$42,0)),"")</f>
        <v>MID</v>
      </c>
      <c r="V1490" s="76">
        <f t="array" ref="V1490">AVERAGEIFS($E$2:$E2565,$B$2:$B2565,$B1490,$P$2:$P2565,"&lt;="&amp;$P1490,$P$2:$P2565,"&gt;"&amp;$P1490-7)</f>
        <v>9.75</v>
      </c>
      <c r="W1490" s="76">
        <f ca="1">IFERROR(__xludf.DUMMYFUNCTION("iferror(stdevp(filter($D$2:$D2568,$B$2:$B2568=$B1493,$O$2:$O2568&lt;=$O1493,$O$2:$O2568&gt;$O1493-7)),0)"),0)</f>
        <v>0</v>
      </c>
      <c r="X1490" s="77">
        <f t="shared" ca="1" si="252"/>
        <v>0</v>
      </c>
      <c r="Y1490" s="77">
        <f t="shared" ca="1" si="253"/>
        <v>3</v>
      </c>
      <c r="Z1490" s="76">
        <f t="array" ref="Z1490">AVERAGEIFS($F$2:$F2565,$B$2:$B2565,$B1490,$P$2:$P2565,"&lt;="&amp;$P1490,$P$2:$P2565,"&gt;"&amp;$P1490-7)</f>
        <v>7.083333333333333</v>
      </c>
      <c r="AA1490" s="76">
        <f ca="1">IFERROR(__xludf.DUMMYFUNCTION("iferror(stdevp(filter($E$2:$E2568,$B$2:$B2568=$B1493,$O$2:$O2568&lt;=$O1493,$O$2:$O2568&gt;$O1493-7)),0)"),1.24721912892464)</f>
        <v>1.2472191289246399</v>
      </c>
      <c r="AB1490" s="77">
        <f t="shared" ca="1" si="254"/>
        <v>0.73496841525917156</v>
      </c>
      <c r="AC1490" s="77">
        <f t="shared" ca="1" si="255"/>
        <v>3</v>
      </c>
      <c r="AD1490" s="76">
        <f t="array" ref="AD1490">AVERAGEIFS($G$2:$G2565,$B$2:$B2565,$B1490,$P$2:$P2565,"&lt;="&amp;$P1490,$P$2:$P2565,"&gt;"&amp;$P1490-7)</f>
        <v>7.083333333333333</v>
      </c>
      <c r="AE1490" s="76">
        <f ca="1">IFERROR(__xludf.DUMMYFUNCTION("iferror(stdevp(filter($F$2:$F2568,$B$2:$B2568=$B1493,$O$2:$O2568&lt;=$O1493,$O$2:$O2568&gt;$O1493-7)),0)"),0.942809041582063)</f>
        <v>0.94280904158206302</v>
      </c>
      <c r="AF1490" s="77">
        <f t="shared" ca="1" si="256"/>
        <v>0.97227182413150348</v>
      </c>
      <c r="AG1490" s="77">
        <f t="shared" ca="1" si="257"/>
        <v>3</v>
      </c>
      <c r="AH1490" s="76">
        <f t="array" ref="AH1490">AVERAGEIFS($I$2:$I2565,$B$2:$B2565,$B1490,$P$2:$P2565,"&lt;="&amp;$P1490,$P$2:$P2565,"&gt;"&amp;$P1490-7)</f>
        <v>6.583333333333333</v>
      </c>
      <c r="AI1490" s="76">
        <f ca="1">IFERROR(__xludf.DUMMYFUNCTION("iferror(stdevp(filter($H$2:$H2568,$B$2:$B2568=$B1493,$O$2:$O2568&lt;=$O1493,$O$2:$O2568&gt;$O1493-7)),0)"),2.49443825784929)</f>
        <v>2.4944382578492901</v>
      </c>
      <c r="AJ1490" s="77">
        <f t="shared" ca="1" si="258"/>
        <v>-1.4365291752792833</v>
      </c>
      <c r="AK1490" s="77">
        <f t="shared" ca="1" si="259"/>
        <v>1</v>
      </c>
      <c r="AL1490" s="76">
        <f t="array" ref="AL1490">AVERAGEIFS($J$2:$J2565,$B$2:$B2565,$B1490,$P$2:$P2565,"&lt;="&amp;$P1490,$P$2:$P2565,"&gt;"&amp;$P1490-7)</f>
        <v>6.666666666666667</v>
      </c>
      <c r="AM1490" s="76">
        <f ca="1">IFERROR(__xludf.DUMMYFUNCTION("iferror(stdevp(filter($I$2:$I2568,$B$2:$B2568=$B1493,$O$2:$O2568&lt;=$O1493,$O$2:$O2568&gt;$O1493-7)),0)"),0)</f>
        <v>0</v>
      </c>
      <c r="AN1490" s="77">
        <f t="shared" ca="1" si="260"/>
        <v>0</v>
      </c>
      <c r="AO1490" s="77">
        <f t="shared" ca="1" si="261"/>
        <v>3</v>
      </c>
      <c r="AP1490" s="76">
        <f t="array" ref="AP1490">AVERAGEIFS($K$2:$K2565,$B$2:$B2565,$B1490,$P$2:$P2565,"&lt;="&amp;$P1490,$P$2:$P2565,"&gt;"&amp;$P1490-7)</f>
        <v>8.25</v>
      </c>
      <c r="AQ1490" s="76">
        <f ca="1">IFERROR(__xludf.DUMMYFUNCTION("iferror(stdevp(filter($J$2:$J2568,$B$2:$B2568=$B1493,$O$2:$O2568&lt;=$O1493,$O$2:$O2568&gt;$O1493-7)),0)"),0.816496580927726)</f>
        <v>0.81649658092772603</v>
      </c>
      <c r="AR1490" s="77">
        <f t="shared" ca="1" si="262"/>
        <v>-0.30618621784789724</v>
      </c>
      <c r="AS1490" s="77">
        <f t="shared" ca="1" si="263"/>
        <v>2</v>
      </c>
      <c r="AT1490" s="78">
        <f t="shared" ca="1" si="264"/>
        <v>0.625</v>
      </c>
    </row>
    <row r="1491" spans="1:46" ht="12.5" x14ac:dyDescent="0.25">
      <c r="A1491" s="75">
        <v>45007.572776921297</v>
      </c>
      <c r="B1491" s="1" t="s">
        <v>22</v>
      </c>
      <c r="C1491" s="1" t="str">
        <f>INDEX(TBL_Name,MATCH(Table2[[#This Row],[Athlete Name]],listNames,0),2)</f>
        <v>Athlete 14</v>
      </c>
      <c r="D1491" s="1" t="s">
        <v>130</v>
      </c>
      <c r="E1491" s="1">
        <v>6</v>
      </c>
      <c r="F1491" s="1">
        <v>4</v>
      </c>
      <c r="G1491" s="1">
        <v>6</v>
      </c>
      <c r="H1491" s="1" t="s">
        <v>364</v>
      </c>
      <c r="I1491" s="1">
        <v>3</v>
      </c>
      <c r="J1491" s="1">
        <v>8</v>
      </c>
      <c r="K1491" s="1">
        <v>8</v>
      </c>
      <c r="L1491" s="1">
        <v>70</v>
      </c>
      <c r="M1491" s="1" t="e">
        <f t="shared" ref="M1491" ca="1" si="519">_xludf.concat($B1491,$P1491)</f>
        <v>#NAME?</v>
      </c>
      <c r="N1491" s="1" t="e">
        <f t="shared" si="248"/>
        <v>#VALUE!</v>
      </c>
      <c r="O1491" s="1" t="e">
        <f t="shared" ref="O1491" ca="1" si="520">IF($N1491=_xludf.MINIFS($N$2:$N2997,$R$2:$R2997,$R1491),1,
($N1491-_xludf.MINIFS($N$2:$N2997,$R$2:$R2997,$R1491))+1)</f>
        <v>#VALUE!</v>
      </c>
      <c r="P1491" s="13" t="e">
        <f t="shared" si="250"/>
        <v>#VALUE!</v>
      </c>
      <c r="Q1491" s="1" t="str">
        <f>RIGHT(YEAR($A1491),2)-(MONTH($A1491)&lt;=[3]Roster!$K$25)
 &amp;"-"&amp;
 RIGHT(YEAR($A1491),2)+(MONTH($A1491)&gt;=[3]Roster!$K$26)</f>
        <v>22-23</v>
      </c>
      <c r="R1491" s="1" t="e">
        <f>CHOOSE(MONTH($P1491),[3]Roster!$K$9,[3]Roster!$K$10,[3]Roster!$K$11,[3]Roster!$K$12,[3]Roster!$K$13,[3]Roster!$K$14,[3]Roster!$K$15,[3]Roster!$K$16,[3]Roster!$K$17,[3]Roster!$K$18,[3]Roster!$K$19,[3]Roster!$K$20)&amp;" "&amp;$Q1491</f>
        <v>#VALUE!</v>
      </c>
      <c r="S1491" s="1">
        <f t="shared" si="251"/>
        <v>1</v>
      </c>
      <c r="T1491" s="1" t="str">
        <f t="array" ref="T1491">IFERROR(INDEX([3]Roster!$D$3:$D$42,MATCH($B1491,[3]Roster!$C$3:$C$42,0)),"")</f>
        <v>D</v>
      </c>
      <c r="U1491" s="1" t="str">
        <f t="array" ref="U1491">IFERROR(INDEX([3]Roster!$E$3:$E$42,MATCH($B1491,[3]Roster!$C$3:$C$42,0)),"")</f>
        <v>D</v>
      </c>
      <c r="V1491" s="76">
        <f t="array" ref="V1491">AVERAGEIFS($E$2:$E2565,$B$2:$B2565,$B1491,$P$2:$P2565,"&lt;="&amp;$P1491,$P$2:$P2565,"&gt;"&amp;$P1491-7)</f>
        <v>5.791666666666667</v>
      </c>
      <c r="W1491" s="76">
        <f ca="1">IFERROR(__xludf.DUMMYFUNCTION("iferror(stdevp(filter($D$2:$D2568,$B$2:$B2568=$B1494,$O$2:$O2568&lt;=$O1494,$O$2:$O2568&gt;$O1494-7)),0)"),0.707106781186547)</f>
        <v>0.70710678118654702</v>
      </c>
      <c r="X1491" s="77">
        <f t="shared" ca="1" si="252"/>
        <v>0.29462782549439459</v>
      </c>
      <c r="Y1491" s="77">
        <f t="shared" ca="1" si="253"/>
        <v>3</v>
      </c>
      <c r="Z1491" s="76">
        <f t="array" ref="Z1491">AVERAGEIFS($F$2:$F2565,$B$2:$B2565,$B1491,$P$2:$P2565,"&lt;="&amp;$P1491,$P$2:$P2565,"&gt;"&amp;$P1491-7)</f>
        <v>5.458333333333333</v>
      </c>
      <c r="AA1491" s="76">
        <f ca="1">IFERROR(__xludf.DUMMYFUNCTION("iferror(stdevp(filter($E$2:$E2568,$B$2:$B2568=$B1494,$O$2:$O2568&lt;=$O1494,$O$2:$O2568&gt;$O1494-7)),0)"),1.22474487139158)</f>
        <v>1.2247448713915801</v>
      </c>
      <c r="AB1491" s="77">
        <f t="shared" ca="1" si="254"/>
        <v>-1.1907241805196089</v>
      </c>
      <c r="AC1491" s="77">
        <f t="shared" ca="1" si="255"/>
        <v>1</v>
      </c>
      <c r="AD1491" s="76">
        <f t="array" ref="AD1491">AVERAGEIFS($G$2:$G2565,$B$2:$B2565,$B1491,$P$2:$P2565,"&lt;="&amp;$P1491,$P$2:$P2565,"&gt;"&amp;$P1491-7)</f>
        <v>6.833333333333333</v>
      </c>
      <c r="AE1491" s="76">
        <f ca="1">IFERROR(__xludf.DUMMYFUNCTION("iferror(stdevp(filter($F$2:$F2568,$B$2:$B2568=$B1494,$O$2:$O2568&lt;=$O1494,$O$2:$O2568&gt;$O1494-7)),0)"),1.29903810567665)</f>
        <v>1.29903810567665</v>
      </c>
      <c r="AF1491" s="77">
        <f t="shared" ca="1" si="256"/>
        <v>-0.64150029909958783</v>
      </c>
      <c r="AG1491" s="77">
        <f t="shared" ca="1" si="257"/>
        <v>2</v>
      </c>
      <c r="AH1491" s="76">
        <f t="array" ref="AH1491">AVERAGEIFS($I$2:$I2565,$B$2:$B2565,$B1491,$P$2:$P2565,"&lt;="&amp;$P1491,$P$2:$P2565,"&gt;"&amp;$P1491-7)</f>
        <v>5.125</v>
      </c>
      <c r="AI1491" s="76">
        <f ca="1">IFERROR(__xludf.DUMMYFUNCTION("iferror(stdevp(filter($H$2:$H2568,$B$2:$B2568=$B1494,$O$2:$O2568&lt;=$O1494,$O$2:$O2568&gt;$O1494-7)),0)"),1.22474487139158)</f>
        <v>1.2247448713915801</v>
      </c>
      <c r="AJ1491" s="77">
        <f t="shared" ca="1" si="258"/>
        <v>-1.7350552344714305</v>
      </c>
      <c r="AK1491" s="77">
        <f t="shared" ca="1" si="259"/>
        <v>1</v>
      </c>
      <c r="AL1491" s="76">
        <f t="array" ref="AL1491">AVERAGEIFS($J$2:$J2565,$B$2:$B2565,$B1491,$P$2:$P2565,"&lt;="&amp;$P1491,$P$2:$P2565,"&gt;"&amp;$P1491-7)</f>
        <v>7.125</v>
      </c>
      <c r="AM1491" s="76">
        <f ca="1">IFERROR(__xludf.DUMMYFUNCTION("iferror(stdevp(filter($I$2:$I2568,$B$2:$B2568=$B1494,$O$2:$O2568&lt;=$O1494,$O$2:$O2568&gt;$O1494-7)),0)"),0)</f>
        <v>0</v>
      </c>
      <c r="AN1491" s="77">
        <f t="shared" ca="1" si="260"/>
        <v>0</v>
      </c>
      <c r="AO1491" s="77">
        <f t="shared" ca="1" si="261"/>
        <v>3</v>
      </c>
      <c r="AP1491" s="76">
        <f t="array" ref="AP1491">AVERAGEIFS($K$2:$K2565,$B$2:$B2565,$B1491,$P$2:$P2565,"&lt;="&amp;$P1491,$P$2:$P2565,"&gt;"&amp;$P1491-7)</f>
        <v>7.083333333333333</v>
      </c>
      <c r="AQ1491" s="76">
        <f ca="1">IFERROR(__xludf.DUMMYFUNCTION("iferror(stdevp(filter($J$2:$J2568,$B$2:$B2568=$B1494,$O$2:$O2568&lt;=$O1494,$O$2:$O2568&gt;$O1494-7)),0)"),1.22474487139158)</f>
        <v>1.2247448713915801</v>
      </c>
      <c r="AR1491" s="77">
        <f t="shared" ca="1" si="262"/>
        <v>0.74845519918375458</v>
      </c>
      <c r="AS1491" s="77">
        <f t="shared" ca="1" si="263"/>
        <v>3</v>
      </c>
      <c r="AT1491" s="78">
        <f t="shared" ca="1" si="264"/>
        <v>0.54166666666666663</v>
      </c>
    </row>
    <row r="1492" spans="1:46" ht="12.5" x14ac:dyDescent="0.25">
      <c r="A1492" s="75">
        <v>45007.603096793981</v>
      </c>
      <c r="B1492" s="1" t="s">
        <v>24</v>
      </c>
      <c r="C1492" s="1" t="str">
        <f>INDEX(TBL_Name,MATCH(Table2[[#This Row],[Athlete Name]],listNames,0),2)</f>
        <v>Athlete 16</v>
      </c>
      <c r="D1492" s="1" t="s">
        <v>130</v>
      </c>
      <c r="E1492" s="1">
        <v>3</v>
      </c>
      <c r="F1492" s="1">
        <v>5</v>
      </c>
      <c r="G1492" s="1">
        <v>5</v>
      </c>
      <c r="H1492" s="1" t="s">
        <v>1307</v>
      </c>
      <c r="I1492" s="1">
        <v>1</v>
      </c>
      <c r="J1492" s="1">
        <v>10</v>
      </c>
      <c r="K1492" s="1">
        <v>8</v>
      </c>
      <c r="L1492" s="1">
        <v>70</v>
      </c>
      <c r="M1492" s="1" t="e">
        <f t="shared" ref="M1492" ca="1" si="521">_xludf.concat($B1492,$P1492)</f>
        <v>#NAME?</v>
      </c>
      <c r="N1492" s="1" t="e">
        <f t="shared" si="248"/>
        <v>#VALUE!</v>
      </c>
      <c r="O1492" s="1" t="e">
        <f t="shared" ref="O1492" ca="1" si="522">IF($N1492=_xludf.MINIFS($N$2:$N2998,$R$2:$R2998,$R1492),1,
($N1492-_xludf.MINIFS($N$2:$N2998,$R$2:$R2998,$R1492))+1)</f>
        <v>#VALUE!</v>
      </c>
      <c r="P1492" s="13" t="e">
        <f t="shared" si="250"/>
        <v>#VALUE!</v>
      </c>
      <c r="Q1492" s="1" t="str">
        <f>RIGHT(YEAR($A1492),2)-(MONTH($A1492)&lt;=[3]Roster!$K$25)
 &amp;"-"&amp;
 RIGHT(YEAR($A1492),2)+(MONTH($A1492)&gt;=[3]Roster!$K$26)</f>
        <v>22-23</v>
      </c>
      <c r="R1492" s="1" t="e">
        <f>CHOOSE(MONTH($P1492),[3]Roster!$K$9,[3]Roster!$K$10,[3]Roster!$K$11,[3]Roster!$K$12,[3]Roster!$K$13,[3]Roster!$K$14,[3]Roster!$K$15,[3]Roster!$K$16,[3]Roster!$K$17,[3]Roster!$K$18,[3]Roster!$K$19,[3]Roster!$K$20)&amp;" "&amp;$Q1492</f>
        <v>#VALUE!</v>
      </c>
      <c r="S1492" s="1">
        <f t="shared" si="251"/>
        <v>1</v>
      </c>
      <c r="T1492" s="1" t="str">
        <f t="array" ref="T1492">IFERROR(INDEX([3]Roster!$D$3:$D$42,MATCH($B1492,[3]Roster!$C$3:$C$42,0)),"")</f>
        <v>D</v>
      </c>
      <c r="U1492" s="1" t="str">
        <f t="array" ref="U1492">IFERROR(INDEX([3]Roster!$E$3:$E$42,MATCH($B1492,[3]Roster!$C$3:$C$42,0)),"")</f>
        <v>D</v>
      </c>
      <c r="V1492" s="76">
        <f t="array" ref="V1492">AVERAGEIFS($E$2:$E2565,$B$2:$B2565,$B1492,$P$2:$P2565,"&lt;="&amp;$P1492,$P$2:$P2565,"&gt;"&amp;$P1492-7)</f>
        <v>4.1818181818181817</v>
      </c>
      <c r="W1492" s="76">
        <f ca="1">IFERROR(__xludf.DUMMYFUNCTION("iferror(stdevp(filter($D$2:$D2568,$B$2:$B2568=$B1495,$O$2:$O2568&lt;=$O1495,$O$2:$O2568&gt;$O1495-7)),0)"),1.09544511501033)</f>
        <v>1.0954451150103299</v>
      </c>
      <c r="X1492" s="77">
        <f t="shared" ca="1" si="252"/>
        <v>-1.078847461752602</v>
      </c>
      <c r="Y1492" s="77">
        <f t="shared" ca="1" si="253"/>
        <v>1</v>
      </c>
      <c r="Z1492" s="76">
        <f t="array" ref="Z1492">AVERAGEIFS($F$2:$F2565,$B$2:$B2565,$B1492,$P$2:$P2565,"&lt;="&amp;$P1492,$P$2:$P2565,"&gt;"&amp;$P1492-7)</f>
        <v>6</v>
      </c>
      <c r="AA1492" s="76">
        <f ca="1">IFERROR(__xludf.DUMMYFUNCTION("iferror(stdevp(filter($E$2:$E2568,$B$2:$B2568=$B1495,$O$2:$O2568&lt;=$O1495,$O$2:$O2568&gt;$O1495-7)),0)"),0.632455532033675)</f>
        <v>0.63245553203367499</v>
      </c>
      <c r="AB1492" s="77">
        <f t="shared" ca="1" si="254"/>
        <v>-1.5811388300841918</v>
      </c>
      <c r="AC1492" s="77">
        <f t="shared" ca="1" si="255"/>
        <v>1</v>
      </c>
      <c r="AD1492" s="76">
        <f t="array" ref="AD1492">AVERAGEIFS($G$2:$G2565,$B$2:$B2565,$B1492,$P$2:$P2565,"&lt;="&amp;$P1492,$P$2:$P2565,"&gt;"&amp;$P1492-7)</f>
        <v>5.9090909090909092</v>
      </c>
      <c r="AE1492" s="76">
        <f ca="1">IFERROR(__xludf.DUMMYFUNCTION("iferror(stdevp(filter($F$2:$F2568,$B$2:$B2568=$B1495,$O$2:$O2568&lt;=$O1495,$O$2:$O2568&gt;$O1495-7)),0)"),0.748331477354788)</f>
        <v>0.748331477354788</v>
      </c>
      <c r="AF1492" s="77">
        <f t="shared" ca="1" si="256"/>
        <v>-1.214823826874657</v>
      </c>
      <c r="AG1492" s="77">
        <f t="shared" ca="1" si="257"/>
        <v>1</v>
      </c>
      <c r="AH1492" s="76">
        <f t="array" ref="AH1492">AVERAGEIFS($I$2:$I2565,$B$2:$B2565,$B1492,$P$2:$P2565,"&lt;="&amp;$P1492,$P$2:$P2565,"&gt;"&amp;$P1492-7)</f>
        <v>4.9545454545454541</v>
      </c>
      <c r="AI1492" s="76">
        <f ca="1">IFERROR(__xludf.DUMMYFUNCTION("iferror(stdevp(filter($H$2:$H2568,$B$2:$B2568=$B1495,$O$2:$O2568&lt;=$O1495,$O$2:$O2568&gt;$O1495-7)),0)"),1.72046505340852)</f>
        <v>1.72046505340852</v>
      </c>
      <c r="AJ1492" s="77">
        <f t="shared" ca="1" si="258"/>
        <v>-2.2985328569800698</v>
      </c>
      <c r="AK1492" s="77">
        <f t="shared" ca="1" si="259"/>
        <v>1</v>
      </c>
      <c r="AL1492" s="76">
        <f t="array" ref="AL1492">AVERAGEIFS($J$2:$J2565,$B$2:$B2565,$B1492,$P$2:$P2565,"&lt;="&amp;$P1492,$P$2:$P2565,"&gt;"&amp;$P1492-7)</f>
        <v>6.9090909090909092</v>
      </c>
      <c r="AM1492" s="76">
        <f ca="1">IFERROR(__xludf.DUMMYFUNCTION("iferror(stdevp(filter($I$2:$I2568,$B$2:$B2568=$B1495,$O$2:$O2568&lt;=$O1495,$O$2:$O2568&gt;$O1495-7)),0)"),0.799999999999999)</f>
        <v>0.79999999999999905</v>
      </c>
      <c r="AN1492" s="77">
        <f t="shared" ca="1" si="260"/>
        <v>3.8636363636363682</v>
      </c>
      <c r="AO1492" s="77">
        <f t="shared" ca="1" si="261"/>
        <v>4</v>
      </c>
      <c r="AP1492" s="76">
        <f t="array" ref="AP1492">AVERAGEIFS($K$2:$K2565,$B$2:$B2565,$B1492,$P$2:$P2565,"&lt;="&amp;$P1492,$P$2:$P2565,"&gt;"&amp;$P1492-7)</f>
        <v>6.7272727272727275</v>
      </c>
      <c r="AQ1492" s="76">
        <f ca="1">IFERROR(__xludf.DUMMYFUNCTION("iferror(stdevp(filter($J$2:$J2568,$B$2:$B2568=$B1495,$O$2:$O2568&lt;=$O1495,$O$2:$O2568&gt;$O1495-7)),0)"),0.748331477354788)</f>
        <v>0.748331477354788</v>
      </c>
      <c r="AR1492" s="77">
        <f t="shared" ca="1" si="262"/>
        <v>1.7007533576245191</v>
      </c>
      <c r="AS1492" s="77">
        <f t="shared" ca="1" si="263"/>
        <v>4</v>
      </c>
      <c r="AT1492" s="78">
        <f t="shared" ca="1" si="264"/>
        <v>0.5</v>
      </c>
    </row>
    <row r="1493" spans="1:46" ht="12.5" x14ac:dyDescent="0.25">
      <c r="A1493" s="75">
        <v>45007.603370648147</v>
      </c>
      <c r="B1493" s="1" t="s">
        <v>21</v>
      </c>
      <c r="C1493" s="1" t="str">
        <f>INDEX(TBL_Name,MATCH(Table2[[#This Row],[Athlete Name]],listNames,0),2)</f>
        <v>Athlete 13</v>
      </c>
      <c r="D1493" s="1" t="s">
        <v>130</v>
      </c>
      <c r="E1493" s="1">
        <v>5</v>
      </c>
      <c r="F1493" s="1">
        <v>7</v>
      </c>
      <c r="G1493" s="1">
        <v>9</v>
      </c>
      <c r="H1493" s="1" t="s">
        <v>1637</v>
      </c>
      <c r="I1493" s="1">
        <v>5</v>
      </c>
      <c r="J1493" s="1">
        <v>8</v>
      </c>
      <c r="K1493" s="1">
        <v>8</v>
      </c>
      <c r="L1493" s="1">
        <v>84</v>
      </c>
      <c r="M1493" s="1" t="e">
        <f t="shared" ref="M1493" ca="1" si="523">_xludf.concat($B1493,$P1493)</f>
        <v>#NAME?</v>
      </c>
      <c r="N1493" s="1" t="e">
        <f t="shared" si="248"/>
        <v>#VALUE!</v>
      </c>
      <c r="O1493" s="1" t="e">
        <f t="shared" ref="O1493" ca="1" si="524">IF($N1493=_xludf.MINIFS($N$2:$N2999,$R$2:$R2999,$R1493),1,
($N1493-_xludf.MINIFS($N$2:$N2999,$R$2:$R2999,$R1493))+1)</f>
        <v>#VALUE!</v>
      </c>
      <c r="P1493" s="13" t="e">
        <f t="shared" si="250"/>
        <v>#VALUE!</v>
      </c>
      <c r="Q1493" s="1" t="str">
        <f>RIGHT(YEAR($A1493),2)-(MONTH($A1493)&lt;=[3]Roster!$K$25)
 &amp;"-"&amp;
 RIGHT(YEAR($A1493),2)+(MONTH($A1493)&gt;=[3]Roster!$K$26)</f>
        <v>22-23</v>
      </c>
      <c r="R1493" s="1" t="e">
        <f>CHOOSE(MONTH($P1493),[3]Roster!$K$9,[3]Roster!$K$10,[3]Roster!$K$11,[3]Roster!$K$12,[3]Roster!$K$13,[3]Roster!$K$14,[3]Roster!$K$15,[3]Roster!$K$16,[3]Roster!$K$17,[3]Roster!$K$18,[3]Roster!$K$19,[3]Roster!$K$20)&amp;" "&amp;$Q1493</f>
        <v>#VALUE!</v>
      </c>
      <c r="S1493" s="1">
        <f t="shared" si="251"/>
        <v>1</v>
      </c>
      <c r="T1493" s="1" t="str">
        <f t="array" ref="T1493">IFERROR(INDEX([3]Roster!$D$3:$D$42,MATCH($B1493,[3]Roster!$C$3:$C$42,0)),"")</f>
        <v>D</v>
      </c>
      <c r="U1493" s="1" t="str">
        <f t="array" ref="U1493">IFERROR(INDEX([3]Roster!$E$3:$E$42,MATCH($B1493,[3]Roster!$C$3:$C$42,0)),"")</f>
        <v>D</v>
      </c>
      <c r="V1493" s="76">
        <f t="array" ref="V1493">AVERAGEIFS($E$2:$E2565,$B$2:$B2565,$B1493,$P$2:$P2565,"&lt;="&amp;$P1493,$P$2:$P2565,"&gt;"&amp;$P1493-7)</f>
        <v>6.6304347826086953</v>
      </c>
      <c r="W1493" s="76">
        <f ca="1">IFERROR(__xludf.DUMMYFUNCTION("iferror(stdevp(filter($D$2:$D2568,$B$2:$B2568=$B1496,$O$2:$O2568&lt;=$O1496,$O$2:$O2568&gt;$O1496-7)),0)"),0.832993127835043)</f>
        <v>0.83299312783504298</v>
      </c>
      <c r="X1493" s="77">
        <f t="shared" ca="1" si="252"/>
        <v>-1.9573208086916765</v>
      </c>
      <c r="Y1493" s="77">
        <f t="shared" ca="1" si="253"/>
        <v>1</v>
      </c>
      <c r="Z1493" s="76">
        <f t="array" ref="Z1493">AVERAGEIFS($F$2:$F2565,$B$2:$B2565,$B1493,$P$2:$P2565,"&lt;="&amp;$P1493,$P$2:$P2565,"&gt;"&amp;$P1493-7)</f>
        <v>7.6956521739130439</v>
      </c>
      <c r="AA1493" s="76">
        <f ca="1">IFERROR(__xludf.DUMMYFUNCTION("iferror(stdevp(filter($E$2:$E2568,$B$2:$B2568=$B1496,$O$2:$O2568&lt;=$O1496,$O$2:$O2568&gt;$O1496-7)),0)"),0.903507902905251)</f>
        <v>0.90350790290525096</v>
      </c>
      <c r="AB1493" s="77">
        <f t="shared" ca="1" si="254"/>
        <v>-0.76994586508447571</v>
      </c>
      <c r="AC1493" s="77">
        <f t="shared" ca="1" si="255"/>
        <v>2</v>
      </c>
      <c r="AD1493" s="76">
        <f t="array" ref="AD1493">AVERAGEIFS($G$2:$G2565,$B$2:$B2565,$B1493,$P$2:$P2565,"&lt;="&amp;$P1493,$P$2:$P2565,"&gt;"&amp;$P1493-7)</f>
        <v>8.2608695652173907</v>
      </c>
      <c r="AE1493" s="76">
        <f ca="1">IFERROR(__xludf.DUMMYFUNCTION("iferror(stdevp(filter($F$2:$F2568,$B$2:$B2568=$B1496,$O$2:$O2568&lt;=$O1496,$O$2:$O2568&gt;$O1496-7)),0)"),0.494871659305393)</f>
        <v>0.49487165930539301</v>
      </c>
      <c r="AF1493" s="77">
        <f t="shared" ca="1" si="256"/>
        <v>1.4935800442079477</v>
      </c>
      <c r="AG1493" s="77">
        <f t="shared" ca="1" si="257"/>
        <v>4</v>
      </c>
      <c r="AH1493" s="76">
        <f t="array" ref="AH1493">AVERAGEIFS($I$2:$I2565,$B$2:$B2565,$B1493,$P$2:$P2565,"&lt;="&amp;$P1493,$P$2:$P2565,"&gt;"&amp;$P1493-7)</f>
        <v>5.7391304347826084</v>
      </c>
      <c r="AI1493" s="76">
        <f ca="1">IFERROR(__xludf.DUMMYFUNCTION("iferror(stdevp(filter($H$2:$H2568,$B$2:$B2568=$B1496,$O$2:$O2568&lt;=$O1496,$O$2:$O2568&gt;$O1496-7)),0)"),0.638876564999939)</f>
        <v>0.63887656499993895</v>
      </c>
      <c r="AJ1493" s="77">
        <f t="shared" ca="1" si="258"/>
        <v>-1.1569221274890229</v>
      </c>
      <c r="AK1493" s="77">
        <f t="shared" ca="1" si="259"/>
        <v>1</v>
      </c>
      <c r="AL1493" s="76">
        <f t="array" ref="AL1493">AVERAGEIFS($J$2:$J2565,$B$2:$B2565,$B1493,$P$2:$P2565,"&lt;="&amp;$P1493,$P$2:$P2565,"&gt;"&amp;$P1493-7)</f>
        <v>6.5434782608695654</v>
      </c>
      <c r="AM1493" s="76">
        <f ca="1">IFERROR(__xludf.DUMMYFUNCTION("iferror(stdevp(filter($I$2:$I2568,$B$2:$B2568=$B1496,$O$2:$O2568&lt;=$O1496,$O$2:$O2568&gt;$O1496-7)),0)"),0.534522483824848)</f>
        <v>0.53452248382484802</v>
      </c>
      <c r="AN1493" s="77">
        <f t="shared" ca="1" si="260"/>
        <v>2.7249026621071128</v>
      </c>
      <c r="AO1493" s="77">
        <f t="shared" ca="1" si="261"/>
        <v>4</v>
      </c>
      <c r="AP1493" s="76">
        <f t="array" ref="AP1493">AVERAGEIFS($K$2:$K2565,$B$2:$B2565,$B1493,$P$2:$P2565,"&lt;="&amp;$P1493,$P$2:$P2565,"&gt;"&amp;$P1493-7)</f>
        <v>6.6086956521739131</v>
      </c>
      <c r="AQ1493" s="76">
        <f ca="1">IFERROR(__xludf.DUMMYFUNCTION("iferror(stdevp(filter($J$2:$J2568,$B$2:$B2568=$B1496,$O$2:$O2568&lt;=$O1496,$O$2:$O2568&gt;$O1496-7)),0)"),0.534522483824848)</f>
        <v>0.53452248382484802</v>
      </c>
      <c r="AR1493" s="77">
        <f t="shared" ca="1" si="262"/>
        <v>2.6028920951470931</v>
      </c>
      <c r="AS1493" s="77">
        <f t="shared" ca="1" si="263"/>
        <v>4</v>
      </c>
      <c r="AT1493" s="78">
        <f t="shared" ca="1" si="264"/>
        <v>0.66666666666666663</v>
      </c>
    </row>
    <row r="1494" spans="1:46" ht="12.5" x14ac:dyDescent="0.25">
      <c r="A1494" s="75">
        <v>45007.603483101848</v>
      </c>
      <c r="B1494" s="1" t="s">
        <v>16</v>
      </c>
      <c r="C1494" s="1" t="str">
        <f>INDEX(TBL_Name,MATCH(Table2[[#This Row],[Athlete Name]],listNames,0),2)</f>
        <v>Athlete 9</v>
      </c>
      <c r="D1494" s="1" t="s">
        <v>130</v>
      </c>
      <c r="E1494" s="1">
        <v>9</v>
      </c>
      <c r="F1494" s="1">
        <v>8</v>
      </c>
      <c r="G1494" s="1">
        <v>8</v>
      </c>
      <c r="H1494" s="1" t="s">
        <v>1633</v>
      </c>
      <c r="I1494" s="1">
        <v>5</v>
      </c>
      <c r="J1494" s="1">
        <v>8</v>
      </c>
      <c r="K1494" s="1">
        <v>9</v>
      </c>
      <c r="L1494" s="1">
        <v>80</v>
      </c>
      <c r="M1494" s="1" t="e">
        <f t="shared" ref="M1494" ca="1" si="525">_xludf.concat($B1494,$P1494)</f>
        <v>#NAME?</v>
      </c>
      <c r="N1494" s="1" t="e">
        <f t="shared" si="248"/>
        <v>#VALUE!</v>
      </c>
      <c r="O1494" s="1" t="e">
        <f t="shared" ref="O1494" ca="1" si="526">IF($N1494=_xludf.MINIFS($N$2:$N3000,$R$2:$R3000,$R1494),1,
($N1494-_xludf.MINIFS($N$2:$N3000,$R$2:$R3000,$R1494))+1)</f>
        <v>#VALUE!</v>
      </c>
      <c r="P1494" s="13" t="e">
        <f t="shared" si="250"/>
        <v>#VALUE!</v>
      </c>
      <c r="Q1494" s="1" t="str">
        <f>RIGHT(YEAR($A1494),2)-(MONTH($A1494)&lt;=[3]Roster!$K$25)
 &amp;"-"&amp;
 RIGHT(YEAR($A1494),2)+(MONTH($A1494)&gt;=[3]Roster!$K$26)</f>
        <v>22-23</v>
      </c>
      <c r="R1494" s="1" t="e">
        <f>CHOOSE(MONTH($P1494),[3]Roster!$K$9,[3]Roster!$K$10,[3]Roster!$K$11,[3]Roster!$K$12,[3]Roster!$K$13,[3]Roster!$K$14,[3]Roster!$K$15,[3]Roster!$K$16,[3]Roster!$K$17,[3]Roster!$K$18,[3]Roster!$K$19,[3]Roster!$K$20)&amp;" "&amp;$Q1494</f>
        <v>#VALUE!</v>
      </c>
      <c r="S1494" s="1">
        <f t="shared" si="251"/>
        <v>1</v>
      </c>
      <c r="T1494" s="1" t="str">
        <f t="array" ref="T1494">IFERROR(INDEX([3]Roster!$D$3:$D$42,MATCH($B1494,[3]Roster!$C$3:$C$42,0)),"")</f>
        <v>MID/D</v>
      </c>
      <c r="U1494" s="1" t="str">
        <f t="array" ref="U1494">IFERROR(INDEX([3]Roster!$E$3:$E$42,MATCH($B1494,[3]Roster!$C$3:$C$42,0)),"")</f>
        <v>MID/D</v>
      </c>
      <c r="V1494" s="76">
        <f t="array" ref="V1494">AVERAGEIFS($E$2:$E2565,$B$2:$B2565,$B1494,$P$2:$P2565,"&lt;="&amp;$P1494,$P$2:$P2565,"&gt;"&amp;$P1494-7)</f>
        <v>8.9600000000000009</v>
      </c>
      <c r="W1494" s="76">
        <f ca="1">IFERROR(__xludf.DUMMYFUNCTION("iferror(stdevp(filter($D$2:$D2568,$B$2:$B2568=$B1497,$O$2:$O2568&lt;=$O1497,$O$2:$O2568&gt;$O1497-7)),0)"),0.433012701892219)</f>
        <v>0.43301270189221902</v>
      </c>
      <c r="X1494" s="77">
        <f t="shared" ca="1" si="252"/>
        <v>9.2376043070338212E-2</v>
      </c>
      <c r="Y1494" s="77">
        <f t="shared" ca="1" si="253"/>
        <v>3</v>
      </c>
      <c r="Z1494" s="76">
        <f t="array" ref="Z1494">AVERAGEIFS($F$2:$F2565,$B$2:$B2565,$B1494,$P$2:$P2565,"&lt;="&amp;$P1494,$P$2:$P2565,"&gt;"&amp;$P1494-7)</f>
        <v>7.48</v>
      </c>
      <c r="AA1494" s="76">
        <f ca="1">IFERROR(__xludf.DUMMYFUNCTION("iferror(stdevp(filter($E$2:$E2568,$B$2:$B2568=$B1497,$O$2:$O2568&lt;=$O1497,$O$2:$O2568&gt;$O1497-7)),0)"),0.5)</f>
        <v>0.5</v>
      </c>
      <c r="AB1494" s="77">
        <f t="shared" ca="1" si="254"/>
        <v>1.0399999999999991</v>
      </c>
      <c r="AC1494" s="77">
        <f t="shared" ca="1" si="255"/>
        <v>4</v>
      </c>
      <c r="AD1494" s="76">
        <f t="array" ref="AD1494">AVERAGEIFS($G$2:$G2565,$B$2:$B2565,$B1494,$P$2:$P2565,"&lt;="&amp;$P1494,$P$2:$P2565,"&gt;"&amp;$P1494-7)</f>
        <v>7.56</v>
      </c>
      <c r="AE1494" s="76">
        <f ca="1">IFERROR(__xludf.DUMMYFUNCTION("iferror(stdevp(filter($F$2:$F2568,$B$2:$B2568=$B1497,$O$2:$O2568&lt;=$O1497,$O$2:$O2568&gt;$O1497-7)),0)"),0.433012701892219)</f>
        <v>0.43301270189221902</v>
      </c>
      <c r="AF1494" s="77">
        <f t="shared" ca="1" si="256"/>
        <v>1.0161364737737431</v>
      </c>
      <c r="AG1494" s="77">
        <f t="shared" ca="1" si="257"/>
        <v>4</v>
      </c>
      <c r="AH1494" s="76">
        <f t="array" ref="AH1494">AVERAGEIFS($I$2:$I2565,$B$2:$B2565,$B1494,$P$2:$P2565,"&lt;="&amp;$P1494,$P$2:$P2565,"&gt;"&amp;$P1494-7)</f>
        <v>5.8</v>
      </c>
      <c r="AI1494" s="76">
        <f ca="1">IFERROR(__xludf.DUMMYFUNCTION("iferror(stdevp(filter($H$2:$H2568,$B$2:$B2568=$B1497,$O$2:$O2568&lt;=$O1497,$O$2:$O2568&gt;$O1497-7)),0)"),0.5)</f>
        <v>0.5</v>
      </c>
      <c r="AJ1494" s="77">
        <f t="shared" ca="1" si="258"/>
        <v>-1.5999999999999996</v>
      </c>
      <c r="AK1494" s="77">
        <f t="shared" ca="1" si="259"/>
        <v>1</v>
      </c>
      <c r="AL1494" s="76">
        <f t="array" ref="AL1494">AVERAGEIFS($J$2:$J2565,$B$2:$B2565,$B1494,$P$2:$P2565,"&lt;="&amp;$P1494,$P$2:$P2565,"&gt;"&amp;$P1494-7)</f>
        <v>7.8</v>
      </c>
      <c r="AM1494" s="76">
        <f ca="1">IFERROR(__xludf.DUMMYFUNCTION("iferror(stdevp(filter($I$2:$I2568,$B$2:$B2568=$B1497,$O$2:$O2568&lt;=$O1497,$O$2:$O2568&gt;$O1497-7)),0)"),0)</f>
        <v>0</v>
      </c>
      <c r="AN1494" s="77">
        <f t="shared" ca="1" si="260"/>
        <v>0</v>
      </c>
      <c r="AO1494" s="77">
        <f t="shared" ca="1" si="261"/>
        <v>3</v>
      </c>
      <c r="AP1494" s="76">
        <f t="array" ref="AP1494">AVERAGEIFS($K$2:$K2565,$B$2:$B2565,$B1494,$P$2:$P2565,"&lt;="&amp;$P1494,$P$2:$P2565,"&gt;"&amp;$P1494-7)</f>
        <v>8.6</v>
      </c>
      <c r="AQ1494" s="76">
        <f ca="1">IFERROR(__xludf.DUMMYFUNCTION("iferror(stdevp(filter($J$2:$J2568,$B$2:$B2568=$B1497,$O$2:$O2568&lt;=$O1497,$O$2:$O2568&gt;$O1497-7)),0)"),0.433012701892219)</f>
        <v>0.43301270189221902</v>
      </c>
      <c r="AR1494" s="77">
        <f t="shared" ca="1" si="262"/>
        <v>0.92376043070340264</v>
      </c>
      <c r="AS1494" s="77">
        <f t="shared" ca="1" si="263"/>
        <v>3</v>
      </c>
      <c r="AT1494" s="78">
        <f t="shared" ca="1" si="264"/>
        <v>0.75</v>
      </c>
    </row>
    <row r="1495" spans="1:46" ht="12.5" x14ac:dyDescent="0.25">
      <c r="A1495" s="75">
        <v>45007.603666249997</v>
      </c>
      <c r="B1495" s="1" t="s">
        <v>19</v>
      </c>
      <c r="C1495" s="1" t="str">
        <f>INDEX(TBL_Name,MATCH(Table2[[#This Row],[Athlete Name]],listNames,0),2)</f>
        <v>Athlete 11</v>
      </c>
      <c r="D1495" s="1" t="s">
        <v>130</v>
      </c>
      <c r="E1495" s="1">
        <v>4</v>
      </c>
      <c r="F1495" s="1">
        <v>3</v>
      </c>
      <c r="G1495" s="1">
        <v>6</v>
      </c>
      <c r="H1495" s="1" t="s">
        <v>193</v>
      </c>
      <c r="I1495" s="1">
        <v>5</v>
      </c>
      <c r="J1495" s="1">
        <v>8</v>
      </c>
      <c r="K1495" s="1">
        <v>8</v>
      </c>
      <c r="L1495" s="1">
        <v>58</v>
      </c>
      <c r="M1495" s="1" t="e">
        <f t="shared" ref="M1495" ca="1" si="527">_xludf.concat($B1495,$P1495)</f>
        <v>#NAME?</v>
      </c>
      <c r="N1495" s="1" t="e">
        <f t="shared" si="248"/>
        <v>#VALUE!</v>
      </c>
      <c r="O1495" s="1" t="e">
        <f t="shared" ref="O1495" ca="1" si="528">IF($N1495=_xludf.MINIFS($N$2:$N3001,$R$2:$R3001,$R1495),1,
($N1495-_xludf.MINIFS($N$2:$N3001,$R$2:$R3001,$R1495))+1)</f>
        <v>#VALUE!</v>
      </c>
      <c r="P1495" s="13" t="e">
        <f t="shared" si="250"/>
        <v>#VALUE!</v>
      </c>
      <c r="Q1495" s="1" t="str">
        <f>RIGHT(YEAR($A1495),2)-(MONTH($A1495)&lt;=[3]Roster!$K$25)
 &amp;"-"&amp;
 RIGHT(YEAR($A1495),2)+(MONTH($A1495)&gt;=[3]Roster!$K$26)</f>
        <v>22-23</v>
      </c>
      <c r="R1495" s="1" t="e">
        <f>CHOOSE(MONTH($P1495),[3]Roster!$K$9,[3]Roster!$K$10,[3]Roster!$K$11,[3]Roster!$K$12,[3]Roster!$K$13,[3]Roster!$K$14,[3]Roster!$K$15,[3]Roster!$K$16,[3]Roster!$K$17,[3]Roster!$K$18,[3]Roster!$K$19,[3]Roster!$K$20)&amp;" "&amp;$Q1495</f>
        <v>#VALUE!</v>
      </c>
      <c r="S1495" s="1">
        <f t="shared" si="251"/>
        <v>1</v>
      </c>
      <c r="T1495" s="1" t="str">
        <f t="array" ref="T1495">IFERROR(INDEX([3]Roster!$D$3:$D$42,MATCH($B1495,[3]Roster!$C$3:$C$42,0)),"")</f>
        <v>D</v>
      </c>
      <c r="U1495" s="1" t="str">
        <f t="array" ref="U1495">IFERROR(INDEX([3]Roster!$E$3:$E$42,MATCH($B1495,[3]Roster!$C$3:$C$42,0)),"")</f>
        <v>D</v>
      </c>
      <c r="V1495" s="76">
        <f t="array" ref="V1495">AVERAGEIFS($E$2:$E2565,$B$2:$B2565,$B1495,$P$2:$P2565,"&lt;="&amp;$P1495,$P$2:$P2565,"&gt;"&amp;$P1495-7)</f>
        <v>4.6538461538461542</v>
      </c>
      <c r="W1495" s="76">
        <f ca="1">IFERROR(__xludf.DUMMYFUNCTION("iferror(stdevp(filter($D$2:$D2568,$B$2:$B2568=$B1498,$O$2:$O2568&lt;=$O1498,$O$2:$O2568&gt;$O1498-7)),0)"),0)</f>
        <v>0</v>
      </c>
      <c r="X1495" s="77">
        <f t="shared" ca="1" si="252"/>
        <v>0</v>
      </c>
      <c r="Y1495" s="77">
        <f t="shared" ca="1" si="253"/>
        <v>3</v>
      </c>
      <c r="Z1495" s="76">
        <f t="array" ref="Z1495">AVERAGEIFS($F$2:$F2565,$B$2:$B2565,$B1495,$P$2:$P2565,"&lt;="&amp;$P1495,$P$2:$P2565,"&gt;"&amp;$P1495-7)</f>
        <v>6.8461538461538458</v>
      </c>
      <c r="AA1495" s="76">
        <f ca="1">IFERROR(__xludf.DUMMYFUNCTION("iferror(stdevp(filter($E$2:$E2568,$B$2:$B2568=$B1498,$O$2:$O2568&lt;=$O1498,$O$2:$O2568&gt;$O1498-7)),0)"),2.16024689946928)</f>
        <v>2.1602468994692798</v>
      </c>
      <c r="AB1495" s="77">
        <f t="shared" ca="1" si="254"/>
        <v>-1.7804232687933736</v>
      </c>
      <c r="AC1495" s="77">
        <f t="shared" ca="1" si="255"/>
        <v>1</v>
      </c>
      <c r="AD1495" s="76">
        <f t="array" ref="AD1495">AVERAGEIFS($G$2:$G2565,$B$2:$B2565,$B1495,$P$2:$P2565,"&lt;="&amp;$P1495,$P$2:$P2565,"&gt;"&amp;$P1495-7)</f>
        <v>7.2692307692307692</v>
      </c>
      <c r="AE1495" s="76">
        <f ca="1">IFERROR(__xludf.DUMMYFUNCTION("iferror(stdevp(filter($F$2:$F2568,$B$2:$B2568=$B1498,$O$2:$O2568&lt;=$O1498,$O$2:$O2568&gt;$O1498-7)),0)"),0.816496580927726)</f>
        <v>0.81649658092772603</v>
      </c>
      <c r="AF1495" s="77">
        <f t="shared" ca="1" si="256"/>
        <v>-1.5544838752277861</v>
      </c>
      <c r="AG1495" s="77">
        <f t="shared" ca="1" si="257"/>
        <v>1</v>
      </c>
      <c r="AH1495" s="76">
        <f t="array" ref="AH1495">AVERAGEIFS($I$2:$I2565,$B$2:$B2565,$B1495,$P$2:$P2565,"&lt;="&amp;$P1495,$P$2:$P2565,"&gt;"&amp;$P1495-7)</f>
        <v>4.9230769230769234</v>
      </c>
      <c r="AI1495" s="76">
        <f ca="1">IFERROR(__xludf.DUMMYFUNCTION("iferror(stdevp(filter($H$2:$H2568,$B$2:$B2568=$B1498,$O$2:$O2568&lt;=$O1498,$O$2:$O2568&gt;$O1498-7)),0)"),0.942809041582063)</f>
        <v>0.94280904158206302</v>
      </c>
      <c r="AJ1495" s="77">
        <f t="shared" ca="1" si="258"/>
        <v>8.1589243983062915E-2</v>
      </c>
      <c r="AK1495" s="77">
        <f t="shared" ca="1" si="259"/>
        <v>3</v>
      </c>
      <c r="AL1495" s="76">
        <f t="array" ref="AL1495">AVERAGEIFS($J$2:$J2565,$B$2:$B2565,$B1495,$P$2:$P2565,"&lt;="&amp;$P1495,$P$2:$P2565,"&gt;"&amp;$P1495-7)</f>
        <v>7.5769230769230766</v>
      </c>
      <c r="AM1495" s="76">
        <f ca="1">IFERROR(__xludf.DUMMYFUNCTION("iferror(stdevp(filter($I$2:$I2568,$B$2:$B2568=$B1498,$O$2:$O2568&lt;=$O1498,$O$2:$O2568&gt;$O1498-7)),0)"),0.471404520791031)</f>
        <v>0.47140452079103101</v>
      </c>
      <c r="AN1495" s="77">
        <f t="shared" ca="1" si="260"/>
        <v>0.89748168381369675</v>
      </c>
      <c r="AO1495" s="77">
        <f t="shared" ca="1" si="261"/>
        <v>3</v>
      </c>
      <c r="AP1495" s="76">
        <f t="array" ref="AP1495">AVERAGEIFS($K$2:$K2565,$B$2:$B2565,$B1495,$P$2:$P2565,"&lt;="&amp;$P1495,$P$2:$P2565,"&gt;"&amp;$P1495-7)</f>
        <v>8</v>
      </c>
      <c r="AQ1495" s="76">
        <f ca="1">IFERROR(__xludf.DUMMYFUNCTION("iferror(stdevp(filter($J$2:$J2568,$B$2:$B2568=$B1498,$O$2:$O2568&lt;=$O1498,$O$2:$O2568&gt;$O1498-7)),0)"),0.816496580927726)</f>
        <v>0.81649658092772603</v>
      </c>
      <c r="AR1495" s="77">
        <f t="shared" ca="1" si="262"/>
        <v>0</v>
      </c>
      <c r="AS1495" s="77">
        <f t="shared" ca="1" si="263"/>
        <v>3</v>
      </c>
      <c r="AT1495" s="78">
        <f t="shared" ca="1" si="264"/>
        <v>0.58333333333333337</v>
      </c>
    </row>
    <row r="1496" spans="1:46" ht="12.5" x14ac:dyDescent="0.25">
      <c r="A1496" s="75">
        <v>45008.33527836806</v>
      </c>
      <c r="B1496" s="1" t="s">
        <v>13</v>
      </c>
      <c r="C1496" s="1" t="str">
        <f>INDEX(TBL_Name,MATCH(Table2[[#This Row],[Athlete Name]],listNames,0),2)</f>
        <v>Athlete 7</v>
      </c>
      <c r="D1496" s="1" t="s">
        <v>130</v>
      </c>
      <c r="E1496" s="1">
        <v>6</v>
      </c>
      <c r="F1496" s="1">
        <v>6</v>
      </c>
      <c r="G1496" s="1">
        <v>6</v>
      </c>
      <c r="H1496" s="1" t="s">
        <v>226</v>
      </c>
      <c r="I1496" s="1">
        <v>7</v>
      </c>
      <c r="J1496" s="1">
        <v>10</v>
      </c>
      <c r="K1496" s="1">
        <v>10</v>
      </c>
      <c r="L1496" s="1">
        <v>70</v>
      </c>
      <c r="M1496" s="1" t="e">
        <f t="shared" ref="M1496" ca="1" si="529">_xludf.concat($B1496,$P1496)</f>
        <v>#NAME?</v>
      </c>
      <c r="N1496" s="1" t="e">
        <f t="shared" si="248"/>
        <v>#VALUE!</v>
      </c>
      <c r="O1496" s="1" t="e">
        <f t="shared" ref="O1496" ca="1" si="530">IF($N1496=_xludf.MINIFS($N$2:$N3002,$R$2:$R3002,$R1496),1,
($N1496-_xludf.MINIFS($N$2:$N3002,$R$2:$R3002,$R1496))+1)</f>
        <v>#VALUE!</v>
      </c>
      <c r="P1496" s="13" t="e">
        <f t="shared" si="250"/>
        <v>#VALUE!</v>
      </c>
      <c r="Q1496" s="1" t="str">
        <f>RIGHT(YEAR($A1496),2)-(MONTH($A1496)&lt;=[3]Roster!$K$25)
 &amp;"-"&amp;
 RIGHT(YEAR($A1496),2)+(MONTH($A1496)&gt;=[3]Roster!$K$26)</f>
        <v>22-23</v>
      </c>
      <c r="R1496" s="1" t="e">
        <f>CHOOSE(MONTH($P1496),[3]Roster!$K$9,[3]Roster!$K$10,[3]Roster!$K$11,[3]Roster!$K$12,[3]Roster!$K$13,[3]Roster!$K$14,[3]Roster!$K$15,[3]Roster!$K$16,[3]Roster!$K$17,[3]Roster!$K$18,[3]Roster!$K$19,[3]Roster!$K$20)&amp;" "&amp;$Q1496</f>
        <v>#VALUE!</v>
      </c>
      <c r="S1496" s="1">
        <f t="shared" si="251"/>
        <v>1</v>
      </c>
      <c r="T1496" s="1" t="str">
        <f t="array" ref="T1496">IFERROR(INDEX([3]Roster!$D$3:$D$42,MATCH($B1496,[3]Roster!$C$3:$C$42,0)),"")</f>
        <v>MID/D</v>
      </c>
      <c r="U1496" s="1" t="str">
        <f t="array" ref="U1496">IFERROR(INDEX([3]Roster!$E$3:$E$42,MATCH($B1496,[3]Roster!$C$3:$C$42,0)),"")</f>
        <v>MID/D</v>
      </c>
      <c r="V1496" s="76">
        <f t="array" ref="V1496">AVERAGEIFS($E$2:$E2565,$B$2:$B2565,$B1496,$P$2:$P2565,"&lt;="&amp;$P1496,$P$2:$P2565,"&gt;"&amp;$P1496-7)</f>
        <v>7.6857142857142859</v>
      </c>
      <c r="W1496" s="76">
        <f ca="1">IFERROR(__xludf.DUMMYFUNCTION("iferror(stdevp(filter($D$2:$D2568,$B$2:$B2568=$B1499,$O$2:$O2568&lt;=$O1499,$O$2:$O2568&gt;$O1499-7)),0)"),1.12485826771597)</f>
        <v>1.12485826771597</v>
      </c>
      <c r="X1496" s="77">
        <f t="shared" ca="1" si="252"/>
        <v>-1.4986014986022522</v>
      </c>
      <c r="Y1496" s="77">
        <f t="shared" ca="1" si="253"/>
        <v>1</v>
      </c>
      <c r="Z1496" s="76">
        <f t="array" ref="Z1496">AVERAGEIFS($F$2:$F2565,$B$2:$B2565,$B1496,$P$2:$P2565,"&lt;="&amp;$P1496,$P$2:$P2565,"&gt;"&amp;$P1496-7)</f>
        <v>7.0857142857142854</v>
      </c>
      <c r="AA1496" s="76">
        <f ca="1">IFERROR(__xludf.DUMMYFUNCTION("iferror(stdevp(filter($E$2:$E2568,$B$2:$B2568=$B1499,$O$2:$O2568&lt;=$O1499,$O$2:$O2568&gt;$O1499-7)),0)"),1.1780301787479)</f>
        <v>1.1780301787478999</v>
      </c>
      <c r="AB1496" s="77">
        <f t="shared" ca="1" si="254"/>
        <v>-0.92163537513806748</v>
      </c>
      <c r="AC1496" s="77">
        <f t="shared" ca="1" si="255"/>
        <v>2</v>
      </c>
      <c r="AD1496" s="76">
        <f t="array" ref="AD1496">AVERAGEIFS($G$2:$G2565,$B$2:$B2565,$B1496,$P$2:$P2565,"&lt;="&amp;$P1496,$P$2:$P2565,"&gt;"&amp;$P1496-7)</f>
        <v>7.1428571428571432</v>
      </c>
      <c r="AE1496" s="76">
        <f ca="1">IFERROR(__xludf.DUMMYFUNCTION("iferror(stdevp(filter($F$2:$F2568,$B$2:$B2568=$B1499,$O$2:$O2568&lt;=$O1499,$O$2:$O2568&gt;$O1499-7)),0)"),0.699854212223765)</f>
        <v>0.69985421222376498</v>
      </c>
      <c r="AF1496" s="77">
        <f t="shared" ca="1" si="256"/>
        <v>-1.632993161855453</v>
      </c>
      <c r="AG1496" s="77">
        <f t="shared" ca="1" si="257"/>
        <v>1</v>
      </c>
      <c r="AH1496" s="76">
        <f t="array" ref="AH1496">AVERAGEIFS($I$2:$I2565,$B$2:$B2565,$B1496,$P$2:$P2565,"&lt;="&amp;$P1496,$P$2:$P2565,"&gt;"&amp;$P1496-7)</f>
        <v>7.0285714285714285</v>
      </c>
      <c r="AI1496" s="76">
        <f ca="1">IFERROR(__xludf.DUMMYFUNCTION("iferror(stdevp(filter($H$2:$H2568,$B$2:$B2568=$B1499,$O$2:$O2568&lt;=$O1499,$O$2:$O2568&gt;$O1499-7)),0)"),0.925820099772551)</f>
        <v>0.92582009977255098</v>
      </c>
      <c r="AJ1496" s="77">
        <f t="shared" ca="1" si="258"/>
        <v>-3.086066999241829E-2</v>
      </c>
      <c r="AK1496" s="77">
        <f t="shared" ca="1" si="259"/>
        <v>2</v>
      </c>
      <c r="AL1496" s="76">
        <f t="array" ref="AL1496">AVERAGEIFS($J$2:$J2565,$B$2:$B2565,$B1496,$P$2:$P2565,"&lt;="&amp;$P1496,$P$2:$P2565,"&gt;"&amp;$P1496-7)</f>
        <v>9.742857142857142</v>
      </c>
      <c r="AM1496" s="76">
        <f ca="1">IFERROR(__xludf.DUMMYFUNCTION("iferror(stdevp(filter($I$2:$I2568,$B$2:$B2568=$B1499,$O$2:$O2568&lt;=$O1499,$O$2:$O2568&gt;$O1499-7)),0)"),0)</f>
        <v>0</v>
      </c>
      <c r="AN1496" s="77">
        <f t="shared" ca="1" si="260"/>
        <v>0</v>
      </c>
      <c r="AO1496" s="77">
        <f t="shared" ca="1" si="261"/>
        <v>3</v>
      </c>
      <c r="AP1496" s="76">
        <f t="array" ref="AP1496">AVERAGEIFS($K$2:$K2565,$B$2:$B2565,$B1496,$P$2:$P2565,"&lt;="&amp;$P1496,$P$2:$P2565,"&gt;"&amp;$P1496-7)</f>
        <v>9.4285714285714288</v>
      </c>
      <c r="AQ1496" s="76">
        <f ca="1">IFERROR(__xludf.DUMMYFUNCTION("iferror(stdevp(filter($J$2:$J2568,$B$2:$B2568=$B1499,$O$2:$O2568&lt;=$O1499,$O$2:$O2568&gt;$O1499-7)),0)"),0.903507902905251)</f>
        <v>0.90350790290525096</v>
      </c>
      <c r="AR1496" s="77">
        <f t="shared" ca="1" si="262"/>
        <v>0.63245553203367577</v>
      </c>
      <c r="AS1496" s="77">
        <f t="shared" ca="1" si="263"/>
        <v>3</v>
      </c>
      <c r="AT1496" s="78">
        <f t="shared" ca="1" si="264"/>
        <v>0.5</v>
      </c>
    </row>
    <row r="1497" spans="1:46" ht="12.5" x14ac:dyDescent="0.25">
      <c r="A1497" s="75">
        <v>45008.354879861115</v>
      </c>
      <c r="B1497" s="1" t="s">
        <v>21</v>
      </c>
      <c r="C1497" s="1" t="str">
        <f>INDEX(TBL_Name,MATCH(Table2[[#This Row],[Athlete Name]],listNames,0),2)</f>
        <v>Athlete 13</v>
      </c>
      <c r="D1497" s="1" t="s">
        <v>130</v>
      </c>
      <c r="E1497" s="1">
        <v>6</v>
      </c>
      <c r="F1497" s="1">
        <v>8</v>
      </c>
      <c r="G1497" s="1">
        <v>9</v>
      </c>
      <c r="H1497" s="1" t="s">
        <v>1638</v>
      </c>
      <c r="I1497" s="1">
        <v>5</v>
      </c>
      <c r="J1497" s="1">
        <v>7</v>
      </c>
      <c r="K1497" s="1">
        <v>7</v>
      </c>
      <c r="L1497" s="1">
        <v>70</v>
      </c>
      <c r="M1497" s="1" t="e">
        <f t="shared" ref="M1497" ca="1" si="531">_xludf.concat($B1497,$P1497)</f>
        <v>#NAME?</v>
      </c>
      <c r="N1497" s="1" t="e">
        <f t="shared" si="248"/>
        <v>#VALUE!</v>
      </c>
      <c r="O1497" s="1" t="e">
        <f t="shared" ref="O1497" ca="1" si="532">IF($N1497=_xludf.MINIFS($N$2:$N3003,$R$2:$R3003,$R1497),1,
($N1497-_xludf.MINIFS($N$2:$N3003,$R$2:$R3003,$R1497))+1)</f>
        <v>#VALUE!</v>
      </c>
      <c r="P1497" s="13" t="e">
        <f t="shared" si="250"/>
        <v>#VALUE!</v>
      </c>
      <c r="Q1497" s="1" t="str">
        <f>RIGHT(YEAR($A1497),2)-(MONTH($A1497)&lt;=[3]Roster!$K$25)
 &amp;"-"&amp;
 RIGHT(YEAR($A1497),2)+(MONTH($A1497)&gt;=[3]Roster!$K$26)</f>
        <v>22-23</v>
      </c>
      <c r="R1497" s="1" t="e">
        <f>CHOOSE(MONTH($P1497),[3]Roster!$K$9,[3]Roster!$K$10,[3]Roster!$K$11,[3]Roster!$K$12,[3]Roster!$K$13,[3]Roster!$K$14,[3]Roster!$K$15,[3]Roster!$K$16,[3]Roster!$K$17,[3]Roster!$K$18,[3]Roster!$K$19,[3]Roster!$K$20)&amp;" "&amp;$Q1497</f>
        <v>#VALUE!</v>
      </c>
      <c r="S1497" s="1">
        <f t="shared" si="251"/>
        <v>1</v>
      </c>
      <c r="T1497" s="1" t="str">
        <f t="array" ref="T1497">IFERROR(INDEX([3]Roster!$D$3:$D$42,MATCH($B1497,[3]Roster!$C$3:$C$42,0)),"")</f>
        <v>D</v>
      </c>
      <c r="U1497" s="1" t="str">
        <f t="array" ref="U1497">IFERROR(INDEX([3]Roster!$E$3:$E$42,MATCH($B1497,[3]Roster!$C$3:$C$42,0)),"")</f>
        <v>D</v>
      </c>
      <c r="V1497" s="76">
        <f t="array" ref="V1497">AVERAGEIFS($E$2:$E2565,$B$2:$B2565,$B1497,$P$2:$P2565,"&lt;="&amp;$P1497,$P$2:$P2565,"&gt;"&amp;$P1497-7)</f>
        <v>6.6304347826086953</v>
      </c>
      <c r="W1497" s="76">
        <f ca="1">IFERROR(__xludf.DUMMYFUNCTION("iferror(stdevp(filter($D$2:$D2568,$B$2:$B2568=$B1500,$O$2:$O2568&lt;=$O1500,$O$2:$O2568&gt;$O1500-7)),0)"),0.699854212223765)</f>
        <v>0.69985421222376498</v>
      </c>
      <c r="X1497" s="77">
        <f t="shared" ca="1" si="252"/>
        <v>-0.90080872787134969</v>
      </c>
      <c r="Y1497" s="77">
        <f t="shared" ca="1" si="253"/>
        <v>2</v>
      </c>
      <c r="Z1497" s="76">
        <f t="array" ref="Z1497">AVERAGEIFS($F$2:$F2565,$B$2:$B2565,$B1497,$P$2:$P2565,"&lt;="&amp;$P1497,$P$2:$P2565,"&gt;"&amp;$P1497-7)</f>
        <v>7.6956521739130439</v>
      </c>
      <c r="AA1497" s="76">
        <f ca="1">IFERROR(__xludf.DUMMYFUNCTION("iferror(stdevp(filter($E$2:$E2568,$B$2:$B2568=$B1500,$O$2:$O2568&lt;=$O1500,$O$2:$O2568&gt;$O1500-7)),0)"),0.903507902905251)</f>
        <v>0.90350790290525096</v>
      </c>
      <c r="AB1497" s="77">
        <f t="shared" ca="1" si="254"/>
        <v>0.33685131597445744</v>
      </c>
      <c r="AC1497" s="77">
        <f t="shared" ca="1" si="255"/>
        <v>3</v>
      </c>
      <c r="AD1497" s="76">
        <f t="array" ref="AD1497">AVERAGEIFS($G$2:$G2565,$B$2:$B2565,$B1497,$P$2:$P2565,"&lt;="&amp;$P1497,$P$2:$P2565,"&gt;"&amp;$P1497-7)</f>
        <v>8.2608695652173907</v>
      </c>
      <c r="AE1497" s="76">
        <f ca="1">IFERROR(__xludf.DUMMYFUNCTION("iferror(stdevp(filter($F$2:$F2568,$B$2:$B2568=$B1500,$O$2:$O2568&lt;=$O1500,$O$2:$O2568&gt;$O1500-7)),0)"),0.451753951452625)</f>
        <v>0.45175395145262498</v>
      </c>
      <c r="AF1497" s="77">
        <f t="shared" ca="1" si="256"/>
        <v>1.636134963304513</v>
      </c>
      <c r="AG1497" s="77">
        <f t="shared" ca="1" si="257"/>
        <v>4</v>
      </c>
      <c r="AH1497" s="76">
        <f t="array" ref="AH1497">AVERAGEIFS($I$2:$I2565,$B$2:$B2565,$B1497,$P$2:$P2565,"&lt;="&amp;$P1497,$P$2:$P2565,"&gt;"&amp;$P1497-7)</f>
        <v>5.7391304347826084</v>
      </c>
      <c r="AI1497" s="76">
        <f ca="1">IFERROR(__xludf.DUMMYFUNCTION("iferror(stdevp(filter($H$2:$H2568,$B$2:$B2568=$B1500,$O$2:$O2568&lt;=$O1500,$O$2:$O2568&gt;$O1500-7)),0)"),0.638876564999939)</f>
        <v>0.63887656499993895</v>
      </c>
      <c r="AJ1497" s="77">
        <f t="shared" ca="1" si="258"/>
        <v>-1.1569221274890229</v>
      </c>
      <c r="AK1497" s="77">
        <f t="shared" ca="1" si="259"/>
        <v>1</v>
      </c>
      <c r="AL1497" s="76">
        <f t="array" ref="AL1497">AVERAGEIFS($J$2:$J2565,$B$2:$B2565,$B1497,$P$2:$P2565,"&lt;="&amp;$P1497,$P$2:$P2565,"&gt;"&amp;$P1497-7)</f>
        <v>6.5434782608695654</v>
      </c>
      <c r="AM1497" s="76">
        <f ca="1">IFERROR(__xludf.DUMMYFUNCTION("iferror(stdevp(filter($I$2:$I2568,$B$2:$B2568=$B1500,$O$2:$O2568&lt;=$O1500,$O$2:$O2568&gt;$O1500-7)),0)"),0.534522483824848)</f>
        <v>0.53452248382484802</v>
      </c>
      <c r="AN1497" s="77">
        <f t="shared" ca="1" si="260"/>
        <v>0.85407396872013963</v>
      </c>
      <c r="AO1497" s="77">
        <f t="shared" ca="1" si="261"/>
        <v>3</v>
      </c>
      <c r="AP1497" s="76">
        <f t="array" ref="AP1497">AVERAGEIFS($K$2:$K2565,$B$2:$B2565,$B1497,$P$2:$P2565,"&lt;="&amp;$P1497,$P$2:$P2565,"&gt;"&amp;$P1497-7)</f>
        <v>6.6086956521739131</v>
      </c>
      <c r="AQ1497" s="76">
        <f ca="1">IFERROR(__xludf.DUMMYFUNCTION("iferror(stdevp(filter($J$2:$J2568,$B$2:$B2568=$B1500,$O$2:$O2568&lt;=$O1500,$O$2:$O2568&gt;$O1500-7)),0)"),0.534522483824848)</f>
        <v>0.53452248382484802</v>
      </c>
      <c r="AR1497" s="77">
        <f t="shared" ca="1" si="262"/>
        <v>0.73206340176011997</v>
      </c>
      <c r="AS1497" s="77">
        <f t="shared" ca="1" si="263"/>
        <v>3</v>
      </c>
      <c r="AT1497" s="78">
        <f t="shared" ca="1" si="264"/>
        <v>0.66666666666666663</v>
      </c>
    </row>
    <row r="1498" spans="1:46" ht="12.5" x14ac:dyDescent="0.25">
      <c r="A1498" s="75">
        <v>45008.376134652775</v>
      </c>
      <c r="B1498" s="1" t="s">
        <v>6</v>
      </c>
      <c r="C1498" s="1" t="str">
        <f>INDEX(TBL_Name,MATCH(Table2[[#This Row],[Athlete Name]],listNames,0),2)</f>
        <v>Athlete 2</v>
      </c>
      <c r="D1498" s="1" t="s">
        <v>130</v>
      </c>
      <c r="E1498" s="1">
        <v>8</v>
      </c>
      <c r="F1498" s="1">
        <v>3</v>
      </c>
      <c r="G1498" s="1">
        <v>7</v>
      </c>
      <c r="H1498" s="1" t="s">
        <v>71</v>
      </c>
      <c r="I1498" s="1">
        <v>9</v>
      </c>
      <c r="J1498" s="1">
        <v>10</v>
      </c>
      <c r="K1498" s="1">
        <v>10</v>
      </c>
      <c r="L1498" s="1">
        <v>94</v>
      </c>
      <c r="M1498" s="1" t="e">
        <f t="shared" ref="M1498" ca="1" si="533">_xludf.concat($B1498,$P1498)</f>
        <v>#NAME?</v>
      </c>
      <c r="N1498" s="1" t="e">
        <f t="shared" si="248"/>
        <v>#VALUE!</v>
      </c>
      <c r="O1498" s="1" t="e">
        <f t="shared" ref="O1498" ca="1" si="534">IF($N1498=_xludf.MINIFS($N$2:$N3004,$R$2:$R3004,$R1498),1,
($N1498-_xludf.MINIFS($N$2:$N3004,$R$2:$R3004,$R1498))+1)</f>
        <v>#VALUE!</v>
      </c>
      <c r="P1498" s="13" t="e">
        <f t="shared" si="250"/>
        <v>#VALUE!</v>
      </c>
      <c r="Q1498" s="1" t="str">
        <f>RIGHT(YEAR($A1498),2)-(MONTH($A1498)&lt;=[3]Roster!$K$25)
 &amp;"-"&amp;
 RIGHT(YEAR($A1498),2)+(MONTH($A1498)&gt;=[3]Roster!$K$26)</f>
        <v>22-23</v>
      </c>
      <c r="R1498" s="1" t="e">
        <f>CHOOSE(MONTH($P1498),[3]Roster!$K$9,[3]Roster!$K$10,[3]Roster!$K$11,[3]Roster!$K$12,[3]Roster!$K$13,[3]Roster!$K$14,[3]Roster!$K$15,[3]Roster!$K$16,[3]Roster!$K$17,[3]Roster!$K$18,[3]Roster!$K$19,[3]Roster!$K$20)&amp;" "&amp;$Q1498</f>
        <v>#VALUE!</v>
      </c>
      <c r="S1498" s="1">
        <f t="shared" si="251"/>
        <v>1</v>
      </c>
      <c r="T1498" s="1" t="str">
        <f t="array" ref="T1498">IFERROR(INDEX([3]Roster!$D$3:$D$42,MATCH($B1498,[3]Roster!$C$3:$C$42,0)),"")</f>
        <v>FWD</v>
      </c>
      <c r="U1498" s="1" t="str">
        <f t="array" ref="U1498">IFERROR(INDEX([3]Roster!$E$3:$E$42,MATCH($B1498,[3]Roster!$C$3:$C$42,0)),"")</f>
        <v>FWD</v>
      </c>
      <c r="V1498" s="76">
        <f t="array" ref="V1498">AVERAGEIFS($E$2:$E2565,$B$2:$B2565,$B1498,$P$2:$P2565,"&lt;="&amp;$P1498,$P$2:$P2565,"&gt;"&amp;$P1498-7)</f>
        <v>9.7441860465116275</v>
      </c>
      <c r="W1498" s="76">
        <f ca="1">IFERROR(__xludf.DUMMYFUNCTION("iferror(stdevp(filter($D$2:$D2568,$B$2:$B2568=$B1501,$O$2:$O2568&lt;=$O1501,$O$2:$O2568&gt;$O1501-7)),0)"),0.903507902905251)</f>
        <v>0.90350790290525096</v>
      </c>
      <c r="X1498" s="77">
        <f t="shared" ca="1" si="252"/>
        <v>-1.9304601995213944</v>
      </c>
      <c r="Y1498" s="77">
        <f t="shared" ca="1" si="253"/>
        <v>1</v>
      </c>
      <c r="Z1498" s="76">
        <f t="array" ref="Z1498">AVERAGEIFS($F$2:$F2565,$B$2:$B2565,$B1498,$P$2:$P2565,"&lt;="&amp;$P1498,$P$2:$P2565,"&gt;"&amp;$P1498-7)</f>
        <v>8.279069767441861</v>
      </c>
      <c r="AA1498" s="76">
        <f ca="1">IFERROR(__xludf.DUMMYFUNCTION("iferror(stdevp(filter($E$2:$E2568,$B$2:$B2568=$B1501,$O$2:$O2568&lt;=$O1501,$O$2:$O2568&gt;$O1501-7)),0)"),2.76272565797338)</f>
        <v>2.7627256579733799</v>
      </c>
      <c r="AB1498" s="77">
        <f t="shared" ca="1" si="254"/>
        <v>-1.910819393958344</v>
      </c>
      <c r="AC1498" s="77">
        <f t="shared" ca="1" si="255"/>
        <v>1</v>
      </c>
      <c r="AD1498" s="76">
        <f t="array" ref="AD1498">AVERAGEIFS($G$2:$G2565,$B$2:$B2565,$B1498,$P$2:$P2565,"&lt;="&amp;$P1498,$P$2:$P2565,"&gt;"&amp;$P1498-7)</f>
        <v>8.604651162790697</v>
      </c>
      <c r="AE1498" s="76">
        <f ca="1">IFERROR(__xludf.DUMMYFUNCTION("iferror(stdevp(filter($F$2:$F2568,$B$2:$B2568=$B1501,$O$2:$O2568&lt;=$O1501,$O$2:$O2568&gt;$O1501-7)),0)"),1.03015750727542)</f>
        <v>1.0301575072754201</v>
      </c>
      <c r="AF1498" s="77">
        <f t="shared" ca="1" si="256"/>
        <v>-1.5576755510278311</v>
      </c>
      <c r="AG1498" s="77">
        <f t="shared" ca="1" si="257"/>
        <v>1</v>
      </c>
      <c r="AH1498" s="76">
        <f t="array" ref="AH1498">AVERAGEIFS($I$2:$I2565,$B$2:$B2565,$B1498,$P$2:$P2565,"&lt;="&amp;$P1498,$P$2:$P2565,"&gt;"&amp;$P1498-7)</f>
        <v>8.3488372093023262</v>
      </c>
      <c r="AI1498" s="76">
        <f ca="1">IFERROR(__xludf.DUMMYFUNCTION("iferror(stdevp(filter($H$2:$H2568,$B$2:$B2568=$B1501,$O$2:$O2568&lt;=$O1501,$O$2:$O2568&gt;$O1501-7)),0)"),0.494871659305393)</f>
        <v>0.49487165930539301</v>
      </c>
      <c r="AJ1498" s="77">
        <f t="shared" ca="1" si="258"/>
        <v>1.315821543734496</v>
      </c>
      <c r="AK1498" s="77">
        <f t="shared" ca="1" si="259"/>
        <v>4</v>
      </c>
      <c r="AL1498" s="76">
        <f t="array" ref="AL1498">AVERAGEIFS($J$2:$J2565,$B$2:$B2565,$B1498,$P$2:$P2565,"&lt;="&amp;$P1498,$P$2:$P2565,"&gt;"&amp;$P1498-7)</f>
        <v>8.3023255813953494</v>
      </c>
      <c r="AM1498" s="76">
        <f ca="1">IFERROR(__xludf.DUMMYFUNCTION("iferror(stdevp(filter($I$2:$I2568,$B$2:$B2568=$B1501,$O$2:$O2568&lt;=$O1501,$O$2:$O2568&gt;$O1501-7)),0)"),0.451753951452625)</f>
        <v>0.45175395145262498</v>
      </c>
      <c r="AN1498" s="77">
        <f t="shared" ca="1" si="260"/>
        <v>3.757962521734985</v>
      </c>
      <c r="AO1498" s="77">
        <f t="shared" ca="1" si="261"/>
        <v>4</v>
      </c>
      <c r="AP1498" s="76">
        <f t="array" ref="AP1498">AVERAGEIFS($K$2:$K2565,$B$2:$B2565,$B1498,$P$2:$P2565,"&lt;="&amp;$P1498,$P$2:$P2565,"&gt;"&amp;$P1498-7)</f>
        <v>8.9069767441860463</v>
      </c>
      <c r="AQ1498" s="76">
        <f ca="1">IFERROR(__xludf.DUMMYFUNCTION("iferror(stdevp(filter($J$2:$J2568,$B$2:$B2568=$B1501,$O$2:$O2568&lt;=$O1501,$O$2:$O2568&gt;$O1501-7)),0)"),0)</f>
        <v>0</v>
      </c>
      <c r="AR1498" s="77">
        <f t="shared" ca="1" si="262"/>
        <v>0</v>
      </c>
      <c r="AS1498" s="77">
        <f t="shared" ca="1" si="263"/>
        <v>3</v>
      </c>
      <c r="AT1498" s="78">
        <f t="shared" ca="1" si="264"/>
        <v>0.58333333333333337</v>
      </c>
    </row>
    <row r="1499" spans="1:46" ht="12.5" x14ac:dyDescent="0.25">
      <c r="A1499" s="75">
        <v>45008.401272071758</v>
      </c>
      <c r="B1499" s="1" t="s">
        <v>10</v>
      </c>
      <c r="C1499" s="1" t="str">
        <f>INDEX(TBL_Name,MATCH(Table2[[#This Row],[Athlete Name]],listNames,0),2)</f>
        <v>Athlete 5</v>
      </c>
      <c r="D1499" s="1" t="s">
        <v>130</v>
      </c>
      <c r="E1499" s="1">
        <v>9</v>
      </c>
      <c r="F1499" s="1">
        <v>8</v>
      </c>
      <c r="G1499" s="1">
        <v>8</v>
      </c>
      <c r="H1499" s="1" t="s">
        <v>226</v>
      </c>
      <c r="I1499" s="1">
        <v>7</v>
      </c>
      <c r="J1499" s="1">
        <v>8</v>
      </c>
      <c r="K1499" s="1">
        <v>8</v>
      </c>
      <c r="L1499" s="1">
        <v>78</v>
      </c>
      <c r="M1499" s="1" t="e">
        <f t="shared" ref="M1499" ca="1" si="535">_xludf.concat($B1499,$P1499)</f>
        <v>#NAME?</v>
      </c>
      <c r="N1499" s="1" t="e">
        <f t="shared" si="248"/>
        <v>#VALUE!</v>
      </c>
      <c r="O1499" s="1" t="e">
        <f t="shared" ref="O1499" ca="1" si="536">IF($N1499=_xludf.MINIFS($N$2:$N3005,$R$2:$R3005,$R1499),1,
($N1499-_xludf.MINIFS($N$2:$N3005,$R$2:$R3005,$R1499))+1)</f>
        <v>#VALUE!</v>
      </c>
      <c r="P1499" s="13" t="e">
        <f t="shared" si="250"/>
        <v>#VALUE!</v>
      </c>
      <c r="Q1499" s="1" t="str">
        <f>RIGHT(YEAR($A1499),2)-(MONTH($A1499)&lt;=[3]Roster!$K$25)
 &amp;"-"&amp;
 RIGHT(YEAR($A1499),2)+(MONTH($A1499)&gt;=[3]Roster!$K$26)</f>
        <v>22-23</v>
      </c>
      <c r="R1499" s="1" t="e">
        <f>CHOOSE(MONTH($P1499),[3]Roster!$K$9,[3]Roster!$K$10,[3]Roster!$K$11,[3]Roster!$K$12,[3]Roster!$K$13,[3]Roster!$K$14,[3]Roster!$K$15,[3]Roster!$K$16,[3]Roster!$K$17,[3]Roster!$K$18,[3]Roster!$K$19,[3]Roster!$K$20)&amp;" "&amp;$Q1499</f>
        <v>#VALUE!</v>
      </c>
      <c r="S1499" s="1">
        <f t="shared" si="251"/>
        <v>1</v>
      </c>
      <c r="T1499" s="1" t="str">
        <f t="array" ref="T1499">IFERROR(INDEX([3]Roster!$D$3:$D$42,MATCH($B1499,[3]Roster!$C$3:$C$42,0)),"")</f>
        <v>MID</v>
      </c>
      <c r="U1499" s="1" t="str">
        <f t="array" ref="U1499">IFERROR(INDEX([3]Roster!$E$3:$E$42,MATCH($B1499,[3]Roster!$C$3:$C$42,0)),"")</f>
        <v>MID</v>
      </c>
      <c r="V1499" s="76">
        <f t="array" ref="V1499">AVERAGEIFS($E$2:$E2565,$B$2:$B2565,$B1499,$P$2:$P2565,"&lt;="&amp;$P1499,$P$2:$P2565,"&gt;"&amp;$P1499-7)</f>
        <v>8.4042553191489358</v>
      </c>
      <c r="W1499" s="76">
        <f ca="1">IFERROR(__xludf.DUMMYFUNCTION("iferror(stdevp(filter($D$2:$D2568,$B$2:$B2568=$B1502,$O$2:$O2568&lt;=$O1502,$O$2:$O2568&gt;$O1502-7)),0)"),0.471404520791031)</f>
        <v>0.47140452079103101</v>
      </c>
      <c r="X1499" s="77">
        <f t="shared" ca="1" si="252"/>
        <v>1.263765311056811</v>
      </c>
      <c r="Y1499" s="77">
        <f t="shared" ca="1" si="253"/>
        <v>4</v>
      </c>
      <c r="Z1499" s="76">
        <f t="array" ref="Z1499">AVERAGEIFS($F$2:$F2565,$B$2:$B2565,$B1499,$P$2:$P2565,"&lt;="&amp;$P1499,$P$2:$P2565,"&gt;"&amp;$P1499-7)</f>
        <v>8.085106382978724</v>
      </c>
      <c r="AA1499" s="76">
        <f ca="1">IFERROR(__xludf.DUMMYFUNCTION("iferror(stdevp(filter($E$2:$E2568,$B$2:$B2568=$B1502,$O$2:$O2568&lt;=$O1502,$O$2:$O2568&gt;$O1502-7)),0)"),0.577350269189625)</f>
        <v>0.57735026918962495</v>
      </c>
      <c r="AB1499" s="77">
        <f t="shared" ca="1" si="254"/>
        <v>-0.14740857936756521</v>
      </c>
      <c r="AC1499" s="77">
        <f t="shared" ca="1" si="255"/>
        <v>2</v>
      </c>
      <c r="AD1499" s="76">
        <f t="array" ref="AD1499">AVERAGEIFS($G$2:$G2565,$B$2:$B2565,$B1499,$P$2:$P2565,"&lt;="&amp;$P1499,$P$2:$P2565,"&gt;"&amp;$P1499-7)</f>
        <v>8.0638297872340434</v>
      </c>
      <c r="AE1499" s="76">
        <f ca="1">IFERROR(__xludf.DUMMYFUNCTION("iferror(stdevp(filter($F$2:$F2568,$B$2:$B2568=$B1502,$O$2:$O2568&lt;=$O1502,$O$2:$O2568&gt;$O1502-7)),0)"),0.577350269189625)</f>
        <v>0.57735026918962495</v>
      </c>
      <c r="AF1499" s="77">
        <f t="shared" ca="1" si="256"/>
        <v>-0.11055643452567468</v>
      </c>
      <c r="AG1499" s="77">
        <f t="shared" ca="1" si="257"/>
        <v>2</v>
      </c>
      <c r="AH1499" s="76">
        <f t="array" ref="AH1499">AVERAGEIFS($I$2:$I2565,$B$2:$B2565,$B1499,$P$2:$P2565,"&lt;="&amp;$P1499,$P$2:$P2565,"&gt;"&amp;$P1499-7)</f>
        <v>6.7446808510638299</v>
      </c>
      <c r="AI1499" s="76">
        <f ca="1">IFERROR(__xludf.DUMMYFUNCTION("iferror(stdevp(filter($H$2:$H2568,$B$2:$B2568=$B1502,$O$2:$O2568&lt;=$O1502,$O$2:$O2568&gt;$O1502-7)),0)"),1.2909944487358)</f>
        <v>1.2909944487358</v>
      </c>
      <c r="AJ1499" s="77">
        <f t="shared" ca="1" si="258"/>
        <v>0.19776936235952847</v>
      </c>
      <c r="AK1499" s="77">
        <f t="shared" ca="1" si="259"/>
        <v>3</v>
      </c>
      <c r="AL1499" s="76">
        <f t="array" ref="AL1499">AVERAGEIFS($J$2:$J2565,$B$2:$B2565,$B1499,$P$2:$P2565,"&lt;="&amp;$P1499,$P$2:$P2565,"&gt;"&amp;$P1499-7)</f>
        <v>8.1063829787234045</v>
      </c>
      <c r="AM1499" s="76">
        <f ca="1">IFERROR(__xludf.DUMMYFUNCTION("iferror(stdevp(filter($I$2:$I2568,$B$2:$B2568=$B1502,$O$2:$O2568&lt;=$O1502,$O$2:$O2568&gt;$O1502-7)),0)"),0.577350269189625)</f>
        <v>0.57735026918962495</v>
      </c>
      <c r="AN1499" s="77">
        <f t="shared" ca="1" si="260"/>
        <v>-0.18426072420945575</v>
      </c>
      <c r="AO1499" s="77">
        <f t="shared" ca="1" si="261"/>
        <v>2</v>
      </c>
      <c r="AP1499" s="76">
        <f t="array" ref="AP1499">AVERAGEIFS($K$2:$K2565,$B$2:$B2565,$B1499,$P$2:$P2565,"&lt;="&amp;$P1499,$P$2:$P2565,"&gt;"&amp;$P1499-7)</f>
        <v>8.2978723404255312</v>
      </c>
      <c r="AQ1499" s="76">
        <f ca="1">IFERROR(__xludf.DUMMYFUNCTION("iferror(stdevp(filter($J$2:$J2568,$B$2:$B2568=$B1502,$O$2:$O2568&lt;=$O1502,$O$2:$O2568&gt;$O1502-7)),0)"),1.69967317119759)</f>
        <v>1.6996731711975901</v>
      </c>
      <c r="AR1499" s="77">
        <f t="shared" ca="1" si="262"/>
        <v>-0.17525271650646243</v>
      </c>
      <c r="AS1499" s="77">
        <f t="shared" ca="1" si="263"/>
        <v>2</v>
      </c>
      <c r="AT1499" s="78">
        <f t="shared" ca="1" si="264"/>
        <v>0.625</v>
      </c>
    </row>
    <row r="1500" spans="1:46" ht="12.5" x14ac:dyDescent="0.25">
      <c r="A1500" s="75">
        <v>45008.492736932865</v>
      </c>
      <c r="B1500" s="1" t="s">
        <v>16</v>
      </c>
      <c r="C1500" s="1" t="str">
        <f>INDEX(TBL_Name,MATCH(Table2[[#This Row],[Athlete Name]],listNames,0),2)</f>
        <v>Athlete 9</v>
      </c>
      <c r="D1500" s="1" t="s">
        <v>130</v>
      </c>
      <c r="E1500" s="1">
        <v>8</v>
      </c>
      <c r="F1500" s="1">
        <v>8</v>
      </c>
      <c r="G1500" s="1">
        <v>8</v>
      </c>
      <c r="H1500" s="1" t="s">
        <v>1639</v>
      </c>
      <c r="I1500" s="1">
        <v>6</v>
      </c>
      <c r="J1500" s="1">
        <v>9</v>
      </c>
      <c r="K1500" s="1">
        <v>9</v>
      </c>
      <c r="L1500" s="1">
        <v>80</v>
      </c>
      <c r="M1500" s="1" t="e">
        <f t="shared" ref="M1500" ca="1" si="537">_xludf.concat($B1500,$P1500)</f>
        <v>#NAME?</v>
      </c>
      <c r="N1500" s="1" t="e">
        <f t="shared" si="248"/>
        <v>#VALUE!</v>
      </c>
      <c r="O1500" s="1" t="e">
        <f t="shared" ref="O1500" ca="1" si="538">IF($N1500=_xludf.MINIFS($N$2:$N3006,$R$2:$R3006,$R1500),1,
($N1500-_xludf.MINIFS($N$2:$N3006,$R$2:$R3006,$R1500))+1)</f>
        <v>#VALUE!</v>
      </c>
      <c r="P1500" s="13" t="e">
        <f t="shared" si="250"/>
        <v>#VALUE!</v>
      </c>
      <c r="Q1500" s="1" t="str">
        <f>RIGHT(YEAR($A1500),2)-(MONTH($A1500)&lt;=[3]Roster!$K$25)
 &amp;"-"&amp;
 RIGHT(YEAR($A1500),2)+(MONTH($A1500)&gt;=[3]Roster!$K$26)</f>
        <v>22-23</v>
      </c>
      <c r="R1500" s="1" t="e">
        <f>CHOOSE(MONTH($P1500),[3]Roster!$K$9,[3]Roster!$K$10,[3]Roster!$K$11,[3]Roster!$K$12,[3]Roster!$K$13,[3]Roster!$K$14,[3]Roster!$K$15,[3]Roster!$K$16,[3]Roster!$K$17,[3]Roster!$K$18,[3]Roster!$K$19,[3]Roster!$K$20)&amp;" "&amp;$Q1500</f>
        <v>#VALUE!</v>
      </c>
      <c r="S1500" s="1">
        <f t="shared" si="251"/>
        <v>1</v>
      </c>
      <c r="T1500" s="1" t="str">
        <f t="array" ref="T1500">IFERROR(INDEX([3]Roster!$D$3:$D$42,MATCH($B1500,[3]Roster!$C$3:$C$42,0)),"")</f>
        <v>MID/D</v>
      </c>
      <c r="U1500" s="1" t="str">
        <f t="array" ref="U1500">IFERROR(INDEX([3]Roster!$E$3:$E$42,MATCH($B1500,[3]Roster!$C$3:$C$42,0)),"")</f>
        <v>MID/D</v>
      </c>
      <c r="V1500" s="76">
        <f t="array" ref="V1500">AVERAGEIFS($E$2:$E2565,$B$2:$B2565,$B1500,$P$2:$P2565,"&lt;="&amp;$P1500,$P$2:$P2565,"&gt;"&amp;$P1500-7)</f>
        <v>8.9600000000000009</v>
      </c>
      <c r="W1500" s="76">
        <f ca="1">IFERROR(__xludf.DUMMYFUNCTION("iferror(stdevp(filter($D$2:$D2568,$B$2:$B2568=$B1503,$O$2:$O2568&lt;=$O1503,$O$2:$O2568&gt;$O1503-7)),0)"),0.489897948556635)</f>
        <v>0.48989794855663499</v>
      </c>
      <c r="X1500" s="77">
        <f t="shared" ca="1" si="252"/>
        <v>-1.9595917942265468</v>
      </c>
      <c r="Y1500" s="77">
        <f t="shared" ca="1" si="253"/>
        <v>1</v>
      </c>
      <c r="Z1500" s="76">
        <f t="array" ref="Z1500">AVERAGEIFS($F$2:$F2565,$B$2:$B2565,$B1500,$P$2:$P2565,"&lt;="&amp;$P1500,$P$2:$P2565,"&gt;"&amp;$P1500-7)</f>
        <v>7.48</v>
      </c>
      <c r="AA1500" s="76">
        <f ca="1">IFERROR(__xludf.DUMMYFUNCTION("iferror(stdevp(filter($E$2:$E2568,$B$2:$B2568=$B1503,$O$2:$O2568&lt;=$O1503,$O$2:$O2568&gt;$O1503-7)),0)"),0.489897948556635)</f>
        <v>0.48989794855663499</v>
      </c>
      <c r="AB1500" s="77">
        <f t="shared" ca="1" si="254"/>
        <v>1.0614455552060444</v>
      </c>
      <c r="AC1500" s="77">
        <f t="shared" ca="1" si="255"/>
        <v>4</v>
      </c>
      <c r="AD1500" s="76">
        <f t="array" ref="AD1500">AVERAGEIFS($G$2:$G2565,$B$2:$B2565,$B1500,$P$2:$P2565,"&lt;="&amp;$P1500,$P$2:$P2565,"&gt;"&amp;$P1500-7)</f>
        <v>7.56</v>
      </c>
      <c r="AE1500" s="76">
        <f ca="1">IFERROR(__xludf.DUMMYFUNCTION("iferror(stdevp(filter($F$2:$F2568,$B$2:$B2568=$B1503,$O$2:$O2568&lt;=$O1503,$O$2:$O2568&gt;$O1503-7)),0)"),0.399999999999999)</f>
        <v>0.39999999999999902</v>
      </c>
      <c r="AF1500" s="77">
        <f t="shared" ca="1" si="256"/>
        <v>1.1000000000000036</v>
      </c>
      <c r="AG1500" s="77">
        <f t="shared" ca="1" si="257"/>
        <v>4</v>
      </c>
      <c r="AH1500" s="76">
        <f t="array" ref="AH1500">AVERAGEIFS($I$2:$I2565,$B$2:$B2565,$B1500,$P$2:$P2565,"&lt;="&amp;$P1500,$P$2:$P2565,"&gt;"&amp;$P1500-7)</f>
        <v>5.8</v>
      </c>
      <c r="AI1500" s="76">
        <f ca="1">IFERROR(__xludf.DUMMYFUNCTION("iferror(stdevp(filter($H$2:$H2568,$B$2:$B2568=$B1503,$O$2:$O2568&lt;=$O1503,$O$2:$O2568&gt;$O1503-7)),0)"),0.489897948556635)</f>
        <v>0.48989794855663499</v>
      </c>
      <c r="AJ1500" s="77">
        <f t="shared" ca="1" si="258"/>
        <v>0.40824829046386391</v>
      </c>
      <c r="AK1500" s="77">
        <f t="shared" ca="1" si="259"/>
        <v>3</v>
      </c>
      <c r="AL1500" s="76">
        <f t="array" ref="AL1500">AVERAGEIFS($J$2:$J2565,$B$2:$B2565,$B1500,$P$2:$P2565,"&lt;="&amp;$P1500,$P$2:$P2565,"&gt;"&amp;$P1500-7)</f>
        <v>7.8</v>
      </c>
      <c r="AM1500" s="76">
        <f ca="1">IFERROR(__xludf.DUMMYFUNCTION("iferror(stdevp(filter($I$2:$I2568,$B$2:$B2568=$B1503,$O$2:$O2568&lt;=$O1503,$O$2:$O2568&gt;$O1503-7)),0)"),0.4)</f>
        <v>0.4</v>
      </c>
      <c r="AN1500" s="77">
        <f t="shared" ca="1" si="260"/>
        <v>3.0000000000000004</v>
      </c>
      <c r="AO1500" s="77">
        <f t="shared" ca="1" si="261"/>
        <v>4</v>
      </c>
      <c r="AP1500" s="76">
        <f t="array" ref="AP1500">AVERAGEIFS($K$2:$K2565,$B$2:$B2565,$B1500,$P$2:$P2565,"&lt;="&amp;$P1500,$P$2:$P2565,"&gt;"&amp;$P1500-7)</f>
        <v>8.6</v>
      </c>
      <c r="AQ1500" s="76">
        <f ca="1">IFERROR(__xludf.DUMMYFUNCTION("iferror(stdevp(filter($J$2:$J2568,$B$2:$B2568=$B1503,$O$2:$O2568&lt;=$O1503,$O$2:$O2568&gt;$O1503-7)),0)"),0.4)</f>
        <v>0.4</v>
      </c>
      <c r="AR1500" s="77">
        <f t="shared" ca="1" si="262"/>
        <v>1.0000000000000009</v>
      </c>
      <c r="AS1500" s="77">
        <f t="shared" ca="1" si="263"/>
        <v>4</v>
      </c>
      <c r="AT1500" s="78">
        <f t="shared" ca="1" si="264"/>
        <v>0.83333333333333337</v>
      </c>
    </row>
    <row r="1501" spans="1:46" ht="12.5" x14ac:dyDescent="0.25">
      <c r="A1501" s="75">
        <v>45008.492970474537</v>
      </c>
      <c r="B1501" s="1" t="s">
        <v>15</v>
      </c>
      <c r="C1501" s="1" t="str">
        <f>INDEX(TBL_Name,MATCH(Table2[[#This Row],[Athlete Name]],listNames,0),2)</f>
        <v>Athlete 8</v>
      </c>
      <c r="D1501" s="1" t="s">
        <v>130</v>
      </c>
      <c r="E1501" s="1">
        <v>10</v>
      </c>
      <c r="F1501" s="1">
        <v>8</v>
      </c>
      <c r="G1501" s="1">
        <v>8</v>
      </c>
      <c r="H1501" s="1" t="s">
        <v>193</v>
      </c>
      <c r="I1501" s="1">
        <v>6</v>
      </c>
      <c r="J1501" s="1">
        <v>10</v>
      </c>
      <c r="K1501" s="1">
        <v>10</v>
      </c>
      <c r="L1501" s="1">
        <v>84</v>
      </c>
      <c r="M1501" s="1" t="e">
        <f t="shared" ref="M1501" ca="1" si="539">_xludf.concat($B1501,$P1501)</f>
        <v>#NAME?</v>
      </c>
      <c r="N1501" s="1" t="e">
        <f t="shared" si="248"/>
        <v>#VALUE!</v>
      </c>
      <c r="O1501" s="1" t="e">
        <f t="shared" ref="O1501" ca="1" si="540">IF($N1501=_xludf.MINIFS($N$2:$N3007,$R$2:$R3007,$R1501),1,
($N1501-_xludf.MINIFS($N$2:$N3007,$R$2:$R3007,$R1501))+1)</f>
        <v>#VALUE!</v>
      </c>
      <c r="P1501" s="13" t="e">
        <f t="shared" si="250"/>
        <v>#VALUE!</v>
      </c>
      <c r="Q1501" s="1" t="str">
        <f>RIGHT(YEAR($A1501),2)-(MONTH($A1501)&lt;=[3]Roster!$K$25)
 &amp;"-"&amp;
 RIGHT(YEAR($A1501),2)+(MONTH($A1501)&gt;=[3]Roster!$K$26)</f>
        <v>22-23</v>
      </c>
      <c r="R1501" s="1" t="e">
        <f>CHOOSE(MONTH($P1501),[3]Roster!$K$9,[3]Roster!$K$10,[3]Roster!$K$11,[3]Roster!$K$12,[3]Roster!$K$13,[3]Roster!$K$14,[3]Roster!$K$15,[3]Roster!$K$16,[3]Roster!$K$17,[3]Roster!$K$18,[3]Roster!$K$19,[3]Roster!$K$20)&amp;" "&amp;$Q1501</f>
        <v>#VALUE!</v>
      </c>
      <c r="S1501" s="1">
        <f t="shared" si="251"/>
        <v>1</v>
      </c>
      <c r="T1501" s="1" t="str">
        <f t="array" ref="T1501">IFERROR(INDEX([3]Roster!$D$3:$D$42,MATCH($B1501,[3]Roster!$C$3:$C$42,0)),"")</f>
        <v>MID/D</v>
      </c>
      <c r="U1501" s="1" t="str">
        <f t="array" ref="U1501">IFERROR(INDEX([3]Roster!$E$3:$E$42,MATCH($B1501,[3]Roster!$C$3:$C$42,0)),"")</f>
        <v>MID/D</v>
      </c>
      <c r="V1501" s="76">
        <f t="array" ref="V1501">AVERAGEIFS($E$2:$E2565,$B$2:$B2565,$B1501,$P$2:$P2565,"&lt;="&amp;$P1501,$P$2:$P2565,"&gt;"&amp;$P1501-7)</f>
        <v>8.935483870967742</v>
      </c>
      <c r="W1501" s="76">
        <f ca="1">IFERROR(__xludf.DUMMYFUNCTION("iferror(stdevp(filter($D$2:$D2568,$B$2:$B2568=$B1504,$O$2:$O2568&lt;=$O1504,$O$2:$O2568&gt;$O1504-7)),0)"),1.29903810567665)</f>
        <v>1.29903810567665</v>
      </c>
      <c r="X1501" s="77">
        <f t="shared" ca="1" si="252"/>
        <v>0.81946489820463508</v>
      </c>
      <c r="Y1501" s="77">
        <f t="shared" ca="1" si="253"/>
        <v>3</v>
      </c>
      <c r="Z1501" s="76">
        <f t="array" ref="Z1501">AVERAGEIFS($F$2:$F2565,$B$2:$B2565,$B1501,$P$2:$P2565,"&lt;="&amp;$P1501,$P$2:$P2565,"&gt;"&amp;$P1501-7)</f>
        <v>8.741935483870968</v>
      </c>
      <c r="AA1501" s="76">
        <f ca="1">IFERROR(__xludf.DUMMYFUNCTION("iferror(stdevp(filter($E$2:$E2568,$B$2:$B2568=$B1504,$O$2:$O2568&lt;=$O1504,$O$2:$O2568&gt;$O1504-7)),0)"),1)</f>
        <v>1</v>
      </c>
      <c r="AB1501" s="77">
        <f t="shared" ca="1" si="254"/>
        <v>-0.74193548387096797</v>
      </c>
      <c r="AC1501" s="77">
        <f t="shared" ca="1" si="255"/>
        <v>2</v>
      </c>
      <c r="AD1501" s="76">
        <f t="array" ref="AD1501">AVERAGEIFS($G$2:$G2565,$B$2:$B2565,$B1501,$P$2:$P2565,"&lt;="&amp;$P1501,$P$2:$P2565,"&gt;"&amp;$P1501-7)</f>
        <v>7.32258064516129</v>
      </c>
      <c r="AE1501" s="76">
        <f ca="1">IFERROR(__xludf.DUMMYFUNCTION("iferror(stdevp(filter($F$2:$F2568,$B$2:$B2568=$B1504,$O$2:$O2568&lt;=$O1504,$O$2:$O2568&gt;$O1504-7)),0)"),0.5)</f>
        <v>0.5</v>
      </c>
      <c r="AF1501" s="77">
        <f t="shared" ca="1" si="256"/>
        <v>1.3548387096774199</v>
      </c>
      <c r="AG1501" s="77">
        <f t="shared" ca="1" si="257"/>
        <v>4</v>
      </c>
      <c r="AH1501" s="76">
        <f t="array" ref="AH1501">AVERAGEIFS($I$2:$I2565,$B$2:$B2565,$B1501,$P$2:$P2565,"&lt;="&amp;$P1501,$P$2:$P2565,"&gt;"&amp;$P1501-7)</f>
        <v>6.419354838709677</v>
      </c>
      <c r="AI1501" s="76">
        <f ca="1">IFERROR(__xludf.DUMMYFUNCTION("iferror(stdevp(filter($H$2:$H2568,$B$2:$B2568=$B1504,$O$2:$O2568&lt;=$O1504,$O$2:$O2568&gt;$O1504-7)),0)"),0.433012701892219)</f>
        <v>0.43301270189221902</v>
      </c>
      <c r="AJ1501" s="77">
        <f t="shared" ca="1" si="258"/>
        <v>-0.9684585160600172</v>
      </c>
      <c r="AK1501" s="77">
        <f t="shared" ca="1" si="259"/>
        <v>2</v>
      </c>
      <c r="AL1501" s="76">
        <f t="array" ref="AL1501">AVERAGEIFS($J$2:$J2565,$B$2:$B2565,$B1501,$P$2:$P2565,"&lt;="&amp;$P1501,$P$2:$P2565,"&gt;"&amp;$P1501-7)</f>
        <v>9.612903225806452</v>
      </c>
      <c r="AM1501" s="76">
        <f ca="1">IFERROR(__xludf.DUMMYFUNCTION("iferror(stdevp(filter($I$2:$I2568,$B$2:$B2568=$B1504,$O$2:$O2568&lt;=$O1504,$O$2:$O2568&gt;$O1504-7)),0)"),0)</f>
        <v>0</v>
      </c>
      <c r="AN1501" s="77">
        <f t="shared" ca="1" si="260"/>
        <v>0</v>
      </c>
      <c r="AO1501" s="77">
        <f t="shared" ca="1" si="261"/>
        <v>3</v>
      </c>
      <c r="AP1501" s="76">
        <f t="array" ref="AP1501">AVERAGEIFS($K$2:$K2565,$B$2:$B2565,$B1501,$P$2:$P2565,"&lt;="&amp;$P1501,$P$2:$P2565,"&gt;"&amp;$P1501-7)</f>
        <v>10</v>
      </c>
      <c r="AQ1501" s="76">
        <f ca="1">IFERROR(__xludf.DUMMYFUNCTION("iferror(stdevp(filter($J$2:$J2568,$B$2:$B2568=$B1504,$O$2:$O2568&lt;=$O1504,$O$2:$O2568&gt;$O1504-7)),0)"),0)</f>
        <v>0</v>
      </c>
      <c r="AR1501" s="77">
        <f t="shared" ca="1" si="262"/>
        <v>0</v>
      </c>
      <c r="AS1501" s="77">
        <f t="shared" ca="1" si="263"/>
        <v>3</v>
      </c>
      <c r="AT1501" s="78">
        <f t="shared" ca="1" si="264"/>
        <v>0.70833333333333337</v>
      </c>
    </row>
    <row r="1502" spans="1:46" ht="12.5" x14ac:dyDescent="0.25">
      <c r="A1502" s="75">
        <v>45008.495226076389</v>
      </c>
      <c r="B1502" s="1" t="s">
        <v>29</v>
      </c>
      <c r="C1502" s="1" t="str">
        <f>INDEX(TBL_Name,MATCH(Table2[[#This Row],[Athlete Name]],listNames,0),2)</f>
        <v>Athlete 18</v>
      </c>
      <c r="D1502" s="1" t="s">
        <v>130</v>
      </c>
      <c r="E1502" s="1">
        <v>8</v>
      </c>
      <c r="F1502" s="1">
        <v>9</v>
      </c>
      <c r="G1502" s="1">
        <v>8</v>
      </c>
      <c r="H1502" s="1" t="s">
        <v>1339</v>
      </c>
      <c r="I1502" s="1">
        <v>7</v>
      </c>
      <c r="J1502" s="1">
        <v>9</v>
      </c>
      <c r="K1502" s="1">
        <v>8</v>
      </c>
      <c r="L1502" s="1">
        <v>95</v>
      </c>
      <c r="M1502" s="1" t="e">
        <f t="shared" ref="M1502" ca="1" si="541">_xludf.concat($B1502,$P1502)</f>
        <v>#NAME?</v>
      </c>
      <c r="N1502" s="1" t="e">
        <f t="shared" si="248"/>
        <v>#VALUE!</v>
      </c>
      <c r="O1502" s="1" t="e">
        <f t="shared" ref="O1502" ca="1" si="542">IF($N1502=_xludf.MINIFS($N$2:$N3008,$R$2:$R3008,$R1502),1,
($N1502-_xludf.MINIFS($N$2:$N3008,$R$2:$R3008,$R1502))+1)</f>
        <v>#VALUE!</v>
      </c>
      <c r="P1502" s="13" t="e">
        <f t="shared" si="250"/>
        <v>#VALUE!</v>
      </c>
      <c r="Q1502" s="1" t="str">
        <f>RIGHT(YEAR($A1502),2)-(MONTH($A1502)&lt;=[3]Roster!$K$25)
 &amp;"-"&amp;
 RIGHT(YEAR($A1502),2)+(MONTH($A1502)&gt;=[3]Roster!$K$26)</f>
        <v>22-23</v>
      </c>
      <c r="R1502" s="1" t="e">
        <f>CHOOSE(MONTH($P1502),[3]Roster!$K$9,[3]Roster!$K$10,[3]Roster!$K$11,[3]Roster!$K$12,[3]Roster!$K$13,[3]Roster!$K$14,[3]Roster!$K$15,[3]Roster!$K$16,[3]Roster!$K$17,[3]Roster!$K$18,[3]Roster!$K$19,[3]Roster!$K$20)&amp;" "&amp;$Q1502</f>
        <v>#VALUE!</v>
      </c>
      <c r="S1502" s="1">
        <f t="shared" si="251"/>
        <v>1</v>
      </c>
      <c r="T1502" s="1" t="str">
        <f t="array" ref="T1502">IFERROR(INDEX([3]Roster!$D$3:$D$42,MATCH($B1502,[3]Roster!$C$3:$C$42,0)),"")</f>
        <v>GK</v>
      </c>
      <c r="U1502" s="1" t="str">
        <f t="array" ref="U1502">IFERROR(INDEX([3]Roster!$E$3:$E$42,MATCH($B1502,[3]Roster!$C$3:$C$42,0)),"")</f>
        <v>GK</v>
      </c>
      <c r="V1502" s="76">
        <f t="array" ref="V1502">AVERAGEIFS($E$2:$E2565,$B$2:$B2565,$B1502,$P$2:$P2565,"&lt;="&amp;$P1502,$P$2:$P2565,"&gt;"&amp;$P1502-7)</f>
        <v>8.53125</v>
      </c>
      <c r="W1502" s="76">
        <f ca="1">IFERROR(__xludf.DUMMYFUNCTION("iferror(stdevp(filter($D$2:$D2568,$B$2:$B2568=$B1505,$O$2:$O2568&lt;=$O1505,$O$2:$O2568&gt;$O1505-7)),0)"),0.687184270936277)</f>
        <v>0.68718427093627699</v>
      </c>
      <c r="X1502" s="77">
        <f t="shared" ca="1" si="252"/>
        <v>-0.77308230480331108</v>
      </c>
      <c r="Y1502" s="77">
        <f t="shared" ca="1" si="253"/>
        <v>2</v>
      </c>
      <c r="Z1502" s="76">
        <f t="array" ref="Z1502">AVERAGEIFS($F$2:$F2565,$B$2:$B2565,$B1502,$P$2:$P2565,"&lt;="&amp;$P1502,$P$2:$P2565,"&gt;"&amp;$P1502-7)</f>
        <v>8.125</v>
      </c>
      <c r="AA1502" s="76">
        <f ca="1">IFERROR(__xludf.DUMMYFUNCTION("iferror(stdevp(filter($E$2:$E2568,$B$2:$B2568=$B1505,$O$2:$O2568&lt;=$O1505,$O$2:$O2568&gt;$O1505-7)),0)"),1.10554159678513)</f>
        <v>1.1055415967851301</v>
      </c>
      <c r="AB1502" s="77">
        <f t="shared" ca="1" si="254"/>
        <v>0.79146727951663176</v>
      </c>
      <c r="AC1502" s="77">
        <f t="shared" ca="1" si="255"/>
        <v>3</v>
      </c>
      <c r="AD1502" s="76">
        <f t="array" ref="AD1502">AVERAGEIFS($G$2:$G2565,$B$2:$B2565,$B1502,$P$2:$P2565,"&lt;="&amp;$P1502,$P$2:$P2565,"&gt;"&amp;$P1502-7)</f>
        <v>8.09375</v>
      </c>
      <c r="AE1502" s="76">
        <f ca="1">IFERROR(__xludf.DUMMYFUNCTION("iferror(stdevp(filter($F$2:$F2568,$B$2:$B2568=$B1505,$O$2:$O2568&lt;=$O1505,$O$2:$O2568&gt;$O1505-7)),0)"),0.687184270936276)</f>
        <v>0.68718427093627599</v>
      </c>
      <c r="AF1502" s="77">
        <f t="shared" ca="1" si="256"/>
        <v>-0.13642628908293744</v>
      </c>
      <c r="AG1502" s="77">
        <f t="shared" ca="1" si="257"/>
        <v>2</v>
      </c>
      <c r="AH1502" s="76">
        <f t="array" ref="AH1502">AVERAGEIFS($I$2:$I2565,$B$2:$B2565,$B1502,$P$2:$P2565,"&lt;="&amp;$P1502,$P$2:$P2565,"&gt;"&amp;$P1502-7)</f>
        <v>7.875</v>
      </c>
      <c r="AI1502" s="76">
        <f ca="1">IFERROR(__xludf.DUMMYFUNCTION("iferror(stdevp(filter($H$2:$H2568,$B$2:$B2568=$B1505,$O$2:$O2568&lt;=$O1505,$O$2:$O2568&gt;$O1505-7)),0)"),0.745355992499929)</f>
        <v>0.74535599249992901</v>
      </c>
      <c r="AJ1502" s="77">
        <f t="shared" ca="1" si="258"/>
        <v>-1.173935688187391</v>
      </c>
      <c r="AK1502" s="77">
        <f t="shared" ca="1" si="259"/>
        <v>1</v>
      </c>
      <c r="AL1502" s="76">
        <f t="array" ref="AL1502">AVERAGEIFS($J$2:$J2565,$B$2:$B2565,$B1502,$P$2:$P2565,"&lt;="&amp;$P1502,$P$2:$P2565,"&gt;"&amp;$P1502-7)</f>
        <v>8.34375</v>
      </c>
      <c r="AM1502" s="76">
        <f ca="1">IFERROR(__xludf.DUMMYFUNCTION("iferror(stdevp(filter($I$2:$I2568,$B$2:$B2568=$B1505,$O$2:$O2568&lt;=$O1505,$O$2:$O2568&gt;$O1505-7)),0)"),0.763762615825973)</f>
        <v>0.76376261582597305</v>
      </c>
      <c r="AN1502" s="77">
        <f t="shared" ca="1" si="260"/>
        <v>0.85923294280422036</v>
      </c>
      <c r="AO1502" s="77">
        <f t="shared" ca="1" si="261"/>
        <v>3</v>
      </c>
      <c r="AP1502" s="76">
        <f t="array" ref="AP1502">AVERAGEIFS($K$2:$K2565,$B$2:$B2565,$B1502,$P$2:$P2565,"&lt;="&amp;$P1502,$P$2:$P2565,"&gt;"&amp;$P1502-7)</f>
        <v>8.46875</v>
      </c>
      <c r="AQ1502" s="76">
        <f ca="1">IFERROR(__xludf.DUMMYFUNCTION("iferror(stdevp(filter($J$2:$J2568,$B$2:$B2568=$B1505,$O$2:$O2568&lt;=$O1505,$O$2:$O2568&gt;$O1505-7)),0)"),0.942809041582063)</f>
        <v>0.94280904158206302</v>
      </c>
      <c r="AR1502" s="77">
        <f t="shared" ca="1" si="262"/>
        <v>-0.49718445552179141</v>
      </c>
      <c r="AS1502" s="77">
        <f t="shared" ca="1" si="263"/>
        <v>2</v>
      </c>
      <c r="AT1502" s="78">
        <f t="shared" ca="1" si="264"/>
        <v>0.54166666666666663</v>
      </c>
    </row>
    <row r="1503" spans="1:46" ht="12.5" x14ac:dyDescent="0.25">
      <c r="A1503" s="75">
        <v>45009.363826261571</v>
      </c>
      <c r="B1503" s="1" t="s">
        <v>9</v>
      </c>
      <c r="C1503" s="1" t="str">
        <f>INDEX(TBL_Name,MATCH(Table2[[#This Row],[Athlete Name]],listNames,0),2)</f>
        <v>Athlete 4</v>
      </c>
      <c r="D1503" s="1" t="s">
        <v>130</v>
      </c>
      <c r="E1503" s="1">
        <v>6</v>
      </c>
      <c r="F1503" s="1">
        <v>6</v>
      </c>
      <c r="G1503" s="1">
        <v>7</v>
      </c>
      <c r="H1503" s="1" t="s">
        <v>1607</v>
      </c>
      <c r="I1503" s="1">
        <v>6</v>
      </c>
      <c r="J1503" s="1">
        <v>7</v>
      </c>
      <c r="K1503" s="1">
        <v>7</v>
      </c>
      <c r="L1503" s="1">
        <v>92</v>
      </c>
      <c r="M1503" s="1" t="e">
        <f t="shared" ref="M1503" ca="1" si="543">_xludf.concat($B1503,$P1503)</f>
        <v>#NAME?</v>
      </c>
      <c r="N1503" s="1" t="e">
        <f t="shared" si="248"/>
        <v>#VALUE!</v>
      </c>
      <c r="O1503" s="1" t="e">
        <f t="shared" ref="O1503" ca="1" si="544">IF($N1503=_xludf.MINIFS($N$2:$N3009,$R$2:$R3009,$R1503),1,
($N1503-_xludf.MINIFS($N$2:$N3009,$R$2:$R3009,$R1503))+1)</f>
        <v>#VALUE!</v>
      </c>
      <c r="P1503" s="13" t="e">
        <f t="shared" si="250"/>
        <v>#VALUE!</v>
      </c>
      <c r="Q1503" s="1" t="str">
        <f>RIGHT(YEAR($A1503),2)-(MONTH($A1503)&lt;=[3]Roster!$K$25)
 &amp;"-"&amp;
 RIGHT(YEAR($A1503),2)+(MONTH($A1503)&gt;=[3]Roster!$K$26)</f>
        <v>22-23</v>
      </c>
      <c r="R1503" s="1" t="e">
        <f>CHOOSE(MONTH($P1503),[3]Roster!$K$9,[3]Roster!$K$10,[3]Roster!$K$11,[3]Roster!$K$12,[3]Roster!$K$13,[3]Roster!$K$14,[3]Roster!$K$15,[3]Roster!$K$16,[3]Roster!$K$17,[3]Roster!$K$18,[3]Roster!$K$19,[3]Roster!$K$20)&amp;" "&amp;$Q1503</f>
        <v>#VALUE!</v>
      </c>
      <c r="S1503" s="1">
        <f t="shared" si="251"/>
        <v>1</v>
      </c>
      <c r="T1503" s="1" t="str">
        <f t="array" ref="T1503">IFERROR(INDEX([3]Roster!$D$3:$D$42,MATCH($B1503,[3]Roster!$C$3:$C$42,0)),"")</f>
        <v>F/MID</v>
      </c>
      <c r="U1503" s="1" t="str">
        <f t="array" ref="U1503">IFERROR(INDEX([3]Roster!$E$3:$E$42,MATCH($B1503,[3]Roster!$C$3:$C$42,0)),"")</f>
        <v>F/MID</v>
      </c>
      <c r="V1503" s="76">
        <f t="array" ref="V1503">AVERAGEIFS($E$2:$E2565,$B$2:$B2565,$B1503,$P$2:$P2565,"&lt;="&amp;$P1503,$P$2:$P2565,"&gt;"&amp;$P1503-7)</f>
        <v>7.4230769230769234</v>
      </c>
      <c r="W1503" s="76">
        <f ca="1">IFERROR(__xludf.DUMMYFUNCTION("iferror(stdevp(filter($D$2:$D2568,$B$2:$B2568=$B1506,$O$2:$O2568&lt;=$O1506,$O$2:$O2568&gt;$O1506-7)),0)"),1.01980390271855)</f>
        <v>1.0198039027185499</v>
      </c>
      <c r="X1503" s="77">
        <f t="shared" ca="1" si="252"/>
        <v>-1.3954417307909348</v>
      </c>
      <c r="Y1503" s="77">
        <f t="shared" ca="1" si="253"/>
        <v>1</v>
      </c>
      <c r="Z1503" s="76">
        <f t="array" ref="Z1503">AVERAGEIFS($F$2:$F2565,$B$2:$B2565,$B1503,$P$2:$P2565,"&lt;="&amp;$P1503,$P$2:$P2565,"&gt;"&amp;$P1503-7)</f>
        <v>7.1538461538461542</v>
      </c>
      <c r="AA1503" s="76">
        <f ca="1">IFERROR(__xludf.DUMMYFUNCTION("iferror(stdevp(filter($E$2:$E2568,$B$2:$B2568=$B1506,$O$2:$O2568&lt;=$O1506,$O$2:$O2568&gt;$O1506-7)),0)"),0.799999999999999)</f>
        <v>0.79999999999999905</v>
      </c>
      <c r="AB1503" s="77">
        <f t="shared" ca="1" si="254"/>
        <v>-1.4423076923076945</v>
      </c>
      <c r="AC1503" s="77">
        <f t="shared" ca="1" si="255"/>
        <v>1</v>
      </c>
      <c r="AD1503" s="76">
        <f t="array" ref="AD1503">AVERAGEIFS($G$2:$G2565,$B$2:$B2565,$B1503,$P$2:$P2565,"&lt;="&amp;$P1503,$P$2:$P2565,"&gt;"&amp;$P1503-7)</f>
        <v>7.615384615384615</v>
      </c>
      <c r="AE1503" s="76">
        <f ca="1">IFERROR(__xludf.DUMMYFUNCTION("iferror(stdevp(filter($F$2:$F2568,$B$2:$B2568=$B1506,$O$2:$O2568&lt;=$O1506,$O$2:$O2568&gt;$O1506-7)),0)"),0.799999999999999)</f>
        <v>0.79999999999999905</v>
      </c>
      <c r="AF1503" s="77">
        <f t="shared" ca="1" si="256"/>
        <v>-0.76923076923076961</v>
      </c>
      <c r="AG1503" s="77">
        <f t="shared" ca="1" si="257"/>
        <v>2</v>
      </c>
      <c r="AH1503" s="76">
        <f t="array" ref="AH1503">AVERAGEIFS($I$2:$I2565,$B$2:$B2565,$B1503,$P$2:$P2565,"&lt;="&amp;$P1503,$P$2:$P2565,"&gt;"&amp;$P1503-7)</f>
        <v>5.1923076923076925</v>
      </c>
      <c r="AI1503" s="76">
        <f ca="1">IFERROR(__xludf.DUMMYFUNCTION("iferror(stdevp(filter($H$2:$H2568,$B$2:$B2568=$B1506,$O$2:$O2568&lt;=$O1506,$O$2:$O2568&gt;$O1506-7)),0)"),0.8)</f>
        <v>0.8</v>
      </c>
      <c r="AJ1503" s="77">
        <f t="shared" ca="1" si="258"/>
        <v>1.0096153846153844</v>
      </c>
      <c r="AK1503" s="77">
        <f t="shared" ca="1" si="259"/>
        <v>4</v>
      </c>
      <c r="AL1503" s="76">
        <f t="array" ref="AL1503">AVERAGEIFS($J$2:$J2565,$B$2:$B2565,$B1503,$P$2:$P2565,"&lt;="&amp;$P1503,$P$2:$P2565,"&gt;"&amp;$P1503-7)</f>
        <v>7.6923076923076925</v>
      </c>
      <c r="AM1503" s="76">
        <f ca="1">IFERROR(__xludf.DUMMYFUNCTION("iferror(stdevp(filter($I$2:$I2568,$B$2:$B2568=$B1506,$O$2:$O2568&lt;=$O1506,$O$2:$O2568&gt;$O1506-7)),0)"),0.399999999999999)</f>
        <v>0.39999999999999902</v>
      </c>
      <c r="AN1503" s="77">
        <f t="shared" ca="1" si="260"/>
        <v>-1.7307692307692355</v>
      </c>
      <c r="AO1503" s="77">
        <f t="shared" ca="1" si="261"/>
        <v>1</v>
      </c>
      <c r="AP1503" s="76">
        <f t="array" ref="AP1503">AVERAGEIFS($K$2:$K2565,$B$2:$B2565,$B1503,$P$2:$P2565,"&lt;="&amp;$P1503,$P$2:$P2565,"&gt;"&amp;$P1503-7)</f>
        <v>7.8461538461538458</v>
      </c>
      <c r="AQ1503" s="76">
        <f ca="1">IFERROR(__xludf.DUMMYFUNCTION("iferror(stdevp(filter($J$2:$J2568,$B$2:$B2568=$B1506,$O$2:$O2568&lt;=$O1506,$O$2:$O2568&gt;$O1506-7)),0)"),0.489897948556635)</f>
        <v>0.48989794855663499</v>
      </c>
      <c r="AR1503" s="77">
        <f t="shared" ca="1" si="262"/>
        <v>-1.7272043058086528</v>
      </c>
      <c r="AS1503" s="77">
        <f t="shared" ca="1" si="263"/>
        <v>1</v>
      </c>
      <c r="AT1503" s="78">
        <f t="shared" ca="1" si="264"/>
        <v>0.41666666666666669</v>
      </c>
    </row>
    <row r="1504" spans="1:46" ht="12.5" x14ac:dyDescent="0.25">
      <c r="A1504" s="75">
        <v>45009.369321018516</v>
      </c>
      <c r="B1504" s="1" t="s">
        <v>17</v>
      </c>
      <c r="C1504" s="1" t="str">
        <f>INDEX(TBL_Name,MATCH(Table2[[#This Row],[Athlete Name]],listNames,0),2)</f>
        <v>Athlete 10</v>
      </c>
      <c r="D1504" s="1" t="s">
        <v>130</v>
      </c>
      <c r="E1504" s="1">
        <v>5</v>
      </c>
      <c r="F1504" s="1">
        <v>6</v>
      </c>
      <c r="G1504" s="1">
        <v>8</v>
      </c>
      <c r="H1504" s="1" t="s">
        <v>228</v>
      </c>
      <c r="I1504" s="1">
        <v>8</v>
      </c>
      <c r="J1504" s="1">
        <v>8</v>
      </c>
      <c r="K1504" s="1">
        <v>9</v>
      </c>
      <c r="L1504" s="1">
        <v>84</v>
      </c>
      <c r="M1504" s="1" t="e">
        <f t="shared" ref="M1504" ca="1" si="545">_xludf.concat($B1504,$P1504)</f>
        <v>#NAME?</v>
      </c>
      <c r="N1504" s="1" t="e">
        <f t="shared" si="248"/>
        <v>#VALUE!</v>
      </c>
      <c r="O1504" s="1" t="e">
        <f t="shared" ref="O1504" ca="1" si="546">IF($N1504=_xludf.MINIFS($N$2:$N3010,$R$2:$R3010,$R1504),1,
($N1504-_xludf.MINIFS($N$2:$N3010,$R$2:$R3010,$R1504))+1)</f>
        <v>#VALUE!</v>
      </c>
      <c r="P1504" s="13" t="e">
        <f t="shared" si="250"/>
        <v>#VALUE!</v>
      </c>
      <c r="Q1504" s="1" t="str">
        <f>RIGHT(YEAR($A1504),2)-(MONTH($A1504)&lt;=[3]Roster!$K$25)
 &amp;"-"&amp;
 RIGHT(YEAR($A1504),2)+(MONTH($A1504)&gt;=[3]Roster!$K$26)</f>
        <v>22-23</v>
      </c>
      <c r="R1504" s="1" t="e">
        <f>CHOOSE(MONTH($P1504),[3]Roster!$K$9,[3]Roster!$K$10,[3]Roster!$K$11,[3]Roster!$K$12,[3]Roster!$K$13,[3]Roster!$K$14,[3]Roster!$K$15,[3]Roster!$K$16,[3]Roster!$K$17,[3]Roster!$K$18,[3]Roster!$K$19,[3]Roster!$K$20)&amp;" "&amp;$Q1504</f>
        <v>#VALUE!</v>
      </c>
      <c r="S1504" s="1">
        <f t="shared" si="251"/>
        <v>1</v>
      </c>
      <c r="T1504" s="1" t="str">
        <f t="array" ref="T1504">IFERROR(INDEX([3]Roster!$D$3:$D$42,MATCH($B1504,[3]Roster!$C$3:$C$42,0)),"")</f>
        <v>D</v>
      </c>
      <c r="U1504" s="1" t="str">
        <f t="array" ref="U1504">IFERROR(INDEX([3]Roster!$E$3:$E$42,MATCH($B1504,[3]Roster!$C$3:$C$42,0)),"")</f>
        <v>D</v>
      </c>
      <c r="V1504" s="76">
        <f t="array" ref="V1504">AVERAGEIFS($E$2:$E2565,$B$2:$B2565,$B1504,$P$2:$P2565,"&lt;="&amp;$P1504,$P$2:$P2565,"&gt;"&amp;$P1504-7)</f>
        <v>6.9024390243902438</v>
      </c>
      <c r="W1504" s="76">
        <f ca="1">IFERROR(__xludf.DUMMYFUNCTION("iferror(stdevp(filter($D$2:$D2568,$B$2:$B2568=$B1507,$O$2:$O2568&lt;=$O1507,$O$2:$O2568&gt;$O1507-7)),0)"),1.7950549357115)</f>
        <v>1.7950549357115</v>
      </c>
      <c r="X1504" s="77">
        <f t="shared" ca="1" si="252"/>
        <v>-1.0598221739861016</v>
      </c>
      <c r="Y1504" s="77">
        <f t="shared" ca="1" si="253"/>
        <v>1</v>
      </c>
      <c r="Z1504" s="76">
        <f t="array" ref="Z1504">AVERAGEIFS($F$2:$F2565,$B$2:$B2565,$B1504,$P$2:$P2565,"&lt;="&amp;$P1504,$P$2:$P2565,"&gt;"&amp;$P1504-7)</f>
        <v>7.2926829268292686</v>
      </c>
      <c r="AA1504" s="76">
        <f ca="1">IFERROR(__xludf.DUMMYFUNCTION("iferror(stdevp(filter($E$2:$E2568,$B$2:$B2568=$B1507,$O$2:$O2568&lt;=$O1507,$O$2:$O2568&gt;$O1507-7)),0)"),1.49999999999999)</f>
        <v>1.49999999999999</v>
      </c>
      <c r="AB1504" s="77">
        <f t="shared" ca="1" si="254"/>
        <v>-0.86178861788618477</v>
      </c>
      <c r="AC1504" s="77">
        <f t="shared" ca="1" si="255"/>
        <v>2</v>
      </c>
      <c r="AD1504" s="76">
        <f t="array" ref="AD1504">AVERAGEIFS($G$2:$G2565,$B$2:$B2565,$B1504,$P$2:$P2565,"&lt;="&amp;$P1504,$P$2:$P2565,"&gt;"&amp;$P1504-7)</f>
        <v>7.8048780487804876</v>
      </c>
      <c r="AE1504" s="76">
        <f ca="1">IFERROR(__xludf.DUMMYFUNCTION("iferror(stdevp(filter($F$2:$F2568,$B$2:$B2568=$B1507,$O$2:$O2568&lt;=$O1507,$O$2:$O2568&gt;$O1507-7)),0)"),1.5986105077709)</f>
        <v>1.5986105077709001</v>
      </c>
      <c r="AF1504" s="77">
        <f t="shared" ca="1" si="256"/>
        <v>0.12205721798462973</v>
      </c>
      <c r="AG1504" s="77">
        <f t="shared" ca="1" si="257"/>
        <v>3</v>
      </c>
      <c r="AH1504" s="76">
        <f t="array" ref="AH1504">AVERAGEIFS($I$2:$I2565,$B$2:$B2565,$B1504,$P$2:$P2565,"&lt;="&amp;$P1504,$P$2:$P2565,"&gt;"&amp;$P1504-7)</f>
        <v>6.3170731707317076</v>
      </c>
      <c r="AI1504" s="76">
        <f ca="1">IFERROR(__xludf.DUMMYFUNCTION("iferror(stdevp(filter($H$2:$H2568,$B$2:$B2568=$B1507,$O$2:$O2568&lt;=$O1507,$O$2:$O2568&gt;$O1507-7)),0)"),1.15470053837925)</f>
        <v>1.1547005383792499</v>
      </c>
      <c r="AJ1504" s="77">
        <f t="shared" ca="1" si="258"/>
        <v>1.45745738685674</v>
      </c>
      <c r="AK1504" s="77">
        <f t="shared" ca="1" si="259"/>
        <v>4</v>
      </c>
      <c r="AL1504" s="76">
        <f t="array" ref="AL1504">AVERAGEIFS($J$2:$J2565,$B$2:$B2565,$B1504,$P$2:$P2565,"&lt;="&amp;$P1504,$P$2:$P2565,"&gt;"&amp;$P1504-7)</f>
        <v>6.9024390243902438</v>
      </c>
      <c r="AM1504" s="76">
        <f ca="1">IFERROR(__xludf.DUMMYFUNCTION("iferror(stdevp(filter($I$2:$I2568,$B$2:$B2568=$B1507,$O$2:$O2568&lt;=$O1507,$O$2:$O2568&gt;$O1507-7)),0)"),1.37436854187255)</f>
        <v>1.37436854187255</v>
      </c>
      <c r="AN1504" s="77">
        <f t="shared" ca="1" si="260"/>
        <v>0.79859291170500091</v>
      </c>
      <c r="AO1504" s="77">
        <f t="shared" ca="1" si="261"/>
        <v>3</v>
      </c>
      <c r="AP1504" s="76">
        <f t="array" ref="AP1504">AVERAGEIFS($K$2:$K2565,$B$2:$B2565,$B1504,$P$2:$P2565,"&lt;="&amp;$P1504,$P$2:$P2565,"&gt;"&amp;$P1504-7)</f>
        <v>8</v>
      </c>
      <c r="AQ1504" s="76">
        <f ca="1">IFERROR(__xludf.DUMMYFUNCTION("iferror(stdevp(filter($J$2:$J2568,$B$2:$B2568=$B1507,$O$2:$O2568&lt;=$O1507,$O$2:$O2568&gt;$O1507-7)),0)"),0.89752746785575)</f>
        <v>0.89752746785574999</v>
      </c>
      <c r="AR1504" s="77">
        <f t="shared" ca="1" si="262"/>
        <v>1.1141720290623121</v>
      </c>
      <c r="AS1504" s="77">
        <f t="shared" ca="1" si="263"/>
        <v>4</v>
      </c>
      <c r="AT1504" s="78">
        <f t="shared" ca="1" si="264"/>
        <v>0.70833333333333337</v>
      </c>
    </row>
    <row r="1505" spans="1:46" ht="12.5" x14ac:dyDescent="0.25">
      <c r="A1505" s="75">
        <v>45009.371205011572</v>
      </c>
      <c r="B1505" s="1" t="s">
        <v>16</v>
      </c>
      <c r="C1505" s="1" t="str">
        <f>INDEX(TBL_Name,MATCH(Table2[[#This Row],[Athlete Name]],listNames,0),2)</f>
        <v>Athlete 9</v>
      </c>
      <c r="D1505" s="1" t="s">
        <v>130</v>
      </c>
      <c r="E1505" s="1">
        <v>9</v>
      </c>
      <c r="F1505" s="1">
        <v>8</v>
      </c>
      <c r="G1505" s="1">
        <v>8</v>
      </c>
      <c r="H1505" s="1" t="s">
        <v>1639</v>
      </c>
      <c r="I1505" s="1">
        <v>5</v>
      </c>
      <c r="J1505" s="1">
        <v>9</v>
      </c>
      <c r="K1505" s="1">
        <v>9</v>
      </c>
      <c r="L1505" s="1">
        <v>80</v>
      </c>
      <c r="M1505" s="1" t="e">
        <f t="shared" ref="M1505" ca="1" si="547">_xludf.concat($B1505,$P1505)</f>
        <v>#NAME?</v>
      </c>
      <c r="N1505" s="1" t="e">
        <f t="shared" si="248"/>
        <v>#VALUE!</v>
      </c>
      <c r="O1505" s="1" t="e">
        <f t="shared" ref="O1505" ca="1" si="548">IF($N1505=_xludf.MINIFS($N$2:$N3011,$R$2:$R3011,$R1505),1,
($N1505-_xludf.MINIFS($N$2:$N3011,$R$2:$R3011,$R1505))+1)</f>
        <v>#VALUE!</v>
      </c>
      <c r="P1505" s="13" t="e">
        <f t="shared" si="250"/>
        <v>#VALUE!</v>
      </c>
      <c r="Q1505" s="1" t="str">
        <f>RIGHT(YEAR($A1505),2)-(MONTH($A1505)&lt;=[3]Roster!$K$25)
 &amp;"-"&amp;
 RIGHT(YEAR($A1505),2)+(MONTH($A1505)&gt;=[3]Roster!$K$26)</f>
        <v>22-23</v>
      </c>
      <c r="R1505" s="1" t="e">
        <f>CHOOSE(MONTH($P1505),[3]Roster!$K$9,[3]Roster!$K$10,[3]Roster!$K$11,[3]Roster!$K$12,[3]Roster!$K$13,[3]Roster!$K$14,[3]Roster!$K$15,[3]Roster!$K$16,[3]Roster!$K$17,[3]Roster!$K$18,[3]Roster!$K$19,[3]Roster!$K$20)&amp;" "&amp;$Q1505</f>
        <v>#VALUE!</v>
      </c>
      <c r="S1505" s="1">
        <f t="shared" si="251"/>
        <v>1</v>
      </c>
      <c r="T1505" s="1" t="str">
        <f t="array" ref="T1505">IFERROR(INDEX([3]Roster!$D$3:$D$42,MATCH($B1505,[3]Roster!$C$3:$C$42,0)),"")</f>
        <v>MID/D</v>
      </c>
      <c r="U1505" s="1" t="str">
        <f t="array" ref="U1505">IFERROR(INDEX([3]Roster!$E$3:$E$42,MATCH($B1505,[3]Roster!$C$3:$C$42,0)),"")</f>
        <v>MID/D</v>
      </c>
      <c r="V1505" s="76">
        <f t="array" ref="V1505">AVERAGEIFS($E$2:$E2565,$B$2:$B2565,$B1505,$P$2:$P2565,"&lt;="&amp;$P1505,$P$2:$P2565,"&gt;"&amp;$P1505-7)</f>
        <v>8.9600000000000009</v>
      </c>
      <c r="W1505" s="76">
        <f ca="1">IFERROR(__xludf.DUMMYFUNCTION("iferror(stdevp(filter($D$2:$D2568,$B$2:$B2568=$B1508,$O$2:$O2568&lt;=$O1508,$O$2:$O2568&gt;$O1508-7)),0)"),0.489897948556635)</f>
        <v>0.48989794855663499</v>
      </c>
      <c r="X1505" s="77">
        <f t="shared" ca="1" si="252"/>
        <v>8.1649658092770971E-2</v>
      </c>
      <c r="Y1505" s="77">
        <f t="shared" ca="1" si="253"/>
        <v>3</v>
      </c>
      <c r="Z1505" s="76">
        <f t="array" ref="Z1505">AVERAGEIFS($F$2:$F2565,$B$2:$B2565,$B1505,$P$2:$P2565,"&lt;="&amp;$P1505,$P$2:$P2565,"&gt;"&amp;$P1505-7)</f>
        <v>7.48</v>
      </c>
      <c r="AA1505" s="76">
        <f ca="1">IFERROR(__xludf.DUMMYFUNCTION("iferror(stdevp(filter($E$2:$E2568,$B$2:$B2568=$B1508,$O$2:$O2568&lt;=$O1508,$O$2:$O2568&gt;$O1508-7)),0)"),0.399999999999999)</f>
        <v>0.39999999999999902</v>
      </c>
      <c r="AB1505" s="77">
        <f t="shared" ca="1" si="254"/>
        <v>1.300000000000002</v>
      </c>
      <c r="AC1505" s="77">
        <f t="shared" ca="1" si="255"/>
        <v>4</v>
      </c>
      <c r="AD1505" s="76">
        <f t="array" ref="AD1505">AVERAGEIFS($G$2:$G2565,$B$2:$B2565,$B1505,$P$2:$P2565,"&lt;="&amp;$P1505,$P$2:$P2565,"&gt;"&amp;$P1505-7)</f>
        <v>7.56</v>
      </c>
      <c r="AE1505" s="76">
        <f ca="1">IFERROR(__xludf.DUMMYFUNCTION("iferror(stdevp(filter($F$2:$F2568,$B$2:$B2568=$B1508,$O$2:$O2568&lt;=$O1508,$O$2:$O2568&gt;$O1508-7)),0)"),0)</f>
        <v>0</v>
      </c>
      <c r="AF1505" s="77">
        <f t="shared" ca="1" si="256"/>
        <v>0</v>
      </c>
      <c r="AG1505" s="77">
        <f t="shared" ca="1" si="257"/>
        <v>3</v>
      </c>
      <c r="AH1505" s="76">
        <f t="array" ref="AH1505">AVERAGEIFS($I$2:$I2565,$B$2:$B2565,$B1505,$P$2:$P2565,"&lt;="&amp;$P1505,$P$2:$P2565,"&gt;"&amp;$P1505-7)</f>
        <v>5.8</v>
      </c>
      <c r="AI1505" s="76">
        <f ca="1">IFERROR(__xludf.DUMMYFUNCTION("iferror(stdevp(filter($H$2:$H2568,$B$2:$B2568=$B1508,$O$2:$O2568&lt;=$O1508,$O$2:$O2568&gt;$O1508-7)),0)"),0.489897948556635)</f>
        <v>0.48989794855663499</v>
      </c>
      <c r="AJ1505" s="77">
        <f t="shared" ca="1" si="258"/>
        <v>-1.6329931618554538</v>
      </c>
      <c r="AK1505" s="77">
        <f t="shared" ca="1" si="259"/>
        <v>1</v>
      </c>
      <c r="AL1505" s="76">
        <f t="array" ref="AL1505">AVERAGEIFS($J$2:$J2565,$B$2:$B2565,$B1505,$P$2:$P2565,"&lt;="&amp;$P1505,$P$2:$P2565,"&gt;"&amp;$P1505-7)</f>
        <v>7.8</v>
      </c>
      <c r="AM1505" s="76">
        <f ca="1">IFERROR(__xludf.DUMMYFUNCTION("iferror(stdevp(filter($I$2:$I2568,$B$2:$B2568=$B1508,$O$2:$O2568&lt;=$O1508,$O$2:$O2568&gt;$O1508-7)),0)"),0.489897948556635)</f>
        <v>0.48989794855663499</v>
      </c>
      <c r="AN1505" s="77">
        <f t="shared" ca="1" si="260"/>
        <v>2.4494897427831814</v>
      </c>
      <c r="AO1505" s="77">
        <f t="shared" ca="1" si="261"/>
        <v>4</v>
      </c>
      <c r="AP1505" s="76">
        <f t="array" ref="AP1505">AVERAGEIFS($K$2:$K2565,$B$2:$B2565,$B1505,$P$2:$P2565,"&lt;="&amp;$P1505,$P$2:$P2565,"&gt;"&amp;$P1505-7)</f>
        <v>8.6</v>
      </c>
      <c r="AQ1505" s="76">
        <f ca="1">IFERROR(__xludf.DUMMYFUNCTION("iferror(stdevp(filter($J$2:$J2568,$B$2:$B2568=$B1508,$O$2:$O2568&lt;=$O1508,$O$2:$O2568&gt;$O1508-7)),0)"),0.4)</f>
        <v>0.4</v>
      </c>
      <c r="AR1505" s="77">
        <f t="shared" ca="1" si="262"/>
        <v>1.0000000000000009</v>
      </c>
      <c r="AS1505" s="77">
        <f t="shared" ca="1" si="263"/>
        <v>4</v>
      </c>
      <c r="AT1505" s="78">
        <f t="shared" ca="1" si="264"/>
        <v>0.79166666666666663</v>
      </c>
    </row>
    <row r="1506" spans="1:46" ht="12.5" x14ac:dyDescent="0.25">
      <c r="A1506" s="75">
        <v>45009.421570023143</v>
      </c>
      <c r="B1506" s="1" t="s">
        <v>6</v>
      </c>
      <c r="C1506" s="1" t="str">
        <f>INDEX(TBL_Name,MATCH(Table2[[#This Row],[Athlete Name]],listNames,0),2)</f>
        <v>Athlete 2</v>
      </c>
      <c r="D1506" s="1" t="s">
        <v>130</v>
      </c>
      <c r="E1506" s="1">
        <v>9</v>
      </c>
      <c r="F1506" s="1">
        <v>4</v>
      </c>
      <c r="G1506" s="1">
        <v>7</v>
      </c>
      <c r="H1506" s="1" t="s">
        <v>71</v>
      </c>
      <c r="I1506" s="1">
        <v>9</v>
      </c>
      <c r="J1506" s="1">
        <v>10</v>
      </c>
      <c r="K1506" s="1">
        <v>10</v>
      </c>
      <c r="L1506" s="1">
        <v>95</v>
      </c>
      <c r="M1506" s="1" t="e">
        <f t="shared" ref="M1506" ca="1" si="549">_xludf.concat($B1506,$P1506)</f>
        <v>#NAME?</v>
      </c>
      <c r="N1506" s="1" t="e">
        <f t="shared" si="248"/>
        <v>#VALUE!</v>
      </c>
      <c r="O1506" s="1" t="e">
        <f t="shared" ref="O1506" ca="1" si="550">IF($N1506=_xludf.MINIFS($N$2:$N3012,$R$2:$R3012,$R1506),1,
($N1506-_xludf.MINIFS($N$2:$N3012,$R$2:$R3012,$R1506))+1)</f>
        <v>#VALUE!</v>
      </c>
      <c r="P1506" s="13" t="e">
        <f t="shared" si="250"/>
        <v>#VALUE!</v>
      </c>
      <c r="Q1506" s="1" t="str">
        <f>RIGHT(YEAR($A1506),2)-(MONTH($A1506)&lt;=[3]Roster!$K$25)
 &amp;"-"&amp;
 RIGHT(YEAR($A1506),2)+(MONTH($A1506)&gt;=[3]Roster!$K$26)</f>
        <v>22-23</v>
      </c>
      <c r="R1506" s="1" t="e">
        <f>CHOOSE(MONTH($P1506),[3]Roster!$K$9,[3]Roster!$K$10,[3]Roster!$K$11,[3]Roster!$K$12,[3]Roster!$K$13,[3]Roster!$K$14,[3]Roster!$K$15,[3]Roster!$K$16,[3]Roster!$K$17,[3]Roster!$K$18,[3]Roster!$K$19,[3]Roster!$K$20)&amp;" "&amp;$Q1506</f>
        <v>#VALUE!</v>
      </c>
      <c r="S1506" s="1">
        <f t="shared" si="251"/>
        <v>1</v>
      </c>
      <c r="T1506" s="1" t="str">
        <f t="array" ref="T1506">IFERROR(INDEX([3]Roster!$D$3:$D$42,MATCH($B1506,[3]Roster!$C$3:$C$42,0)),"")</f>
        <v>FWD</v>
      </c>
      <c r="U1506" s="1" t="str">
        <f t="array" ref="U1506">IFERROR(INDEX([3]Roster!$E$3:$E$42,MATCH($B1506,[3]Roster!$C$3:$C$42,0)),"")</f>
        <v>FWD</v>
      </c>
      <c r="V1506" s="76">
        <f t="array" ref="V1506">AVERAGEIFS($E$2:$E2565,$B$2:$B2565,$B1506,$P$2:$P2565,"&lt;="&amp;$P1506,$P$2:$P2565,"&gt;"&amp;$P1506-7)</f>
        <v>9.7441860465116275</v>
      </c>
      <c r="W1506" s="76">
        <f ca="1">IFERROR(__xludf.DUMMYFUNCTION("iferror(stdevp(filter($D$2:$D2568,$B$2:$B2568=$B1509,$O$2:$O2568&lt;=$O1509,$O$2:$O2568&gt;$O1509-7)),0)"),0.88063057185271)</f>
        <v>0.88063057185270999</v>
      </c>
      <c r="X1506" s="77">
        <f t="shared" ca="1" si="252"/>
        <v>-0.84506042635560052</v>
      </c>
      <c r="Y1506" s="77">
        <f t="shared" ca="1" si="253"/>
        <v>2</v>
      </c>
      <c r="Z1506" s="76">
        <f t="array" ref="Z1506">AVERAGEIFS($F$2:$F2565,$B$2:$B2565,$B1506,$P$2:$P2565,"&lt;="&amp;$P1506,$P$2:$P2565,"&gt;"&amp;$P1506-7)</f>
        <v>8.279069767441861</v>
      </c>
      <c r="AA1506" s="76">
        <f ca="1">IFERROR(__xludf.DUMMYFUNCTION("iferror(stdevp(filter($E$2:$E2568,$B$2:$B2568=$B1509,$O$2:$O2568&lt;=$O1509,$O$2:$O2568&gt;$O1509-7)),0)"),2.72554057547698)</f>
        <v>2.7255405754769799</v>
      </c>
      <c r="AB1506" s="77">
        <f t="shared" ca="1" si="254"/>
        <v>-1.5699893833695753</v>
      </c>
      <c r="AC1506" s="77">
        <f t="shared" ca="1" si="255"/>
        <v>1</v>
      </c>
      <c r="AD1506" s="76">
        <f t="array" ref="AD1506">AVERAGEIFS($G$2:$G2565,$B$2:$B2565,$B1506,$P$2:$P2565,"&lt;="&amp;$P1506,$P$2:$P2565,"&gt;"&amp;$P1506-7)</f>
        <v>8.604651162790697</v>
      </c>
      <c r="AE1506" s="76">
        <f ca="1">IFERROR(__xludf.DUMMYFUNCTION("iferror(stdevp(filter($F$2:$F2568,$B$2:$B2568=$B1509,$O$2:$O2568&lt;=$O1509,$O$2:$O2568&gt;$O1509-7)),0)"),1.06904496764969)</f>
        <v>1.06904496764969</v>
      </c>
      <c r="AF1506" s="77">
        <f t="shared" ca="1" si="256"/>
        <v>-1.5010137191128119</v>
      </c>
      <c r="AG1506" s="77">
        <f t="shared" ca="1" si="257"/>
        <v>1</v>
      </c>
      <c r="AH1506" s="76">
        <f t="array" ref="AH1506">AVERAGEIFS($I$2:$I2565,$B$2:$B2565,$B1506,$P$2:$P2565,"&lt;="&amp;$P1506,$P$2:$P2565,"&gt;"&amp;$P1506-7)</f>
        <v>8.3488372093023262</v>
      </c>
      <c r="AI1506" s="76">
        <f ca="1">IFERROR(__xludf.DUMMYFUNCTION("iferror(stdevp(filter($H$2:$H2568,$B$2:$B2568=$B1509,$O$2:$O2568&lt;=$O1509,$O$2:$O2568&gt;$O1509-7)),0)"),0.494871659305393)</f>
        <v>0.49487165930539301</v>
      </c>
      <c r="AJ1506" s="77">
        <f t="shared" ca="1" si="258"/>
        <v>1.315821543734496</v>
      </c>
      <c r="AK1506" s="77">
        <f t="shared" ca="1" si="259"/>
        <v>4</v>
      </c>
      <c r="AL1506" s="76">
        <f t="array" ref="AL1506">AVERAGEIFS($J$2:$J2565,$B$2:$B2565,$B1506,$P$2:$P2565,"&lt;="&amp;$P1506,$P$2:$P2565,"&gt;"&amp;$P1506-7)</f>
        <v>8.3023255813953494</v>
      </c>
      <c r="AM1506" s="76">
        <f ca="1">IFERROR(__xludf.DUMMYFUNCTION("iferror(stdevp(filter($I$2:$I2568,$B$2:$B2568=$B1509,$O$2:$O2568&lt;=$O1509,$O$2:$O2568&gt;$O1509-7)),0)"),0.451753951452625)</f>
        <v>0.45175395145262498</v>
      </c>
      <c r="AN1506" s="77">
        <f t="shared" ca="1" si="260"/>
        <v>3.757962521734985</v>
      </c>
      <c r="AO1506" s="77">
        <f t="shared" ca="1" si="261"/>
        <v>4</v>
      </c>
      <c r="AP1506" s="76">
        <f t="array" ref="AP1506">AVERAGEIFS($K$2:$K2565,$B$2:$B2565,$B1506,$P$2:$P2565,"&lt;="&amp;$P1506,$P$2:$P2565,"&gt;"&amp;$P1506-7)</f>
        <v>8.9069767441860463</v>
      </c>
      <c r="AQ1506" s="76">
        <f ca="1">IFERROR(__xludf.DUMMYFUNCTION("iferror(stdevp(filter($J$2:$J2568,$B$2:$B2568=$B1509,$O$2:$O2568&lt;=$O1509,$O$2:$O2568&gt;$O1509-7)),0)"),0)</f>
        <v>0</v>
      </c>
      <c r="AR1506" s="77">
        <f t="shared" ca="1" si="262"/>
        <v>0</v>
      </c>
      <c r="AS1506" s="77">
        <f t="shared" ca="1" si="263"/>
        <v>3</v>
      </c>
      <c r="AT1506" s="78">
        <f t="shared" ca="1" si="264"/>
        <v>0.625</v>
      </c>
    </row>
    <row r="1507" spans="1:46" ht="12.5" x14ac:dyDescent="0.25">
      <c r="A1507" s="75">
        <v>45009.428226493052</v>
      </c>
      <c r="B1507" s="1" t="s">
        <v>29</v>
      </c>
      <c r="C1507" s="1" t="str">
        <f>INDEX(TBL_Name,MATCH(Table2[[#This Row],[Athlete Name]],listNames,0),2)</f>
        <v>Athlete 18</v>
      </c>
      <c r="D1507" s="1" t="s">
        <v>130</v>
      </c>
      <c r="E1507" s="1">
        <v>9</v>
      </c>
      <c r="F1507" s="1">
        <v>9</v>
      </c>
      <c r="G1507" s="1">
        <v>8</v>
      </c>
      <c r="H1507" s="1" t="s">
        <v>1638</v>
      </c>
      <c r="I1507" s="1">
        <v>8</v>
      </c>
      <c r="J1507" s="1">
        <v>9</v>
      </c>
      <c r="K1507" s="1">
        <v>8</v>
      </c>
      <c r="L1507" s="1">
        <v>98</v>
      </c>
      <c r="M1507" s="1" t="e">
        <f t="shared" ref="M1507" ca="1" si="551">_xludf.concat($B1507,$P1507)</f>
        <v>#NAME?</v>
      </c>
      <c r="N1507" s="1" t="e">
        <f t="shared" si="248"/>
        <v>#VALUE!</v>
      </c>
      <c r="O1507" s="1" t="e">
        <f t="shared" ref="O1507" ca="1" si="552">IF($N1507=_xludf.MINIFS($N$2:$N3013,$R$2:$R3013,$R1507),1,
($N1507-_xludf.MINIFS($N$2:$N3013,$R$2:$R3013,$R1507))+1)</f>
        <v>#VALUE!</v>
      </c>
      <c r="P1507" s="13" t="e">
        <f t="shared" si="250"/>
        <v>#VALUE!</v>
      </c>
      <c r="Q1507" s="1" t="str">
        <f>RIGHT(YEAR($A1507),2)-(MONTH($A1507)&lt;=[3]Roster!$K$25)
 &amp;"-"&amp;
 RIGHT(YEAR($A1507),2)+(MONTH($A1507)&gt;=[3]Roster!$K$26)</f>
        <v>22-23</v>
      </c>
      <c r="R1507" s="1" t="e">
        <f>CHOOSE(MONTH($P1507),[3]Roster!$K$9,[3]Roster!$K$10,[3]Roster!$K$11,[3]Roster!$K$12,[3]Roster!$K$13,[3]Roster!$K$14,[3]Roster!$K$15,[3]Roster!$K$16,[3]Roster!$K$17,[3]Roster!$K$18,[3]Roster!$K$19,[3]Roster!$K$20)&amp;" "&amp;$Q1507</f>
        <v>#VALUE!</v>
      </c>
      <c r="S1507" s="1">
        <f t="shared" si="251"/>
        <v>1</v>
      </c>
      <c r="T1507" s="1" t="str">
        <f t="array" ref="T1507">IFERROR(INDEX([3]Roster!$D$3:$D$42,MATCH($B1507,[3]Roster!$C$3:$C$42,0)),"")</f>
        <v>GK</v>
      </c>
      <c r="U1507" s="1" t="str">
        <f t="array" ref="U1507">IFERROR(INDEX([3]Roster!$E$3:$E$42,MATCH($B1507,[3]Roster!$C$3:$C$42,0)),"")</f>
        <v>GK</v>
      </c>
      <c r="V1507" s="76">
        <f t="array" ref="V1507">AVERAGEIFS($E$2:$E2565,$B$2:$B2565,$B1507,$P$2:$P2565,"&lt;="&amp;$P1507,$P$2:$P2565,"&gt;"&amp;$P1507-7)</f>
        <v>8.53125</v>
      </c>
      <c r="W1507" s="76">
        <f ca="1">IFERROR(__xludf.DUMMYFUNCTION("iferror(stdevp(filter($D$2:$D2568,$B$2:$B2568=$B1510,$O$2:$O2568&lt;=$O1510,$O$2:$O2568&gt;$O1510-7)),0)"),0.577350269189625)</f>
        <v>0.57735026918962495</v>
      </c>
      <c r="X1507" s="77">
        <f t="shared" ca="1" si="252"/>
        <v>0.81189881604791236</v>
      </c>
      <c r="Y1507" s="77">
        <f t="shared" ca="1" si="253"/>
        <v>3</v>
      </c>
      <c r="Z1507" s="76">
        <f t="array" ref="Z1507">AVERAGEIFS($F$2:$F2565,$B$2:$B2565,$B1507,$P$2:$P2565,"&lt;="&amp;$P1507,$P$2:$P2565,"&gt;"&amp;$P1507-7)</f>
        <v>8.125</v>
      </c>
      <c r="AA1507" s="76">
        <f ca="1">IFERROR(__xludf.DUMMYFUNCTION("iferror(stdevp(filter($E$2:$E2568,$B$2:$B2568=$B1510,$O$2:$O2568&lt;=$O1510,$O$2:$O2568&gt;$O1510-7)),0)"),1.25830573921179)</f>
        <v>1.25830573921179</v>
      </c>
      <c r="AB1507" s="77">
        <f t="shared" ca="1" si="254"/>
        <v>0.6953794874591489</v>
      </c>
      <c r="AC1507" s="77">
        <f t="shared" ca="1" si="255"/>
        <v>3</v>
      </c>
      <c r="AD1507" s="76">
        <f t="array" ref="AD1507">AVERAGEIFS($G$2:$G2565,$B$2:$B2565,$B1507,$P$2:$P2565,"&lt;="&amp;$P1507,$P$2:$P2565,"&gt;"&amp;$P1507-7)</f>
        <v>8.09375</v>
      </c>
      <c r="AE1507" s="76">
        <f ca="1">IFERROR(__xludf.DUMMYFUNCTION("iferror(stdevp(filter($F$2:$F2568,$B$2:$B2568=$B1510,$O$2:$O2568&lt;=$O1510,$O$2:$O2568&gt;$O1510-7)),0)"),0.687184270936276)</f>
        <v>0.68718427093627599</v>
      </c>
      <c r="AF1507" s="77">
        <f t="shared" ca="1" si="256"/>
        <v>-0.13642628908293744</v>
      </c>
      <c r="AG1507" s="77">
        <f t="shared" ca="1" si="257"/>
        <v>2</v>
      </c>
      <c r="AH1507" s="76">
        <f t="array" ref="AH1507">AVERAGEIFS($I$2:$I2565,$B$2:$B2565,$B1507,$P$2:$P2565,"&lt;="&amp;$P1507,$P$2:$P2565,"&gt;"&amp;$P1507-7)</f>
        <v>7.875</v>
      </c>
      <c r="AI1507" s="76">
        <f ca="1">IFERROR(__xludf.DUMMYFUNCTION("iferror(stdevp(filter($H$2:$H2568,$B$2:$B2568=$B1510,$O$2:$O2568&lt;=$O1510,$O$2:$O2568&gt;$O1510-7)),0)"),0.687184270936276)</f>
        <v>0.68718427093627599</v>
      </c>
      <c r="AJ1507" s="77">
        <f t="shared" ca="1" si="258"/>
        <v>0.18190171877724992</v>
      </c>
      <c r="AK1507" s="77">
        <f t="shared" ca="1" si="259"/>
        <v>3</v>
      </c>
      <c r="AL1507" s="76">
        <f t="array" ref="AL1507">AVERAGEIFS($J$2:$J2565,$B$2:$B2565,$B1507,$P$2:$P2565,"&lt;="&amp;$P1507,$P$2:$P2565,"&gt;"&amp;$P1507-7)</f>
        <v>8.34375</v>
      </c>
      <c r="AM1507" s="76">
        <f ca="1">IFERROR(__xludf.DUMMYFUNCTION("iferror(stdevp(filter($I$2:$I2568,$B$2:$B2568=$B1510,$O$2:$O2568&lt;=$O1510,$O$2:$O2568&gt;$O1510-7)),0)"),0.745355992499929)</f>
        <v>0.74535599249992901</v>
      </c>
      <c r="AN1507" s="77">
        <f t="shared" ca="1" si="260"/>
        <v>0.88045176614054321</v>
      </c>
      <c r="AO1507" s="77">
        <f t="shared" ca="1" si="261"/>
        <v>3</v>
      </c>
      <c r="AP1507" s="76">
        <f t="array" ref="AP1507">AVERAGEIFS($K$2:$K2565,$B$2:$B2565,$B1507,$P$2:$P2565,"&lt;="&amp;$P1507,$P$2:$P2565,"&gt;"&amp;$P1507-7)</f>
        <v>8.46875</v>
      </c>
      <c r="AQ1507" s="76">
        <f ca="1">IFERROR(__xludf.DUMMYFUNCTION("iferror(stdevp(filter($J$2:$J2568,$B$2:$B2568=$B1510,$O$2:$O2568&lt;=$O1510,$O$2:$O2568&gt;$O1510-7)),0)"),0.763762615825973)</f>
        <v>0.76376261582597305</v>
      </c>
      <c r="AR1507" s="77">
        <f t="shared" ca="1" si="262"/>
        <v>-0.61373781628872881</v>
      </c>
      <c r="AS1507" s="77">
        <f t="shared" ca="1" si="263"/>
        <v>2</v>
      </c>
      <c r="AT1507" s="78">
        <f t="shared" ca="1" si="264"/>
        <v>0.66666666666666663</v>
      </c>
    </row>
    <row r="1508" spans="1:46" ht="12.5" x14ac:dyDescent="0.25">
      <c r="A1508" s="75">
        <v>45009.436617557869</v>
      </c>
      <c r="B1508" s="1" t="s">
        <v>21</v>
      </c>
      <c r="C1508" s="1" t="str">
        <f>INDEX(TBL_Name,MATCH(Table2[[#This Row],[Athlete Name]],listNames,0),2)</f>
        <v>Athlete 13</v>
      </c>
      <c r="D1508" s="1" t="s">
        <v>130</v>
      </c>
      <c r="E1508" s="1">
        <v>6</v>
      </c>
      <c r="F1508" s="1">
        <v>9</v>
      </c>
      <c r="G1508" s="1">
        <v>8</v>
      </c>
      <c r="H1508" s="1" t="s">
        <v>1591</v>
      </c>
      <c r="I1508" s="1">
        <v>5</v>
      </c>
      <c r="J1508" s="1">
        <v>6</v>
      </c>
      <c r="K1508" s="1">
        <v>7</v>
      </c>
      <c r="L1508" s="1">
        <v>70</v>
      </c>
      <c r="M1508" s="1" t="e">
        <f t="shared" ref="M1508" ca="1" si="553">_xludf.concat($B1508,$P1508)</f>
        <v>#NAME?</v>
      </c>
      <c r="N1508" s="1" t="e">
        <f t="shared" si="248"/>
        <v>#VALUE!</v>
      </c>
      <c r="O1508" s="1" t="e">
        <f t="shared" ref="O1508" ca="1" si="554">IF($N1508=_xludf.MINIFS($N$2:$N3014,$R$2:$R3014,$R1508),1,
($N1508-_xludf.MINIFS($N$2:$N3014,$R$2:$R3014,$R1508))+1)</f>
        <v>#VALUE!</v>
      </c>
      <c r="P1508" s="13" t="e">
        <f t="shared" si="250"/>
        <v>#VALUE!</v>
      </c>
      <c r="Q1508" s="1" t="str">
        <f>RIGHT(YEAR($A1508),2)-(MONTH($A1508)&lt;=[3]Roster!$K$25)
 &amp;"-"&amp;
 RIGHT(YEAR($A1508),2)+(MONTH($A1508)&gt;=[3]Roster!$K$26)</f>
        <v>22-23</v>
      </c>
      <c r="R1508" s="1" t="e">
        <f>CHOOSE(MONTH($P1508),[3]Roster!$K$9,[3]Roster!$K$10,[3]Roster!$K$11,[3]Roster!$K$12,[3]Roster!$K$13,[3]Roster!$K$14,[3]Roster!$K$15,[3]Roster!$K$16,[3]Roster!$K$17,[3]Roster!$K$18,[3]Roster!$K$19,[3]Roster!$K$20)&amp;" "&amp;$Q1508</f>
        <v>#VALUE!</v>
      </c>
      <c r="S1508" s="1">
        <f t="shared" si="251"/>
        <v>1</v>
      </c>
      <c r="T1508" s="1" t="str">
        <f t="array" ref="T1508">IFERROR(INDEX([3]Roster!$D$3:$D$42,MATCH($B1508,[3]Roster!$C$3:$C$42,0)),"")</f>
        <v>D</v>
      </c>
      <c r="U1508" s="1" t="str">
        <f t="array" ref="U1508">IFERROR(INDEX([3]Roster!$E$3:$E$42,MATCH($B1508,[3]Roster!$C$3:$C$42,0)),"")</f>
        <v>D</v>
      </c>
      <c r="V1508" s="76">
        <f t="array" ref="V1508">AVERAGEIFS($E$2:$E2565,$B$2:$B2565,$B1508,$P$2:$P2565,"&lt;="&amp;$P1508,$P$2:$P2565,"&gt;"&amp;$P1508-7)</f>
        <v>6.6304347826086953</v>
      </c>
      <c r="W1508" s="76">
        <f ca="1">IFERROR(__xludf.DUMMYFUNCTION("iferror(stdevp(filter($D$2:$D2568,$B$2:$B2568=$B1511,$O$2:$O2568&lt;=$O1511,$O$2:$O2568&gt;$O1511-7)),0)"),0.699854212223765)</f>
        <v>0.69985421222376498</v>
      </c>
      <c r="X1508" s="77">
        <f t="shared" ca="1" si="252"/>
        <v>-0.90080872787134969</v>
      </c>
      <c r="Y1508" s="77">
        <f t="shared" ca="1" si="253"/>
        <v>2</v>
      </c>
      <c r="Z1508" s="76">
        <f t="array" ref="Z1508">AVERAGEIFS($F$2:$F2565,$B$2:$B2565,$B1508,$P$2:$P2565,"&lt;="&amp;$P1508,$P$2:$P2565,"&gt;"&amp;$P1508-7)</f>
        <v>7.6956521739130439</v>
      </c>
      <c r="AA1508" s="76">
        <f ca="1">IFERROR(__xludf.DUMMYFUNCTION("iferror(stdevp(filter($E$2:$E2568,$B$2:$B2568=$B1511,$O$2:$O2568&lt;=$O1511,$O$2:$O2568&gt;$O1511-7)),0)"),0.755928946018454)</f>
        <v>0.75592894601845395</v>
      </c>
      <c r="AB1508" s="77">
        <f t="shared" ca="1" si="254"/>
        <v>1.7254899854769075</v>
      </c>
      <c r="AC1508" s="77">
        <f t="shared" ca="1" si="255"/>
        <v>4</v>
      </c>
      <c r="AD1508" s="76">
        <f t="array" ref="AD1508">AVERAGEIFS($G$2:$G2565,$B$2:$B2565,$B1508,$P$2:$P2565,"&lt;="&amp;$P1508,$P$2:$P2565,"&gt;"&amp;$P1508-7)</f>
        <v>8.2608695652173907</v>
      </c>
      <c r="AE1508" s="76">
        <f ca="1">IFERROR(__xludf.DUMMYFUNCTION("iferror(stdevp(filter($F$2:$F2568,$B$2:$B2568=$B1511,$O$2:$O2568&lt;=$O1511,$O$2:$O2568&gt;$O1511-7)),0)"),0.451753951452625)</f>
        <v>0.45175395145262498</v>
      </c>
      <c r="AF1508" s="77">
        <f t="shared" ca="1" si="256"/>
        <v>-0.57745939881335573</v>
      </c>
      <c r="AG1508" s="77">
        <f t="shared" ca="1" si="257"/>
        <v>2</v>
      </c>
      <c r="AH1508" s="76">
        <f t="array" ref="AH1508">AVERAGEIFS($I$2:$I2565,$B$2:$B2565,$B1508,$P$2:$P2565,"&lt;="&amp;$P1508,$P$2:$P2565,"&gt;"&amp;$P1508-7)</f>
        <v>5.7391304347826084</v>
      </c>
      <c r="AI1508" s="76">
        <f ca="1">IFERROR(__xludf.DUMMYFUNCTION("iferror(stdevp(filter($H$2:$H2568,$B$2:$B2568=$B1511,$O$2:$O2568&lt;=$O1511,$O$2:$O2568&gt;$O1511-7)),0)"),0.534522483824848)</f>
        <v>0.53452248382484802</v>
      </c>
      <c r="AJ1508" s="77">
        <f t="shared" ca="1" si="258"/>
        <v>-1.3827864255468929</v>
      </c>
      <c r="AK1508" s="77">
        <f t="shared" ca="1" si="259"/>
        <v>1</v>
      </c>
      <c r="AL1508" s="76">
        <f t="array" ref="AL1508">AVERAGEIFS($J$2:$J2565,$B$2:$B2565,$B1508,$P$2:$P2565,"&lt;="&amp;$P1508,$P$2:$P2565,"&gt;"&amp;$P1508-7)</f>
        <v>6.5434782608695654</v>
      </c>
      <c r="AM1508" s="76">
        <f ca="1">IFERROR(__xludf.DUMMYFUNCTION("iferror(stdevp(filter($I$2:$I2568,$B$2:$B2568=$B1511,$O$2:$O2568&lt;=$O1511,$O$2:$O2568&gt;$O1511-7)),0)"),0.638876564999939)</f>
        <v>0.63887656499993895</v>
      </c>
      <c r="AN1508" s="77">
        <f t="shared" ca="1" si="260"/>
        <v>-0.85067803491839988</v>
      </c>
      <c r="AO1508" s="77">
        <f t="shared" ca="1" si="261"/>
        <v>2</v>
      </c>
      <c r="AP1508" s="76">
        <f t="array" ref="AP1508">AVERAGEIFS($K$2:$K2565,$B$2:$B2565,$B1508,$P$2:$P2565,"&lt;="&amp;$P1508,$P$2:$P2565,"&gt;"&amp;$P1508-7)</f>
        <v>6.6086956521739131</v>
      </c>
      <c r="AQ1508" s="76">
        <f ca="1">IFERROR(__xludf.DUMMYFUNCTION("iferror(stdevp(filter($J$2:$J2568,$B$2:$B2568=$B1511,$O$2:$O2568&lt;=$O1511,$O$2:$O2568&gt;$O1511-7)),0)"),0.534522483824848)</f>
        <v>0.53452248382484802</v>
      </c>
      <c r="AR1508" s="77">
        <f t="shared" ca="1" si="262"/>
        <v>0.73206340176011997</v>
      </c>
      <c r="AS1508" s="77">
        <f t="shared" ca="1" si="263"/>
        <v>3</v>
      </c>
      <c r="AT1508" s="78">
        <f t="shared" ca="1" si="264"/>
        <v>0.58333333333333337</v>
      </c>
    </row>
    <row r="1509" spans="1:46" ht="12.5" x14ac:dyDescent="0.25">
      <c r="A1509" s="75">
        <v>45009.476449803245</v>
      </c>
      <c r="B1509" s="1" t="s">
        <v>4</v>
      </c>
      <c r="C1509" s="1" t="str">
        <f>INDEX(TBL_Name,MATCH(Table2[[#This Row],[Athlete Name]],listNames,0),2)</f>
        <v>Athlete 1</v>
      </c>
      <c r="D1509" s="1" t="s">
        <v>130</v>
      </c>
      <c r="E1509" s="1">
        <v>9</v>
      </c>
      <c r="F1509" s="1">
        <v>6</v>
      </c>
      <c r="G1509" s="1">
        <v>5</v>
      </c>
      <c r="H1509" s="1" t="s">
        <v>830</v>
      </c>
      <c r="I1509" s="1">
        <v>7</v>
      </c>
      <c r="J1509" s="1">
        <v>5</v>
      </c>
      <c r="K1509" s="1">
        <v>7</v>
      </c>
      <c r="L1509" s="1">
        <v>90</v>
      </c>
      <c r="M1509" s="1" t="e">
        <f t="shared" ref="M1509" ca="1" si="555">_xludf.concat($B1509,$P1509)</f>
        <v>#NAME?</v>
      </c>
      <c r="N1509" s="1" t="e">
        <f t="shared" si="248"/>
        <v>#VALUE!</v>
      </c>
      <c r="O1509" s="1" t="e">
        <f t="shared" ref="O1509" ca="1" si="556">IF($N1509=_xludf.MINIFS($N$2:$N3015,$R$2:$R3015,$R1509),1,
($N1509-_xludf.MINIFS($N$2:$N3015,$R$2:$R3015,$R1509))+1)</f>
        <v>#VALUE!</v>
      </c>
      <c r="P1509" s="13" t="e">
        <f t="shared" si="250"/>
        <v>#VALUE!</v>
      </c>
      <c r="Q1509" s="1" t="str">
        <f>RIGHT(YEAR($A1509),2)-(MONTH($A1509)&lt;=[3]Roster!$K$25)
 &amp;"-"&amp;
 RIGHT(YEAR($A1509),2)+(MONTH($A1509)&gt;=[3]Roster!$K$26)</f>
        <v>22-23</v>
      </c>
      <c r="R1509" s="1" t="e">
        <f>CHOOSE(MONTH($P1509),[3]Roster!$K$9,[3]Roster!$K$10,[3]Roster!$K$11,[3]Roster!$K$12,[3]Roster!$K$13,[3]Roster!$K$14,[3]Roster!$K$15,[3]Roster!$K$16,[3]Roster!$K$17,[3]Roster!$K$18,[3]Roster!$K$19,[3]Roster!$K$20)&amp;" "&amp;$Q1509</f>
        <v>#VALUE!</v>
      </c>
      <c r="S1509" s="1">
        <f t="shared" si="251"/>
        <v>1</v>
      </c>
      <c r="T1509" s="1" t="str">
        <f t="array" ref="T1509">IFERROR(INDEX([3]Roster!$D$3:$D$42,MATCH($B1509,[3]Roster!$C$3:$C$42,0)),"")</f>
        <v>FWD</v>
      </c>
      <c r="U1509" s="1" t="str">
        <f t="array" ref="U1509">IFERROR(INDEX([3]Roster!$E$3:$E$42,MATCH($B1509,[3]Roster!$C$3:$C$42,0)),"")</f>
        <v>FWD</v>
      </c>
      <c r="V1509" s="76">
        <f t="array" ref="V1509">AVERAGEIFS($E$2:$E2565,$B$2:$B2565,$B1509,$P$2:$P2565,"&lt;="&amp;$P1509,$P$2:$P2565,"&gt;"&amp;$P1509-7)</f>
        <v>8.3809523809523814</v>
      </c>
      <c r="W1509" s="76">
        <f ca="1">IFERROR(__xludf.DUMMYFUNCTION("iferror(stdevp(filter($D$2:$D2568,$B$2:$B2568=$B1512,$O$2:$O2568&lt;=$O1512,$O$2:$O2568&gt;$O1512-7)),0)"),0)</f>
        <v>0</v>
      </c>
      <c r="X1509" s="77">
        <f t="shared" ca="1" si="252"/>
        <v>0</v>
      </c>
      <c r="Y1509" s="77">
        <f t="shared" ca="1" si="253"/>
        <v>3</v>
      </c>
      <c r="Z1509" s="76">
        <f t="array" ref="Z1509">AVERAGEIFS($F$2:$F2565,$B$2:$B2565,$B1509,$P$2:$P2565,"&lt;="&amp;$P1509,$P$2:$P2565,"&gt;"&amp;$P1509-7)</f>
        <v>6.8571428571428568</v>
      </c>
      <c r="AA1509" s="76">
        <f ca="1">IFERROR(__xludf.DUMMYFUNCTION("iferror(stdevp(filter($E$2:$E2568,$B$2:$B2568=$B1512,$O$2:$O2568&lt;=$O1512,$O$2:$O2568&gt;$O1512-7)),0)"),0.433012701892219)</f>
        <v>0.43301270189221902</v>
      </c>
      <c r="AB1509" s="77">
        <f t="shared" ca="1" si="254"/>
        <v>-1.9794866372215745</v>
      </c>
      <c r="AC1509" s="77">
        <f t="shared" ca="1" si="255"/>
        <v>1</v>
      </c>
      <c r="AD1509" s="76">
        <f t="array" ref="AD1509">AVERAGEIFS($G$2:$G2565,$B$2:$B2565,$B1509,$P$2:$P2565,"&lt;="&amp;$P1509,$P$2:$P2565,"&gt;"&amp;$P1509-7)</f>
        <v>5.7619047619047619</v>
      </c>
      <c r="AE1509" s="76">
        <f ca="1">IFERROR(__xludf.DUMMYFUNCTION("iferror(stdevp(filter($F$2:$F2568,$B$2:$B2568=$B1512,$O$2:$O2568&lt;=$O1512,$O$2:$O2568&gt;$O1512-7)),0)"),1)</f>
        <v>1</v>
      </c>
      <c r="AF1509" s="77">
        <f t="shared" ca="1" si="256"/>
        <v>-0.76190476190476186</v>
      </c>
      <c r="AG1509" s="77">
        <f t="shared" ca="1" si="257"/>
        <v>2</v>
      </c>
      <c r="AH1509" s="76">
        <f t="array" ref="AH1509">AVERAGEIFS($I$2:$I2565,$B$2:$B2565,$B1509,$P$2:$P2565,"&lt;="&amp;$P1509,$P$2:$P2565,"&gt;"&amp;$P1509-7)</f>
        <v>6.8571428571428568</v>
      </c>
      <c r="AI1509" s="76">
        <f ca="1">IFERROR(__xludf.DUMMYFUNCTION("iferror(stdevp(filter($H$2:$H2568,$B$2:$B2568=$B1512,$O$2:$O2568&lt;=$O1512,$O$2:$O2568&gt;$O1512-7)),0)"),0.82915619758885)</f>
        <v>0.82915619758884995</v>
      </c>
      <c r="AJ1509" s="77">
        <f t="shared" ca="1" si="258"/>
        <v>0.17229219690157968</v>
      </c>
      <c r="AK1509" s="77">
        <f t="shared" ca="1" si="259"/>
        <v>3</v>
      </c>
      <c r="AL1509" s="76">
        <f t="array" ref="AL1509">AVERAGEIFS($J$2:$J2565,$B$2:$B2565,$B1509,$P$2:$P2565,"&lt;="&amp;$P1509,$P$2:$P2565,"&gt;"&amp;$P1509-7)</f>
        <v>5.0952380952380949</v>
      </c>
      <c r="AM1509" s="76">
        <f ca="1">IFERROR(__xludf.DUMMYFUNCTION("iferror(stdevp(filter($I$2:$I2568,$B$2:$B2568=$B1512,$O$2:$O2568&lt;=$O1512,$O$2:$O2568&gt;$O1512-7)),0)"),0.433012701892219)</f>
        <v>0.43301270189221902</v>
      </c>
      <c r="AN1509" s="77">
        <f t="shared" ca="1" si="260"/>
        <v>-0.21994295969128538</v>
      </c>
      <c r="AO1509" s="77">
        <f t="shared" ca="1" si="261"/>
        <v>2</v>
      </c>
      <c r="AP1509" s="76">
        <f t="array" ref="AP1509">AVERAGEIFS($K$2:$K2565,$B$2:$B2565,$B1509,$P$2:$P2565,"&lt;="&amp;$P1509,$P$2:$P2565,"&gt;"&amp;$P1509-7)</f>
        <v>5.3809523809523814</v>
      </c>
      <c r="AQ1509" s="76">
        <f ca="1">IFERROR(__xludf.DUMMYFUNCTION("iferror(stdevp(filter($J$2:$J2568,$B$2:$B2568=$B1512,$O$2:$O2568&lt;=$O1512,$O$2:$O2568&gt;$O1512-7)),0)"),1.6583123951777)</f>
        <v>1.6583123951776999</v>
      </c>
      <c r="AR1509" s="77">
        <f t="shared" ca="1" si="262"/>
        <v>0.97632244910894861</v>
      </c>
      <c r="AS1509" s="77">
        <f t="shared" ca="1" si="263"/>
        <v>3</v>
      </c>
      <c r="AT1509" s="78">
        <f t="shared" ca="1" si="264"/>
        <v>0.58333333333333337</v>
      </c>
    </row>
    <row r="1510" spans="1:46" ht="12.5" x14ac:dyDescent="0.25">
      <c r="A1510" s="75">
        <v>45009.478306736113</v>
      </c>
      <c r="B1510" s="1" t="s">
        <v>15</v>
      </c>
      <c r="C1510" s="1" t="str">
        <f>INDEX(TBL_Name,MATCH(Table2[[#This Row],[Athlete Name]],listNames,0),2)</f>
        <v>Athlete 8</v>
      </c>
      <c r="D1510" s="1" t="s">
        <v>130</v>
      </c>
      <c r="E1510" s="1">
        <v>10</v>
      </c>
      <c r="F1510" s="1">
        <v>9</v>
      </c>
      <c r="G1510" s="1">
        <v>8</v>
      </c>
      <c r="H1510" s="1" t="s">
        <v>197</v>
      </c>
      <c r="I1510" s="1">
        <v>7</v>
      </c>
      <c r="J1510" s="1">
        <v>10</v>
      </c>
      <c r="K1510" s="1">
        <v>10</v>
      </c>
      <c r="L1510" s="1">
        <v>83</v>
      </c>
      <c r="M1510" s="1" t="e">
        <f t="shared" ref="M1510" ca="1" si="557">_xludf.concat($B1510,$P1510)</f>
        <v>#NAME?</v>
      </c>
      <c r="N1510" s="1" t="e">
        <f t="shared" si="248"/>
        <v>#VALUE!</v>
      </c>
      <c r="O1510" s="1" t="e">
        <f t="shared" ref="O1510" ca="1" si="558">IF($N1510=_xludf.MINIFS($N$2:$N3016,$R$2:$R3016,$R1510),1,
($N1510-_xludf.MINIFS($N$2:$N3016,$R$2:$R3016,$R1510))+1)</f>
        <v>#VALUE!</v>
      </c>
      <c r="P1510" s="13" t="e">
        <f t="shared" si="250"/>
        <v>#VALUE!</v>
      </c>
      <c r="Q1510" s="1" t="str">
        <f>RIGHT(YEAR($A1510),2)-(MONTH($A1510)&lt;=[3]Roster!$K$25)
 &amp;"-"&amp;
 RIGHT(YEAR($A1510),2)+(MONTH($A1510)&gt;=[3]Roster!$K$26)</f>
        <v>22-23</v>
      </c>
      <c r="R1510" s="1" t="e">
        <f>CHOOSE(MONTH($P1510),[3]Roster!$K$9,[3]Roster!$K$10,[3]Roster!$K$11,[3]Roster!$K$12,[3]Roster!$K$13,[3]Roster!$K$14,[3]Roster!$K$15,[3]Roster!$K$16,[3]Roster!$K$17,[3]Roster!$K$18,[3]Roster!$K$19,[3]Roster!$K$20)&amp;" "&amp;$Q1510</f>
        <v>#VALUE!</v>
      </c>
      <c r="S1510" s="1">
        <f t="shared" si="251"/>
        <v>1</v>
      </c>
      <c r="T1510" s="1" t="str">
        <f t="array" ref="T1510">IFERROR(INDEX([3]Roster!$D$3:$D$42,MATCH($B1510,[3]Roster!$C$3:$C$42,0)),"")</f>
        <v>MID/D</v>
      </c>
      <c r="U1510" s="1" t="str">
        <f t="array" ref="U1510">IFERROR(INDEX([3]Roster!$E$3:$E$42,MATCH($B1510,[3]Roster!$C$3:$C$42,0)),"")</f>
        <v>MID/D</v>
      </c>
      <c r="V1510" s="76">
        <f t="array" ref="V1510">AVERAGEIFS($E$2:$E2565,$B$2:$B2565,$B1510,$P$2:$P2565,"&lt;="&amp;$P1510,$P$2:$P2565,"&gt;"&amp;$P1510-7)</f>
        <v>8.935483870967742</v>
      </c>
      <c r="W1510" s="76">
        <f ca="1">IFERROR(__xludf.DUMMYFUNCTION("iferror(stdevp(filter($D$2:$D2568,$B$2:$B2568=$B1513,$O$2:$O2568&lt;=$O1513,$O$2:$O2568&gt;$O1513-7)),0)"),1.2)</f>
        <v>1.2</v>
      </c>
      <c r="X1510" s="77">
        <f t="shared" ca="1" si="252"/>
        <v>0.88709677419354838</v>
      </c>
      <c r="Y1510" s="77">
        <f t="shared" ca="1" si="253"/>
        <v>3</v>
      </c>
      <c r="Z1510" s="76">
        <f t="array" ref="Z1510">AVERAGEIFS($F$2:$F2565,$B$2:$B2565,$B1510,$P$2:$P2565,"&lt;="&amp;$P1510,$P$2:$P2565,"&gt;"&amp;$P1510-7)</f>
        <v>8.741935483870968</v>
      </c>
      <c r="AA1510" s="76">
        <f ca="1">IFERROR(__xludf.DUMMYFUNCTION("iferror(stdevp(filter($E$2:$E2568,$B$2:$B2568=$B1513,$O$2:$O2568&lt;=$O1513,$O$2:$O2568&gt;$O1513-7)),0)"),0.894427190999915)</f>
        <v>0.89442719099991497</v>
      </c>
      <c r="AB1510" s="77">
        <f t="shared" ca="1" si="254"/>
        <v>0.28852490032255357</v>
      </c>
      <c r="AC1510" s="77">
        <f t="shared" ca="1" si="255"/>
        <v>3</v>
      </c>
      <c r="AD1510" s="76">
        <f t="array" ref="AD1510">AVERAGEIFS($G$2:$G2565,$B$2:$B2565,$B1510,$P$2:$P2565,"&lt;="&amp;$P1510,$P$2:$P2565,"&gt;"&amp;$P1510-7)</f>
        <v>7.32258064516129</v>
      </c>
      <c r="AE1510" s="76">
        <f ca="1">IFERROR(__xludf.DUMMYFUNCTION("iferror(stdevp(filter($F$2:$F2568,$B$2:$B2568=$B1513,$O$2:$O2568&lt;=$O1513,$O$2:$O2568&gt;$O1513-7)),0)"),0.489897948556635)</f>
        <v>0.48989794855663499</v>
      </c>
      <c r="AF1510" s="77">
        <f t="shared" ca="1" si="256"/>
        <v>1.3827764677001835</v>
      </c>
      <c r="AG1510" s="77">
        <f t="shared" ca="1" si="257"/>
        <v>4</v>
      </c>
      <c r="AH1510" s="76">
        <f t="array" ref="AH1510">AVERAGEIFS($I$2:$I2565,$B$2:$B2565,$B1510,$P$2:$P2565,"&lt;="&amp;$P1510,$P$2:$P2565,"&gt;"&amp;$P1510-7)</f>
        <v>6.419354838709677</v>
      </c>
      <c r="AI1510" s="76">
        <f ca="1">IFERROR(__xludf.DUMMYFUNCTION("iferror(stdevp(filter($H$2:$H2568,$B$2:$B2568=$B1513,$O$2:$O2568&lt;=$O1513,$O$2:$O2568&gt;$O1513-7)),0)"),0.489897948556635)</f>
        <v>0.48989794855663499</v>
      </c>
      <c r="AJ1510" s="77">
        <f t="shared" ca="1" si="258"/>
        <v>1.1852369723144434</v>
      </c>
      <c r="AK1510" s="77">
        <f t="shared" ca="1" si="259"/>
        <v>4</v>
      </c>
      <c r="AL1510" s="76">
        <f t="array" ref="AL1510">AVERAGEIFS($J$2:$J2565,$B$2:$B2565,$B1510,$P$2:$P2565,"&lt;="&amp;$P1510,$P$2:$P2565,"&gt;"&amp;$P1510-7)</f>
        <v>9.612903225806452</v>
      </c>
      <c r="AM1510" s="76">
        <f ca="1">IFERROR(__xludf.DUMMYFUNCTION("iferror(stdevp(filter($I$2:$I2568,$B$2:$B2568=$B1513,$O$2:$O2568&lt;=$O1513,$O$2:$O2568&gt;$O1513-7)),0)"),0)</f>
        <v>0</v>
      </c>
      <c r="AN1510" s="77">
        <f t="shared" ca="1" si="260"/>
        <v>0</v>
      </c>
      <c r="AO1510" s="77">
        <f t="shared" ca="1" si="261"/>
        <v>3</v>
      </c>
      <c r="AP1510" s="76">
        <f t="array" ref="AP1510">AVERAGEIFS($K$2:$K2565,$B$2:$B2565,$B1510,$P$2:$P2565,"&lt;="&amp;$P1510,$P$2:$P2565,"&gt;"&amp;$P1510-7)</f>
        <v>10</v>
      </c>
      <c r="AQ1510" s="76">
        <f ca="1">IFERROR(__xludf.DUMMYFUNCTION("iferror(stdevp(filter($J$2:$J2568,$B$2:$B2568=$B1513,$O$2:$O2568&lt;=$O1513,$O$2:$O2568&gt;$O1513-7)),0)"),0)</f>
        <v>0</v>
      </c>
      <c r="AR1510" s="77">
        <f t="shared" ca="1" si="262"/>
        <v>0</v>
      </c>
      <c r="AS1510" s="77">
        <f t="shared" ca="1" si="263"/>
        <v>3</v>
      </c>
      <c r="AT1510" s="78">
        <f t="shared" ca="1" si="264"/>
        <v>0.83333333333333337</v>
      </c>
    </row>
    <row r="1511" spans="1:46" ht="12.5" x14ac:dyDescent="0.25">
      <c r="A1511" s="75">
        <v>45009.483257928237</v>
      </c>
      <c r="B1511" s="1" t="s">
        <v>10</v>
      </c>
      <c r="C1511" s="1" t="str">
        <f>INDEX(TBL_Name,MATCH(Table2[[#This Row],[Athlete Name]],listNames,0),2)</f>
        <v>Athlete 5</v>
      </c>
      <c r="D1511" s="1" t="s">
        <v>130</v>
      </c>
      <c r="E1511" s="1">
        <v>9</v>
      </c>
      <c r="F1511" s="1">
        <v>8</v>
      </c>
      <c r="G1511" s="1">
        <v>8</v>
      </c>
      <c r="H1511" s="1" t="s">
        <v>326</v>
      </c>
      <c r="I1511" s="1">
        <v>7</v>
      </c>
      <c r="J1511" s="1">
        <v>8</v>
      </c>
      <c r="K1511" s="1">
        <v>9</v>
      </c>
      <c r="L1511" s="1">
        <v>82</v>
      </c>
      <c r="M1511" s="1" t="e">
        <f t="shared" ref="M1511" ca="1" si="559">_xludf.concat($B1511,$P1511)</f>
        <v>#NAME?</v>
      </c>
      <c r="N1511" s="1" t="e">
        <f t="shared" si="248"/>
        <v>#VALUE!</v>
      </c>
      <c r="O1511" s="1" t="e">
        <f t="shared" ref="O1511" ca="1" si="560">IF($N1511=_xludf.MINIFS($N$2:$N3017,$R$2:$R3017,$R1511),1,
($N1511-_xludf.MINIFS($N$2:$N3017,$R$2:$R3017,$R1511))+1)</f>
        <v>#VALUE!</v>
      </c>
      <c r="P1511" s="13" t="e">
        <f t="shared" si="250"/>
        <v>#VALUE!</v>
      </c>
      <c r="Q1511" s="1" t="str">
        <f>RIGHT(YEAR($A1511),2)-(MONTH($A1511)&lt;=[3]Roster!$K$25)
 &amp;"-"&amp;
 RIGHT(YEAR($A1511),2)+(MONTH($A1511)&gt;=[3]Roster!$K$26)</f>
        <v>22-23</v>
      </c>
      <c r="R1511" s="1" t="e">
        <f>CHOOSE(MONTH($P1511),[3]Roster!$K$9,[3]Roster!$K$10,[3]Roster!$K$11,[3]Roster!$K$12,[3]Roster!$K$13,[3]Roster!$K$14,[3]Roster!$K$15,[3]Roster!$K$16,[3]Roster!$K$17,[3]Roster!$K$18,[3]Roster!$K$19,[3]Roster!$K$20)&amp;" "&amp;$Q1511</f>
        <v>#VALUE!</v>
      </c>
      <c r="S1511" s="1">
        <f t="shared" si="251"/>
        <v>1</v>
      </c>
      <c r="T1511" s="1" t="str">
        <f t="array" ref="T1511">IFERROR(INDEX([3]Roster!$D$3:$D$42,MATCH($B1511,[3]Roster!$C$3:$C$42,0)),"")</f>
        <v>MID</v>
      </c>
      <c r="U1511" s="1" t="str">
        <f t="array" ref="U1511">IFERROR(INDEX([3]Roster!$E$3:$E$42,MATCH($B1511,[3]Roster!$C$3:$C$42,0)),"")</f>
        <v>MID</v>
      </c>
      <c r="V1511" s="76">
        <f t="array" ref="V1511">AVERAGEIFS($E$2:$E2565,$B$2:$B2565,$B1511,$P$2:$P2565,"&lt;="&amp;$P1511,$P$2:$P2565,"&gt;"&amp;$P1511-7)</f>
        <v>8.4042553191489358</v>
      </c>
      <c r="W1511" s="76">
        <f ca="1">IFERROR(__xludf.DUMMYFUNCTION("iferror(stdevp(filter($D$2:$D2568,$B$2:$B2568=$B1514,$O$2:$O2568&lt;=$O1514,$O$2:$O2568&gt;$O1514-7)),0)"),0.471404520791031)</f>
        <v>0.47140452079103101</v>
      </c>
      <c r="X1511" s="77">
        <f t="shared" ca="1" si="252"/>
        <v>1.263765311056811</v>
      </c>
      <c r="Y1511" s="77">
        <f t="shared" ca="1" si="253"/>
        <v>4</v>
      </c>
      <c r="Z1511" s="76">
        <f t="array" ref="Z1511">AVERAGEIFS($F$2:$F2565,$B$2:$B2565,$B1511,$P$2:$P2565,"&lt;="&amp;$P1511,$P$2:$P2565,"&gt;"&amp;$P1511-7)</f>
        <v>8.085106382978724</v>
      </c>
      <c r="AA1511" s="76">
        <f ca="1">IFERROR(__xludf.DUMMYFUNCTION("iferror(stdevp(filter($E$2:$E2568,$B$2:$B2568=$B1514,$O$2:$O2568&lt;=$O1514,$O$2:$O2568&gt;$O1514-7)),0)"),0.372677996249965)</f>
        <v>0.372677996249965</v>
      </c>
      <c r="AB1511" s="77">
        <f t="shared" ca="1" si="254"/>
        <v>-0.22836438919146937</v>
      </c>
      <c r="AC1511" s="77">
        <f t="shared" ca="1" si="255"/>
        <v>2</v>
      </c>
      <c r="AD1511" s="76">
        <f t="array" ref="AD1511">AVERAGEIFS($G$2:$G2565,$B$2:$B2565,$B1511,$P$2:$P2565,"&lt;="&amp;$P1511,$P$2:$P2565,"&gt;"&amp;$P1511-7)</f>
        <v>8.0638297872340434</v>
      </c>
      <c r="AE1511" s="76">
        <f ca="1">IFERROR(__xludf.DUMMYFUNCTION("iferror(stdevp(filter($F$2:$F2568,$B$2:$B2568=$B1514,$O$2:$O2568&lt;=$O1514,$O$2:$O2568&gt;$O1514-7)),0)"),0.372677996249965)</f>
        <v>0.372677996249965</v>
      </c>
      <c r="AF1511" s="77">
        <f t="shared" ca="1" si="256"/>
        <v>-0.17127329189360321</v>
      </c>
      <c r="AG1511" s="77">
        <f t="shared" ca="1" si="257"/>
        <v>2</v>
      </c>
      <c r="AH1511" s="76">
        <f t="array" ref="AH1511">AVERAGEIFS($I$2:$I2565,$B$2:$B2565,$B1511,$P$2:$P2565,"&lt;="&amp;$P1511,$P$2:$P2565,"&gt;"&amp;$P1511-7)</f>
        <v>6.7446808510638299</v>
      </c>
      <c r="AI1511" s="76">
        <f ca="1">IFERROR(__xludf.DUMMYFUNCTION("iferror(stdevp(filter($H$2:$H2568,$B$2:$B2568=$B1514,$O$2:$O2568&lt;=$O1514,$O$2:$O2568&gt;$O1514-7)),0)"),1.21335164821342)</f>
        <v>1.2133516482134199</v>
      </c>
      <c r="AJ1511" s="77">
        <f t="shared" ca="1" si="258"/>
        <v>0.2104246937086299</v>
      </c>
      <c r="AK1511" s="77">
        <f t="shared" ca="1" si="259"/>
        <v>3</v>
      </c>
      <c r="AL1511" s="76">
        <f t="array" ref="AL1511">AVERAGEIFS($J$2:$J2565,$B$2:$B2565,$B1511,$P$2:$P2565,"&lt;="&amp;$P1511,$P$2:$P2565,"&gt;"&amp;$P1511-7)</f>
        <v>8.1063829787234045</v>
      </c>
      <c r="AM1511" s="76">
        <f ca="1">IFERROR(__xludf.DUMMYFUNCTION("iferror(stdevp(filter($I$2:$I2568,$B$2:$B2568=$B1514,$O$2:$O2568&lt;=$O1514,$O$2:$O2568&gt;$O1514-7)),0)"),0.577350269189625)</f>
        <v>0.57735026918962495</v>
      </c>
      <c r="AN1511" s="77">
        <f t="shared" ca="1" si="260"/>
        <v>-0.18426072420945575</v>
      </c>
      <c r="AO1511" s="77">
        <f t="shared" ca="1" si="261"/>
        <v>2</v>
      </c>
      <c r="AP1511" s="76">
        <f t="array" ref="AP1511">AVERAGEIFS($K$2:$K2565,$B$2:$B2565,$B1511,$P$2:$P2565,"&lt;="&amp;$P1511,$P$2:$P2565,"&gt;"&amp;$P1511-7)</f>
        <v>8.2978723404255312</v>
      </c>
      <c r="AQ1511" s="76">
        <f ca="1">IFERROR(__xludf.DUMMYFUNCTION("iferror(stdevp(filter($J$2:$J2568,$B$2:$B2568=$B1514,$O$2:$O2568&lt;=$O1514,$O$2:$O2568&gt;$O1514-7)),0)"),1.69967317119759)</f>
        <v>1.6996731711975901</v>
      </c>
      <c r="AR1511" s="77">
        <f t="shared" ca="1" si="262"/>
        <v>0.41309568890809134</v>
      </c>
      <c r="AS1511" s="77">
        <f t="shared" ca="1" si="263"/>
        <v>3</v>
      </c>
      <c r="AT1511" s="78">
        <f t="shared" ca="1" si="264"/>
        <v>0.66666666666666663</v>
      </c>
    </row>
    <row r="1512" spans="1:46" ht="12.5" x14ac:dyDescent="0.25">
      <c r="A1512" s="75">
        <v>45009.501943020834</v>
      </c>
      <c r="B1512" s="1" t="s">
        <v>20</v>
      </c>
      <c r="C1512" s="1" t="str">
        <f>INDEX(TBL_Name,MATCH(Table2[[#This Row],[Athlete Name]],listNames,0),2)</f>
        <v>Athlete 12</v>
      </c>
      <c r="D1512" s="1" t="s">
        <v>130</v>
      </c>
      <c r="E1512" s="1">
        <v>9</v>
      </c>
      <c r="F1512" s="1">
        <v>7</v>
      </c>
      <c r="G1512" s="1">
        <v>8</v>
      </c>
      <c r="H1512" s="1" t="s">
        <v>480</v>
      </c>
      <c r="I1512" s="1">
        <v>7</v>
      </c>
      <c r="J1512" s="1">
        <v>8</v>
      </c>
      <c r="K1512" s="1">
        <v>6</v>
      </c>
      <c r="L1512" s="1">
        <v>85</v>
      </c>
      <c r="M1512" s="1" t="e">
        <f t="shared" ref="M1512" ca="1" si="561">_xludf.concat($B1512,$P1512)</f>
        <v>#NAME?</v>
      </c>
      <c r="N1512" s="1" t="e">
        <f t="shared" si="248"/>
        <v>#VALUE!</v>
      </c>
      <c r="O1512" s="1" t="e">
        <f t="shared" ref="O1512" ca="1" si="562">IF($N1512=_xludf.MINIFS($N$2:$N3018,$R$2:$R3018,$R1512),1,
($N1512-_xludf.MINIFS($N$2:$N3018,$R$2:$R3018,$R1512))+1)</f>
        <v>#VALUE!</v>
      </c>
      <c r="P1512" s="13" t="e">
        <f t="shared" si="250"/>
        <v>#VALUE!</v>
      </c>
      <c r="Q1512" s="1" t="str">
        <f>RIGHT(YEAR($A1512),2)-(MONTH($A1512)&lt;=[3]Roster!$K$25)
 &amp;"-"&amp;
 RIGHT(YEAR($A1512),2)+(MONTH($A1512)&gt;=[3]Roster!$K$26)</f>
        <v>22-23</v>
      </c>
      <c r="R1512" s="1" t="e">
        <f>CHOOSE(MONTH($P1512),[3]Roster!$K$9,[3]Roster!$K$10,[3]Roster!$K$11,[3]Roster!$K$12,[3]Roster!$K$13,[3]Roster!$K$14,[3]Roster!$K$15,[3]Roster!$K$16,[3]Roster!$K$17,[3]Roster!$K$18,[3]Roster!$K$19,[3]Roster!$K$20)&amp;" "&amp;$Q1512</f>
        <v>#VALUE!</v>
      </c>
      <c r="S1512" s="1">
        <f t="shared" si="251"/>
        <v>1</v>
      </c>
      <c r="T1512" s="1" t="str">
        <f t="array" ref="T1512">IFERROR(INDEX([3]Roster!$D$3:$D$42,MATCH($B1512,[3]Roster!$C$3:$C$42,0)),"")</f>
        <v>D</v>
      </c>
      <c r="U1512" s="1" t="str">
        <f t="array" ref="U1512">IFERROR(INDEX([3]Roster!$E$3:$E$42,MATCH($B1512,[3]Roster!$C$3:$C$42,0)),"")</f>
        <v>D</v>
      </c>
      <c r="V1512" s="76">
        <f t="array" ref="V1512">AVERAGEIFS($E$2:$E2565,$B$2:$B2565,$B1512,$P$2:$P2565,"&lt;="&amp;$P1512,$P$2:$P2565,"&gt;"&amp;$P1512-7)</f>
        <v>7.4761904761904763</v>
      </c>
      <c r="W1512" s="76">
        <f ca="1">IFERROR(__xludf.DUMMYFUNCTION("iferror(stdevp(filter($D$2:$D2568,$B$2:$B2568=$B1515,$O$2:$O2568&lt;=$O1515,$O$2:$O2568&gt;$O1515-7)),0)"),0.499999999999999)</f>
        <v>0.499999999999999</v>
      </c>
      <c r="X1512" s="77">
        <f t="shared" ca="1" si="252"/>
        <v>3.0476190476190537</v>
      </c>
      <c r="Y1512" s="77">
        <f t="shared" ca="1" si="253"/>
        <v>4</v>
      </c>
      <c r="Z1512" s="76">
        <f t="array" ref="Z1512">AVERAGEIFS($F$2:$F2565,$B$2:$B2565,$B1512,$P$2:$P2565,"&lt;="&amp;$P1512,$P$2:$P2565,"&gt;"&amp;$P1512-7)</f>
        <v>8.1904761904761898</v>
      </c>
      <c r="AA1512" s="76">
        <f ca="1">IFERROR(__xludf.DUMMYFUNCTION("iferror(stdevp(filter($E$2:$E2568,$B$2:$B2568=$B1515,$O$2:$O2568&lt;=$O1515,$O$2:$O2568&gt;$O1515-7)),0)"),1.29903810567665)</f>
        <v>1.29903810567665</v>
      </c>
      <c r="AB1512" s="77">
        <f t="shared" ca="1" si="254"/>
        <v>-0.91642899871369676</v>
      </c>
      <c r="AC1512" s="77">
        <f t="shared" ca="1" si="255"/>
        <v>2</v>
      </c>
      <c r="AD1512" s="76">
        <f t="array" ref="AD1512">AVERAGEIFS($G$2:$G2565,$B$2:$B2565,$B1512,$P$2:$P2565,"&lt;="&amp;$P1512,$P$2:$P2565,"&gt;"&amp;$P1512-7)</f>
        <v>8.5714285714285712</v>
      </c>
      <c r="AE1512" s="76">
        <f ca="1">IFERROR(__xludf.DUMMYFUNCTION("iferror(stdevp(filter($F$2:$F2568,$B$2:$B2568=$B1515,$O$2:$O2568&lt;=$O1515,$O$2:$O2568&gt;$O1515-7)),0)"),0.707106781186547)</f>
        <v>0.70710678118654702</v>
      </c>
      <c r="AF1512" s="77">
        <f t="shared" ca="1" si="256"/>
        <v>-0.80812203564176877</v>
      </c>
      <c r="AG1512" s="77">
        <f t="shared" ca="1" si="257"/>
        <v>2</v>
      </c>
      <c r="AH1512" s="76">
        <f t="array" ref="AH1512">AVERAGEIFS($I$2:$I2565,$B$2:$B2565,$B1512,$P$2:$P2565,"&lt;="&amp;$P1512,$P$2:$P2565,"&gt;"&amp;$P1512-7)</f>
        <v>5.6190476190476186</v>
      </c>
      <c r="AI1512" s="76">
        <f ca="1">IFERROR(__xludf.DUMMYFUNCTION("iferror(stdevp(filter($H$2:$H2568,$B$2:$B2568=$B1515,$O$2:$O2568&lt;=$O1515,$O$2:$O2568&gt;$O1515-7)),0)"),1.11803398874989)</f>
        <v>1.11803398874989</v>
      </c>
      <c r="AJ1512" s="77">
        <f t="shared" ca="1" si="258"/>
        <v>1.2351613589998895</v>
      </c>
      <c r="AK1512" s="77">
        <f t="shared" ca="1" si="259"/>
        <v>4</v>
      </c>
      <c r="AL1512" s="76">
        <f t="array" ref="AL1512">AVERAGEIFS($J$2:$J2565,$B$2:$B2565,$B1512,$P$2:$P2565,"&lt;="&amp;$P1512,$P$2:$P2565,"&gt;"&amp;$P1512-7)</f>
        <v>7</v>
      </c>
      <c r="AM1512" s="76">
        <f ca="1">IFERROR(__xludf.DUMMYFUNCTION("iferror(stdevp(filter($I$2:$I2568,$B$2:$B2568=$B1515,$O$2:$O2568&lt;=$O1515,$O$2:$O2568&gt;$O1515-7)),0)"),0.5)</f>
        <v>0.5</v>
      </c>
      <c r="AN1512" s="77">
        <f t="shared" ca="1" si="260"/>
        <v>2</v>
      </c>
      <c r="AO1512" s="77">
        <f t="shared" ca="1" si="261"/>
        <v>4</v>
      </c>
      <c r="AP1512" s="76">
        <f t="array" ref="AP1512">AVERAGEIFS($K$2:$K2565,$B$2:$B2565,$B1512,$P$2:$P2565,"&lt;="&amp;$P1512,$P$2:$P2565,"&gt;"&amp;$P1512-7)</f>
        <v>7.4285714285714288</v>
      </c>
      <c r="AQ1512" s="76">
        <f ca="1">IFERROR(__xludf.DUMMYFUNCTION("iferror(stdevp(filter($J$2:$J2568,$B$2:$B2568=$B1515,$O$2:$O2568&lt;=$O1515,$O$2:$O2568&gt;$O1515-7)),0)"),1.5)</f>
        <v>1.5</v>
      </c>
      <c r="AR1512" s="77">
        <f t="shared" ca="1" si="262"/>
        <v>-0.95238095238095255</v>
      </c>
      <c r="AS1512" s="77">
        <f t="shared" ca="1" si="263"/>
        <v>2</v>
      </c>
      <c r="AT1512" s="78">
        <f t="shared" ca="1" si="264"/>
        <v>0.75</v>
      </c>
    </row>
    <row r="1513" spans="1:46" ht="12.5" x14ac:dyDescent="0.25">
      <c r="A1513" s="75">
        <v>45009.511131053237</v>
      </c>
      <c r="B1513" s="1" t="s">
        <v>13</v>
      </c>
      <c r="C1513" s="1" t="str">
        <f>INDEX(TBL_Name,MATCH(Table2[[#This Row],[Athlete Name]],listNames,0),2)</f>
        <v>Athlete 7</v>
      </c>
      <c r="D1513" s="1" t="s">
        <v>130</v>
      </c>
      <c r="E1513" s="1">
        <v>8</v>
      </c>
      <c r="F1513" s="1">
        <v>8</v>
      </c>
      <c r="G1513" s="1">
        <v>8</v>
      </c>
      <c r="H1513" s="1" t="s">
        <v>69</v>
      </c>
      <c r="I1513" s="1">
        <v>7</v>
      </c>
      <c r="J1513" s="1">
        <v>10</v>
      </c>
      <c r="K1513" s="1">
        <v>10</v>
      </c>
      <c r="L1513" s="1">
        <v>70</v>
      </c>
      <c r="M1513" s="1" t="e">
        <f t="shared" ref="M1513" ca="1" si="563">_xludf.concat($B1513,$P1513)</f>
        <v>#NAME?</v>
      </c>
      <c r="N1513" s="1" t="e">
        <f t="shared" si="248"/>
        <v>#VALUE!</v>
      </c>
      <c r="O1513" s="1" t="e">
        <f t="shared" ref="O1513" ca="1" si="564">IF($N1513=_xludf.MINIFS($N$2:$N3019,$R$2:$R3019,$R1513),1,
($N1513-_xludf.MINIFS($N$2:$N3019,$R$2:$R3019,$R1513))+1)</f>
        <v>#VALUE!</v>
      </c>
      <c r="P1513" s="13" t="e">
        <f t="shared" si="250"/>
        <v>#VALUE!</v>
      </c>
      <c r="Q1513" s="1" t="str">
        <f>RIGHT(YEAR($A1513),2)-(MONTH($A1513)&lt;=[3]Roster!$K$25)
 &amp;"-"&amp;
 RIGHT(YEAR($A1513),2)+(MONTH($A1513)&gt;=[3]Roster!$K$26)</f>
        <v>22-23</v>
      </c>
      <c r="R1513" s="1" t="e">
        <f>CHOOSE(MONTH($P1513),[3]Roster!$K$9,[3]Roster!$K$10,[3]Roster!$K$11,[3]Roster!$K$12,[3]Roster!$K$13,[3]Roster!$K$14,[3]Roster!$K$15,[3]Roster!$K$16,[3]Roster!$K$17,[3]Roster!$K$18,[3]Roster!$K$19,[3]Roster!$K$20)&amp;" "&amp;$Q1513</f>
        <v>#VALUE!</v>
      </c>
      <c r="S1513" s="1">
        <f t="shared" si="251"/>
        <v>1</v>
      </c>
      <c r="T1513" s="1" t="str">
        <f t="array" ref="T1513">IFERROR(INDEX([3]Roster!$D$3:$D$42,MATCH($B1513,[3]Roster!$C$3:$C$42,0)),"")</f>
        <v>MID/D</v>
      </c>
      <c r="U1513" s="1" t="str">
        <f t="array" ref="U1513">IFERROR(INDEX([3]Roster!$E$3:$E$42,MATCH($B1513,[3]Roster!$C$3:$C$42,0)),"")</f>
        <v>MID/D</v>
      </c>
      <c r="V1513" s="76">
        <f t="array" ref="V1513">AVERAGEIFS($E$2:$E2565,$B$2:$B2565,$B1513,$P$2:$P2565,"&lt;="&amp;$P1513,$P$2:$P2565,"&gt;"&amp;$P1513-7)</f>
        <v>7.6857142857142859</v>
      </c>
      <c r="W1513" s="76">
        <f ca="1">IFERROR(__xludf.DUMMYFUNCTION("iferror(stdevp(filter($D$2:$D2568,$B$2:$B2568=$B1516,$O$2:$O2568&lt;=$O1516,$O$2:$O2568&gt;$O1516-7)),0)"),1.12485826771597)</f>
        <v>1.12485826771597</v>
      </c>
      <c r="X1513" s="77">
        <f t="shared" ca="1" si="252"/>
        <v>0.27940027940041967</v>
      </c>
      <c r="Y1513" s="77">
        <f t="shared" ca="1" si="253"/>
        <v>3</v>
      </c>
      <c r="Z1513" s="76">
        <f t="array" ref="Z1513">AVERAGEIFS($F$2:$F2565,$B$2:$B2565,$B1513,$P$2:$P2565,"&lt;="&amp;$P1513,$P$2:$P2565,"&gt;"&amp;$P1513-7)</f>
        <v>7.0857142857142854</v>
      </c>
      <c r="AA1513" s="76">
        <f ca="1">IFERROR(__xludf.DUMMYFUNCTION("iferror(stdevp(filter($E$2:$E2568,$B$2:$B2568=$B1516,$O$2:$O2568&lt;=$O1516,$O$2:$O2568&gt;$O1516-7)),0)"),1.29362644830534)</f>
        <v>1.2936264483053399</v>
      </c>
      <c r="AB1513" s="77">
        <f t="shared" ca="1" si="254"/>
        <v>0.70676176687902104</v>
      </c>
      <c r="AC1513" s="77">
        <f t="shared" ca="1" si="255"/>
        <v>3</v>
      </c>
      <c r="AD1513" s="76">
        <f t="array" ref="AD1513">AVERAGEIFS($G$2:$G2565,$B$2:$B2565,$B1513,$P$2:$P2565,"&lt;="&amp;$P1513,$P$2:$P2565,"&gt;"&amp;$P1513-7)</f>
        <v>7.1428571428571432</v>
      </c>
      <c r="AE1513" s="76">
        <f ca="1">IFERROR(__xludf.DUMMYFUNCTION("iferror(stdevp(filter($F$2:$F2568,$B$2:$B2568=$B1516,$O$2:$O2568&lt;=$O1516,$O$2:$O2568&gt;$O1516-7)),0)"),0.832993127835043)</f>
        <v>0.83299312783504298</v>
      </c>
      <c r="AF1513" s="77">
        <f t="shared" ca="1" si="256"/>
        <v>1.0289915108550525</v>
      </c>
      <c r="AG1513" s="77">
        <f t="shared" ca="1" si="257"/>
        <v>4</v>
      </c>
      <c r="AH1513" s="76">
        <f t="array" ref="AH1513">AVERAGEIFS($I$2:$I2565,$B$2:$B2565,$B1513,$P$2:$P2565,"&lt;="&amp;$P1513,$P$2:$P2565,"&gt;"&amp;$P1513-7)</f>
        <v>7.0285714285714285</v>
      </c>
      <c r="AI1513" s="76">
        <f ca="1">IFERROR(__xludf.DUMMYFUNCTION("iferror(stdevp(filter($H$2:$H2568,$B$2:$B2568=$B1516,$O$2:$O2568&lt;=$O1516,$O$2:$O2568&gt;$O1516-7)),0)"),0.832993127835042)</f>
        <v>0.83299312783504198</v>
      </c>
      <c r="AJ1513" s="77">
        <f t="shared" ca="1" si="258"/>
        <v>-3.4299717028501688E-2</v>
      </c>
      <c r="AK1513" s="77">
        <f t="shared" ca="1" si="259"/>
        <v>2</v>
      </c>
      <c r="AL1513" s="76">
        <f t="array" ref="AL1513">AVERAGEIFS($J$2:$J2565,$B$2:$B2565,$B1513,$P$2:$P2565,"&lt;="&amp;$P1513,$P$2:$P2565,"&gt;"&amp;$P1513-7)</f>
        <v>9.742857142857142</v>
      </c>
      <c r="AM1513" s="76">
        <f ca="1">IFERROR(__xludf.DUMMYFUNCTION("iferror(stdevp(filter($I$2:$I2568,$B$2:$B2568=$B1516,$O$2:$O2568&lt;=$O1516,$O$2:$O2568&gt;$O1516-7)),0)"),0)</f>
        <v>0</v>
      </c>
      <c r="AN1513" s="77">
        <f t="shared" ca="1" si="260"/>
        <v>0</v>
      </c>
      <c r="AO1513" s="77">
        <f t="shared" ca="1" si="261"/>
        <v>3</v>
      </c>
      <c r="AP1513" s="76">
        <f t="array" ref="AP1513">AVERAGEIFS($K$2:$K2565,$B$2:$B2565,$B1513,$P$2:$P2565,"&lt;="&amp;$P1513,$P$2:$P2565,"&gt;"&amp;$P1513-7)</f>
        <v>9.4285714285714288</v>
      </c>
      <c r="AQ1513" s="76">
        <f ca="1">IFERROR(__xludf.DUMMYFUNCTION("iferror(stdevp(filter($J$2:$J2568,$B$2:$B2568=$B1516,$O$2:$O2568&lt;=$O1516,$O$2:$O2568&gt;$O1516-7)),0)"),0.699854212223765)</f>
        <v>0.69985421222376498</v>
      </c>
      <c r="AR1513" s="77">
        <f t="shared" ca="1" si="262"/>
        <v>0.81649658092772592</v>
      </c>
      <c r="AS1513" s="77">
        <f t="shared" ca="1" si="263"/>
        <v>3</v>
      </c>
      <c r="AT1513" s="78">
        <f t="shared" ca="1" si="264"/>
        <v>0.75</v>
      </c>
    </row>
    <row r="1514" spans="1:46" ht="12.5" x14ac:dyDescent="0.25">
      <c r="A1514" s="75">
        <v>45009.580435428245</v>
      </c>
      <c r="B1514" s="1" t="s">
        <v>22</v>
      </c>
      <c r="C1514" s="1" t="str">
        <f>INDEX(TBL_Name,MATCH(Table2[[#This Row],[Athlete Name]],listNames,0),2)</f>
        <v>Athlete 14</v>
      </c>
      <c r="D1514" s="1" t="s">
        <v>130</v>
      </c>
      <c r="E1514" s="1">
        <v>6</v>
      </c>
      <c r="F1514" s="1">
        <v>9</v>
      </c>
      <c r="G1514" s="1">
        <v>9</v>
      </c>
      <c r="H1514" s="1" t="s">
        <v>307</v>
      </c>
      <c r="I1514" s="1">
        <v>6</v>
      </c>
      <c r="J1514" s="1">
        <v>8</v>
      </c>
      <c r="K1514" s="1">
        <v>8</v>
      </c>
      <c r="L1514" s="1">
        <v>83</v>
      </c>
      <c r="M1514" s="1" t="e">
        <f t="shared" ref="M1514" ca="1" si="565">_xludf.concat($B1514,$P1514)</f>
        <v>#NAME?</v>
      </c>
      <c r="N1514" s="1" t="e">
        <f t="shared" si="248"/>
        <v>#VALUE!</v>
      </c>
      <c r="O1514" s="1" t="e">
        <f t="shared" ref="O1514" ca="1" si="566">IF($N1514=_xludf.MINIFS($N$2:$N3020,$R$2:$R3020,$R1514),1,
($N1514-_xludf.MINIFS($N$2:$N3020,$R$2:$R3020,$R1514))+1)</f>
        <v>#VALUE!</v>
      </c>
      <c r="P1514" s="13" t="e">
        <f t="shared" si="250"/>
        <v>#VALUE!</v>
      </c>
      <c r="Q1514" s="1" t="str">
        <f>RIGHT(YEAR($A1514),2)-(MONTH($A1514)&lt;=[3]Roster!$K$25)
 &amp;"-"&amp;
 RIGHT(YEAR($A1514),2)+(MONTH($A1514)&gt;=[3]Roster!$K$26)</f>
        <v>22-23</v>
      </c>
      <c r="R1514" s="1" t="e">
        <f>CHOOSE(MONTH($P1514),[3]Roster!$K$9,[3]Roster!$K$10,[3]Roster!$K$11,[3]Roster!$K$12,[3]Roster!$K$13,[3]Roster!$K$14,[3]Roster!$K$15,[3]Roster!$K$16,[3]Roster!$K$17,[3]Roster!$K$18,[3]Roster!$K$19,[3]Roster!$K$20)&amp;" "&amp;$Q1514</f>
        <v>#VALUE!</v>
      </c>
      <c r="S1514" s="1">
        <f t="shared" si="251"/>
        <v>1</v>
      </c>
      <c r="T1514" s="1" t="str">
        <f t="array" ref="T1514">IFERROR(INDEX([3]Roster!$D$3:$D$42,MATCH($B1514,[3]Roster!$C$3:$C$42,0)),"")</f>
        <v>D</v>
      </c>
      <c r="U1514" s="1" t="str">
        <f t="array" ref="U1514">IFERROR(INDEX([3]Roster!$E$3:$E$42,MATCH($B1514,[3]Roster!$C$3:$C$42,0)),"")</f>
        <v>D</v>
      </c>
      <c r="V1514" s="76">
        <f t="array" ref="V1514">AVERAGEIFS($E$2:$E2565,$B$2:$B2565,$B1514,$P$2:$P2565,"&lt;="&amp;$P1514,$P$2:$P2565,"&gt;"&amp;$P1514-7)</f>
        <v>5.791666666666667</v>
      </c>
      <c r="W1514" s="76">
        <f ca="1">IFERROR(__xludf.DUMMYFUNCTION("iferror(stdevp(filter($D$2:$D2568,$B$2:$B2568=$B1517,$O$2:$O2568&lt;=$O1517,$O$2:$O2568&gt;$O1517-7)),0)"),0.632455532033675)</f>
        <v>0.63245553203367499</v>
      </c>
      <c r="X1514" s="77">
        <f t="shared" ca="1" si="252"/>
        <v>0.32940392293420617</v>
      </c>
      <c r="Y1514" s="77">
        <f t="shared" ca="1" si="253"/>
        <v>3</v>
      </c>
      <c r="Z1514" s="76">
        <f t="array" ref="Z1514">AVERAGEIFS($F$2:$F2565,$B$2:$B2565,$B1514,$P$2:$P2565,"&lt;="&amp;$P1514,$P$2:$P2565,"&gt;"&amp;$P1514-7)</f>
        <v>5.458333333333333</v>
      </c>
      <c r="AA1514" s="76">
        <f ca="1">IFERROR(__xludf.DUMMYFUNCTION("iferror(stdevp(filter($E$2:$E2568,$B$2:$B2568=$B1517,$O$2:$O2568&lt;=$O1517,$O$2:$O2568&gt;$O1517-7)),0)"),1.93907194296653)</f>
        <v>1.93907194296653</v>
      </c>
      <c r="AB1514" s="77">
        <f t="shared" ca="1" si="254"/>
        <v>1.8264751235832817</v>
      </c>
      <c r="AC1514" s="77">
        <f t="shared" ca="1" si="255"/>
        <v>4</v>
      </c>
      <c r="AD1514" s="76">
        <f t="array" ref="AD1514">AVERAGEIFS($G$2:$G2565,$B$2:$B2565,$B1514,$P$2:$P2565,"&lt;="&amp;$P1514,$P$2:$P2565,"&gt;"&amp;$P1514-7)</f>
        <v>6.833333333333333</v>
      </c>
      <c r="AE1514" s="76">
        <f ca="1">IFERROR(__xludf.DUMMYFUNCTION("iferror(stdevp(filter($F$2:$F2568,$B$2:$B2568=$B1517,$O$2:$O2568&lt;=$O1517,$O$2:$O2568&gt;$O1517-7)),0)"),1.4696938456699)</f>
        <v>1.4696938456699</v>
      </c>
      <c r="AF1514" s="77">
        <f t="shared" ca="1" si="256"/>
        <v>1.4742299377861792</v>
      </c>
      <c r="AG1514" s="77">
        <f t="shared" ca="1" si="257"/>
        <v>4</v>
      </c>
      <c r="AH1514" s="76">
        <f t="array" ref="AH1514">AVERAGEIFS($I$2:$I2565,$B$2:$B2565,$B1514,$P$2:$P2565,"&lt;="&amp;$P1514,$P$2:$P2565,"&gt;"&amp;$P1514-7)</f>
        <v>5.125</v>
      </c>
      <c r="AI1514" s="76">
        <f ca="1">IFERROR(__xludf.DUMMYFUNCTION("iferror(stdevp(filter($H$2:$H2568,$B$2:$B2568=$B1517,$O$2:$O2568&lt;=$O1517,$O$2:$O2568&gt;$O1517-7)),0)"),1.16619037896906)</f>
        <v>1.16619037896906</v>
      </c>
      <c r="AJ1514" s="77">
        <f t="shared" ca="1" si="258"/>
        <v>0.75030630999847625</v>
      </c>
      <c r="AK1514" s="77">
        <f t="shared" ca="1" si="259"/>
        <v>3</v>
      </c>
      <c r="AL1514" s="76">
        <f t="array" ref="AL1514">AVERAGEIFS($J$2:$J2565,$B$2:$B2565,$B1514,$P$2:$P2565,"&lt;="&amp;$P1514,$P$2:$P2565,"&gt;"&amp;$P1514-7)</f>
        <v>7.125</v>
      </c>
      <c r="AM1514" s="76">
        <f ca="1">IFERROR(__xludf.DUMMYFUNCTION("iferror(stdevp(filter($I$2:$I2568,$B$2:$B2568=$B1517,$O$2:$O2568&lt;=$O1517,$O$2:$O2568&gt;$O1517-7)),0)"),0)</f>
        <v>0</v>
      </c>
      <c r="AN1514" s="77">
        <f t="shared" ca="1" si="260"/>
        <v>0</v>
      </c>
      <c r="AO1514" s="77">
        <f t="shared" ca="1" si="261"/>
        <v>3</v>
      </c>
      <c r="AP1514" s="76">
        <f t="array" ref="AP1514">AVERAGEIFS($K$2:$K2565,$B$2:$B2565,$B1514,$P$2:$P2565,"&lt;="&amp;$P1514,$P$2:$P2565,"&gt;"&amp;$P1514-7)</f>
        <v>7.083333333333333</v>
      </c>
      <c r="AQ1514" s="76">
        <f ca="1">IFERROR(__xludf.DUMMYFUNCTION("iferror(stdevp(filter($J$2:$J2568,$B$2:$B2568=$B1517,$O$2:$O2568&lt;=$O1517,$O$2:$O2568&gt;$O1517-7)),0)"),1.09544511501033)</f>
        <v>1.0954451150103299</v>
      </c>
      <c r="AR1514" s="77">
        <f t="shared" ca="1" si="262"/>
        <v>0.83679835174400585</v>
      </c>
      <c r="AS1514" s="77">
        <f t="shared" ca="1" si="263"/>
        <v>3</v>
      </c>
      <c r="AT1514" s="78">
        <f t="shared" ca="1" si="264"/>
        <v>0.83333333333333337</v>
      </c>
    </row>
    <row r="1515" spans="1:46" ht="12.5" x14ac:dyDescent="0.25">
      <c r="A1515" s="75">
        <v>45009.580746041669</v>
      </c>
      <c r="B1515" s="1" t="s">
        <v>19</v>
      </c>
      <c r="C1515" s="1" t="str">
        <f>INDEX(TBL_Name,MATCH(Table2[[#This Row],[Athlete Name]],listNames,0),2)</f>
        <v>Athlete 11</v>
      </c>
      <c r="D1515" s="1" t="s">
        <v>130</v>
      </c>
      <c r="E1515" s="1">
        <v>5</v>
      </c>
      <c r="F1515" s="1">
        <v>8</v>
      </c>
      <c r="G1515" s="1">
        <v>8</v>
      </c>
      <c r="H1515" s="1" t="s">
        <v>188</v>
      </c>
      <c r="I1515" s="1">
        <v>5</v>
      </c>
      <c r="J1515" s="1">
        <v>9</v>
      </c>
      <c r="K1515" s="1">
        <v>9</v>
      </c>
      <c r="L1515" s="1">
        <v>70</v>
      </c>
      <c r="M1515" s="1" t="e">
        <f t="shared" ref="M1515" ca="1" si="567">_xludf.concat($B1515,$P1515)</f>
        <v>#NAME?</v>
      </c>
      <c r="N1515" s="1" t="e">
        <f t="shared" si="248"/>
        <v>#VALUE!</v>
      </c>
      <c r="O1515" s="1" t="e">
        <f t="shared" ref="O1515" ca="1" si="568">IF($N1515=_xludf.MINIFS($N$2:$N3021,$R$2:$R3021,$R1515),1,
($N1515-_xludf.MINIFS($N$2:$N3021,$R$2:$R3021,$R1515))+1)</f>
        <v>#VALUE!</v>
      </c>
      <c r="P1515" s="13" t="e">
        <f t="shared" si="250"/>
        <v>#VALUE!</v>
      </c>
      <c r="Q1515" s="1" t="str">
        <f>RIGHT(YEAR($A1515),2)-(MONTH($A1515)&lt;=[3]Roster!$K$25)
 &amp;"-"&amp;
 RIGHT(YEAR($A1515),2)+(MONTH($A1515)&gt;=[3]Roster!$K$26)</f>
        <v>22-23</v>
      </c>
      <c r="R1515" s="1" t="e">
        <f>CHOOSE(MONTH($P1515),[3]Roster!$K$9,[3]Roster!$K$10,[3]Roster!$K$11,[3]Roster!$K$12,[3]Roster!$K$13,[3]Roster!$K$14,[3]Roster!$K$15,[3]Roster!$K$16,[3]Roster!$K$17,[3]Roster!$K$18,[3]Roster!$K$19,[3]Roster!$K$20)&amp;" "&amp;$Q1515</f>
        <v>#VALUE!</v>
      </c>
      <c r="S1515" s="1">
        <f t="shared" si="251"/>
        <v>1</v>
      </c>
      <c r="T1515" s="1" t="str">
        <f t="array" ref="T1515">IFERROR(INDEX([3]Roster!$D$3:$D$42,MATCH($B1515,[3]Roster!$C$3:$C$42,0)),"")</f>
        <v>D</v>
      </c>
      <c r="U1515" s="1" t="str">
        <f t="array" ref="U1515">IFERROR(INDEX([3]Roster!$E$3:$E$42,MATCH($B1515,[3]Roster!$C$3:$C$42,0)),"")</f>
        <v>D</v>
      </c>
      <c r="V1515" s="76">
        <f t="array" ref="V1515">AVERAGEIFS($E$2:$E2565,$B$2:$B2565,$B1515,$P$2:$P2565,"&lt;="&amp;$P1515,$P$2:$P2565,"&gt;"&amp;$P1515-7)</f>
        <v>4.6538461538461542</v>
      </c>
      <c r="W1515" s="76">
        <f ca="1">IFERROR(__xludf.DUMMYFUNCTION("iferror(stdevp(filter($D$2:$D2568,$B$2:$B2568=$B1518,$O$2:$O2568&lt;=$O1518,$O$2:$O2568&gt;$O1518-7)),0)"),0.471404520791031)</f>
        <v>0.47140452079103101</v>
      </c>
      <c r="X1515" s="77">
        <f t="shared" ca="1" si="252"/>
        <v>0.73430319584756887</v>
      </c>
      <c r="Y1515" s="77">
        <f t="shared" ca="1" si="253"/>
        <v>3</v>
      </c>
      <c r="Z1515" s="76">
        <f t="array" ref="Z1515">AVERAGEIFS($F$2:$F2565,$B$2:$B2565,$B1515,$P$2:$P2565,"&lt;="&amp;$P1515,$P$2:$P2565,"&gt;"&amp;$P1515-7)</f>
        <v>6.8461538461538458</v>
      </c>
      <c r="AA1515" s="76">
        <f ca="1">IFERROR(__xludf.DUMMYFUNCTION("iferror(stdevp(filter($E$2:$E2568,$B$2:$B2568=$B1518,$O$2:$O2568&lt;=$O1518,$O$2:$O2568&gt;$O1518-7)),0)"),2.35702260395515)</f>
        <v>2.3570226039551501</v>
      </c>
      <c r="AB1515" s="77">
        <f t="shared" ca="1" si="254"/>
        <v>0.48953546389838093</v>
      </c>
      <c r="AC1515" s="77">
        <f t="shared" ca="1" si="255"/>
        <v>3</v>
      </c>
      <c r="AD1515" s="76">
        <f t="array" ref="AD1515">AVERAGEIFS($G$2:$G2565,$B$2:$B2565,$B1515,$P$2:$P2565,"&lt;="&amp;$P1515,$P$2:$P2565,"&gt;"&amp;$P1515-7)</f>
        <v>7.2692307692307692</v>
      </c>
      <c r="AE1515" s="76">
        <f ca="1">IFERROR(__xludf.DUMMYFUNCTION("iferror(stdevp(filter($F$2:$F2568,$B$2:$B2568=$B1518,$O$2:$O2568&lt;=$O1518,$O$2:$O2568&gt;$O1518-7)),0)"),0.942809041582063)</f>
        <v>0.94280904158206302</v>
      </c>
      <c r="AF1515" s="77">
        <f t="shared" ca="1" si="256"/>
        <v>0.77509781783910048</v>
      </c>
      <c r="AG1515" s="77">
        <f t="shared" ca="1" si="257"/>
        <v>3</v>
      </c>
      <c r="AH1515" s="76">
        <f t="array" ref="AH1515">AVERAGEIFS($I$2:$I2565,$B$2:$B2565,$B1515,$P$2:$P2565,"&lt;="&amp;$P1515,$P$2:$P2565,"&gt;"&amp;$P1515-7)</f>
        <v>4.9230769230769234</v>
      </c>
      <c r="AI1515" s="76">
        <f ca="1">IFERROR(__xludf.DUMMYFUNCTION("iferror(stdevp(filter($H$2:$H2568,$B$2:$B2568=$B1518,$O$2:$O2568&lt;=$O1518,$O$2:$O2568&gt;$O1518-7)),0)"),0.942809041582063)</f>
        <v>0.94280904158206302</v>
      </c>
      <c r="AJ1515" s="77">
        <f t="shared" ca="1" si="258"/>
        <v>8.1589243983062915E-2</v>
      </c>
      <c r="AK1515" s="77">
        <f t="shared" ca="1" si="259"/>
        <v>3</v>
      </c>
      <c r="AL1515" s="76">
        <f t="array" ref="AL1515">AVERAGEIFS($J$2:$J2565,$B$2:$B2565,$B1515,$P$2:$P2565,"&lt;="&amp;$P1515,$P$2:$P2565,"&gt;"&amp;$P1515-7)</f>
        <v>7.5769230769230766</v>
      </c>
      <c r="AM1515" s="76">
        <f ca="1">IFERROR(__xludf.DUMMYFUNCTION("iferror(stdevp(filter($I$2:$I2568,$B$2:$B2568=$B1518,$O$2:$O2568&lt;=$O1518,$O$2:$O2568&gt;$O1518-7)),0)"),0.471404520791031)</f>
        <v>0.47140452079103101</v>
      </c>
      <c r="AN1515" s="77">
        <f t="shared" ca="1" si="260"/>
        <v>3.0188020273733422</v>
      </c>
      <c r="AO1515" s="77">
        <f t="shared" ca="1" si="261"/>
        <v>4</v>
      </c>
      <c r="AP1515" s="76">
        <f t="array" ref="AP1515">AVERAGEIFS($K$2:$K2565,$B$2:$B2565,$B1515,$P$2:$P2565,"&lt;="&amp;$P1515,$P$2:$P2565,"&gt;"&amp;$P1515-7)</f>
        <v>8</v>
      </c>
      <c r="AQ1515" s="76">
        <f ca="1">IFERROR(__xludf.DUMMYFUNCTION("iferror(stdevp(filter($J$2:$J2568,$B$2:$B2568=$B1518,$O$2:$O2568&lt;=$O1518,$O$2:$O2568&gt;$O1518-7)),0)"),0.471404520791031)</f>
        <v>0.47140452079103101</v>
      </c>
      <c r="AR1515" s="77">
        <f t="shared" ca="1" si="262"/>
        <v>2.1213203435596455</v>
      </c>
      <c r="AS1515" s="77">
        <f t="shared" ca="1" si="263"/>
        <v>4</v>
      </c>
      <c r="AT1515" s="78">
        <f t="shared" ca="1" si="264"/>
        <v>0.83333333333333337</v>
      </c>
    </row>
    <row r="1516" spans="1:46" ht="12.5" x14ac:dyDescent="0.25">
      <c r="A1516" s="75">
        <v>45009.580755208328</v>
      </c>
      <c r="B1516" s="1" t="s">
        <v>12</v>
      </c>
      <c r="C1516" s="1" t="str">
        <f>INDEX(TBL_Name,MATCH(Table2[[#This Row],[Athlete Name]],listNames,0),2)</f>
        <v>Athlete 6</v>
      </c>
      <c r="D1516" s="1" t="s">
        <v>130</v>
      </c>
      <c r="E1516" s="1">
        <v>10</v>
      </c>
      <c r="F1516" s="1">
        <v>8</v>
      </c>
      <c r="G1516" s="1">
        <v>8</v>
      </c>
      <c r="H1516" s="1" t="s">
        <v>415</v>
      </c>
      <c r="I1516" s="1">
        <v>5</v>
      </c>
      <c r="J1516" s="1">
        <v>10</v>
      </c>
      <c r="K1516" s="1">
        <v>10</v>
      </c>
      <c r="L1516" s="1">
        <v>60</v>
      </c>
      <c r="M1516" s="1" t="e">
        <f t="shared" ref="M1516" ca="1" si="569">_xludf.concat($B1516,$P1516)</f>
        <v>#NAME?</v>
      </c>
      <c r="N1516" s="1" t="e">
        <f t="shared" si="248"/>
        <v>#VALUE!</v>
      </c>
      <c r="O1516" s="1" t="e">
        <f t="shared" ref="O1516" ca="1" si="570">IF($N1516=_xludf.MINIFS($N$2:$N3022,$R$2:$R3022,$R1516),1,
($N1516-_xludf.MINIFS($N$2:$N3022,$R$2:$R3022,$R1516))+1)</f>
        <v>#VALUE!</v>
      </c>
      <c r="P1516" s="13" t="e">
        <f t="shared" si="250"/>
        <v>#VALUE!</v>
      </c>
      <c r="Q1516" s="1" t="str">
        <f>RIGHT(YEAR($A1516),2)-(MONTH($A1516)&lt;=[3]Roster!$K$25)
 &amp;"-"&amp;
 RIGHT(YEAR($A1516),2)+(MONTH($A1516)&gt;=[3]Roster!$K$26)</f>
        <v>22-23</v>
      </c>
      <c r="R1516" s="1" t="e">
        <f>CHOOSE(MONTH($P1516),[3]Roster!$K$9,[3]Roster!$K$10,[3]Roster!$K$11,[3]Roster!$K$12,[3]Roster!$K$13,[3]Roster!$K$14,[3]Roster!$K$15,[3]Roster!$K$16,[3]Roster!$K$17,[3]Roster!$K$18,[3]Roster!$K$19,[3]Roster!$K$20)&amp;" "&amp;$Q1516</f>
        <v>#VALUE!</v>
      </c>
      <c r="S1516" s="1">
        <f t="shared" si="251"/>
        <v>1</v>
      </c>
      <c r="T1516" s="1" t="str">
        <f t="array" ref="T1516">IFERROR(INDEX([3]Roster!$D$3:$D$42,MATCH($B1516,[3]Roster!$C$3:$C$42,0)),"")</f>
        <v>MID</v>
      </c>
      <c r="U1516" s="1" t="str">
        <f t="array" ref="U1516">IFERROR(INDEX([3]Roster!$E$3:$E$42,MATCH($B1516,[3]Roster!$C$3:$C$42,0)),"")</f>
        <v>MID</v>
      </c>
      <c r="V1516" s="76">
        <f t="array" ref="V1516">AVERAGEIFS($E$2:$E2565,$B$2:$B2565,$B1516,$P$2:$P2565,"&lt;="&amp;$P1516,$P$2:$P2565,"&gt;"&amp;$P1516-7)</f>
        <v>9.75</v>
      </c>
      <c r="W1516" s="76">
        <f ca="1">IFERROR(__xludf.DUMMYFUNCTION("iferror(stdevp(filter($D$2:$D2568,$B$2:$B2568=$B1519,$O$2:$O2568&lt;=$O1519,$O$2:$O2568&gt;$O1519-7)),0)"),0)</f>
        <v>0</v>
      </c>
      <c r="X1516" s="77">
        <f t="shared" ca="1" si="252"/>
        <v>0</v>
      </c>
      <c r="Y1516" s="77">
        <f t="shared" ca="1" si="253"/>
        <v>3</v>
      </c>
      <c r="Z1516" s="76">
        <f t="array" ref="Z1516">AVERAGEIFS($F$2:$F2565,$B$2:$B2565,$B1516,$P$2:$P2565,"&lt;="&amp;$P1516,$P$2:$P2565,"&gt;"&amp;$P1516-7)</f>
        <v>7.083333333333333</v>
      </c>
      <c r="AA1516" s="76">
        <f ca="1">IFERROR(__xludf.DUMMYFUNCTION("iferror(stdevp(filter($E$2:$E2568,$B$2:$B2568=$B1519,$O$2:$O2568&lt;=$O1519,$O$2:$O2568&gt;$O1519-7)),0)"),1.22474487139158)</f>
        <v>1.2247448713915801</v>
      </c>
      <c r="AB1516" s="77">
        <f t="shared" ca="1" si="254"/>
        <v>0.74845519918375458</v>
      </c>
      <c r="AC1516" s="77">
        <f t="shared" ca="1" si="255"/>
        <v>3</v>
      </c>
      <c r="AD1516" s="76">
        <f t="array" ref="AD1516">AVERAGEIFS($G$2:$G2565,$B$2:$B2565,$B1516,$P$2:$P2565,"&lt;="&amp;$P1516,$P$2:$P2565,"&gt;"&amp;$P1516-7)</f>
        <v>7.083333333333333</v>
      </c>
      <c r="AE1516" s="76">
        <f ca="1">IFERROR(__xludf.DUMMYFUNCTION("iferror(stdevp(filter($F$2:$F2568,$B$2:$B2568=$B1519,$O$2:$O2568&lt;=$O1519,$O$2:$O2568&gt;$O1519-7)),0)"),0.999999999999999)</f>
        <v>0.999999999999999</v>
      </c>
      <c r="AF1516" s="77">
        <f t="shared" ca="1" si="256"/>
        <v>0.91666666666666785</v>
      </c>
      <c r="AG1516" s="77">
        <f t="shared" ca="1" si="257"/>
        <v>3</v>
      </c>
      <c r="AH1516" s="76">
        <f t="array" ref="AH1516">AVERAGEIFS($I$2:$I2565,$B$2:$B2565,$B1516,$P$2:$P2565,"&lt;="&amp;$P1516,$P$2:$P2565,"&gt;"&amp;$P1516-7)</f>
        <v>6.583333333333333</v>
      </c>
      <c r="AI1516" s="76">
        <f ca="1">IFERROR(__xludf.DUMMYFUNCTION("iferror(stdevp(filter($H$2:$H2568,$B$2:$B2568=$B1519,$O$2:$O2568&lt;=$O1519,$O$2:$O2568&gt;$O1519-7)),0)"),2.23606797749978)</f>
        <v>2.23606797749978</v>
      </c>
      <c r="AJ1516" s="77">
        <f t="shared" ca="1" si="258"/>
        <v>-0.7080881928749363</v>
      </c>
      <c r="AK1516" s="77">
        <f t="shared" ca="1" si="259"/>
        <v>2</v>
      </c>
      <c r="AL1516" s="76">
        <f t="array" ref="AL1516">AVERAGEIFS($J$2:$J2565,$B$2:$B2565,$B1516,$P$2:$P2565,"&lt;="&amp;$P1516,$P$2:$P2565,"&gt;"&amp;$P1516-7)</f>
        <v>6.666666666666667</v>
      </c>
      <c r="AM1516" s="76">
        <f ca="1">IFERROR(__xludf.DUMMYFUNCTION("iferror(stdevp(filter($I$2:$I2568,$B$2:$B2568=$B1519,$O$2:$O2568&lt;=$O1519,$O$2:$O2568&gt;$O1519-7)),0)"),0.866025403784438)</f>
        <v>0.86602540378443804</v>
      </c>
      <c r="AN1516" s="77">
        <f t="shared" ca="1" si="260"/>
        <v>3.8490017945975072</v>
      </c>
      <c r="AO1516" s="77">
        <f t="shared" ca="1" si="261"/>
        <v>4</v>
      </c>
      <c r="AP1516" s="76">
        <f t="array" ref="AP1516">AVERAGEIFS($K$2:$K2565,$B$2:$B2565,$B1516,$P$2:$P2565,"&lt;="&amp;$P1516,$P$2:$P2565,"&gt;"&amp;$P1516-7)</f>
        <v>8.25</v>
      </c>
      <c r="AQ1516" s="76">
        <f ca="1">IFERROR(__xludf.DUMMYFUNCTION("iferror(stdevp(filter($J$2:$J2568,$B$2:$B2568=$B1519,$O$2:$O2568&lt;=$O1519,$O$2:$O2568&gt;$O1519-7)),0)"),0.82915619758885)</f>
        <v>0.82915619758884995</v>
      </c>
      <c r="AR1516" s="77">
        <f t="shared" ca="1" si="262"/>
        <v>2.1105794120443453</v>
      </c>
      <c r="AS1516" s="77">
        <f t="shared" ca="1" si="263"/>
        <v>4</v>
      </c>
      <c r="AT1516" s="78">
        <f t="shared" ca="1" si="264"/>
        <v>0.79166666666666663</v>
      </c>
    </row>
    <row r="1517" spans="1:46" ht="12.5" x14ac:dyDescent="0.25">
      <c r="A1517" s="75">
        <v>45010.252490636572</v>
      </c>
      <c r="B1517" s="1" t="s">
        <v>6</v>
      </c>
      <c r="C1517" s="1" t="str">
        <f>INDEX(TBL_Name,MATCH(Table2[[#This Row],[Athlete Name]],listNames,0),2)</f>
        <v>Athlete 2</v>
      </c>
      <c r="D1517" s="1" t="s">
        <v>130</v>
      </c>
      <c r="E1517" s="1">
        <v>9</v>
      </c>
      <c r="F1517" s="1">
        <v>4</v>
      </c>
      <c r="G1517" s="1">
        <v>7</v>
      </c>
      <c r="H1517" s="1"/>
      <c r="I1517" s="1">
        <v>9</v>
      </c>
      <c r="J1517" s="1">
        <v>10</v>
      </c>
      <c r="K1517" s="1">
        <v>10</v>
      </c>
      <c r="L1517" s="1">
        <v>99</v>
      </c>
      <c r="M1517" s="1" t="e">
        <f t="shared" ref="M1517" ca="1" si="571">_xludf.concat($B1517,$P1517)</f>
        <v>#NAME?</v>
      </c>
      <c r="N1517" s="1" t="e">
        <f t="shared" si="248"/>
        <v>#VALUE!</v>
      </c>
      <c r="O1517" s="1" t="e">
        <f t="shared" ref="O1517" ca="1" si="572">IF($N1517=_xludf.MINIFS($N$2:$N3023,$R$2:$R3023,$R1517),1,
($N1517-_xludf.MINIFS($N$2:$N3023,$R$2:$R3023,$R1517))+1)</f>
        <v>#VALUE!</v>
      </c>
      <c r="P1517" s="13" t="e">
        <f t="shared" si="250"/>
        <v>#VALUE!</v>
      </c>
      <c r="Q1517" s="1" t="str">
        <f>RIGHT(YEAR($A1517),2)-(MONTH($A1517)&lt;=[3]Roster!$K$25)
 &amp;"-"&amp;
 RIGHT(YEAR($A1517),2)+(MONTH($A1517)&gt;=[3]Roster!$K$26)</f>
        <v>22-23</v>
      </c>
      <c r="R1517" s="1" t="e">
        <f>CHOOSE(MONTH($P1517),[3]Roster!$K$9,[3]Roster!$K$10,[3]Roster!$K$11,[3]Roster!$K$12,[3]Roster!$K$13,[3]Roster!$K$14,[3]Roster!$K$15,[3]Roster!$K$16,[3]Roster!$K$17,[3]Roster!$K$18,[3]Roster!$K$19,[3]Roster!$K$20)&amp;" "&amp;$Q1517</f>
        <v>#VALUE!</v>
      </c>
      <c r="S1517" s="1">
        <f t="shared" si="251"/>
        <v>1</v>
      </c>
      <c r="T1517" s="1" t="str">
        <f t="array" ref="T1517">IFERROR(INDEX([3]Roster!$D$3:$D$42,MATCH($B1517,[3]Roster!$C$3:$C$42,0)),"")</f>
        <v>FWD</v>
      </c>
      <c r="U1517" s="1" t="str">
        <f t="array" ref="U1517">IFERROR(INDEX([3]Roster!$E$3:$E$42,MATCH($B1517,[3]Roster!$C$3:$C$42,0)),"")</f>
        <v>FWD</v>
      </c>
      <c r="V1517" s="76">
        <f t="array" ref="V1517">AVERAGEIFS($E$2:$E2565,$B$2:$B2565,$B1517,$P$2:$P2565,"&lt;="&amp;$P1517,$P$2:$P2565,"&gt;"&amp;$P1517-7)</f>
        <v>9.7441860465116275</v>
      </c>
      <c r="W1517" s="76">
        <f ca="1">IFERROR(__xludf.DUMMYFUNCTION("iferror(stdevp(filter($D$2:$D2568,$B$2:$B2568=$B1520,$O$2:$O2568&lt;=$O1520,$O$2:$O2568&gt;$O1520-7)),0)"),0.832993127835042)</f>
        <v>0.83299312783504198</v>
      </c>
      <c r="X1517" s="77">
        <f t="shared" ca="1" si="252"/>
        <v>-0.89338797841679074</v>
      </c>
      <c r="Y1517" s="77">
        <f t="shared" ca="1" si="253"/>
        <v>2</v>
      </c>
      <c r="Z1517" s="76">
        <f t="array" ref="Z1517">AVERAGEIFS($F$2:$F2565,$B$2:$B2565,$B1517,$P$2:$P2565,"&lt;="&amp;$P1517,$P$2:$P2565,"&gt;"&amp;$P1517-7)</f>
        <v>8.279069767441861</v>
      </c>
      <c r="AA1517" s="76">
        <f ca="1">IFERROR(__xludf.DUMMYFUNCTION("iferror(stdevp(filter($E$2:$E2568,$B$2:$B2568=$B1520,$O$2:$O2568&lt;=$O1520,$O$2:$O2568&gt;$O1520-7)),0)"),2.2314999074019)</f>
        <v>2.2314999074019002</v>
      </c>
      <c r="AB1517" s="77">
        <f t="shared" ca="1" si="254"/>
        <v>-1.9175755971345363</v>
      </c>
      <c r="AC1517" s="77">
        <f t="shared" ca="1" si="255"/>
        <v>1</v>
      </c>
      <c r="AD1517" s="76">
        <f t="array" ref="AD1517">AVERAGEIFS($G$2:$G2565,$B$2:$B2565,$B1517,$P$2:$P2565,"&lt;="&amp;$P1517,$P$2:$P2565,"&gt;"&amp;$P1517-7)</f>
        <v>8.604651162790697</v>
      </c>
      <c r="AE1517" s="76">
        <f ca="1">IFERROR(__xludf.DUMMYFUNCTION("iferror(stdevp(filter($F$2:$F2568,$B$2:$B2568=$B1520,$O$2:$O2568&lt;=$O1520,$O$2:$O2568&gt;$O1520-7)),0)"),0.728431359084683)</f>
        <v>0.72843135908468304</v>
      </c>
      <c r="AF1517" s="77">
        <f t="shared" ca="1" si="256"/>
        <v>-2.202885890040533</v>
      </c>
      <c r="AG1517" s="77">
        <f t="shared" ca="1" si="257"/>
        <v>1</v>
      </c>
      <c r="AH1517" s="76">
        <f t="array" ref="AH1517">AVERAGEIFS($I$2:$I2565,$B$2:$B2565,$B1517,$P$2:$P2565,"&lt;="&amp;$P1517,$P$2:$P2565,"&gt;"&amp;$P1517-7)</f>
        <v>8.3488372093023262</v>
      </c>
      <c r="AI1517" s="76">
        <f ca="1">IFERROR(__xludf.DUMMYFUNCTION("iferror(stdevp(filter($H$2:$H2568,$B$2:$B2568=$B1520,$O$2:$O2568&lt;=$O1520,$O$2:$O2568&gt;$O1520-7)),0)"),0.451753951452625)</f>
        <v>0.45175395145262498</v>
      </c>
      <c r="AJ1517" s="77">
        <f t="shared" ca="1" si="258"/>
        <v>1.4414102823093085</v>
      </c>
      <c r="AK1517" s="77">
        <f t="shared" ca="1" si="259"/>
        <v>4</v>
      </c>
      <c r="AL1517" s="76">
        <f t="array" ref="AL1517">AVERAGEIFS($J$2:$J2565,$B$2:$B2565,$B1517,$P$2:$P2565,"&lt;="&amp;$P1517,$P$2:$P2565,"&gt;"&amp;$P1517-7)</f>
        <v>8.3023255813953494</v>
      </c>
      <c r="AM1517" s="76">
        <f ca="1">IFERROR(__xludf.DUMMYFUNCTION("iferror(stdevp(filter($I$2:$I2568,$B$2:$B2568=$B1520,$O$2:$O2568&lt;=$O1520,$O$2:$O2568&gt;$O1520-7)),0)"),0.451753951452625)</f>
        <v>0.45175395145262498</v>
      </c>
      <c r="AN1517" s="77">
        <f t="shared" ca="1" si="260"/>
        <v>3.757962521734985</v>
      </c>
      <c r="AO1517" s="77">
        <f t="shared" ca="1" si="261"/>
        <v>4</v>
      </c>
      <c r="AP1517" s="76">
        <f t="array" ref="AP1517">AVERAGEIFS($K$2:$K2565,$B$2:$B2565,$B1517,$P$2:$P2565,"&lt;="&amp;$P1517,$P$2:$P2565,"&gt;"&amp;$P1517-7)</f>
        <v>8.9069767441860463</v>
      </c>
      <c r="AQ1517" s="76">
        <f ca="1">IFERROR(__xludf.DUMMYFUNCTION("iferror(stdevp(filter($J$2:$J2568,$B$2:$B2568=$B1520,$O$2:$O2568&lt;=$O1520,$O$2:$O2568&gt;$O1520-7)),0)"),0)</f>
        <v>0</v>
      </c>
      <c r="AR1517" s="77">
        <f t="shared" ca="1" si="262"/>
        <v>0</v>
      </c>
      <c r="AS1517" s="77">
        <f t="shared" ca="1" si="263"/>
        <v>3</v>
      </c>
      <c r="AT1517" s="78">
        <f t="shared" ca="1" si="264"/>
        <v>0.625</v>
      </c>
    </row>
    <row r="1518" spans="1:46" ht="12.5" x14ac:dyDescent="0.25">
      <c r="A1518" s="75">
        <v>45010.53964231482</v>
      </c>
      <c r="B1518" s="1" t="s">
        <v>10</v>
      </c>
      <c r="C1518" s="1" t="str">
        <f>INDEX(TBL_Name,MATCH(Table2[[#This Row],[Athlete Name]],listNames,0),2)</f>
        <v>Athlete 5</v>
      </c>
      <c r="D1518" s="1" t="s">
        <v>130</v>
      </c>
      <c r="E1518" s="1">
        <v>8</v>
      </c>
      <c r="F1518" s="1">
        <v>8</v>
      </c>
      <c r="G1518" s="1">
        <v>8</v>
      </c>
      <c r="H1518" s="1" t="s">
        <v>226</v>
      </c>
      <c r="I1518" s="1">
        <v>8</v>
      </c>
      <c r="J1518" s="1">
        <v>9</v>
      </c>
      <c r="K1518" s="1">
        <v>9</v>
      </c>
      <c r="L1518" s="1">
        <v>87</v>
      </c>
      <c r="M1518" s="1" t="e">
        <f t="shared" ref="M1518" ca="1" si="573">_xludf.concat($B1518,$P1518)</f>
        <v>#NAME?</v>
      </c>
      <c r="N1518" s="1" t="e">
        <f t="shared" si="248"/>
        <v>#VALUE!</v>
      </c>
      <c r="O1518" s="1" t="e">
        <f t="shared" ref="O1518" ca="1" si="574">IF($N1518=_xludf.MINIFS($N$2:$N3024,$R$2:$R3024,$R1518),1,
($N1518-_xludf.MINIFS($N$2:$N3024,$R$2:$R3024,$R1518))+1)</f>
        <v>#VALUE!</v>
      </c>
      <c r="P1518" s="13" t="e">
        <f t="shared" si="250"/>
        <v>#VALUE!</v>
      </c>
      <c r="Q1518" s="1" t="str">
        <f>RIGHT(YEAR($A1518),2)-(MONTH($A1518)&lt;=[3]Roster!$K$25)
 &amp;"-"&amp;
 RIGHT(YEAR($A1518),2)+(MONTH($A1518)&gt;=[3]Roster!$K$26)</f>
        <v>22-23</v>
      </c>
      <c r="R1518" s="1" t="e">
        <f>CHOOSE(MONTH($P1518),[3]Roster!$K$9,[3]Roster!$K$10,[3]Roster!$K$11,[3]Roster!$K$12,[3]Roster!$K$13,[3]Roster!$K$14,[3]Roster!$K$15,[3]Roster!$K$16,[3]Roster!$K$17,[3]Roster!$K$18,[3]Roster!$K$19,[3]Roster!$K$20)&amp;" "&amp;$Q1518</f>
        <v>#VALUE!</v>
      </c>
      <c r="S1518" s="1">
        <f t="shared" si="251"/>
        <v>1</v>
      </c>
      <c r="T1518" s="1" t="str">
        <f t="array" ref="T1518">IFERROR(INDEX([3]Roster!$D$3:$D$42,MATCH($B1518,[3]Roster!$C$3:$C$42,0)),"")</f>
        <v>MID</v>
      </c>
      <c r="U1518" s="1" t="str">
        <f t="array" ref="U1518">IFERROR(INDEX([3]Roster!$E$3:$E$42,MATCH($B1518,[3]Roster!$C$3:$C$42,0)),"")</f>
        <v>MID</v>
      </c>
      <c r="V1518" s="76">
        <f t="array" ref="V1518">AVERAGEIFS($E$2:$E2565,$B$2:$B2565,$B1518,$P$2:$P2565,"&lt;="&amp;$P1518,$P$2:$P2565,"&gt;"&amp;$P1518-7)</f>
        <v>8.4042553191489358</v>
      </c>
      <c r="W1518" s="76">
        <f ca="1">IFERROR(__xludf.DUMMYFUNCTION("iferror(stdevp(filter($D$2:$D2568,$B$2:$B2568=$B1521,$O$2:$O2568&lt;=$O1521,$O$2:$O2568&gt;$O1521-7)),0)"),0.494871659305393)</f>
        <v>0.49487165930539301</v>
      </c>
      <c r="X1518" s="77">
        <f t="shared" ca="1" si="252"/>
        <v>-0.81688921066191733</v>
      </c>
      <c r="Y1518" s="77">
        <f t="shared" ca="1" si="253"/>
        <v>2</v>
      </c>
      <c r="Z1518" s="76">
        <f t="array" ref="Z1518">AVERAGEIFS($F$2:$F2565,$B$2:$B2565,$B1518,$P$2:$P2565,"&lt;="&amp;$P1518,$P$2:$P2565,"&gt;"&amp;$P1518-7)</f>
        <v>8.085106382978724</v>
      </c>
      <c r="AA1518" s="76">
        <f ca="1">IFERROR(__xludf.DUMMYFUNCTION("iferror(stdevp(filter($E$2:$E2568,$B$2:$B2568=$B1521,$O$2:$O2568&lt;=$O1521,$O$2:$O2568&gt;$O1521-7)),0)"),0.349927106111882)</f>
        <v>0.34992710611188199</v>
      </c>
      <c r="AB1518" s="77">
        <f t="shared" ca="1" si="254"/>
        <v>-0.24321174751038852</v>
      </c>
      <c r="AC1518" s="77">
        <f t="shared" ca="1" si="255"/>
        <v>2</v>
      </c>
      <c r="AD1518" s="76">
        <f t="array" ref="AD1518">AVERAGEIFS($G$2:$G2565,$B$2:$B2565,$B1518,$P$2:$P2565,"&lt;="&amp;$P1518,$P$2:$P2565,"&gt;"&amp;$P1518-7)</f>
        <v>8.0638297872340434</v>
      </c>
      <c r="AE1518" s="76">
        <f ca="1">IFERROR(__xludf.DUMMYFUNCTION("iferror(stdevp(filter($F$2:$F2568,$B$2:$B2568=$B1521,$O$2:$O2568&lt;=$O1521,$O$2:$O2568&gt;$O1521-7)),0)"),0.349927106111882)</f>
        <v>0.34992710611188199</v>
      </c>
      <c r="AF1518" s="77">
        <f t="shared" ca="1" si="256"/>
        <v>-0.18240881063279266</v>
      </c>
      <c r="AG1518" s="77">
        <f t="shared" ca="1" si="257"/>
        <v>2</v>
      </c>
      <c r="AH1518" s="76">
        <f t="array" ref="AH1518">AVERAGEIFS($I$2:$I2565,$B$2:$B2565,$B1518,$P$2:$P2565,"&lt;="&amp;$P1518,$P$2:$P2565,"&gt;"&amp;$P1518-7)</f>
        <v>6.7446808510638299</v>
      </c>
      <c r="AI1518" s="76">
        <f ca="1">IFERROR(__xludf.DUMMYFUNCTION("iferror(stdevp(filter($H$2:$H2568,$B$2:$B2568=$B1521,$O$2:$O2568&lt;=$O1521,$O$2:$O2568&gt;$O1521-7)),0)"),1.16057691494799)</f>
        <v>1.1605769149479901</v>
      </c>
      <c r="AJ1518" s="77">
        <f t="shared" ca="1" si="258"/>
        <v>1.0816337398822256</v>
      </c>
      <c r="AK1518" s="77">
        <f t="shared" ca="1" si="259"/>
        <v>4</v>
      </c>
      <c r="AL1518" s="76">
        <f t="array" ref="AL1518">AVERAGEIFS($J$2:$J2565,$B$2:$B2565,$B1518,$P$2:$P2565,"&lt;="&amp;$P1518,$P$2:$P2565,"&gt;"&amp;$P1518-7)</f>
        <v>8.1063829787234045</v>
      </c>
      <c r="AM1518" s="76">
        <f ca="1">IFERROR(__xludf.DUMMYFUNCTION("iferror(stdevp(filter($I$2:$I2568,$B$2:$B2568=$B1521,$O$2:$O2568&lt;=$O1521,$O$2:$O2568&gt;$O1521-7)),0)"),0.638876564999939)</f>
        <v>0.63887656499993895</v>
      </c>
      <c r="AN1518" s="77">
        <f t="shared" ca="1" si="260"/>
        <v>1.3987318837977425</v>
      </c>
      <c r="AO1518" s="77">
        <f t="shared" ca="1" si="261"/>
        <v>4</v>
      </c>
      <c r="AP1518" s="76">
        <f t="array" ref="AP1518">AVERAGEIFS($K$2:$K2565,$B$2:$B2565,$B1518,$P$2:$P2565,"&lt;="&amp;$P1518,$P$2:$P2565,"&gt;"&amp;$P1518-7)</f>
        <v>8.2978723404255312</v>
      </c>
      <c r="AQ1518" s="76">
        <f ca="1">IFERROR(__xludf.DUMMYFUNCTION("iferror(stdevp(filter($J$2:$J2568,$B$2:$B2568=$B1521,$O$2:$O2568&lt;=$O1521,$O$2:$O2568&gt;$O1521-7)),0)"),1.64130361329657)</f>
        <v>1.6413036132965699</v>
      </c>
      <c r="AR1518" s="77">
        <f t="shared" ca="1" si="262"/>
        <v>0.42778658006134551</v>
      </c>
      <c r="AS1518" s="77">
        <f t="shared" ca="1" si="263"/>
        <v>3</v>
      </c>
      <c r="AT1518" s="78">
        <f t="shared" ca="1" si="264"/>
        <v>0.70833333333333337</v>
      </c>
    </row>
    <row r="1519" spans="1:46" ht="12.5" x14ac:dyDescent="0.25">
      <c r="A1519" s="75">
        <v>45011.477081041667</v>
      </c>
      <c r="B1519" s="1" t="s">
        <v>21</v>
      </c>
      <c r="C1519" s="1" t="str">
        <f>INDEX(TBL_Name,MATCH(Table2[[#This Row],[Athlete Name]],listNames,0),2)</f>
        <v>Athlete 13</v>
      </c>
      <c r="D1519" s="1" t="s">
        <v>130</v>
      </c>
      <c r="E1519" s="1">
        <v>7</v>
      </c>
      <c r="F1519" s="1">
        <v>9</v>
      </c>
      <c r="G1519" s="1">
        <v>9</v>
      </c>
      <c r="H1519" s="1" t="s">
        <v>298</v>
      </c>
      <c r="I1519" s="1">
        <v>4</v>
      </c>
      <c r="J1519" s="1">
        <v>7</v>
      </c>
      <c r="K1519" s="1">
        <v>8</v>
      </c>
      <c r="L1519" s="1">
        <v>70</v>
      </c>
      <c r="M1519" s="1" t="e">
        <f t="shared" ref="M1519" ca="1" si="575">_xludf.concat($B1519,$P1519)</f>
        <v>#NAME?</v>
      </c>
      <c r="N1519" s="1" t="e">
        <f t="shared" si="248"/>
        <v>#VALUE!</v>
      </c>
      <c r="O1519" s="1" t="e">
        <f t="shared" ref="O1519" ca="1" si="576">IF($N1519=_xludf.MINIFS($N$2:$N3025,$R$2:$R3025,$R1519),1,
($N1519-_xludf.MINIFS($N$2:$N3025,$R$2:$R3025,$R1519))+1)</f>
        <v>#VALUE!</v>
      </c>
      <c r="P1519" s="13" t="e">
        <f t="shared" si="250"/>
        <v>#VALUE!</v>
      </c>
      <c r="Q1519" s="1" t="str">
        <f>RIGHT(YEAR($A1519),2)-(MONTH($A1519)&lt;=[3]Roster!$K$25)
 &amp;"-"&amp;
 RIGHT(YEAR($A1519),2)+(MONTH($A1519)&gt;=[3]Roster!$K$26)</f>
        <v>22-23</v>
      </c>
      <c r="R1519" s="1" t="e">
        <f>CHOOSE(MONTH($P1519),[3]Roster!$K$9,[3]Roster!$K$10,[3]Roster!$K$11,[3]Roster!$K$12,[3]Roster!$K$13,[3]Roster!$K$14,[3]Roster!$K$15,[3]Roster!$K$16,[3]Roster!$K$17,[3]Roster!$K$18,[3]Roster!$K$19,[3]Roster!$K$20)&amp;" "&amp;$Q1519</f>
        <v>#VALUE!</v>
      </c>
      <c r="S1519" s="1">
        <f t="shared" si="251"/>
        <v>1</v>
      </c>
      <c r="T1519" s="1" t="str">
        <f t="array" ref="T1519">IFERROR(INDEX([3]Roster!$D$3:$D$42,MATCH($B1519,[3]Roster!$C$3:$C$42,0)),"")</f>
        <v>D</v>
      </c>
      <c r="U1519" s="1" t="str">
        <f t="array" ref="U1519">IFERROR(INDEX([3]Roster!$E$3:$E$42,MATCH($B1519,[3]Roster!$C$3:$C$42,0)),"")</f>
        <v>D</v>
      </c>
      <c r="V1519" s="76">
        <f t="array" ref="V1519">AVERAGEIFS($E$2:$E2565,$B$2:$B2565,$B1519,$P$2:$P2565,"&lt;="&amp;$P1519,$P$2:$P2565,"&gt;"&amp;$P1519-7)</f>
        <v>6.6304347826086953</v>
      </c>
      <c r="W1519" s="76">
        <f ca="1">IFERROR(__xludf.DUMMYFUNCTION("iferror(stdevp(filter($D$2:$D2568,$B$2:$B2568=$B1522,$O$2:$O2568&lt;=$O1522,$O$2:$O2568&gt;$O1522-7)),0)"),0.745355992499929)</f>
        <v>0.74535599249992901</v>
      </c>
      <c r="X1519" s="77">
        <f t="shared" ca="1" si="252"/>
        <v>0.49582376892386743</v>
      </c>
      <c r="Y1519" s="77">
        <f t="shared" ca="1" si="253"/>
        <v>3</v>
      </c>
      <c r="Z1519" s="76">
        <f t="array" ref="Z1519">AVERAGEIFS($F$2:$F2565,$B$2:$B2565,$B1519,$P$2:$P2565,"&lt;="&amp;$P1519,$P$2:$P2565,"&gt;"&amp;$P1519-7)</f>
        <v>7.6956521739130439</v>
      </c>
      <c r="AA1519" s="76">
        <f ca="1">IFERROR(__xludf.DUMMYFUNCTION("iferror(stdevp(filter($E$2:$E2568,$B$2:$B2568=$B1522,$O$2:$O2568&lt;=$O1522,$O$2:$O2568&gt;$O1522-7)),0)"),0.89752746785575)</f>
        <v>0.89752746785574999</v>
      </c>
      <c r="AB1519" s="77">
        <f t="shared" ca="1" si="254"/>
        <v>1.4532678639943195</v>
      </c>
      <c r="AC1519" s="77">
        <f t="shared" ca="1" si="255"/>
        <v>4</v>
      </c>
      <c r="AD1519" s="76">
        <f t="array" ref="AD1519">AVERAGEIFS($G$2:$G2565,$B$2:$B2565,$B1519,$P$2:$P2565,"&lt;="&amp;$P1519,$P$2:$P2565,"&gt;"&amp;$P1519-7)</f>
        <v>8.2608695652173907</v>
      </c>
      <c r="AE1519" s="76">
        <f ca="1">IFERROR(__xludf.DUMMYFUNCTION("iferror(stdevp(filter($F$2:$F2568,$B$2:$B2568=$B1522,$O$2:$O2568&lt;=$O1522,$O$2:$O2568&gt;$O1522-7)),0)"),0.372677996249965)</f>
        <v>0.372677996249965</v>
      </c>
      <c r="AF1519" s="77">
        <f t="shared" ca="1" si="256"/>
        <v>1.983295075695467</v>
      </c>
      <c r="AG1519" s="77">
        <f t="shared" ca="1" si="257"/>
        <v>4</v>
      </c>
      <c r="AH1519" s="76">
        <f t="array" ref="AH1519">AVERAGEIFS($I$2:$I2565,$B$2:$B2565,$B1519,$P$2:$P2565,"&lt;="&amp;$P1519,$P$2:$P2565,"&gt;"&amp;$P1519-7)</f>
        <v>5.7391304347826084</v>
      </c>
      <c r="AI1519" s="76">
        <f ca="1">IFERROR(__xludf.DUMMYFUNCTION("iferror(stdevp(filter($H$2:$H2568,$B$2:$B2568=$B1522,$O$2:$O2568&lt;=$O1522,$O$2:$O2568&gt;$O1522-7)),0)"),0.577350269189625)</f>
        <v>0.57735026918962495</v>
      </c>
      <c r="AJ1519" s="77">
        <f t="shared" ca="1" si="258"/>
        <v>-3.012262274032834</v>
      </c>
      <c r="AK1519" s="77">
        <f t="shared" ca="1" si="259"/>
        <v>1</v>
      </c>
      <c r="AL1519" s="76">
        <f t="array" ref="AL1519">AVERAGEIFS($J$2:$J2565,$B$2:$B2565,$B1519,$P$2:$P2565,"&lt;="&amp;$P1519,$P$2:$P2565,"&gt;"&amp;$P1519-7)</f>
        <v>6.5434782608695654</v>
      </c>
      <c r="AM1519" s="76">
        <f ca="1">IFERROR(__xludf.DUMMYFUNCTION("iferror(stdevp(filter($I$2:$I2568,$B$2:$B2568=$B1522,$O$2:$O2568&lt;=$O1522,$O$2:$O2568&gt;$O1522-7)),0)"),0.687184270936276)</f>
        <v>0.68718427093627599</v>
      </c>
      <c r="AN1519" s="77">
        <f t="shared" ca="1" si="260"/>
        <v>0.66433671205604294</v>
      </c>
      <c r="AO1519" s="77">
        <f t="shared" ca="1" si="261"/>
        <v>3</v>
      </c>
      <c r="AP1519" s="76">
        <f t="array" ref="AP1519">AVERAGEIFS($K$2:$K2565,$B$2:$B2565,$B1519,$P$2:$P2565,"&lt;="&amp;$P1519,$P$2:$P2565,"&gt;"&amp;$P1519-7)</f>
        <v>6.6086956521739131</v>
      </c>
      <c r="AQ1519" s="76">
        <f ca="1">IFERROR(__xludf.DUMMYFUNCTION("iferror(stdevp(filter($J$2:$J2568,$B$2:$B2568=$B1522,$O$2:$O2568&lt;=$O1522,$O$2:$O2568&gt;$O1522-7)),0)"),0.687184270936276)</f>
        <v>0.68718427093627599</v>
      </c>
      <c r="AR1519" s="77">
        <f t="shared" ca="1" si="262"/>
        <v>2.0246452176946077</v>
      </c>
      <c r="AS1519" s="77">
        <f t="shared" ca="1" si="263"/>
        <v>4</v>
      </c>
      <c r="AT1519" s="78">
        <f t="shared" ca="1" si="264"/>
        <v>0.79166666666666663</v>
      </c>
    </row>
    <row r="1520" spans="1:46" ht="12.5" x14ac:dyDescent="0.25">
      <c r="A1520" s="75">
        <v>45011.477212083337</v>
      </c>
      <c r="B1520" s="1" t="s">
        <v>6</v>
      </c>
      <c r="C1520" s="1" t="str">
        <f>INDEX(TBL_Name,MATCH(Table2[[#This Row],[Athlete Name]],listNames,0),2)</f>
        <v>Athlete 2</v>
      </c>
      <c r="D1520" s="1" t="s">
        <v>130</v>
      </c>
      <c r="E1520" s="1">
        <v>10</v>
      </c>
      <c r="F1520" s="1">
        <v>5</v>
      </c>
      <c r="G1520" s="1">
        <v>3</v>
      </c>
      <c r="H1520" s="1" t="s">
        <v>231</v>
      </c>
      <c r="I1520" s="1">
        <v>8</v>
      </c>
      <c r="J1520" s="1">
        <v>10</v>
      </c>
      <c r="K1520" s="1">
        <v>10</v>
      </c>
      <c r="L1520" s="1">
        <v>94</v>
      </c>
      <c r="M1520" s="1" t="e">
        <f t="shared" ref="M1520" ca="1" si="577">_xludf.concat($B1520,$P1520)</f>
        <v>#NAME?</v>
      </c>
      <c r="N1520" s="1" t="e">
        <f t="shared" si="248"/>
        <v>#VALUE!</v>
      </c>
      <c r="O1520" s="1" t="e">
        <f t="shared" ref="O1520" ca="1" si="578">IF($N1520=_xludf.MINIFS($N$2:$N3026,$R$2:$R3026,$R1520),1,
($N1520-_xludf.MINIFS($N$2:$N3026,$R$2:$R3026,$R1520))+1)</f>
        <v>#VALUE!</v>
      </c>
      <c r="P1520" s="13" t="e">
        <f t="shared" si="250"/>
        <v>#VALUE!</v>
      </c>
      <c r="Q1520" s="1" t="str">
        <f>RIGHT(YEAR($A1520),2)-(MONTH($A1520)&lt;=[3]Roster!$K$25)
 &amp;"-"&amp;
 RIGHT(YEAR($A1520),2)+(MONTH($A1520)&gt;=[3]Roster!$K$26)</f>
        <v>22-23</v>
      </c>
      <c r="R1520" s="1" t="e">
        <f>CHOOSE(MONTH($P1520),[3]Roster!$K$9,[3]Roster!$K$10,[3]Roster!$K$11,[3]Roster!$K$12,[3]Roster!$K$13,[3]Roster!$K$14,[3]Roster!$K$15,[3]Roster!$K$16,[3]Roster!$K$17,[3]Roster!$K$18,[3]Roster!$K$19,[3]Roster!$K$20)&amp;" "&amp;$Q1520</f>
        <v>#VALUE!</v>
      </c>
      <c r="S1520" s="1">
        <f t="shared" si="251"/>
        <v>1</v>
      </c>
      <c r="T1520" s="1" t="str">
        <f t="array" ref="T1520">IFERROR(INDEX([3]Roster!$D$3:$D$42,MATCH($B1520,[3]Roster!$C$3:$C$42,0)),"")</f>
        <v>FWD</v>
      </c>
      <c r="U1520" s="1" t="str">
        <f t="array" ref="U1520">IFERROR(INDEX([3]Roster!$E$3:$E$42,MATCH($B1520,[3]Roster!$C$3:$C$42,0)),"")</f>
        <v>FWD</v>
      </c>
      <c r="V1520" s="76">
        <f t="array" ref="V1520">AVERAGEIFS($E$2:$E2565,$B$2:$B2565,$B1520,$P$2:$P2565,"&lt;="&amp;$P1520,$P$2:$P2565,"&gt;"&amp;$P1520-7)</f>
        <v>9.7441860465116275</v>
      </c>
      <c r="W1520" s="76">
        <f ca="1">IFERROR(__xludf.DUMMYFUNCTION("iferror(stdevp(filter($D$2:$D2568,$B$2:$B2568=$B1523,$O$2:$O2568&lt;=$O1523,$O$2:$O2568&gt;$O1523-7)),0)"),0.832993127835043)</f>
        <v>0.83299312783504298</v>
      </c>
      <c r="X1520" s="77">
        <f t="shared" ca="1" si="252"/>
        <v>0.30710211758077216</v>
      </c>
      <c r="Y1520" s="77">
        <f t="shared" ca="1" si="253"/>
        <v>3</v>
      </c>
      <c r="Z1520" s="76">
        <f t="array" ref="Z1520">AVERAGEIFS($F$2:$F2565,$B$2:$B2565,$B1520,$P$2:$P2565,"&lt;="&amp;$P1520,$P$2:$P2565,"&gt;"&amp;$P1520-7)</f>
        <v>8.279069767441861</v>
      </c>
      <c r="AA1520" s="76">
        <f ca="1">IFERROR(__xludf.DUMMYFUNCTION("iferror(stdevp(filter($E$2:$E2568,$B$2:$B2568=$B1523,$O$2:$O2568&lt;=$O1523,$O$2:$O2568&gt;$O1523-7)),0)"),1.9059520091609)</f>
        <v>1.9059520091608999</v>
      </c>
      <c r="AB1520" s="77">
        <f t="shared" ca="1" si="254"/>
        <v>-1.7204366907881796</v>
      </c>
      <c r="AC1520" s="77">
        <f t="shared" ca="1" si="255"/>
        <v>1</v>
      </c>
      <c r="AD1520" s="76">
        <f t="array" ref="AD1520">AVERAGEIFS($G$2:$G2565,$B$2:$B2565,$B1520,$P$2:$P2565,"&lt;="&amp;$P1520,$P$2:$P2565,"&gt;"&amp;$P1520-7)</f>
        <v>8.604651162790697</v>
      </c>
      <c r="AE1520" s="76">
        <f ca="1">IFERROR(__xludf.DUMMYFUNCTION("iferror(stdevp(filter($F$2:$F2568,$B$2:$B2568=$B1523,$O$2:$O2568&lt;=$O1523,$O$2:$O2568&gt;$O1523-7)),0)"),1.57790871674103)</f>
        <v>1.5779087167410299</v>
      </c>
      <c r="AF1520" s="77">
        <f t="shared" ca="1" si="256"/>
        <v>-3.5519489203192895</v>
      </c>
      <c r="AG1520" s="77">
        <f t="shared" ca="1" si="257"/>
        <v>1</v>
      </c>
      <c r="AH1520" s="76">
        <f t="array" ref="AH1520">AVERAGEIFS($I$2:$I2565,$B$2:$B2565,$B1520,$P$2:$P2565,"&lt;="&amp;$P1520,$P$2:$P2565,"&gt;"&amp;$P1520-7)</f>
        <v>8.3488372093023262</v>
      </c>
      <c r="AI1520" s="76">
        <f ca="1">IFERROR(__xludf.DUMMYFUNCTION("iferror(stdevp(filter($H$2:$H2568,$B$2:$B2568=$B1523,$O$2:$O2568&lt;=$O1523,$O$2:$O2568&gt;$O1523-7)),0)"),0.451753951452625)</f>
        <v>0.45175395145262498</v>
      </c>
      <c r="AJ1520" s="77">
        <f t="shared" ca="1" si="258"/>
        <v>-0.77218407980856019</v>
      </c>
      <c r="AK1520" s="77">
        <f t="shared" ca="1" si="259"/>
        <v>2</v>
      </c>
      <c r="AL1520" s="76">
        <f t="array" ref="AL1520">AVERAGEIFS($J$2:$J2565,$B$2:$B2565,$B1520,$P$2:$P2565,"&lt;="&amp;$P1520,$P$2:$P2565,"&gt;"&amp;$P1520-7)</f>
        <v>8.3023255813953494</v>
      </c>
      <c r="AM1520" s="76">
        <f ca="1">IFERROR(__xludf.DUMMYFUNCTION("iferror(stdevp(filter($I$2:$I2568,$B$2:$B2568=$B1523,$O$2:$O2568&lt;=$O1523,$O$2:$O2568&gt;$O1523-7)),0)"),0.349927106111882)</f>
        <v>0.34992710611188199</v>
      </c>
      <c r="AN1520" s="77">
        <f t="shared" ca="1" si="260"/>
        <v>4.8515087541170763</v>
      </c>
      <c r="AO1520" s="77">
        <f t="shared" ca="1" si="261"/>
        <v>4</v>
      </c>
      <c r="AP1520" s="76">
        <f t="array" ref="AP1520">AVERAGEIFS($K$2:$K2565,$B$2:$B2565,$B1520,$P$2:$P2565,"&lt;="&amp;$P1520,$P$2:$P2565,"&gt;"&amp;$P1520-7)</f>
        <v>8.9069767441860463</v>
      </c>
      <c r="AQ1520" s="76">
        <f ca="1">IFERROR(__xludf.DUMMYFUNCTION("iferror(stdevp(filter($J$2:$J2568,$B$2:$B2568=$B1523,$O$2:$O2568&lt;=$O1523,$O$2:$O2568&gt;$O1523-7)),0)"),0)</f>
        <v>0</v>
      </c>
      <c r="AR1520" s="77">
        <f t="shared" ca="1" si="262"/>
        <v>0</v>
      </c>
      <c r="AS1520" s="77">
        <f t="shared" ca="1" si="263"/>
        <v>3</v>
      </c>
      <c r="AT1520" s="78">
        <f t="shared" ca="1" si="264"/>
        <v>0.58333333333333337</v>
      </c>
    </row>
    <row r="1521" spans="1:46" ht="12.5" x14ac:dyDescent="0.25">
      <c r="A1521" s="75">
        <v>45011.685442569447</v>
      </c>
      <c r="B1521" s="1" t="s">
        <v>10</v>
      </c>
      <c r="C1521" s="1" t="str">
        <f>INDEX(TBL_Name,MATCH(Table2[[#This Row],[Athlete Name]],listNames,0),2)</f>
        <v>Athlete 5</v>
      </c>
      <c r="D1521" s="1" t="s">
        <v>130</v>
      </c>
      <c r="E1521" s="1">
        <v>9</v>
      </c>
      <c r="F1521" s="1">
        <v>8</v>
      </c>
      <c r="G1521" s="1">
        <v>8</v>
      </c>
      <c r="H1521" s="1" t="s">
        <v>342</v>
      </c>
      <c r="I1521" s="1">
        <v>8</v>
      </c>
      <c r="J1521" s="1">
        <v>8</v>
      </c>
      <c r="K1521" s="1">
        <v>9</v>
      </c>
      <c r="L1521" s="1">
        <v>84</v>
      </c>
      <c r="M1521" s="1" t="e">
        <f t="shared" ref="M1521" ca="1" si="579">_xludf.concat($B1521,$P1521)</f>
        <v>#NAME?</v>
      </c>
      <c r="N1521" s="1" t="e">
        <f t="shared" si="248"/>
        <v>#VALUE!</v>
      </c>
      <c r="O1521" s="1" t="e">
        <f t="shared" ref="O1521" ca="1" si="580">IF($N1521=_xludf.MINIFS($N$2:$N3027,$R$2:$R3027,$R1521),1,
($N1521-_xludf.MINIFS($N$2:$N3027,$R$2:$R3027,$R1521))+1)</f>
        <v>#VALUE!</v>
      </c>
      <c r="P1521" s="13" t="e">
        <f t="shared" si="250"/>
        <v>#VALUE!</v>
      </c>
      <c r="Q1521" s="1" t="str">
        <f>RIGHT(YEAR($A1521),2)-(MONTH($A1521)&lt;=[3]Roster!$K$25)
 &amp;"-"&amp;
 RIGHT(YEAR($A1521),2)+(MONTH($A1521)&gt;=[3]Roster!$K$26)</f>
        <v>22-23</v>
      </c>
      <c r="R1521" s="1" t="e">
        <f>CHOOSE(MONTH($P1521),[3]Roster!$K$9,[3]Roster!$K$10,[3]Roster!$K$11,[3]Roster!$K$12,[3]Roster!$K$13,[3]Roster!$K$14,[3]Roster!$K$15,[3]Roster!$K$16,[3]Roster!$K$17,[3]Roster!$K$18,[3]Roster!$K$19,[3]Roster!$K$20)&amp;" "&amp;$Q1521</f>
        <v>#VALUE!</v>
      </c>
      <c r="S1521" s="1">
        <f t="shared" si="251"/>
        <v>1</v>
      </c>
      <c r="T1521" s="1" t="str">
        <f t="array" ref="T1521">IFERROR(INDEX([3]Roster!$D$3:$D$42,MATCH($B1521,[3]Roster!$C$3:$C$42,0)),"")</f>
        <v>MID</v>
      </c>
      <c r="U1521" s="1" t="str">
        <f t="array" ref="U1521">IFERROR(INDEX([3]Roster!$E$3:$E$42,MATCH($B1521,[3]Roster!$C$3:$C$42,0)),"")</f>
        <v>MID</v>
      </c>
      <c r="V1521" s="76">
        <f t="array" ref="V1521">AVERAGEIFS($E$2:$E2565,$B$2:$B2565,$B1521,$P$2:$P2565,"&lt;="&amp;$P1521,$P$2:$P2565,"&gt;"&amp;$P1521-7)</f>
        <v>8.4042553191489358</v>
      </c>
      <c r="W1521" s="76">
        <f ca="1">IFERROR(__xludf.DUMMYFUNCTION("iferror(stdevp(filter($D$2:$D2568,$B$2:$B2568=$B1524,$O$2:$O2568&lt;=$O1524,$O$2:$O2568&gt;$O1524-7)),0)"),0.494871659305393)</f>
        <v>0.49487165930539301</v>
      </c>
      <c r="X1521" s="77">
        <f t="shared" ca="1" si="252"/>
        <v>1.2038367315017748</v>
      </c>
      <c r="Y1521" s="77">
        <f t="shared" ca="1" si="253"/>
        <v>4</v>
      </c>
      <c r="Z1521" s="76">
        <f t="array" ref="Z1521">AVERAGEIFS($F$2:$F2565,$B$2:$B2565,$B1521,$P$2:$P2565,"&lt;="&amp;$P1521,$P$2:$P2565,"&gt;"&amp;$P1521-7)</f>
        <v>8.085106382978724</v>
      </c>
      <c r="AA1521" s="76">
        <f ca="1">IFERROR(__xludf.DUMMYFUNCTION("iferror(stdevp(filter($E$2:$E2568,$B$2:$B2568=$B1524,$O$2:$O2568&lt;=$O1524,$O$2:$O2568&gt;$O1524-7)),0)"),0.349927106111882)</f>
        <v>0.34992710611188199</v>
      </c>
      <c r="AB1521" s="77">
        <f t="shared" ca="1" si="254"/>
        <v>-0.24321174751038852</v>
      </c>
      <c r="AC1521" s="77">
        <f t="shared" ca="1" si="255"/>
        <v>2</v>
      </c>
      <c r="AD1521" s="76">
        <f t="array" ref="AD1521">AVERAGEIFS($G$2:$G2565,$B$2:$B2565,$B1521,$P$2:$P2565,"&lt;="&amp;$P1521,$P$2:$P2565,"&gt;"&amp;$P1521-7)</f>
        <v>8.0638297872340434</v>
      </c>
      <c r="AE1521" s="76">
        <f ca="1">IFERROR(__xludf.DUMMYFUNCTION("iferror(stdevp(filter($F$2:$F2568,$B$2:$B2568=$B1524,$O$2:$O2568&lt;=$O1524,$O$2:$O2568&gt;$O1524-7)),0)"),0.349927106111882)</f>
        <v>0.34992710611188199</v>
      </c>
      <c r="AF1521" s="77">
        <f t="shared" ca="1" si="256"/>
        <v>-0.18240881063279266</v>
      </c>
      <c r="AG1521" s="77">
        <f t="shared" ca="1" si="257"/>
        <v>2</v>
      </c>
      <c r="AH1521" s="76">
        <f t="array" ref="AH1521">AVERAGEIFS($I$2:$I2565,$B$2:$B2565,$B1521,$P$2:$P2565,"&lt;="&amp;$P1521,$P$2:$P2565,"&gt;"&amp;$P1521-7)</f>
        <v>6.7446808510638299</v>
      </c>
      <c r="AI1521" s="76">
        <f ca="1">IFERROR(__xludf.DUMMYFUNCTION("iferror(stdevp(filter($H$2:$H2568,$B$2:$B2568=$B1524,$O$2:$O2568&lt;=$O1524,$O$2:$O2568&gt;$O1524-7)),0)"),0.699854212223765)</f>
        <v>0.69985421222376498</v>
      </c>
      <c r="AJ1521" s="77">
        <f t="shared" ca="1" si="258"/>
        <v>1.7936866378891005</v>
      </c>
      <c r="AK1521" s="77">
        <f t="shared" ca="1" si="259"/>
        <v>4</v>
      </c>
      <c r="AL1521" s="76">
        <f t="array" ref="AL1521">AVERAGEIFS($J$2:$J2565,$B$2:$B2565,$B1521,$P$2:$P2565,"&lt;="&amp;$P1521,$P$2:$P2565,"&gt;"&amp;$P1521-7)</f>
        <v>8.1063829787234045</v>
      </c>
      <c r="AM1521" s="76">
        <f ca="1">IFERROR(__xludf.DUMMYFUNCTION("iferror(stdevp(filter($I$2:$I2568,$B$2:$B2568=$B1524,$O$2:$O2568&lt;=$O1524,$O$2:$O2568&gt;$O1524-7)),0)"),0.638876564999939)</f>
        <v>0.63887656499993895</v>
      </c>
      <c r="AN1521" s="77">
        <f t="shared" ca="1" si="260"/>
        <v>-0.16651570045211267</v>
      </c>
      <c r="AO1521" s="77">
        <f t="shared" ca="1" si="261"/>
        <v>2</v>
      </c>
      <c r="AP1521" s="76">
        <f t="array" ref="AP1521">AVERAGEIFS($K$2:$K2565,$B$2:$B2565,$B1521,$P$2:$P2565,"&lt;="&amp;$P1521,$P$2:$P2565,"&gt;"&amp;$P1521-7)</f>
        <v>8.2978723404255312</v>
      </c>
      <c r="AQ1521" s="76">
        <f ca="1">IFERROR(__xludf.DUMMYFUNCTION("iferror(stdevp(filter($J$2:$J2568,$B$2:$B2568=$B1524,$O$2:$O2568&lt;=$O1524,$O$2:$O2568&gt;$O1524-7)),0)"),1.69030850945703)</f>
        <v>1.69030850945703</v>
      </c>
      <c r="AR1521" s="77">
        <f t="shared" ca="1" si="262"/>
        <v>0.41538432519635721</v>
      </c>
      <c r="AS1521" s="77">
        <f t="shared" ca="1" si="263"/>
        <v>3</v>
      </c>
      <c r="AT1521" s="78">
        <f t="shared" ca="1" si="264"/>
        <v>0.70833333333333337</v>
      </c>
    </row>
    <row r="1522" spans="1:46" ht="12.5" x14ac:dyDescent="0.25">
      <c r="A1522" s="75">
        <v>45011.736499872684</v>
      </c>
      <c r="B1522" s="1" t="s">
        <v>9</v>
      </c>
      <c r="C1522" s="1" t="str">
        <f>INDEX(TBL_Name,MATCH(Table2[[#This Row],[Athlete Name]],listNames,0),2)</f>
        <v>Athlete 4</v>
      </c>
      <c r="D1522" s="1" t="s">
        <v>130</v>
      </c>
      <c r="E1522" s="1">
        <v>7</v>
      </c>
      <c r="F1522" s="1">
        <v>8</v>
      </c>
      <c r="G1522" s="1">
        <v>9</v>
      </c>
      <c r="H1522" s="1" t="s">
        <v>280</v>
      </c>
      <c r="I1522" s="1">
        <v>7</v>
      </c>
      <c r="J1522" s="1">
        <v>8</v>
      </c>
      <c r="K1522" s="1">
        <v>8</v>
      </c>
      <c r="L1522" s="1">
        <v>94</v>
      </c>
      <c r="M1522" s="1" t="e">
        <f t="shared" ref="M1522" ca="1" si="581">_xludf.concat($B1522,$P1522)</f>
        <v>#NAME?</v>
      </c>
      <c r="N1522" s="1" t="e">
        <f t="shared" si="248"/>
        <v>#VALUE!</v>
      </c>
      <c r="O1522" s="1" t="e">
        <f t="shared" ref="O1522" ca="1" si="582">IF($N1522=_xludf.MINIFS($N$2:$N3028,$R$2:$R3028,$R1522),1,
($N1522-_xludf.MINIFS($N$2:$N3028,$R$2:$R3028,$R1522))+1)</f>
        <v>#VALUE!</v>
      </c>
      <c r="P1522" s="13" t="e">
        <f t="shared" si="250"/>
        <v>#VALUE!</v>
      </c>
      <c r="Q1522" s="1" t="str">
        <f>RIGHT(YEAR($A1522),2)-(MONTH($A1522)&lt;=[3]Roster!$K$25)
 &amp;"-"&amp;
 RIGHT(YEAR($A1522),2)+(MONTH($A1522)&gt;=[3]Roster!$K$26)</f>
        <v>22-23</v>
      </c>
      <c r="R1522" s="1" t="e">
        <f>CHOOSE(MONTH($P1522),[3]Roster!$K$9,[3]Roster!$K$10,[3]Roster!$K$11,[3]Roster!$K$12,[3]Roster!$K$13,[3]Roster!$K$14,[3]Roster!$K$15,[3]Roster!$K$16,[3]Roster!$K$17,[3]Roster!$K$18,[3]Roster!$K$19,[3]Roster!$K$20)&amp;" "&amp;$Q1522</f>
        <v>#VALUE!</v>
      </c>
      <c r="S1522" s="1">
        <f t="shared" si="251"/>
        <v>1</v>
      </c>
      <c r="T1522" s="1" t="str">
        <f t="array" ref="T1522">IFERROR(INDEX([3]Roster!$D$3:$D$42,MATCH($B1522,[3]Roster!$C$3:$C$42,0)),"")</f>
        <v>F/MID</v>
      </c>
      <c r="U1522" s="1" t="str">
        <f t="array" ref="U1522">IFERROR(INDEX([3]Roster!$E$3:$E$42,MATCH($B1522,[3]Roster!$C$3:$C$42,0)),"")</f>
        <v>F/MID</v>
      </c>
      <c r="V1522" s="76">
        <f t="array" ref="V1522">AVERAGEIFS($E$2:$E2565,$B$2:$B2565,$B1522,$P$2:$P2565,"&lt;="&amp;$P1522,$P$2:$P2565,"&gt;"&amp;$P1522-7)</f>
        <v>7.4230769230769234</v>
      </c>
      <c r="W1522" s="76">
        <f ca="1">IFERROR(__xludf.DUMMYFUNCTION("iferror(stdevp(filter($D$2:$D2568,$B$2:$B2568=$B1525,$O$2:$O2568&lt;=$O1525,$O$2:$O2568&gt;$O1525-7)),0)"),0.748331477354788)</f>
        <v>0.748331477354788</v>
      </c>
      <c r="X1522" s="77">
        <f t="shared" ca="1" si="252"/>
        <v>-0.5653603194301291</v>
      </c>
      <c r="Y1522" s="77">
        <f t="shared" ca="1" si="253"/>
        <v>2</v>
      </c>
      <c r="Z1522" s="76">
        <f t="array" ref="Z1522">AVERAGEIFS($F$2:$F2565,$B$2:$B2565,$B1522,$P$2:$P2565,"&lt;="&amp;$P1522,$P$2:$P2565,"&gt;"&amp;$P1522-7)</f>
        <v>7.1538461538461542</v>
      </c>
      <c r="AA1522" s="76">
        <f ca="1">IFERROR(__xludf.DUMMYFUNCTION("iferror(stdevp(filter($E$2:$E2568,$B$2:$B2568=$B1525,$O$2:$O2568&lt;=$O1525,$O$2:$O2568&gt;$O1525-7)),0)"),0.8)</f>
        <v>0.8</v>
      </c>
      <c r="AB1522" s="77">
        <f t="shared" ca="1" si="254"/>
        <v>1.0576923076923073</v>
      </c>
      <c r="AC1522" s="77">
        <f t="shared" ca="1" si="255"/>
        <v>4</v>
      </c>
      <c r="AD1522" s="76">
        <f t="array" ref="AD1522">AVERAGEIFS($G$2:$G2565,$B$2:$B2565,$B1522,$P$2:$P2565,"&lt;="&amp;$P1522,$P$2:$P2565,"&gt;"&amp;$P1522-7)</f>
        <v>7.615384615384615</v>
      </c>
      <c r="AE1522" s="76">
        <f ca="1">IFERROR(__xludf.DUMMYFUNCTION("iferror(stdevp(filter($F$2:$F2568,$B$2:$B2568=$B1525,$O$2:$O2568&lt;=$O1525,$O$2:$O2568&gt;$O1525-7)),0)"),0.8)</f>
        <v>0.8</v>
      </c>
      <c r="AF1522" s="77">
        <f t="shared" ca="1" si="256"/>
        <v>1.7307692307692313</v>
      </c>
      <c r="AG1522" s="77">
        <f t="shared" ca="1" si="257"/>
        <v>4</v>
      </c>
      <c r="AH1522" s="76">
        <f t="array" ref="AH1522">AVERAGEIFS($I$2:$I2565,$B$2:$B2565,$B1522,$P$2:$P2565,"&lt;="&amp;$P1522,$P$2:$P2565,"&gt;"&amp;$P1522-7)</f>
        <v>5.1923076923076925</v>
      </c>
      <c r="AI1522" s="76">
        <f ca="1">IFERROR(__xludf.DUMMYFUNCTION("iferror(stdevp(filter($H$2:$H2568,$B$2:$B2568=$B1525,$O$2:$O2568&lt;=$O1525,$O$2:$O2568&gt;$O1525-7)),0)"),1.16619037896906)</f>
        <v>1.16619037896906</v>
      </c>
      <c r="AJ1522" s="77">
        <f t="shared" ca="1" si="258"/>
        <v>1.5500833657111375</v>
      </c>
      <c r="AK1522" s="77">
        <f t="shared" ca="1" si="259"/>
        <v>4</v>
      </c>
      <c r="AL1522" s="76">
        <f t="array" ref="AL1522">AVERAGEIFS($J$2:$J2565,$B$2:$B2565,$B1522,$P$2:$P2565,"&lt;="&amp;$P1522,$P$2:$P2565,"&gt;"&amp;$P1522-7)</f>
        <v>7.6923076923076925</v>
      </c>
      <c r="AM1522" s="76">
        <f ca="1">IFERROR(__xludf.DUMMYFUNCTION("iferror(stdevp(filter($I$2:$I2568,$B$2:$B2568=$B1525,$O$2:$O2568&lt;=$O1525,$O$2:$O2568&gt;$O1525-7)),0)"),0.399999999999999)</f>
        <v>0.39999999999999902</v>
      </c>
      <c r="AN1522" s="77">
        <f t="shared" ca="1" si="260"/>
        <v>0.76923076923077061</v>
      </c>
      <c r="AO1522" s="77">
        <f t="shared" ca="1" si="261"/>
        <v>3</v>
      </c>
      <c r="AP1522" s="76">
        <f t="array" ref="AP1522">AVERAGEIFS($K$2:$K2565,$B$2:$B2565,$B1522,$P$2:$P2565,"&lt;="&amp;$P1522,$P$2:$P2565,"&gt;"&amp;$P1522-7)</f>
        <v>7.8461538461538458</v>
      </c>
      <c r="AQ1522" s="76">
        <f ca="1">IFERROR(__xludf.DUMMYFUNCTION("iferror(stdevp(filter($J$2:$J2568,$B$2:$B2568=$B1525,$O$2:$O2568&lt;=$O1525,$O$2:$O2568&gt;$O1525-7)),0)"),0.489897948556635)</f>
        <v>0.48989794855663499</v>
      </c>
      <c r="AR1522" s="77">
        <f t="shared" ca="1" si="262"/>
        <v>0.31403714651066494</v>
      </c>
      <c r="AS1522" s="77">
        <f t="shared" ca="1" si="263"/>
        <v>3</v>
      </c>
      <c r="AT1522" s="78">
        <f t="shared" ca="1" si="264"/>
        <v>0.83333333333333337</v>
      </c>
    </row>
    <row r="1523" spans="1:46" ht="12.5" x14ac:dyDescent="0.25">
      <c r="A1523" s="75">
        <v>45011.86469180556</v>
      </c>
      <c r="B1523" s="1" t="s">
        <v>17</v>
      </c>
      <c r="C1523" s="1" t="str">
        <f>INDEX(TBL_Name,MATCH(Table2[[#This Row],[Athlete Name]],listNames,0),2)</f>
        <v>Athlete 10</v>
      </c>
      <c r="D1523" s="1" t="s">
        <v>130</v>
      </c>
      <c r="E1523" s="1">
        <v>8</v>
      </c>
      <c r="F1523" s="1">
        <v>7</v>
      </c>
      <c r="G1523" s="1">
        <v>9</v>
      </c>
      <c r="H1523" s="1" t="s">
        <v>228</v>
      </c>
      <c r="I1523" s="1">
        <v>3</v>
      </c>
      <c r="J1523" s="1">
        <v>7</v>
      </c>
      <c r="K1523" s="1">
        <v>9</v>
      </c>
      <c r="L1523" s="1">
        <v>68</v>
      </c>
      <c r="M1523" s="1" t="e">
        <f t="shared" ref="M1523" ca="1" si="583">_xludf.concat($B1523,$P1523)</f>
        <v>#NAME?</v>
      </c>
      <c r="N1523" s="1" t="e">
        <f t="shared" si="248"/>
        <v>#VALUE!</v>
      </c>
      <c r="O1523" s="1" t="e">
        <f t="shared" ref="O1523" ca="1" si="584">IF($N1523=_xludf.MINIFS($N$2:$N3029,$R$2:$R3029,$R1523),1,
($N1523-_xludf.MINIFS($N$2:$N3029,$R$2:$R3029,$R1523))+1)</f>
        <v>#VALUE!</v>
      </c>
      <c r="P1523" s="13" t="e">
        <f t="shared" si="250"/>
        <v>#VALUE!</v>
      </c>
      <c r="Q1523" s="1" t="str">
        <f>RIGHT(YEAR($A1523),2)-(MONTH($A1523)&lt;=[3]Roster!$K$25)
 &amp;"-"&amp;
 RIGHT(YEAR($A1523),2)+(MONTH($A1523)&gt;=[3]Roster!$K$26)</f>
        <v>22-23</v>
      </c>
      <c r="R1523" s="1" t="e">
        <f>CHOOSE(MONTH($P1523),[3]Roster!$K$9,[3]Roster!$K$10,[3]Roster!$K$11,[3]Roster!$K$12,[3]Roster!$K$13,[3]Roster!$K$14,[3]Roster!$K$15,[3]Roster!$K$16,[3]Roster!$K$17,[3]Roster!$K$18,[3]Roster!$K$19,[3]Roster!$K$20)&amp;" "&amp;$Q1523</f>
        <v>#VALUE!</v>
      </c>
      <c r="S1523" s="1">
        <f t="shared" si="251"/>
        <v>1</v>
      </c>
      <c r="T1523" s="1" t="str">
        <f t="array" ref="T1523">IFERROR(INDEX([3]Roster!$D$3:$D$42,MATCH($B1523,[3]Roster!$C$3:$C$42,0)),"")</f>
        <v>D</v>
      </c>
      <c r="U1523" s="1" t="str">
        <f t="array" ref="U1523">IFERROR(INDEX([3]Roster!$E$3:$E$42,MATCH($B1523,[3]Roster!$C$3:$C$42,0)),"")</f>
        <v>D</v>
      </c>
      <c r="V1523" s="76">
        <f t="array" ref="V1523">AVERAGEIFS($E$2:$E2565,$B$2:$B2565,$B1523,$P$2:$P2565,"&lt;="&amp;$P1523,$P$2:$P2565,"&gt;"&amp;$P1523-7)</f>
        <v>6.9024390243902438</v>
      </c>
      <c r="W1523" s="76">
        <f ca="1">IFERROR(__xludf.DUMMYFUNCTION("iferror(stdevp(filter($D$2:$D2568,$B$2:$B2568=$B1526,$O$2:$O2568&lt;=$O1526,$O$2:$O2568&gt;$O1526-7)),0)"),1.54919333848296)</f>
        <v>1.5491933384829599</v>
      </c>
      <c r="X1523" s="77">
        <f t="shared" ca="1" si="252"/>
        <v>0.70847256333062825</v>
      </c>
      <c r="Y1523" s="77">
        <f t="shared" ca="1" si="253"/>
        <v>3</v>
      </c>
      <c r="Z1523" s="76">
        <f t="array" ref="Z1523">AVERAGEIFS($F$2:$F2565,$B$2:$B2565,$B1523,$P$2:$P2565,"&lt;="&amp;$P1523,$P$2:$P2565,"&gt;"&amp;$P1523-7)</f>
        <v>7.2926829268292686</v>
      </c>
      <c r="AA1523" s="76">
        <f ca="1">IFERROR(__xludf.DUMMYFUNCTION("iferror(stdevp(filter($E$2:$E2568,$B$2:$B2568=$B1526,$O$2:$O2568&lt;=$O1526,$O$2:$O2568&gt;$O1526-7)),0)"),0.489897948556635)</f>
        <v>0.48989794855663499</v>
      </c>
      <c r="AB1523" s="77">
        <f t="shared" ca="1" si="254"/>
        <v>-0.59743652263004476</v>
      </c>
      <c r="AC1523" s="77">
        <f t="shared" ca="1" si="255"/>
        <v>2</v>
      </c>
      <c r="AD1523" s="76">
        <f t="array" ref="AD1523">AVERAGEIFS($G$2:$G2565,$B$2:$B2565,$B1523,$P$2:$P2565,"&lt;="&amp;$P1523,$P$2:$P2565,"&gt;"&amp;$P1523-7)</f>
        <v>7.8048780487804876</v>
      </c>
      <c r="AE1523" s="76">
        <f ca="1">IFERROR(__xludf.DUMMYFUNCTION("iferror(stdevp(filter($F$2:$F2568,$B$2:$B2568=$B1526,$O$2:$O2568&lt;=$O1526,$O$2:$O2568&gt;$O1526-7)),0)"),1.4696938456699)</f>
        <v>1.4696938456699</v>
      </c>
      <c r="AF1523" s="77">
        <f t="shared" ca="1" si="256"/>
        <v>0.81317748913534083</v>
      </c>
      <c r="AG1523" s="77">
        <f t="shared" ca="1" si="257"/>
        <v>3</v>
      </c>
      <c r="AH1523" s="76">
        <f t="array" ref="AH1523">AVERAGEIFS($I$2:$I2565,$B$2:$B2565,$B1523,$P$2:$P2565,"&lt;="&amp;$P1523,$P$2:$P2565,"&gt;"&amp;$P1523-7)</f>
        <v>6.3170731707317076</v>
      </c>
      <c r="AI1523" s="76">
        <f ca="1">IFERROR(__xludf.DUMMYFUNCTION("iferror(stdevp(filter($H$2:$H2568,$B$2:$B2568=$B1526,$O$2:$O2568&lt;=$O1526,$O$2:$O2568&gt;$O1526-7)),0)"),2.0591260281974)</f>
        <v>2.0591260281974</v>
      </c>
      <c r="AJ1523" s="77">
        <f t="shared" ca="1" si="258"/>
        <v>-1.6109131375681456</v>
      </c>
      <c r="AK1523" s="77">
        <f t="shared" ca="1" si="259"/>
        <v>1</v>
      </c>
      <c r="AL1523" s="76">
        <f t="array" ref="AL1523">AVERAGEIFS($J$2:$J2565,$B$2:$B2565,$B1523,$P$2:$P2565,"&lt;="&amp;$P1523,$P$2:$P2565,"&gt;"&amp;$P1523-7)</f>
        <v>6.9024390243902438</v>
      </c>
      <c r="AM1523" s="76">
        <f ca="1">IFERROR(__xludf.DUMMYFUNCTION("iferror(stdevp(filter($I$2:$I2568,$B$2:$B2568=$B1526,$O$2:$O2568&lt;=$O1526,$O$2:$O2568&gt;$O1526-7)),0)"),1.41421356237309)</f>
        <v>1.41421356237309</v>
      </c>
      <c r="AN1523" s="77">
        <f t="shared" ca="1" si="260"/>
        <v>6.8986027432834204E-2</v>
      </c>
      <c r="AO1523" s="77">
        <f t="shared" ca="1" si="261"/>
        <v>3</v>
      </c>
      <c r="AP1523" s="76">
        <f t="array" ref="AP1523">AVERAGEIFS($K$2:$K2565,$B$2:$B2565,$B1523,$P$2:$P2565,"&lt;="&amp;$P1523,$P$2:$P2565,"&gt;"&amp;$P1523-7)</f>
        <v>8</v>
      </c>
      <c r="AQ1523" s="76">
        <f ca="1">IFERROR(__xludf.DUMMYFUNCTION("iferror(stdevp(filter($J$2:$J2568,$B$2:$B2568=$B1526,$O$2:$O2568&lt;=$O1526,$O$2:$O2568&gt;$O1526-7)),0)"),0.979795897113271)</f>
        <v>0.97979589711327097</v>
      </c>
      <c r="AR1523" s="77">
        <f t="shared" ca="1" si="262"/>
        <v>1.0206207261596578</v>
      </c>
      <c r="AS1523" s="77">
        <f t="shared" ca="1" si="263"/>
        <v>4</v>
      </c>
      <c r="AT1523" s="78">
        <f t="shared" ca="1" si="264"/>
        <v>0.66666666666666663</v>
      </c>
    </row>
    <row r="1524" spans="1:46" ht="12.5" x14ac:dyDescent="0.25">
      <c r="A1524" s="75">
        <v>45012.299689270832</v>
      </c>
      <c r="B1524" s="1" t="s">
        <v>17</v>
      </c>
      <c r="C1524" s="1" t="str">
        <f>INDEX(TBL_Name,MATCH(Table2[[#This Row],[Athlete Name]],listNames,0),2)</f>
        <v>Athlete 10</v>
      </c>
      <c r="D1524" s="1" t="s">
        <v>130</v>
      </c>
      <c r="E1524" s="1">
        <v>8</v>
      </c>
      <c r="F1524" s="1">
        <v>7</v>
      </c>
      <c r="G1524" s="1">
        <v>8</v>
      </c>
      <c r="H1524" s="1" t="s">
        <v>228</v>
      </c>
      <c r="I1524" s="1">
        <v>6</v>
      </c>
      <c r="J1524" s="1">
        <v>7</v>
      </c>
      <c r="K1524" s="1">
        <v>8</v>
      </c>
      <c r="L1524" s="1">
        <v>78</v>
      </c>
      <c r="M1524" s="1" t="e">
        <f t="shared" ref="M1524" ca="1" si="585">_xludf.concat($B1524,$P1524)</f>
        <v>#NAME?</v>
      </c>
      <c r="N1524" s="1" t="e">
        <f t="shared" si="248"/>
        <v>#VALUE!</v>
      </c>
      <c r="O1524" s="1" t="e">
        <f t="shared" ref="O1524" ca="1" si="586">IF($N1524=_xludf.MINIFS($N$2:$N3030,$R$2:$R3030,$R1524),1,
($N1524-_xludf.MINIFS($N$2:$N3030,$R$2:$R3030,$R1524))+1)</f>
        <v>#VALUE!</v>
      </c>
      <c r="P1524" s="13" t="e">
        <f t="shared" si="250"/>
        <v>#VALUE!</v>
      </c>
      <c r="Q1524" s="1" t="str">
        <f>RIGHT(YEAR($A1524),2)-(MONTH($A1524)&lt;=[3]Roster!$K$25)
 &amp;"-"&amp;
 RIGHT(YEAR($A1524),2)+(MONTH($A1524)&gt;=[3]Roster!$K$26)</f>
        <v>22-23</v>
      </c>
      <c r="R1524" s="1" t="e">
        <f>CHOOSE(MONTH($P1524),[3]Roster!$K$9,[3]Roster!$K$10,[3]Roster!$K$11,[3]Roster!$K$12,[3]Roster!$K$13,[3]Roster!$K$14,[3]Roster!$K$15,[3]Roster!$K$16,[3]Roster!$K$17,[3]Roster!$K$18,[3]Roster!$K$19,[3]Roster!$K$20)&amp;" "&amp;$Q1524</f>
        <v>#VALUE!</v>
      </c>
      <c r="S1524" s="1">
        <f t="shared" si="251"/>
        <v>1</v>
      </c>
      <c r="T1524" s="1" t="str">
        <f t="array" ref="T1524">IFERROR(INDEX([3]Roster!$D$3:$D$42,MATCH($B1524,[3]Roster!$C$3:$C$42,0)),"")</f>
        <v>D</v>
      </c>
      <c r="U1524" s="1" t="str">
        <f t="array" ref="U1524">IFERROR(INDEX([3]Roster!$E$3:$E$42,MATCH($B1524,[3]Roster!$C$3:$C$42,0)),"")</f>
        <v>D</v>
      </c>
      <c r="V1524" s="76">
        <f t="array" ref="V1524">AVERAGEIFS($E$2:$E2565,$B$2:$B2565,$B1524,$P$2:$P2565,"&lt;="&amp;$P1524,$P$2:$P2565,"&gt;"&amp;$P1524-7)</f>
        <v>6.9024390243902438</v>
      </c>
      <c r="W1524" s="76">
        <f ca="1">IFERROR(__xludf.DUMMYFUNCTION("iferror(stdevp(filter($D$2:$D2568,$B$2:$B2568=$B1527,$O$2:$O2568&lt;=$O1527,$O$2:$O2568&gt;$O1527-7)),0)"),1.83303027798233)</f>
        <v>1.83303027798233</v>
      </c>
      <c r="X1524" s="77">
        <f t="shared" ca="1" si="252"/>
        <v>0.59876860125729814</v>
      </c>
      <c r="Y1524" s="77">
        <f t="shared" ca="1" si="253"/>
        <v>3</v>
      </c>
      <c r="Z1524" s="76">
        <f t="array" ref="Z1524">AVERAGEIFS($F$2:$F2565,$B$2:$B2565,$B1524,$P$2:$P2565,"&lt;="&amp;$P1524,$P$2:$P2565,"&gt;"&amp;$P1524-7)</f>
        <v>7.2926829268292686</v>
      </c>
      <c r="AA1524" s="76">
        <f ca="1">IFERROR(__xludf.DUMMYFUNCTION("iferror(stdevp(filter($E$2:$E2568,$B$2:$B2568=$B1527,$O$2:$O2568&lt;=$O1527,$O$2:$O2568&gt;$O1527-7)),0)"),0.489897948556635)</f>
        <v>0.48989794855663499</v>
      </c>
      <c r="AB1524" s="77">
        <f t="shared" ca="1" si="254"/>
        <v>-0.59743652263004476</v>
      </c>
      <c r="AC1524" s="77">
        <f t="shared" ca="1" si="255"/>
        <v>2</v>
      </c>
      <c r="AD1524" s="76">
        <f t="array" ref="AD1524">AVERAGEIFS($G$2:$G2565,$B$2:$B2565,$B1524,$P$2:$P2565,"&lt;="&amp;$P1524,$P$2:$P2565,"&gt;"&amp;$P1524-7)</f>
        <v>7.8048780487804876</v>
      </c>
      <c r="AE1524" s="76">
        <f ca="1">IFERROR(__xludf.DUMMYFUNCTION("iferror(stdevp(filter($F$2:$F2568,$B$2:$B2568=$B1527,$O$2:$O2568&lt;=$O1527,$O$2:$O2568&gt;$O1527-7)),0)"),1.35646599662505)</f>
        <v>1.3564659966250501</v>
      </c>
      <c r="AF1524" s="77">
        <f t="shared" ca="1" si="256"/>
        <v>0.14384581088282697</v>
      </c>
      <c r="AG1524" s="77">
        <f t="shared" ca="1" si="257"/>
        <v>3</v>
      </c>
      <c r="AH1524" s="76">
        <f t="array" ref="AH1524">AVERAGEIFS($I$2:$I2565,$B$2:$B2565,$B1524,$P$2:$P2565,"&lt;="&amp;$P1524,$P$2:$P2565,"&gt;"&amp;$P1524-7)</f>
        <v>6.3170731707317076</v>
      </c>
      <c r="AI1524" s="76">
        <f ca="1">IFERROR(__xludf.DUMMYFUNCTION("iferror(stdevp(filter($H$2:$H2568,$B$2:$B2568=$B1527,$O$2:$O2568&lt;=$O1527,$O$2:$O2568&gt;$O1527-7)),0)"),1.6)</f>
        <v>1.6</v>
      </c>
      <c r="AJ1524" s="77">
        <f t="shared" ca="1" si="258"/>
        <v>-0.19817073170731725</v>
      </c>
      <c r="AK1524" s="77">
        <f t="shared" ca="1" si="259"/>
        <v>2</v>
      </c>
      <c r="AL1524" s="76">
        <f t="array" ref="AL1524">AVERAGEIFS($J$2:$J2565,$B$2:$B2565,$B1524,$P$2:$P2565,"&lt;="&amp;$P1524,$P$2:$P2565,"&gt;"&amp;$P1524-7)</f>
        <v>6.9024390243902438</v>
      </c>
      <c r="AM1524" s="76">
        <f ca="1">IFERROR(__xludf.DUMMYFUNCTION("iferror(stdevp(filter($I$2:$I2568,$B$2:$B2568=$B1527,$O$2:$O2568&lt;=$O1527,$O$2:$O2568&gt;$O1527-7)),0)"),1.32664991614216)</f>
        <v>1.3266499161421601</v>
      </c>
      <c r="AN1524" s="77">
        <f t="shared" ca="1" si="260"/>
        <v>7.3539352336039962E-2</v>
      </c>
      <c r="AO1524" s="77">
        <f t="shared" ca="1" si="261"/>
        <v>3</v>
      </c>
      <c r="AP1524" s="76">
        <f t="array" ref="AP1524">AVERAGEIFS($K$2:$K2565,$B$2:$B2565,$B1524,$P$2:$P2565,"&lt;="&amp;$P1524,$P$2:$P2565,"&gt;"&amp;$P1524-7)</f>
        <v>8</v>
      </c>
      <c r="AQ1524" s="76">
        <f ca="1">IFERROR(__xludf.DUMMYFUNCTION("iferror(stdevp(filter($J$2:$J2568,$B$2:$B2568=$B1527,$O$2:$O2568&lt;=$O1527,$O$2:$O2568&gt;$O1527-7)),0)"),0.894427190999915)</f>
        <v>0.89442719099991497</v>
      </c>
      <c r="AR1524" s="77">
        <f t="shared" ca="1" si="262"/>
        <v>0</v>
      </c>
      <c r="AS1524" s="77">
        <f t="shared" ca="1" si="263"/>
        <v>3</v>
      </c>
      <c r="AT1524" s="78">
        <f t="shared" ca="1" si="264"/>
        <v>0.66666666666666663</v>
      </c>
    </row>
    <row r="1525" spans="1:46" ht="12.5" x14ac:dyDescent="0.25">
      <c r="A1525" s="75">
        <v>45012.352991736116</v>
      </c>
      <c r="B1525" s="1" t="s">
        <v>22</v>
      </c>
      <c r="C1525" s="1" t="str">
        <f>INDEX(TBL_Name,MATCH(Table2[[#This Row],[Athlete Name]],listNames,0),2)</f>
        <v>Athlete 14</v>
      </c>
      <c r="D1525" s="1" t="s">
        <v>130</v>
      </c>
      <c r="E1525" s="1">
        <v>6</v>
      </c>
      <c r="F1525" s="1">
        <v>6</v>
      </c>
      <c r="G1525" s="1">
        <v>7</v>
      </c>
      <c r="H1525" s="1" t="s">
        <v>715</v>
      </c>
      <c r="I1525" s="1">
        <v>5</v>
      </c>
      <c r="J1525" s="1">
        <v>8</v>
      </c>
      <c r="K1525" s="1">
        <v>8</v>
      </c>
      <c r="L1525" s="1">
        <v>84</v>
      </c>
      <c r="M1525" s="1" t="e">
        <f t="shared" ref="M1525" ca="1" si="587">_xludf.concat($B1525,$P1525)</f>
        <v>#NAME?</v>
      </c>
      <c r="N1525" s="1" t="e">
        <f t="shared" si="248"/>
        <v>#VALUE!</v>
      </c>
      <c r="O1525" s="1" t="e">
        <f t="shared" ref="O1525" ca="1" si="588">IF($N1525=_xludf.MINIFS($N$2:$N3031,$R$2:$R3031,$R1525),1,
($N1525-_xludf.MINIFS($N$2:$N3031,$R$2:$R3031,$R1525))+1)</f>
        <v>#VALUE!</v>
      </c>
      <c r="P1525" s="13" t="e">
        <f t="shared" si="250"/>
        <v>#VALUE!</v>
      </c>
      <c r="Q1525" s="1" t="str">
        <f>RIGHT(YEAR($A1525),2)-(MONTH($A1525)&lt;=[3]Roster!$K$25)
 &amp;"-"&amp;
 RIGHT(YEAR($A1525),2)+(MONTH($A1525)&gt;=[3]Roster!$K$26)</f>
        <v>22-23</v>
      </c>
      <c r="R1525" s="1" t="e">
        <f>CHOOSE(MONTH($P1525),[3]Roster!$K$9,[3]Roster!$K$10,[3]Roster!$K$11,[3]Roster!$K$12,[3]Roster!$K$13,[3]Roster!$K$14,[3]Roster!$K$15,[3]Roster!$K$16,[3]Roster!$K$17,[3]Roster!$K$18,[3]Roster!$K$19,[3]Roster!$K$20)&amp;" "&amp;$Q1525</f>
        <v>#VALUE!</v>
      </c>
      <c r="S1525" s="1">
        <f t="shared" si="251"/>
        <v>1</v>
      </c>
      <c r="T1525" s="1" t="str">
        <f t="array" ref="T1525">IFERROR(INDEX([3]Roster!$D$3:$D$42,MATCH($B1525,[3]Roster!$C$3:$C$42,0)),"")</f>
        <v>D</v>
      </c>
      <c r="U1525" s="1" t="str">
        <f t="array" ref="U1525">IFERROR(INDEX([3]Roster!$E$3:$E$42,MATCH($B1525,[3]Roster!$C$3:$C$42,0)),"")</f>
        <v>D</v>
      </c>
      <c r="V1525" s="76">
        <f t="array" ref="V1525">AVERAGEIFS($E$2:$E2565,$B$2:$B2565,$B1525,$P$2:$P2565,"&lt;="&amp;$P1525,$P$2:$P2565,"&gt;"&amp;$P1525-7)</f>
        <v>5.791666666666667</v>
      </c>
      <c r="W1525" s="76">
        <f ca="1">IFERROR(__xludf.DUMMYFUNCTION("iferror(stdevp(filter($D$2:$D2568,$B$2:$B2568=$B1528,$O$2:$O2568&lt;=$O1528,$O$2:$O2568&gt;$O1528-7)),0)"),0)</f>
        <v>0</v>
      </c>
      <c r="X1525" s="77">
        <f t="shared" ca="1" si="252"/>
        <v>0</v>
      </c>
      <c r="Y1525" s="77">
        <f t="shared" ca="1" si="253"/>
        <v>3</v>
      </c>
      <c r="Z1525" s="76">
        <f t="array" ref="Z1525">AVERAGEIFS($F$2:$F2565,$B$2:$B2565,$B1525,$P$2:$P2565,"&lt;="&amp;$P1525,$P$2:$P2565,"&gt;"&amp;$P1525-7)</f>
        <v>5.458333333333333</v>
      </c>
      <c r="AA1525" s="76">
        <f ca="1">IFERROR(__xludf.DUMMYFUNCTION("iferror(stdevp(filter($E$2:$E2568,$B$2:$B2568=$B1528,$O$2:$O2568&lt;=$O1528,$O$2:$O2568&gt;$O1528-7)),0)"),1.87082869338697)</f>
        <v>1.87082869338697</v>
      </c>
      <c r="AB1525" s="77">
        <f t="shared" ca="1" si="254"/>
        <v>0.28953301207179333</v>
      </c>
      <c r="AC1525" s="77">
        <f t="shared" ca="1" si="255"/>
        <v>3</v>
      </c>
      <c r="AD1525" s="76">
        <f t="array" ref="AD1525">AVERAGEIFS($G$2:$G2565,$B$2:$B2565,$B1525,$P$2:$P2565,"&lt;="&amp;$P1525,$P$2:$P2565,"&gt;"&amp;$P1525-7)</f>
        <v>6.833333333333333</v>
      </c>
      <c r="AE1525" s="76">
        <f ca="1">IFERROR(__xludf.DUMMYFUNCTION("iferror(stdevp(filter($F$2:$F2568,$B$2:$B2568=$B1528,$O$2:$O2568&lt;=$O1528,$O$2:$O2568&gt;$O1528-7)),0)"),1.22474487139158)</f>
        <v>1.2247448713915801</v>
      </c>
      <c r="AF1525" s="77">
        <f t="shared" ca="1" si="256"/>
        <v>0.13608276348795559</v>
      </c>
      <c r="AG1525" s="77">
        <f t="shared" ca="1" si="257"/>
        <v>3</v>
      </c>
      <c r="AH1525" s="76">
        <f t="array" ref="AH1525">AVERAGEIFS($I$2:$I2565,$B$2:$B2565,$B1525,$P$2:$P2565,"&lt;="&amp;$P1525,$P$2:$P2565,"&gt;"&amp;$P1525-7)</f>
        <v>5.125</v>
      </c>
      <c r="AI1525" s="76">
        <f ca="1">IFERROR(__xludf.DUMMYFUNCTION("iferror(stdevp(filter($H$2:$H2568,$B$2:$B2568=$B1528,$O$2:$O2568&lt;=$O1528,$O$2:$O2568&gt;$O1528-7)),0)"),1.08972473588516)</f>
        <v>1.0897247358851601</v>
      </c>
      <c r="AJ1525" s="77">
        <f t="shared" ca="1" si="258"/>
        <v>-0.11470786693528176</v>
      </c>
      <c r="AK1525" s="77">
        <f t="shared" ca="1" si="259"/>
        <v>2</v>
      </c>
      <c r="AL1525" s="76">
        <f t="array" ref="AL1525">AVERAGEIFS($J$2:$J2565,$B$2:$B2565,$B1525,$P$2:$P2565,"&lt;="&amp;$P1525,$P$2:$P2565,"&gt;"&amp;$P1525-7)</f>
        <v>7.125</v>
      </c>
      <c r="AM1525" s="76">
        <f ca="1">IFERROR(__xludf.DUMMYFUNCTION("iferror(stdevp(filter($I$2:$I2568,$B$2:$B2568=$B1528,$O$2:$O2568&lt;=$O1528,$O$2:$O2568&gt;$O1528-7)),0)"),0)</f>
        <v>0</v>
      </c>
      <c r="AN1525" s="77">
        <f t="shared" ca="1" si="260"/>
        <v>0</v>
      </c>
      <c r="AO1525" s="77">
        <f t="shared" ca="1" si="261"/>
        <v>3</v>
      </c>
      <c r="AP1525" s="76">
        <f t="array" ref="AP1525">AVERAGEIFS($K$2:$K2565,$B$2:$B2565,$B1525,$P$2:$P2565,"&lt;="&amp;$P1525,$P$2:$P2565,"&gt;"&amp;$P1525-7)</f>
        <v>7.083333333333333</v>
      </c>
      <c r="AQ1525" s="76">
        <f ca="1">IFERROR(__xludf.DUMMYFUNCTION("iferror(stdevp(filter($J$2:$J2568,$B$2:$B2568=$B1528,$O$2:$O2568&lt;=$O1528,$O$2:$O2568&gt;$O1528-7)),0)"),0.433012701892219)</f>
        <v>0.43301270189221902</v>
      </c>
      <c r="AR1525" s="77">
        <f t="shared" ca="1" si="262"/>
        <v>2.11695098702863</v>
      </c>
      <c r="AS1525" s="77">
        <f t="shared" ca="1" si="263"/>
        <v>4</v>
      </c>
      <c r="AT1525" s="78">
        <f t="shared" ca="1" si="264"/>
        <v>0.75</v>
      </c>
    </row>
    <row r="1526" spans="1:46" ht="12.5" x14ac:dyDescent="0.25">
      <c r="A1526" s="75">
        <v>45012.384817048616</v>
      </c>
      <c r="B1526" s="1" t="s">
        <v>6</v>
      </c>
      <c r="C1526" s="1" t="str">
        <f>INDEX(TBL_Name,MATCH(Table2[[#This Row],[Athlete Name]],listNames,0),2)</f>
        <v>Athlete 2</v>
      </c>
      <c r="D1526" s="1" t="s">
        <v>130</v>
      </c>
      <c r="E1526" s="1">
        <v>9</v>
      </c>
      <c r="F1526" s="1">
        <v>3</v>
      </c>
      <c r="G1526" s="1">
        <v>6</v>
      </c>
      <c r="H1526" s="1" t="s">
        <v>131</v>
      </c>
      <c r="I1526" s="1">
        <v>9</v>
      </c>
      <c r="J1526" s="1">
        <v>10</v>
      </c>
      <c r="K1526" s="1">
        <v>10</v>
      </c>
      <c r="L1526" s="1">
        <v>94</v>
      </c>
      <c r="M1526" s="1" t="e">
        <f t="shared" ref="M1526" ca="1" si="589">_xludf.concat($B1526,$P1526)</f>
        <v>#NAME?</v>
      </c>
      <c r="N1526" s="1" t="e">
        <f t="shared" si="248"/>
        <v>#VALUE!</v>
      </c>
      <c r="O1526" s="1" t="e">
        <f t="shared" ref="O1526" ca="1" si="590">IF($N1526=_xludf.MINIFS($N$2:$N3032,$R$2:$R3032,$R1526),1,
($N1526-_xludf.MINIFS($N$2:$N3032,$R$2:$R3032,$R1526))+1)</f>
        <v>#VALUE!</v>
      </c>
      <c r="P1526" s="13" t="e">
        <f t="shared" si="250"/>
        <v>#VALUE!</v>
      </c>
      <c r="Q1526" s="1" t="str">
        <f>RIGHT(YEAR($A1526),2)-(MONTH($A1526)&lt;=[3]Roster!$K$25)
 &amp;"-"&amp;
 RIGHT(YEAR($A1526),2)+(MONTH($A1526)&gt;=[3]Roster!$K$26)</f>
        <v>22-23</v>
      </c>
      <c r="R1526" s="1" t="e">
        <f>CHOOSE(MONTH($P1526),[3]Roster!$K$9,[3]Roster!$K$10,[3]Roster!$K$11,[3]Roster!$K$12,[3]Roster!$K$13,[3]Roster!$K$14,[3]Roster!$K$15,[3]Roster!$K$16,[3]Roster!$K$17,[3]Roster!$K$18,[3]Roster!$K$19,[3]Roster!$K$20)&amp;" "&amp;$Q1526</f>
        <v>#VALUE!</v>
      </c>
      <c r="S1526" s="1">
        <f t="shared" si="251"/>
        <v>1</v>
      </c>
      <c r="T1526" s="1" t="str">
        <f t="array" ref="T1526">IFERROR(INDEX([3]Roster!$D$3:$D$42,MATCH($B1526,[3]Roster!$C$3:$C$42,0)),"")</f>
        <v>FWD</v>
      </c>
      <c r="U1526" s="1" t="str">
        <f t="array" ref="U1526">IFERROR(INDEX([3]Roster!$E$3:$E$42,MATCH($B1526,[3]Roster!$C$3:$C$42,0)),"")</f>
        <v>FWD</v>
      </c>
      <c r="V1526" s="76">
        <f t="array" ref="V1526">AVERAGEIFS($E$2:$E2565,$B$2:$B2565,$B1526,$P$2:$P2565,"&lt;="&amp;$P1526,$P$2:$P2565,"&gt;"&amp;$P1526-7)</f>
        <v>9.7441860465116275</v>
      </c>
      <c r="W1526" s="76">
        <f ca="1">IFERROR(__xludf.DUMMYFUNCTION("iferror(stdevp(filter($D$2:$D2568,$B$2:$B2568=$B1529,$O$2:$O2568&lt;=$O1529,$O$2:$O2568&gt;$O1529-7)),0)"),0.755928946018454)</f>
        <v>0.75592894601845395</v>
      </c>
      <c r="X1526" s="77">
        <f t="shared" ca="1" si="252"/>
        <v>-0.98446560411705697</v>
      </c>
      <c r="Y1526" s="77">
        <f t="shared" ca="1" si="253"/>
        <v>2</v>
      </c>
      <c r="Z1526" s="76">
        <f t="array" ref="Z1526">AVERAGEIFS($F$2:$F2565,$B$2:$B2565,$B1526,$P$2:$P2565,"&lt;="&amp;$P1526,$P$2:$P2565,"&gt;"&amp;$P1526-7)</f>
        <v>8.279069767441861</v>
      </c>
      <c r="AA1526" s="76">
        <f ca="1">IFERROR(__xludf.DUMMYFUNCTION("iferror(stdevp(filter($E$2:$E2568,$B$2:$B2568=$B1529,$O$2:$O2568&lt;=$O1529,$O$2:$O2568&gt;$O1529-7)),0)"),0.832993127835043)</f>
        <v>0.83299312783504298</v>
      </c>
      <c r="AB1526" s="77">
        <f t="shared" ca="1" si="254"/>
        <v>-6.3374709718941062</v>
      </c>
      <c r="AC1526" s="77">
        <f t="shared" ca="1" si="255"/>
        <v>1</v>
      </c>
      <c r="AD1526" s="76">
        <f t="array" ref="AD1526">AVERAGEIFS($G$2:$G2565,$B$2:$B2565,$B1526,$P$2:$P2565,"&lt;="&amp;$P1526,$P$2:$P2565,"&gt;"&amp;$P1526-7)</f>
        <v>8.604651162790697</v>
      </c>
      <c r="AE1526" s="76">
        <f ca="1">IFERROR(__xludf.DUMMYFUNCTION("iferror(stdevp(filter($F$2:$F2568,$B$2:$B2568=$B1529,$O$2:$O2568&lt;=$O1529,$O$2:$O2568&gt;$O1529-7)),0)"),1.49829835452878)</f>
        <v>1.49829835452878</v>
      </c>
      <c r="AF1526" s="77">
        <f t="shared" ca="1" si="256"/>
        <v>-1.7384062092291817</v>
      </c>
      <c r="AG1526" s="77">
        <f t="shared" ca="1" si="257"/>
        <v>1</v>
      </c>
      <c r="AH1526" s="76">
        <f t="array" ref="AH1526">AVERAGEIFS($I$2:$I2565,$B$2:$B2565,$B1526,$P$2:$P2565,"&lt;="&amp;$P1526,$P$2:$P2565,"&gt;"&amp;$P1526-7)</f>
        <v>8.3488372093023262</v>
      </c>
      <c r="AI1526" s="76">
        <f ca="1">IFERROR(__xludf.DUMMYFUNCTION("iferror(stdevp(filter($H$2:$H2568,$B$2:$B2568=$B1529,$O$2:$O2568&lt;=$O1529,$O$2:$O2568&gt;$O1529-7)),0)"),0.451753951452625)</f>
        <v>0.45175395145262498</v>
      </c>
      <c r="AJ1526" s="77">
        <f t="shared" ca="1" si="258"/>
        <v>1.4414102823093085</v>
      </c>
      <c r="AK1526" s="77">
        <f t="shared" ca="1" si="259"/>
        <v>4</v>
      </c>
      <c r="AL1526" s="76">
        <f t="array" ref="AL1526">AVERAGEIFS($J$2:$J2565,$B$2:$B2565,$B1526,$P$2:$P2565,"&lt;="&amp;$P1526,$P$2:$P2565,"&gt;"&amp;$P1526-7)</f>
        <v>8.3023255813953494</v>
      </c>
      <c r="AM1526" s="76">
        <f ca="1">IFERROR(__xludf.DUMMYFUNCTION("iferror(stdevp(filter($I$2:$I2568,$B$2:$B2568=$B1529,$O$2:$O2568&lt;=$O1529,$O$2:$O2568&gt;$O1529-7)),0)"),0)</f>
        <v>0</v>
      </c>
      <c r="AN1526" s="77">
        <f t="shared" ca="1" si="260"/>
        <v>0</v>
      </c>
      <c r="AO1526" s="77">
        <f t="shared" ca="1" si="261"/>
        <v>3</v>
      </c>
      <c r="AP1526" s="76">
        <f t="array" ref="AP1526">AVERAGEIFS($K$2:$K2565,$B$2:$B2565,$B1526,$P$2:$P2565,"&lt;="&amp;$P1526,$P$2:$P2565,"&gt;"&amp;$P1526-7)</f>
        <v>8.9069767441860463</v>
      </c>
      <c r="AQ1526" s="76">
        <f ca="1">IFERROR(__xludf.DUMMYFUNCTION("iferror(stdevp(filter($J$2:$J2568,$B$2:$B2568=$B1529,$O$2:$O2568&lt;=$O1529,$O$2:$O2568&gt;$O1529-7)),0)"),0)</f>
        <v>0</v>
      </c>
      <c r="AR1526" s="77">
        <f t="shared" ca="1" si="262"/>
        <v>0</v>
      </c>
      <c r="AS1526" s="77">
        <f t="shared" ca="1" si="263"/>
        <v>3</v>
      </c>
      <c r="AT1526" s="78">
        <f t="shared" ca="1" si="264"/>
        <v>0.58333333333333337</v>
      </c>
    </row>
    <row r="1527" spans="1:46" ht="12.5" x14ac:dyDescent="0.25">
      <c r="A1527" s="75">
        <v>45012.433300115736</v>
      </c>
      <c r="B1527" s="1" t="s">
        <v>13</v>
      </c>
      <c r="C1527" s="1" t="str">
        <f>INDEX(TBL_Name,MATCH(Table2[[#This Row],[Athlete Name]],listNames,0),2)</f>
        <v>Athlete 7</v>
      </c>
      <c r="D1527" s="1" t="s">
        <v>130</v>
      </c>
      <c r="E1527" s="1">
        <v>8</v>
      </c>
      <c r="F1527" s="1">
        <v>10</v>
      </c>
      <c r="G1527" s="1">
        <v>7</v>
      </c>
      <c r="H1527" s="1" t="s">
        <v>208</v>
      </c>
      <c r="I1527" s="1">
        <v>7</v>
      </c>
      <c r="J1527" s="1">
        <v>10</v>
      </c>
      <c r="K1527" s="1">
        <v>7</v>
      </c>
      <c r="L1527" s="1">
        <v>70</v>
      </c>
      <c r="M1527" s="1" t="e">
        <f t="shared" ref="M1527" ca="1" si="591">_xludf.concat($B1527,$P1527)</f>
        <v>#NAME?</v>
      </c>
      <c r="N1527" s="1" t="e">
        <f t="shared" si="248"/>
        <v>#VALUE!</v>
      </c>
      <c r="O1527" s="1" t="e">
        <f t="shared" ref="O1527" ca="1" si="592">IF($N1527=_xludf.MINIFS($N$2:$N3033,$R$2:$R3033,$R1527),1,
($N1527-_xludf.MINIFS($N$2:$N3033,$R$2:$R3033,$R1527))+1)</f>
        <v>#VALUE!</v>
      </c>
      <c r="P1527" s="13" t="e">
        <f t="shared" si="250"/>
        <v>#VALUE!</v>
      </c>
      <c r="Q1527" s="1" t="str">
        <f>RIGHT(YEAR($A1527),2)-(MONTH($A1527)&lt;=[3]Roster!$K$25)
 &amp;"-"&amp;
 RIGHT(YEAR($A1527),2)+(MONTH($A1527)&gt;=[3]Roster!$K$26)</f>
        <v>22-23</v>
      </c>
      <c r="R1527" s="1" t="e">
        <f>CHOOSE(MONTH($P1527),[3]Roster!$K$9,[3]Roster!$K$10,[3]Roster!$K$11,[3]Roster!$K$12,[3]Roster!$K$13,[3]Roster!$K$14,[3]Roster!$K$15,[3]Roster!$K$16,[3]Roster!$K$17,[3]Roster!$K$18,[3]Roster!$K$19,[3]Roster!$K$20)&amp;" "&amp;$Q1527</f>
        <v>#VALUE!</v>
      </c>
      <c r="S1527" s="1">
        <f t="shared" si="251"/>
        <v>1</v>
      </c>
      <c r="T1527" s="1" t="str">
        <f t="array" ref="T1527">IFERROR(INDEX([3]Roster!$D$3:$D$42,MATCH($B1527,[3]Roster!$C$3:$C$42,0)),"")</f>
        <v>MID/D</v>
      </c>
      <c r="U1527" s="1" t="str">
        <f t="array" ref="U1527">IFERROR(INDEX([3]Roster!$E$3:$E$42,MATCH($B1527,[3]Roster!$C$3:$C$42,0)),"")</f>
        <v>MID/D</v>
      </c>
      <c r="V1527" s="76">
        <f t="array" ref="V1527">AVERAGEIFS($E$2:$E2565,$B$2:$B2565,$B1527,$P$2:$P2565,"&lt;="&amp;$P1527,$P$2:$P2565,"&gt;"&amp;$P1527-7)</f>
        <v>7.6857142857142859</v>
      </c>
      <c r="W1527" s="76">
        <f ca="1">IFERROR(__xludf.DUMMYFUNCTION("iferror(stdevp(filter($D$2:$D2568,$B$2:$B2568=$B1530,$O$2:$O2568&lt;=$O1530,$O$2:$O2568&gt;$O1530-7)),0)"),0.799999999999999)</f>
        <v>0.79999999999999905</v>
      </c>
      <c r="X1527" s="77">
        <f t="shared" ca="1" si="252"/>
        <v>0.39285714285714302</v>
      </c>
      <c r="Y1527" s="77">
        <f t="shared" ca="1" si="253"/>
        <v>3</v>
      </c>
      <c r="Z1527" s="76">
        <f t="array" ref="Z1527">AVERAGEIFS($F$2:$F2565,$B$2:$B2565,$B1527,$P$2:$P2565,"&lt;="&amp;$P1527,$P$2:$P2565,"&gt;"&amp;$P1527-7)</f>
        <v>7.0857142857142854</v>
      </c>
      <c r="AA1527" s="76">
        <f ca="1">IFERROR(__xludf.DUMMYFUNCTION("iferror(stdevp(filter($E$2:$E2568,$B$2:$B2568=$B1530,$O$2:$O2568&lt;=$O1530,$O$2:$O2568&gt;$O1530-7)),0)"),2)</f>
        <v>2</v>
      </c>
      <c r="AB1527" s="77">
        <f t="shared" ca="1" si="254"/>
        <v>1.4571428571428573</v>
      </c>
      <c r="AC1527" s="77">
        <f t="shared" ca="1" si="255"/>
        <v>4</v>
      </c>
      <c r="AD1527" s="76">
        <f t="array" ref="AD1527">AVERAGEIFS($G$2:$G2565,$B$2:$B2565,$B1527,$P$2:$P2565,"&lt;="&amp;$P1527,$P$2:$P2565,"&gt;"&amp;$P1527-7)</f>
        <v>7.1428571428571432</v>
      </c>
      <c r="AE1527" s="76">
        <f ca="1">IFERROR(__xludf.DUMMYFUNCTION("iferror(stdevp(filter($F$2:$F2568,$B$2:$B2568=$B1530,$O$2:$O2568&lt;=$O1530,$O$2:$O2568&gt;$O1530-7)),0)"),0.748331477354788)</f>
        <v>0.748331477354788</v>
      </c>
      <c r="AF1527" s="77">
        <f t="shared" ca="1" si="256"/>
        <v>-0.1909008870803037</v>
      </c>
      <c r="AG1527" s="77">
        <f t="shared" ca="1" si="257"/>
        <v>2</v>
      </c>
      <c r="AH1527" s="76">
        <f t="array" ref="AH1527">AVERAGEIFS($I$2:$I2565,$B$2:$B2565,$B1527,$P$2:$P2565,"&lt;="&amp;$P1527,$P$2:$P2565,"&gt;"&amp;$P1527-7)</f>
        <v>7.0285714285714285</v>
      </c>
      <c r="AI1527" s="76">
        <f ca="1">IFERROR(__xludf.DUMMYFUNCTION("iferror(stdevp(filter($H$2:$H2568,$B$2:$B2568=$B1530,$O$2:$O2568&lt;=$O1530,$O$2:$O2568&gt;$O1530-7)),0)"),0)</f>
        <v>0</v>
      </c>
      <c r="AJ1527" s="77">
        <f t="shared" ca="1" si="258"/>
        <v>0</v>
      </c>
      <c r="AK1527" s="77">
        <f t="shared" ca="1" si="259"/>
        <v>3</v>
      </c>
      <c r="AL1527" s="76">
        <f t="array" ref="AL1527">AVERAGEIFS($J$2:$J2565,$B$2:$B2565,$B1527,$P$2:$P2565,"&lt;="&amp;$P1527,$P$2:$P2565,"&gt;"&amp;$P1527-7)</f>
        <v>9.742857142857142</v>
      </c>
      <c r="AM1527" s="76">
        <f ca="1">IFERROR(__xludf.DUMMYFUNCTION("iferror(stdevp(filter($I$2:$I2568,$B$2:$B2568=$B1530,$O$2:$O2568&lt;=$O1530,$O$2:$O2568&gt;$O1530-7)),0)"),0)</f>
        <v>0</v>
      </c>
      <c r="AN1527" s="77">
        <f t="shared" ca="1" si="260"/>
        <v>0</v>
      </c>
      <c r="AO1527" s="77">
        <f t="shared" ca="1" si="261"/>
        <v>3</v>
      </c>
      <c r="AP1527" s="76">
        <f t="array" ref="AP1527">AVERAGEIFS($K$2:$K2565,$B$2:$B2565,$B1527,$P$2:$P2565,"&lt;="&amp;$P1527,$P$2:$P2565,"&gt;"&amp;$P1527-7)</f>
        <v>9.4285714285714288</v>
      </c>
      <c r="AQ1527" s="76">
        <f ca="1">IFERROR(__xludf.DUMMYFUNCTION("iferror(stdevp(filter($J$2:$J2568,$B$2:$B2568=$B1530,$O$2:$O2568&lt;=$O1530,$O$2:$O2568&gt;$O1530-7)),0)"),1.26491106406735)</f>
        <v>1.26491106406735</v>
      </c>
      <c r="AR1527" s="77">
        <f t="shared" ca="1" si="262"/>
        <v>-1.9199542936736618</v>
      </c>
      <c r="AS1527" s="77">
        <f t="shared" ca="1" si="263"/>
        <v>1</v>
      </c>
      <c r="AT1527" s="78">
        <f t="shared" ca="1" si="264"/>
        <v>0.66666666666666663</v>
      </c>
    </row>
    <row r="1528" spans="1:46" ht="12.5" x14ac:dyDescent="0.25">
      <c r="A1528" s="75">
        <v>45012.452595949071</v>
      </c>
      <c r="B1528" s="1" t="s">
        <v>15</v>
      </c>
      <c r="C1528" s="1" t="str">
        <f>INDEX(TBL_Name,MATCH(Table2[[#This Row],[Athlete Name]],listNames,0),2)</f>
        <v>Athlete 8</v>
      </c>
      <c r="D1528" s="1" t="s">
        <v>130</v>
      </c>
      <c r="E1528" s="1">
        <v>10</v>
      </c>
      <c r="F1528" s="1">
        <v>10</v>
      </c>
      <c r="G1528" s="1">
        <v>7</v>
      </c>
      <c r="H1528" s="1" t="s">
        <v>228</v>
      </c>
      <c r="I1528" s="1">
        <v>10</v>
      </c>
      <c r="J1528" s="1">
        <v>10</v>
      </c>
      <c r="K1528" s="1">
        <v>10</v>
      </c>
      <c r="L1528" s="1">
        <v>92</v>
      </c>
      <c r="M1528" s="1" t="e">
        <f t="shared" ref="M1528" ca="1" si="593">_xludf.concat($B1528,$P1528)</f>
        <v>#NAME?</v>
      </c>
      <c r="N1528" s="1" t="e">
        <f t="shared" si="248"/>
        <v>#VALUE!</v>
      </c>
      <c r="O1528" s="1" t="e">
        <f t="shared" ref="O1528" ca="1" si="594">IF($N1528=_xludf.MINIFS($N$2:$N3034,$R$2:$R3034,$R1528),1,
($N1528-_xludf.MINIFS($N$2:$N3034,$R$2:$R3034,$R1528))+1)</f>
        <v>#VALUE!</v>
      </c>
      <c r="P1528" s="13" t="e">
        <f t="shared" si="250"/>
        <v>#VALUE!</v>
      </c>
      <c r="Q1528" s="1" t="str">
        <f>RIGHT(YEAR($A1528),2)-(MONTH($A1528)&lt;=[3]Roster!$K$25)
 &amp;"-"&amp;
 RIGHT(YEAR($A1528),2)+(MONTH($A1528)&gt;=[3]Roster!$K$26)</f>
        <v>22-23</v>
      </c>
      <c r="R1528" s="1" t="e">
        <f>CHOOSE(MONTH($P1528),[3]Roster!$K$9,[3]Roster!$K$10,[3]Roster!$K$11,[3]Roster!$K$12,[3]Roster!$K$13,[3]Roster!$K$14,[3]Roster!$K$15,[3]Roster!$K$16,[3]Roster!$K$17,[3]Roster!$K$18,[3]Roster!$K$19,[3]Roster!$K$20)&amp;" "&amp;$Q1528</f>
        <v>#VALUE!</v>
      </c>
      <c r="S1528" s="1">
        <f t="shared" si="251"/>
        <v>1</v>
      </c>
      <c r="T1528" s="1" t="str">
        <f t="array" ref="T1528">IFERROR(INDEX([3]Roster!$D$3:$D$42,MATCH($B1528,[3]Roster!$C$3:$C$42,0)),"")</f>
        <v>MID/D</v>
      </c>
      <c r="U1528" s="1" t="str">
        <f t="array" ref="U1528">IFERROR(INDEX([3]Roster!$E$3:$E$42,MATCH($B1528,[3]Roster!$C$3:$C$42,0)),"")</f>
        <v>MID/D</v>
      </c>
      <c r="V1528" s="76">
        <f t="array" ref="V1528">AVERAGEIFS($E$2:$E2565,$B$2:$B2565,$B1528,$P$2:$P2565,"&lt;="&amp;$P1528,$P$2:$P2565,"&gt;"&amp;$P1528-7)</f>
        <v>8.935483870967742</v>
      </c>
      <c r="W1528" s="76">
        <f ca="1">IFERROR(__xludf.DUMMYFUNCTION("iferror(stdevp(filter($D$2:$D2568,$B$2:$B2568=$B1531,$O$2:$O2568&lt;=$O1531,$O$2:$O2568&gt;$O1531-7)),0)"),0)</f>
        <v>0</v>
      </c>
      <c r="X1528" s="77">
        <f t="shared" ca="1" si="252"/>
        <v>0</v>
      </c>
      <c r="Y1528" s="77">
        <f t="shared" ca="1" si="253"/>
        <v>3</v>
      </c>
      <c r="Z1528" s="76">
        <f t="array" ref="Z1528">AVERAGEIFS($F$2:$F2565,$B$2:$B2565,$B1528,$P$2:$P2565,"&lt;="&amp;$P1528,$P$2:$P2565,"&gt;"&amp;$P1528-7)</f>
        <v>8.741935483870968</v>
      </c>
      <c r="AA1528" s="76">
        <f ca="1">IFERROR(__xludf.DUMMYFUNCTION("iferror(stdevp(filter($E$2:$E2568,$B$2:$B2568=$B1531,$O$2:$O2568&lt;=$O1531,$O$2:$O2568&gt;$O1531-7)),0)"),0.82915619758885)</f>
        <v>0.82915619758884995</v>
      </c>
      <c r="AB1528" s="77">
        <f t="shared" ca="1" si="254"/>
        <v>1.5172828952945521</v>
      </c>
      <c r="AC1528" s="77">
        <f t="shared" ca="1" si="255"/>
        <v>4</v>
      </c>
      <c r="AD1528" s="76">
        <f t="array" ref="AD1528">AVERAGEIFS($G$2:$G2565,$B$2:$B2565,$B1528,$P$2:$P2565,"&lt;="&amp;$P1528,$P$2:$P2565,"&gt;"&amp;$P1528-7)</f>
        <v>7.32258064516129</v>
      </c>
      <c r="AE1528" s="76">
        <f ca="1">IFERROR(__xludf.DUMMYFUNCTION("iferror(stdevp(filter($F$2:$F2568,$B$2:$B2568=$B1531,$O$2:$O2568&lt;=$O1531,$O$2:$O2568&gt;$O1531-7)),0)"),0.5)</f>
        <v>0.5</v>
      </c>
      <c r="AF1528" s="77">
        <f t="shared" ca="1" si="256"/>
        <v>-0.64516129032258007</v>
      </c>
      <c r="AG1528" s="77">
        <f t="shared" ca="1" si="257"/>
        <v>2</v>
      </c>
      <c r="AH1528" s="76">
        <f t="array" ref="AH1528">AVERAGEIFS($I$2:$I2565,$B$2:$B2565,$B1528,$P$2:$P2565,"&lt;="&amp;$P1528,$P$2:$P2565,"&gt;"&amp;$P1528-7)</f>
        <v>6.419354838709677</v>
      </c>
      <c r="AI1528" s="76">
        <f ca="1">IFERROR(__xludf.DUMMYFUNCTION("iferror(stdevp(filter($H$2:$H2568,$B$2:$B2568=$B1531,$O$2:$O2568&lt;=$O1531,$O$2:$O2568&gt;$O1531-7)),0)"),1.6393596310755)</f>
        <v>1.6393596310755001</v>
      </c>
      <c r="AJ1528" s="77">
        <f t="shared" ca="1" si="258"/>
        <v>2.1841730718605317</v>
      </c>
      <c r="AK1528" s="77">
        <f t="shared" ca="1" si="259"/>
        <v>4</v>
      </c>
      <c r="AL1528" s="76">
        <f t="array" ref="AL1528">AVERAGEIFS($J$2:$J2565,$B$2:$B2565,$B1528,$P$2:$P2565,"&lt;="&amp;$P1528,$P$2:$P2565,"&gt;"&amp;$P1528-7)</f>
        <v>9.612903225806452</v>
      </c>
      <c r="AM1528" s="76">
        <f ca="1">IFERROR(__xludf.DUMMYFUNCTION("iferror(stdevp(filter($I$2:$I2568,$B$2:$B2568=$B1531,$O$2:$O2568&lt;=$O1531,$O$2:$O2568&gt;$O1531-7)),0)"),0)</f>
        <v>0</v>
      </c>
      <c r="AN1528" s="77">
        <f t="shared" ca="1" si="260"/>
        <v>0</v>
      </c>
      <c r="AO1528" s="77">
        <f t="shared" ca="1" si="261"/>
        <v>3</v>
      </c>
      <c r="AP1528" s="76">
        <f t="array" ref="AP1528">AVERAGEIFS($K$2:$K2565,$B$2:$B2565,$B1528,$P$2:$P2565,"&lt;="&amp;$P1528,$P$2:$P2565,"&gt;"&amp;$P1528-7)</f>
        <v>10</v>
      </c>
      <c r="AQ1528" s="76">
        <f ca="1">IFERROR(__xludf.DUMMYFUNCTION("iferror(stdevp(filter($J$2:$J2568,$B$2:$B2568=$B1531,$O$2:$O2568&lt;=$O1531,$O$2:$O2568&gt;$O1531-7)),0)"),0)</f>
        <v>0</v>
      </c>
      <c r="AR1528" s="77">
        <f t="shared" ca="1" si="262"/>
        <v>0</v>
      </c>
      <c r="AS1528" s="77">
        <f t="shared" ca="1" si="263"/>
        <v>3</v>
      </c>
      <c r="AT1528" s="78">
        <f t="shared" ca="1" si="264"/>
        <v>0.79166666666666663</v>
      </c>
    </row>
    <row r="1529" spans="1:46" ht="12.5" x14ac:dyDescent="0.25">
      <c r="A1529" s="75">
        <v>45012.464538865737</v>
      </c>
      <c r="B1529" s="1" t="s">
        <v>21</v>
      </c>
      <c r="C1529" s="1" t="str">
        <f>INDEX(TBL_Name,MATCH(Table2[[#This Row],[Athlete Name]],listNames,0),2)</f>
        <v>Athlete 13</v>
      </c>
      <c r="D1529" s="1" t="s">
        <v>130</v>
      </c>
      <c r="E1529" s="1">
        <v>5</v>
      </c>
      <c r="F1529" s="1">
        <v>9</v>
      </c>
      <c r="G1529" s="1">
        <v>9</v>
      </c>
      <c r="H1529" s="1" t="s">
        <v>1194</v>
      </c>
      <c r="I1529" s="1">
        <v>5</v>
      </c>
      <c r="J1529" s="1">
        <v>7</v>
      </c>
      <c r="K1529" s="1">
        <v>7</v>
      </c>
      <c r="L1529" s="1">
        <v>75</v>
      </c>
      <c r="M1529" s="1" t="e">
        <f t="shared" ref="M1529" ca="1" si="595">_xludf.concat($B1529,$P1529)</f>
        <v>#NAME?</v>
      </c>
      <c r="N1529" s="1" t="e">
        <f t="shared" si="248"/>
        <v>#VALUE!</v>
      </c>
      <c r="O1529" s="1" t="e">
        <f t="shared" ref="O1529" ca="1" si="596">IF($N1529=_xludf.MINIFS($N$2:$N3035,$R$2:$R3035,$R1529),1,
($N1529-_xludf.MINIFS($N$2:$N3035,$R$2:$R3035,$R1529))+1)</f>
        <v>#VALUE!</v>
      </c>
      <c r="P1529" s="13" t="e">
        <f t="shared" si="250"/>
        <v>#VALUE!</v>
      </c>
      <c r="Q1529" s="1" t="str">
        <f>RIGHT(YEAR($A1529),2)-(MONTH($A1529)&lt;=[3]Roster!$K$25)
 &amp;"-"&amp;
 RIGHT(YEAR($A1529),2)+(MONTH($A1529)&gt;=[3]Roster!$K$26)</f>
        <v>22-23</v>
      </c>
      <c r="R1529" s="1" t="e">
        <f>CHOOSE(MONTH($P1529),[3]Roster!$K$9,[3]Roster!$K$10,[3]Roster!$K$11,[3]Roster!$K$12,[3]Roster!$K$13,[3]Roster!$K$14,[3]Roster!$K$15,[3]Roster!$K$16,[3]Roster!$K$17,[3]Roster!$K$18,[3]Roster!$K$19,[3]Roster!$K$20)&amp;" "&amp;$Q1529</f>
        <v>#VALUE!</v>
      </c>
      <c r="S1529" s="1">
        <f t="shared" si="251"/>
        <v>1</v>
      </c>
      <c r="T1529" s="1" t="str">
        <f t="array" ref="T1529">IFERROR(INDEX([3]Roster!$D$3:$D$42,MATCH($B1529,[3]Roster!$C$3:$C$42,0)),"")</f>
        <v>D</v>
      </c>
      <c r="U1529" s="1" t="str">
        <f t="array" ref="U1529">IFERROR(INDEX([3]Roster!$E$3:$E$42,MATCH($B1529,[3]Roster!$C$3:$C$42,0)),"")</f>
        <v>D</v>
      </c>
      <c r="V1529" s="76">
        <f t="array" ref="V1529">AVERAGEIFS($E$2:$E2565,$B$2:$B2565,$B1529,$P$2:$P2565,"&lt;="&amp;$P1529,$P$2:$P2565,"&gt;"&amp;$P1529-7)</f>
        <v>6.6304347826086953</v>
      </c>
      <c r="W1529" s="76">
        <f ca="1">IFERROR(__xludf.DUMMYFUNCTION("iferror(stdevp(filter($D$2:$D2568,$B$2:$B2568=$B1532,$O$2:$O2568&lt;=$O1532,$O$2:$O2568&gt;$O1532-7)),0)"),0.816496580927726)</f>
        <v>0.81649658092772603</v>
      </c>
      <c r="X1529" s="77">
        <f t="shared" ca="1" si="252"/>
        <v>-1.9968666381384601</v>
      </c>
      <c r="Y1529" s="77">
        <f t="shared" ca="1" si="253"/>
        <v>1</v>
      </c>
      <c r="Z1529" s="76">
        <f t="array" ref="Z1529">AVERAGEIFS($F$2:$F2565,$B$2:$B2565,$B1529,$P$2:$P2565,"&lt;="&amp;$P1529,$P$2:$P2565,"&gt;"&amp;$P1529-7)</f>
        <v>7.6956521739130439</v>
      </c>
      <c r="AA1529" s="76">
        <f ca="1">IFERROR(__xludf.DUMMYFUNCTION("iferror(stdevp(filter($E$2:$E2568,$B$2:$B2568=$B1532,$O$2:$O2568&lt;=$O1532,$O$2:$O2568&gt;$O1532-7)),0)"),0.89752746785575)</f>
        <v>0.89752746785574999</v>
      </c>
      <c r="AB1529" s="77">
        <f t="shared" ca="1" si="254"/>
        <v>1.4532678639943195</v>
      </c>
      <c r="AC1529" s="77">
        <f t="shared" ca="1" si="255"/>
        <v>4</v>
      </c>
      <c r="AD1529" s="76">
        <f t="array" ref="AD1529">AVERAGEIFS($G$2:$G2565,$B$2:$B2565,$B1529,$P$2:$P2565,"&lt;="&amp;$P1529,$P$2:$P2565,"&gt;"&amp;$P1529-7)</f>
        <v>8.2608695652173907</v>
      </c>
      <c r="AE1529" s="76">
        <f ca="1">IFERROR(__xludf.DUMMYFUNCTION("iferror(stdevp(filter($F$2:$F2568,$B$2:$B2568=$B1532,$O$2:$O2568&lt;=$O1532,$O$2:$O2568&gt;$O1532-7)),0)"),0.372677996249964)</f>
        <v>0.37267799624996401</v>
      </c>
      <c r="AF1529" s="77">
        <f t="shared" ca="1" si="256"/>
        <v>1.9832950756954724</v>
      </c>
      <c r="AG1529" s="77">
        <f t="shared" ca="1" si="257"/>
        <v>4</v>
      </c>
      <c r="AH1529" s="76">
        <f t="array" ref="AH1529">AVERAGEIFS($I$2:$I2565,$B$2:$B2565,$B1529,$P$2:$P2565,"&lt;="&amp;$P1529,$P$2:$P2565,"&gt;"&amp;$P1529-7)</f>
        <v>5.7391304347826084</v>
      </c>
      <c r="AI1529" s="76">
        <f ca="1">IFERROR(__xludf.DUMMYFUNCTION("iferror(stdevp(filter($H$2:$H2568,$B$2:$B2568=$B1532,$O$2:$O2568&lt;=$O1532,$O$2:$O2568&gt;$O1532-7)),0)"),0.372677996249964)</f>
        <v>0.37267799624996401</v>
      </c>
      <c r="AJ1529" s="77">
        <f t="shared" ca="1" si="258"/>
        <v>-1.9832950756954699</v>
      </c>
      <c r="AK1529" s="77">
        <f t="shared" ca="1" si="259"/>
        <v>1</v>
      </c>
      <c r="AL1529" s="76">
        <f t="array" ref="AL1529">AVERAGEIFS($J$2:$J2565,$B$2:$B2565,$B1529,$P$2:$P2565,"&lt;="&amp;$P1529,$P$2:$P2565,"&gt;"&amp;$P1529-7)</f>
        <v>6.5434782608695654</v>
      </c>
      <c r="AM1529" s="76">
        <f ca="1">IFERROR(__xludf.DUMMYFUNCTION("iferror(stdevp(filter($I$2:$I2568,$B$2:$B2568=$B1532,$O$2:$O2568&lt;=$O1532,$O$2:$O2568&gt;$O1532-7)),0)"),0.687184270936276)</f>
        <v>0.68718427093627599</v>
      </c>
      <c r="AN1529" s="77">
        <f t="shared" ca="1" si="260"/>
        <v>0.66433671205604294</v>
      </c>
      <c r="AO1529" s="77">
        <f t="shared" ca="1" si="261"/>
        <v>3</v>
      </c>
      <c r="AP1529" s="76">
        <f t="array" ref="AP1529">AVERAGEIFS($K$2:$K2565,$B$2:$B2565,$B1529,$P$2:$P2565,"&lt;="&amp;$P1529,$P$2:$P2565,"&gt;"&amp;$P1529-7)</f>
        <v>6.6086956521739131</v>
      </c>
      <c r="AQ1529" s="76">
        <f ca="1">IFERROR(__xludf.DUMMYFUNCTION("iferror(stdevp(filter($J$2:$J2568,$B$2:$B2568=$B1532,$O$2:$O2568&lt;=$O1532,$O$2:$O2568&gt;$O1532-7)),0)"),0.687184270936276)</f>
        <v>0.68718427093627599</v>
      </c>
      <c r="AR1529" s="77">
        <f t="shared" ca="1" si="262"/>
        <v>0.56943146747660844</v>
      </c>
      <c r="AS1529" s="77">
        <f t="shared" ca="1" si="263"/>
        <v>3</v>
      </c>
      <c r="AT1529" s="78">
        <f t="shared" ca="1" si="264"/>
        <v>0.66666666666666663</v>
      </c>
    </row>
    <row r="1530" spans="1:46" ht="12.5" x14ac:dyDescent="0.25">
      <c r="A1530" s="75">
        <v>45012.471306041669</v>
      </c>
      <c r="B1530" s="1" t="s">
        <v>19</v>
      </c>
      <c r="C1530" s="1" t="str">
        <f>INDEX(TBL_Name,MATCH(Table2[[#This Row],[Athlete Name]],listNames,0),2)</f>
        <v>Athlete 11</v>
      </c>
      <c r="D1530" s="1" t="s">
        <v>130</v>
      </c>
      <c r="E1530" s="1">
        <v>3</v>
      </c>
      <c r="F1530" s="1">
        <v>4</v>
      </c>
      <c r="G1530" s="1">
        <v>6</v>
      </c>
      <c r="H1530" s="1" t="s">
        <v>1640</v>
      </c>
      <c r="I1530" s="1">
        <v>2</v>
      </c>
      <c r="J1530" s="1">
        <v>6</v>
      </c>
      <c r="K1530" s="1">
        <v>6</v>
      </c>
      <c r="L1530" s="1">
        <v>36</v>
      </c>
      <c r="M1530" s="1" t="e">
        <f t="shared" ref="M1530" ca="1" si="597">_xludf.concat($B1530,$P1530)</f>
        <v>#NAME?</v>
      </c>
      <c r="N1530" s="1" t="e">
        <f t="shared" si="248"/>
        <v>#VALUE!</v>
      </c>
      <c r="O1530" s="1" t="e">
        <f t="shared" ref="O1530" ca="1" si="598">IF($N1530=_xludf.MINIFS($N$2:$N3036,$R$2:$R3036,$R1530),1,
($N1530-_xludf.MINIFS($N$2:$N3036,$R$2:$R3036,$R1530))+1)</f>
        <v>#VALUE!</v>
      </c>
      <c r="P1530" s="13" t="e">
        <f t="shared" si="250"/>
        <v>#VALUE!</v>
      </c>
      <c r="Q1530" s="1" t="str">
        <f>RIGHT(YEAR($A1530),2)-(MONTH($A1530)&lt;=[3]Roster!$K$25)
 &amp;"-"&amp;
 RIGHT(YEAR($A1530),2)+(MONTH($A1530)&gt;=[3]Roster!$K$26)</f>
        <v>22-23</v>
      </c>
      <c r="R1530" s="1" t="e">
        <f>CHOOSE(MONTH($P1530),[3]Roster!$K$9,[3]Roster!$K$10,[3]Roster!$K$11,[3]Roster!$K$12,[3]Roster!$K$13,[3]Roster!$K$14,[3]Roster!$K$15,[3]Roster!$K$16,[3]Roster!$K$17,[3]Roster!$K$18,[3]Roster!$K$19,[3]Roster!$K$20)&amp;" "&amp;$Q1530</f>
        <v>#VALUE!</v>
      </c>
      <c r="S1530" s="1">
        <f t="shared" si="251"/>
        <v>1</v>
      </c>
      <c r="T1530" s="1" t="str">
        <f t="array" ref="T1530">IFERROR(INDEX([3]Roster!$D$3:$D$42,MATCH($B1530,[3]Roster!$C$3:$C$42,0)),"")</f>
        <v>D</v>
      </c>
      <c r="U1530" s="1" t="str">
        <f t="array" ref="U1530">IFERROR(INDEX([3]Roster!$E$3:$E$42,MATCH($B1530,[3]Roster!$C$3:$C$42,0)),"")</f>
        <v>D</v>
      </c>
      <c r="V1530" s="76">
        <f t="array" ref="V1530">AVERAGEIFS($E$2:$E2565,$B$2:$B2565,$B1530,$P$2:$P2565,"&lt;="&amp;$P1530,$P$2:$P2565,"&gt;"&amp;$P1530-7)</f>
        <v>4.6538461538461542</v>
      </c>
      <c r="W1530" s="76">
        <f ca="1">IFERROR(__xludf.DUMMYFUNCTION("iferror(stdevp(filter($D$2:$D2568,$B$2:$B2568=$B1533,$O$2:$O2568&lt;=$O1533,$O$2:$O2568&gt;$O1533-7)),0)"),0.816496580927726)</f>
        <v>0.81649658092772603</v>
      </c>
      <c r="X1530" s="77">
        <f t="shared" ca="1" si="252"/>
        <v>-2.0255395949937824</v>
      </c>
      <c r="Y1530" s="77">
        <f t="shared" ca="1" si="253"/>
        <v>1</v>
      </c>
      <c r="Z1530" s="76">
        <f t="array" ref="Z1530">AVERAGEIFS($F$2:$F2565,$B$2:$B2565,$B1530,$P$2:$P2565,"&lt;="&amp;$P1530,$P$2:$P2565,"&gt;"&amp;$P1530-7)</f>
        <v>6.8461538461538458</v>
      </c>
      <c r="AA1530" s="76">
        <f ca="1">IFERROR(__xludf.DUMMYFUNCTION("iferror(stdevp(filter($E$2:$E2568,$B$2:$B2568=$B1533,$O$2:$O2568&lt;=$O1533,$O$2:$O2568&gt;$O1533-7)),0)"),2.16024689946928)</f>
        <v>2.1602468994692798</v>
      </c>
      <c r="AB1530" s="77">
        <f t="shared" ca="1" si="254"/>
        <v>-1.3175132189070966</v>
      </c>
      <c r="AC1530" s="77">
        <f t="shared" ca="1" si="255"/>
        <v>1</v>
      </c>
      <c r="AD1530" s="76">
        <f t="array" ref="AD1530">AVERAGEIFS($G$2:$G2565,$B$2:$B2565,$B1530,$P$2:$P2565,"&lt;="&amp;$P1530,$P$2:$P2565,"&gt;"&amp;$P1530-7)</f>
        <v>7.2692307692307692</v>
      </c>
      <c r="AE1530" s="76">
        <f ca="1">IFERROR(__xludf.DUMMYFUNCTION("iferror(stdevp(filter($F$2:$F2568,$B$2:$B2568=$B1533,$O$2:$O2568&lt;=$O1533,$O$2:$O2568&gt;$O1533-7)),0)"),0.942809041582063)</f>
        <v>0.94280904158206302</v>
      </c>
      <c r="AF1530" s="77">
        <f t="shared" ca="1" si="256"/>
        <v>-1.3462225257205429</v>
      </c>
      <c r="AG1530" s="77">
        <f t="shared" ca="1" si="257"/>
        <v>1</v>
      </c>
      <c r="AH1530" s="76">
        <f t="array" ref="AH1530">AVERAGEIFS($I$2:$I2565,$B$2:$B2565,$B1530,$P$2:$P2565,"&lt;="&amp;$P1530,$P$2:$P2565,"&gt;"&amp;$P1530-7)</f>
        <v>4.9230769230769234</v>
      </c>
      <c r="AI1530" s="76">
        <f ca="1">IFERROR(__xludf.DUMMYFUNCTION("iferror(stdevp(filter($H$2:$H2568,$B$2:$B2568=$B1533,$O$2:$O2568&lt;=$O1533,$O$2:$O2568&gt;$O1533-7)),0)"),1.41421356237309)</f>
        <v>1.41421356237309</v>
      </c>
      <c r="AJ1530" s="77">
        <f t="shared" ca="1" si="258"/>
        <v>-2.0669275142376078</v>
      </c>
      <c r="AK1530" s="77">
        <f t="shared" ca="1" si="259"/>
        <v>1</v>
      </c>
      <c r="AL1530" s="76">
        <f t="array" ref="AL1530">AVERAGEIFS($J$2:$J2565,$B$2:$B2565,$B1530,$P$2:$P2565,"&lt;="&amp;$P1530,$P$2:$P2565,"&gt;"&amp;$P1530-7)</f>
        <v>7.5769230769230766</v>
      </c>
      <c r="AM1530" s="76">
        <f ca="1">IFERROR(__xludf.DUMMYFUNCTION("iferror(stdevp(filter($I$2:$I2568,$B$2:$B2568=$B1533,$O$2:$O2568&lt;=$O1533,$O$2:$O2568&gt;$O1533-7)),0)"),1.24721912892464)</f>
        <v>1.2472191289246399</v>
      </c>
      <c r="AN1530" s="77">
        <f t="shared" ca="1" si="260"/>
        <v>-1.2643512598164763</v>
      </c>
      <c r="AO1530" s="77">
        <f t="shared" ca="1" si="261"/>
        <v>1</v>
      </c>
      <c r="AP1530" s="76">
        <f t="array" ref="AP1530">AVERAGEIFS($K$2:$K2565,$B$2:$B2565,$B1530,$P$2:$P2565,"&lt;="&amp;$P1530,$P$2:$P2565,"&gt;"&amp;$P1530-7)</f>
        <v>8</v>
      </c>
      <c r="AQ1530" s="76">
        <f ca="1">IFERROR(__xludf.DUMMYFUNCTION("iferror(stdevp(filter($J$2:$J2568,$B$2:$B2568=$B1533,$O$2:$O2568&lt;=$O1533,$O$2:$O2568&gt;$O1533-7)),0)"),1.24721912892464)</f>
        <v>1.2472191289246399</v>
      </c>
      <c r="AR1530" s="77">
        <f t="shared" ca="1" si="262"/>
        <v>-1.6035674514745555</v>
      </c>
      <c r="AS1530" s="77">
        <f t="shared" ca="1" si="263"/>
        <v>1</v>
      </c>
      <c r="AT1530" s="78">
        <f t="shared" ca="1" si="264"/>
        <v>0.25</v>
      </c>
    </row>
    <row r="1531" spans="1:46" ht="12.5" x14ac:dyDescent="0.25">
      <c r="A1531" s="75">
        <v>45012.485834155093</v>
      </c>
      <c r="B1531" s="1" t="s">
        <v>4</v>
      </c>
      <c r="C1531" s="1" t="str">
        <f>INDEX(TBL_Name,MATCH(Table2[[#This Row],[Athlete Name]],listNames,0),2)</f>
        <v>Athlete 1</v>
      </c>
      <c r="D1531" s="1" t="s">
        <v>130</v>
      </c>
      <c r="E1531" s="1">
        <v>8</v>
      </c>
      <c r="F1531" s="1">
        <v>4</v>
      </c>
      <c r="G1531" s="1">
        <v>4</v>
      </c>
      <c r="H1531" s="1" t="s">
        <v>1641</v>
      </c>
      <c r="I1531" s="1">
        <v>4</v>
      </c>
      <c r="J1531" s="1">
        <v>4</v>
      </c>
      <c r="K1531" s="1">
        <v>3</v>
      </c>
      <c r="L1531" s="1">
        <v>75</v>
      </c>
      <c r="M1531" s="1" t="e">
        <f t="shared" ref="M1531" ca="1" si="599">_xludf.concat($B1531,$P1531)</f>
        <v>#NAME?</v>
      </c>
      <c r="N1531" s="1" t="e">
        <f t="shared" si="248"/>
        <v>#VALUE!</v>
      </c>
      <c r="O1531" s="1" t="e">
        <f t="shared" ref="O1531" ca="1" si="600">IF($N1531=_xludf.MINIFS($N$2:$N3037,$R$2:$R3037,$R1531),1,
($N1531-_xludf.MINIFS($N$2:$N3037,$R$2:$R3037,$R1531))+1)</f>
        <v>#VALUE!</v>
      </c>
      <c r="P1531" s="13" t="e">
        <f t="shared" si="250"/>
        <v>#VALUE!</v>
      </c>
      <c r="Q1531" s="1" t="str">
        <f>RIGHT(YEAR($A1531),2)-(MONTH($A1531)&lt;=[3]Roster!$K$25)
 &amp;"-"&amp;
 RIGHT(YEAR($A1531),2)+(MONTH($A1531)&gt;=[3]Roster!$K$26)</f>
        <v>22-23</v>
      </c>
      <c r="R1531" s="1" t="e">
        <f>CHOOSE(MONTH($P1531),[3]Roster!$K$9,[3]Roster!$K$10,[3]Roster!$K$11,[3]Roster!$K$12,[3]Roster!$K$13,[3]Roster!$K$14,[3]Roster!$K$15,[3]Roster!$K$16,[3]Roster!$K$17,[3]Roster!$K$18,[3]Roster!$K$19,[3]Roster!$K$20)&amp;" "&amp;$Q1531</f>
        <v>#VALUE!</v>
      </c>
      <c r="S1531" s="1">
        <f t="shared" si="251"/>
        <v>1</v>
      </c>
      <c r="T1531" s="1" t="str">
        <f t="array" ref="T1531">IFERROR(INDEX([3]Roster!$D$3:$D$42,MATCH($B1531,[3]Roster!$C$3:$C$42,0)),"")</f>
        <v>FWD</v>
      </c>
      <c r="U1531" s="1" t="str">
        <f t="array" ref="U1531">IFERROR(INDEX([3]Roster!$E$3:$E$42,MATCH($B1531,[3]Roster!$C$3:$C$42,0)),"")</f>
        <v>FWD</v>
      </c>
      <c r="V1531" s="76">
        <f t="array" ref="V1531">AVERAGEIFS($E$2:$E2565,$B$2:$B2565,$B1531,$P$2:$P2565,"&lt;="&amp;$P1531,$P$2:$P2565,"&gt;"&amp;$P1531-7)</f>
        <v>8.3809523809523814</v>
      </c>
      <c r="W1531" s="76">
        <f ca="1">IFERROR(__xludf.DUMMYFUNCTION("iferror(stdevp(filter($D$2:$D2568,$B$2:$B2568=$B1534,$O$2:$O2568&lt;=$O1534,$O$2:$O2568&gt;$O1534-7)),0)"),0.471404520791031)</f>
        <v>0.47140452079103101</v>
      </c>
      <c r="X1531" s="77">
        <f t="shared" ca="1" si="252"/>
        <v>-0.80812203564177065</v>
      </c>
      <c r="Y1531" s="77">
        <f t="shared" ca="1" si="253"/>
        <v>2</v>
      </c>
      <c r="Z1531" s="76">
        <f t="array" ref="Z1531">AVERAGEIFS($F$2:$F2565,$B$2:$B2565,$B1531,$P$2:$P2565,"&lt;="&amp;$P1531,$P$2:$P2565,"&gt;"&amp;$P1531-7)</f>
        <v>6.8571428571428568</v>
      </c>
      <c r="AA1531" s="76">
        <f ca="1">IFERROR(__xludf.DUMMYFUNCTION("iferror(stdevp(filter($E$2:$E2568,$B$2:$B2568=$B1534,$O$2:$O2568&lt;=$O1534,$O$2:$O2568&gt;$O1534-7)),0)"),0.942809041582063)</f>
        <v>0.94280904158206302</v>
      </c>
      <c r="AB1531" s="77">
        <f t="shared" ca="1" si="254"/>
        <v>-3.0304576336566331</v>
      </c>
      <c r="AC1531" s="77">
        <f t="shared" ca="1" si="255"/>
        <v>1</v>
      </c>
      <c r="AD1531" s="76">
        <f t="array" ref="AD1531">AVERAGEIFS($G$2:$G2565,$B$2:$B2565,$B1531,$P$2:$P2565,"&lt;="&amp;$P1531,$P$2:$P2565,"&gt;"&amp;$P1531-7)</f>
        <v>5.7619047619047619</v>
      </c>
      <c r="AE1531" s="76">
        <f ca="1">IFERROR(__xludf.DUMMYFUNCTION("iferror(stdevp(filter($F$2:$F2568,$B$2:$B2568=$B1534,$O$2:$O2568&lt;=$O1534,$O$2:$O2568&gt;$O1534-7)),0)"),1.24721912892464)</f>
        <v>1.2472191289246399</v>
      </c>
      <c r="AF1531" s="77">
        <f t="shared" ca="1" si="256"/>
        <v>-1.4126665643942513</v>
      </c>
      <c r="AG1531" s="77">
        <f t="shared" ca="1" si="257"/>
        <v>1</v>
      </c>
      <c r="AH1531" s="76">
        <f t="array" ref="AH1531">AVERAGEIFS($I$2:$I2565,$B$2:$B2565,$B1531,$P$2:$P2565,"&lt;="&amp;$P1531,$P$2:$P2565,"&gt;"&amp;$P1531-7)</f>
        <v>6.8571428571428568</v>
      </c>
      <c r="AI1531" s="76">
        <f ca="1">IFERROR(__xludf.DUMMYFUNCTION("iferror(stdevp(filter($H$2:$H2568,$B$2:$B2568=$B1534,$O$2:$O2568&lt;=$O1534,$O$2:$O2568&gt;$O1534-7)),0)"),1.41421356237309)</f>
        <v>1.41421356237309</v>
      </c>
      <c r="AJ1531" s="77">
        <f t="shared" ca="1" si="258"/>
        <v>-2.0203050891044283</v>
      </c>
      <c r="AK1531" s="77">
        <f t="shared" ca="1" si="259"/>
        <v>1</v>
      </c>
      <c r="AL1531" s="76">
        <f t="array" ref="AL1531">AVERAGEIFS($J$2:$J2565,$B$2:$B2565,$B1531,$P$2:$P2565,"&lt;="&amp;$P1531,$P$2:$P2565,"&gt;"&amp;$P1531-7)</f>
        <v>5.0952380952380949</v>
      </c>
      <c r="AM1531" s="76">
        <f ca="1">IFERROR(__xludf.DUMMYFUNCTION("iferror(stdevp(filter($I$2:$I2568,$B$2:$B2568=$B1534,$O$2:$O2568&lt;=$O1534,$O$2:$O2568&gt;$O1534-7)),0)"),0.471404520791031)</f>
        <v>0.47140452079103101</v>
      </c>
      <c r="AN1531" s="77">
        <f t="shared" ca="1" si="260"/>
        <v>-2.3233508524700874</v>
      </c>
      <c r="AO1531" s="77">
        <f t="shared" ca="1" si="261"/>
        <v>1</v>
      </c>
      <c r="AP1531" s="76">
        <f t="array" ref="AP1531">AVERAGEIFS($K$2:$K2565,$B$2:$B2565,$B1531,$P$2:$P2565,"&lt;="&amp;$P1531,$P$2:$P2565,"&gt;"&amp;$P1531-7)</f>
        <v>5.3809523809523814</v>
      </c>
      <c r="AQ1531" s="76">
        <f ca="1">IFERROR(__xludf.DUMMYFUNCTION("iferror(stdevp(filter($J$2:$J2568,$B$2:$B2568=$B1534,$O$2:$O2568&lt;=$O1534,$O$2:$O2568&gt;$O1534-7)),0)"),1.63299316185545)</f>
        <v>1.6329931618554501</v>
      </c>
      <c r="AR1531" s="77">
        <f t="shared" ca="1" si="262"/>
        <v>-1.4580296087995128</v>
      </c>
      <c r="AS1531" s="77">
        <f t="shared" ca="1" si="263"/>
        <v>1</v>
      </c>
      <c r="AT1531" s="78">
        <f t="shared" ca="1" si="264"/>
        <v>0.29166666666666669</v>
      </c>
    </row>
    <row r="1532" spans="1:46" ht="12.5" x14ac:dyDescent="0.25">
      <c r="A1532" s="75">
        <v>45012.505005127314</v>
      </c>
      <c r="B1532" s="1" t="s">
        <v>10</v>
      </c>
      <c r="C1532" s="1" t="str">
        <f>INDEX(TBL_Name,MATCH(Table2[[#This Row],[Athlete Name]],listNames,0),2)</f>
        <v>Athlete 5</v>
      </c>
      <c r="D1532" s="1" t="s">
        <v>130</v>
      </c>
      <c r="E1532" s="1">
        <v>9</v>
      </c>
      <c r="F1532" s="1">
        <v>8</v>
      </c>
      <c r="G1532" s="1">
        <v>8</v>
      </c>
      <c r="H1532" s="1" t="s">
        <v>69</v>
      </c>
      <c r="I1532" s="1">
        <v>8</v>
      </c>
      <c r="J1532" s="1">
        <v>8</v>
      </c>
      <c r="K1532" s="1">
        <v>9</v>
      </c>
      <c r="L1532" s="1">
        <v>83</v>
      </c>
      <c r="M1532" s="1" t="e">
        <f t="shared" ref="M1532" ca="1" si="601">_xludf.concat($B1532,$P1532)</f>
        <v>#NAME?</v>
      </c>
      <c r="N1532" s="1" t="e">
        <f t="shared" si="248"/>
        <v>#VALUE!</v>
      </c>
      <c r="O1532" s="1" t="e">
        <f t="shared" ref="O1532" ca="1" si="602">IF($N1532=_xludf.MINIFS($N$2:$N3038,$R$2:$R3038,$R1532),1,
($N1532-_xludf.MINIFS($N$2:$N3038,$R$2:$R3038,$R1532))+1)</f>
        <v>#VALUE!</v>
      </c>
      <c r="P1532" s="13" t="e">
        <f t="shared" si="250"/>
        <v>#VALUE!</v>
      </c>
      <c r="Q1532" s="1" t="str">
        <f>RIGHT(YEAR($A1532),2)-(MONTH($A1532)&lt;=[3]Roster!$K$25)
 &amp;"-"&amp;
 RIGHT(YEAR($A1532),2)+(MONTH($A1532)&gt;=[3]Roster!$K$26)</f>
        <v>22-23</v>
      </c>
      <c r="R1532" s="1" t="e">
        <f>CHOOSE(MONTH($P1532),[3]Roster!$K$9,[3]Roster!$K$10,[3]Roster!$K$11,[3]Roster!$K$12,[3]Roster!$K$13,[3]Roster!$K$14,[3]Roster!$K$15,[3]Roster!$K$16,[3]Roster!$K$17,[3]Roster!$K$18,[3]Roster!$K$19,[3]Roster!$K$20)&amp;" "&amp;$Q1532</f>
        <v>#VALUE!</v>
      </c>
      <c r="S1532" s="1">
        <f t="shared" si="251"/>
        <v>1</v>
      </c>
      <c r="T1532" s="1" t="str">
        <f t="array" ref="T1532">IFERROR(INDEX([3]Roster!$D$3:$D$42,MATCH($B1532,[3]Roster!$C$3:$C$42,0)),"")</f>
        <v>MID</v>
      </c>
      <c r="U1532" s="1" t="str">
        <f t="array" ref="U1532">IFERROR(INDEX([3]Roster!$E$3:$E$42,MATCH($B1532,[3]Roster!$C$3:$C$42,0)),"")</f>
        <v>MID</v>
      </c>
      <c r="V1532" s="76">
        <f t="array" ref="V1532">AVERAGEIFS($E$2:$E2565,$B$2:$B2565,$B1532,$P$2:$P2565,"&lt;="&amp;$P1532,$P$2:$P2565,"&gt;"&amp;$P1532-7)</f>
        <v>8.4042553191489358</v>
      </c>
      <c r="W1532" s="76">
        <f ca="1">IFERROR(__xludf.DUMMYFUNCTION("iferror(stdevp(filter($D$2:$D2568,$B$2:$B2568=$B1535,$O$2:$O2568&lt;=$O1535,$O$2:$O2568&gt;$O1535-7)),0)"),0.451753951452625)</f>
        <v>0.45175395145262498</v>
      </c>
      <c r="X1532" s="77">
        <f t="shared" ca="1" si="252"/>
        <v>1.3187370667936249</v>
      </c>
      <c r="Y1532" s="77">
        <f t="shared" ca="1" si="253"/>
        <v>4</v>
      </c>
      <c r="Z1532" s="76">
        <f t="array" ref="Z1532">AVERAGEIFS($F$2:$F2565,$B$2:$B2565,$B1532,$P$2:$P2565,"&lt;="&amp;$P1532,$P$2:$P2565,"&gt;"&amp;$P1532-7)</f>
        <v>8.085106382978724</v>
      </c>
      <c r="AA1532" s="76">
        <f ca="1">IFERROR(__xludf.DUMMYFUNCTION("iferror(stdevp(filter($E$2:$E2568,$B$2:$B2568=$B1535,$O$2:$O2568&lt;=$O1535,$O$2:$O2568&gt;$O1535-7)),0)"),0.349927106111882)</f>
        <v>0.34992710611188199</v>
      </c>
      <c r="AB1532" s="77">
        <f t="shared" ca="1" si="254"/>
        <v>-0.24321174751038852</v>
      </c>
      <c r="AC1532" s="77">
        <f t="shared" ca="1" si="255"/>
        <v>2</v>
      </c>
      <c r="AD1532" s="76">
        <f t="array" ref="AD1532">AVERAGEIFS($G$2:$G2565,$B$2:$B2565,$B1532,$P$2:$P2565,"&lt;="&amp;$P1532,$P$2:$P2565,"&gt;"&amp;$P1532-7)</f>
        <v>8.0638297872340434</v>
      </c>
      <c r="AE1532" s="76">
        <f ca="1">IFERROR(__xludf.DUMMYFUNCTION("iferror(stdevp(filter($F$2:$F2568,$B$2:$B2568=$B1535,$O$2:$O2568&lt;=$O1535,$O$2:$O2568&gt;$O1535-7)),0)"),0.349927106111882)</f>
        <v>0.34992710611188199</v>
      </c>
      <c r="AF1532" s="77">
        <f t="shared" ca="1" si="256"/>
        <v>-0.18240881063279266</v>
      </c>
      <c r="AG1532" s="77">
        <f t="shared" ca="1" si="257"/>
        <v>2</v>
      </c>
      <c r="AH1532" s="76">
        <f t="array" ref="AH1532">AVERAGEIFS($I$2:$I2565,$B$2:$B2565,$B1532,$P$2:$P2565,"&lt;="&amp;$P1532,$P$2:$P2565,"&gt;"&amp;$P1532-7)</f>
        <v>6.7446808510638299</v>
      </c>
      <c r="AI1532" s="76">
        <f ca="1">IFERROR(__xludf.DUMMYFUNCTION("iferror(stdevp(filter($H$2:$H2568,$B$2:$B2568=$B1535,$O$2:$O2568&lt;=$O1535,$O$2:$O2568&gt;$O1535-7)),0)"),0.699854212223765)</f>
        <v>0.69985421222376498</v>
      </c>
      <c r="AJ1532" s="77">
        <f t="shared" ca="1" si="258"/>
        <v>1.7936866378891005</v>
      </c>
      <c r="AK1532" s="77">
        <f t="shared" ca="1" si="259"/>
        <v>4</v>
      </c>
      <c r="AL1532" s="76">
        <f t="array" ref="AL1532">AVERAGEIFS($J$2:$J2565,$B$2:$B2565,$B1532,$P$2:$P2565,"&lt;="&amp;$P1532,$P$2:$P2565,"&gt;"&amp;$P1532-7)</f>
        <v>8.1063829787234045</v>
      </c>
      <c r="AM1532" s="76">
        <f ca="1">IFERROR(__xludf.DUMMYFUNCTION("iferror(stdevp(filter($I$2:$I2568,$B$2:$B2568=$B1535,$O$2:$O2568&lt;=$O1535,$O$2:$O2568&gt;$O1535-7)),0)"),0.638876564999939)</f>
        <v>0.63887656499993895</v>
      </c>
      <c r="AN1532" s="77">
        <f t="shared" ca="1" si="260"/>
        <v>-0.16651570045211267</v>
      </c>
      <c r="AO1532" s="77">
        <f t="shared" ca="1" si="261"/>
        <v>2</v>
      </c>
      <c r="AP1532" s="76">
        <f t="array" ref="AP1532">AVERAGEIFS($K$2:$K2565,$B$2:$B2565,$B1532,$P$2:$P2565,"&lt;="&amp;$P1532,$P$2:$P2565,"&gt;"&amp;$P1532-7)</f>
        <v>8.2978723404255312</v>
      </c>
      <c r="AQ1532" s="76">
        <f ca="1">IFERROR(__xludf.DUMMYFUNCTION("iferror(stdevp(filter($J$2:$J2568,$B$2:$B2568=$B1535,$O$2:$O2568&lt;=$O1535,$O$2:$O2568&gt;$O1535-7)),0)"),1.69030850945703)</f>
        <v>1.69030850945703</v>
      </c>
      <c r="AR1532" s="77">
        <f t="shared" ca="1" si="262"/>
        <v>0.41538432519635721</v>
      </c>
      <c r="AS1532" s="77">
        <f t="shared" ca="1" si="263"/>
        <v>3</v>
      </c>
      <c r="AT1532" s="78">
        <f t="shared" ca="1" si="264"/>
        <v>0.70833333333333337</v>
      </c>
    </row>
    <row r="1533" spans="1:46" ht="12.5" x14ac:dyDescent="0.25">
      <c r="A1533" s="75">
        <v>45012.588210590278</v>
      </c>
      <c r="B1533" s="1" t="s">
        <v>7</v>
      </c>
      <c r="C1533" s="1" t="str">
        <f>INDEX(TBL_Name,MATCH(Table2[[#This Row],[Athlete Name]],listNames,0),2)</f>
        <v>Athlete 3</v>
      </c>
      <c r="D1533" s="1" t="s">
        <v>130</v>
      </c>
      <c r="E1533" s="1">
        <v>6</v>
      </c>
      <c r="F1533" s="1">
        <v>8</v>
      </c>
      <c r="G1533" s="1">
        <v>8</v>
      </c>
      <c r="H1533" s="1"/>
      <c r="I1533" s="1">
        <v>6</v>
      </c>
      <c r="J1533" s="1">
        <v>7</v>
      </c>
      <c r="K1533" s="1">
        <v>8</v>
      </c>
      <c r="L1533" s="1">
        <v>90</v>
      </c>
      <c r="M1533" s="1" t="e">
        <f t="shared" ref="M1533" ca="1" si="603">_xludf.concat($B1533,$P1533)</f>
        <v>#NAME?</v>
      </c>
      <c r="N1533" s="1" t="e">
        <f t="shared" si="248"/>
        <v>#VALUE!</v>
      </c>
      <c r="O1533" s="1" t="e">
        <f t="shared" ref="O1533" ca="1" si="604">IF($N1533=_xludf.MINIFS($N$2:$N3039,$R$2:$R3039,$R1533),1,
($N1533-_xludf.MINIFS($N$2:$N3039,$R$2:$R3039,$R1533))+1)</f>
        <v>#VALUE!</v>
      </c>
      <c r="P1533" s="13" t="e">
        <f t="shared" si="250"/>
        <v>#VALUE!</v>
      </c>
      <c r="Q1533" s="1" t="str">
        <f>RIGHT(YEAR($A1533),2)-(MONTH($A1533)&lt;=[3]Roster!$K$25)
 &amp;"-"&amp;
 RIGHT(YEAR($A1533),2)+(MONTH($A1533)&gt;=[3]Roster!$K$26)</f>
        <v>22-23</v>
      </c>
      <c r="R1533" s="1" t="e">
        <f>CHOOSE(MONTH($P1533),[3]Roster!$K$9,[3]Roster!$K$10,[3]Roster!$K$11,[3]Roster!$K$12,[3]Roster!$K$13,[3]Roster!$K$14,[3]Roster!$K$15,[3]Roster!$K$16,[3]Roster!$K$17,[3]Roster!$K$18,[3]Roster!$K$19,[3]Roster!$K$20)&amp;" "&amp;$Q1533</f>
        <v>#VALUE!</v>
      </c>
      <c r="S1533" s="1">
        <f t="shared" si="251"/>
        <v>1</v>
      </c>
      <c r="T1533" s="1" t="str">
        <f t="array" ref="T1533">IFERROR(INDEX([3]Roster!$D$3:$D$42,MATCH($B1533,[3]Roster!$C$3:$C$42,0)),"")</f>
        <v>F/MID</v>
      </c>
      <c r="U1533" s="1" t="str">
        <f t="array" ref="U1533">IFERROR(INDEX([3]Roster!$E$3:$E$42,MATCH($B1533,[3]Roster!$C$3:$C$42,0)),"")</f>
        <v>F/MID</v>
      </c>
      <c r="V1533" s="76">
        <f t="array" ref="V1533">AVERAGEIFS($E$2:$E2565,$B$2:$B2565,$B1533,$P$2:$P2565,"&lt;="&amp;$P1533,$P$2:$P2565,"&gt;"&amp;$P1533-7)</f>
        <v>6</v>
      </c>
      <c r="W1533" s="76">
        <f ca="1">IFERROR(__xludf.DUMMYFUNCTION("iferror(stdevp(filter($D$2:$D2568,$B$2:$B2568=$B1536,$O$2:$O2568&lt;=$O1536,$O$2:$O2568&gt;$O1536-7)),0)"),0)</f>
        <v>0</v>
      </c>
      <c r="X1533" s="77">
        <f t="shared" ca="1" si="252"/>
        <v>0</v>
      </c>
      <c r="Y1533" s="77">
        <f t="shared" ca="1" si="253"/>
        <v>3</v>
      </c>
      <c r="Z1533" s="76">
        <f t="array" ref="Z1533">AVERAGEIFS($F$2:$F2565,$B$2:$B2565,$B1533,$P$2:$P2565,"&lt;="&amp;$P1533,$P$2:$P2565,"&gt;"&amp;$P1533-7)</f>
        <v>7.3703703703703702</v>
      </c>
      <c r="AA1533" s="76">
        <f ca="1">IFERROR(__xludf.DUMMYFUNCTION("iferror(stdevp(filter($E$2:$E2568,$B$2:$B2568=$B1536,$O$2:$O2568&lt;=$O1536,$O$2:$O2568&gt;$O1536-7)),0)"),0)</f>
        <v>0</v>
      </c>
      <c r="AB1533" s="77">
        <f t="shared" ca="1" si="254"/>
        <v>0</v>
      </c>
      <c r="AC1533" s="77">
        <f t="shared" ca="1" si="255"/>
        <v>3</v>
      </c>
      <c r="AD1533" s="76">
        <f t="array" ref="AD1533">AVERAGEIFS($G$2:$G2565,$B$2:$B2565,$B1533,$P$2:$P2565,"&lt;="&amp;$P1533,$P$2:$P2565,"&gt;"&amp;$P1533-7)</f>
        <v>7.7777777777777777</v>
      </c>
      <c r="AE1533" s="76">
        <f ca="1">IFERROR(__xludf.DUMMYFUNCTION("iferror(stdevp(filter($F$2:$F2568,$B$2:$B2568=$B1536,$O$2:$O2568&lt;=$O1536,$O$2:$O2568&gt;$O1536-7)),0)"),0)</f>
        <v>0</v>
      </c>
      <c r="AF1533" s="77">
        <f t="shared" ca="1" si="256"/>
        <v>0</v>
      </c>
      <c r="AG1533" s="77">
        <f t="shared" ca="1" si="257"/>
        <v>3</v>
      </c>
      <c r="AH1533" s="76">
        <f t="array" ref="AH1533">AVERAGEIFS($I$2:$I2565,$B$2:$B2565,$B1533,$P$2:$P2565,"&lt;="&amp;$P1533,$P$2:$P2565,"&gt;"&amp;$P1533-7)</f>
        <v>6.333333333333333</v>
      </c>
      <c r="AI1533" s="76">
        <f ca="1">IFERROR(__xludf.DUMMYFUNCTION("iferror(stdevp(filter($H$2:$H2568,$B$2:$B2568=$B1536,$O$2:$O2568&lt;=$O1536,$O$2:$O2568&gt;$O1536-7)),0)"),0)</f>
        <v>0</v>
      </c>
      <c r="AJ1533" s="77">
        <f t="shared" ca="1" si="258"/>
        <v>0</v>
      </c>
      <c r="AK1533" s="77">
        <f t="shared" ca="1" si="259"/>
        <v>3</v>
      </c>
      <c r="AL1533" s="76">
        <f t="array" ref="AL1533">AVERAGEIFS($J$2:$J2565,$B$2:$B2565,$B1533,$P$2:$P2565,"&lt;="&amp;$P1533,$P$2:$P2565,"&gt;"&amp;$P1533-7)</f>
        <v>5.4230769230769234</v>
      </c>
      <c r="AM1533" s="76">
        <f ca="1">IFERROR(__xludf.DUMMYFUNCTION("iferror(stdevp(filter($I$2:$I2568,$B$2:$B2568=$B1536,$O$2:$O2568&lt;=$O1536,$O$2:$O2568&gt;$O1536-7)),0)"),0.5)</f>
        <v>0.5</v>
      </c>
      <c r="AN1533" s="77">
        <f t="shared" ca="1" si="260"/>
        <v>3.1538461538461533</v>
      </c>
      <c r="AO1533" s="77">
        <f t="shared" ca="1" si="261"/>
        <v>4</v>
      </c>
      <c r="AP1533" s="76">
        <f t="array" ref="AP1533">AVERAGEIFS($K$2:$K2565,$B$2:$B2565,$B1533,$P$2:$P2565,"&lt;="&amp;$P1533,$P$2:$P2565,"&gt;"&amp;$P1533-7)</f>
        <v>7.5769230769230766</v>
      </c>
      <c r="AQ1533" s="76">
        <f ca="1">IFERROR(__xludf.DUMMYFUNCTION("iferror(stdevp(filter($J$2:$J2568,$B$2:$B2568=$B1536,$O$2:$O2568&lt;=$O1536,$O$2:$O2568&gt;$O1536-7)),0)"),0)</f>
        <v>0</v>
      </c>
      <c r="AR1533" s="77">
        <f t="shared" ca="1" si="262"/>
        <v>0</v>
      </c>
      <c r="AS1533" s="77">
        <f t="shared" ca="1" si="263"/>
        <v>3</v>
      </c>
      <c r="AT1533" s="78">
        <f t="shared" ca="1" si="264"/>
        <v>0.79166666666666663</v>
      </c>
    </row>
    <row r="1534" spans="1:46" ht="12.5" x14ac:dyDescent="0.25">
      <c r="A1534" s="75">
        <v>45012.596134409723</v>
      </c>
      <c r="B1534" s="1" t="s">
        <v>20</v>
      </c>
      <c r="C1534" s="1" t="str">
        <f>INDEX(TBL_Name,MATCH(Table2[[#This Row],[Athlete Name]],listNames,0),2)</f>
        <v>Athlete 12</v>
      </c>
      <c r="D1534" s="1" t="s">
        <v>130</v>
      </c>
      <c r="E1534" s="1">
        <v>7</v>
      </c>
      <c r="F1534" s="1">
        <v>9</v>
      </c>
      <c r="G1534" s="1">
        <v>9</v>
      </c>
      <c r="H1534" s="1" t="s">
        <v>400</v>
      </c>
      <c r="I1534" s="1">
        <v>5</v>
      </c>
      <c r="J1534" s="1">
        <v>8</v>
      </c>
      <c r="K1534" s="1">
        <v>8</v>
      </c>
      <c r="L1534" s="1">
        <v>75</v>
      </c>
      <c r="M1534" s="1" t="e">
        <f t="shared" ref="M1534" ca="1" si="605">_xludf.concat($B1534,$P1534)</f>
        <v>#NAME?</v>
      </c>
      <c r="N1534" s="1" t="e">
        <f t="shared" si="248"/>
        <v>#VALUE!</v>
      </c>
      <c r="O1534" s="1" t="e">
        <f t="shared" ref="O1534" ca="1" si="606">IF($N1534=_xludf.MINIFS($N$2:$N3040,$R$2:$R3040,$R1534),1,
($N1534-_xludf.MINIFS($N$2:$N3040,$R$2:$R3040,$R1534))+1)</f>
        <v>#VALUE!</v>
      </c>
      <c r="P1534" s="13" t="e">
        <f t="shared" si="250"/>
        <v>#VALUE!</v>
      </c>
      <c r="Q1534" s="1" t="str">
        <f>RIGHT(YEAR($A1534),2)-(MONTH($A1534)&lt;=[3]Roster!$K$25)
 &amp;"-"&amp;
 RIGHT(YEAR($A1534),2)+(MONTH($A1534)&gt;=[3]Roster!$K$26)</f>
        <v>22-23</v>
      </c>
      <c r="R1534" s="1" t="e">
        <f>CHOOSE(MONTH($P1534),[3]Roster!$K$9,[3]Roster!$K$10,[3]Roster!$K$11,[3]Roster!$K$12,[3]Roster!$K$13,[3]Roster!$K$14,[3]Roster!$K$15,[3]Roster!$K$16,[3]Roster!$K$17,[3]Roster!$K$18,[3]Roster!$K$19,[3]Roster!$K$20)&amp;" "&amp;$Q1534</f>
        <v>#VALUE!</v>
      </c>
      <c r="S1534" s="1">
        <f t="shared" si="251"/>
        <v>1</v>
      </c>
      <c r="T1534" s="1" t="str">
        <f t="array" ref="T1534">IFERROR(INDEX([3]Roster!$D$3:$D$42,MATCH($B1534,[3]Roster!$C$3:$C$42,0)),"")</f>
        <v>D</v>
      </c>
      <c r="U1534" s="1" t="str">
        <f t="array" ref="U1534">IFERROR(INDEX([3]Roster!$E$3:$E$42,MATCH($B1534,[3]Roster!$C$3:$C$42,0)),"")</f>
        <v>D</v>
      </c>
      <c r="V1534" s="76">
        <f t="array" ref="V1534">AVERAGEIFS($E$2:$E2565,$B$2:$B2565,$B1534,$P$2:$P2565,"&lt;="&amp;$P1534,$P$2:$P2565,"&gt;"&amp;$P1534-7)</f>
        <v>7.4761904761904763</v>
      </c>
      <c r="W1534" s="76">
        <f ca="1">IFERROR(__xludf.DUMMYFUNCTION("iferror(stdevp(filter($D$2:$D2568,$B$2:$B2568=$B1537,$O$2:$O2568&lt;=$O1537,$O$2:$O2568&gt;$O1537-7)),0)"),0.942809041582063)</f>
        <v>0.94280904158206302</v>
      </c>
      <c r="X1534" s="77">
        <f t="shared" ca="1" si="252"/>
        <v>-0.50507627227610563</v>
      </c>
      <c r="Y1534" s="77">
        <f t="shared" ca="1" si="253"/>
        <v>2</v>
      </c>
      <c r="Z1534" s="76">
        <f t="array" ref="Z1534">AVERAGEIFS($F$2:$F2565,$B$2:$B2565,$B1534,$P$2:$P2565,"&lt;="&amp;$P1534,$P$2:$P2565,"&gt;"&amp;$P1534-7)</f>
        <v>8.1904761904761898</v>
      </c>
      <c r="AA1534" s="76">
        <f ca="1">IFERROR(__xludf.DUMMYFUNCTION("iferror(stdevp(filter($E$2:$E2568,$B$2:$B2568=$B1537,$O$2:$O2568&lt;=$O1537,$O$2:$O2568&gt;$O1537-7)),0)"),0.942809041582063)</f>
        <v>0.94280904158206302</v>
      </c>
      <c r="AB1534" s="77">
        <f t="shared" ca="1" si="254"/>
        <v>0.85862966286938014</v>
      </c>
      <c r="AC1534" s="77">
        <f t="shared" ca="1" si="255"/>
        <v>3</v>
      </c>
      <c r="AD1534" s="76">
        <f t="array" ref="AD1534">AVERAGEIFS($G$2:$G2565,$B$2:$B2565,$B1534,$P$2:$P2565,"&lt;="&amp;$P1534,$P$2:$P2565,"&gt;"&amp;$P1534-7)</f>
        <v>8.5714285714285712</v>
      </c>
      <c r="AE1534" s="76">
        <f ca="1">IFERROR(__xludf.DUMMYFUNCTION("iferror(stdevp(filter($F$2:$F2568,$B$2:$B2568=$B1537,$O$2:$O2568&lt;=$O1537,$O$2:$O2568&gt;$O1537-7)),0)"),0.471404520791031)</f>
        <v>0.47140452079103101</v>
      </c>
      <c r="AF1534" s="77">
        <f t="shared" ca="1" si="256"/>
        <v>0.90913729009699151</v>
      </c>
      <c r="AG1534" s="77">
        <f t="shared" ca="1" si="257"/>
        <v>3</v>
      </c>
      <c r="AH1534" s="76">
        <f t="array" ref="AH1534">AVERAGEIFS($I$2:$I2565,$B$2:$B2565,$B1534,$P$2:$P2565,"&lt;="&amp;$P1534,$P$2:$P2565,"&gt;"&amp;$P1534-7)</f>
        <v>5.6190476190476186</v>
      </c>
      <c r="AI1534" s="76">
        <f ca="1">IFERROR(__xludf.DUMMYFUNCTION("iferror(stdevp(filter($H$2:$H2568,$B$2:$B2568=$B1537,$O$2:$O2568&lt;=$O1537,$O$2:$O2568&gt;$O1537-7)),0)"),0.816496580927726)</f>
        <v>0.81649658092772603</v>
      </c>
      <c r="AJ1534" s="77">
        <f t="shared" ca="1" si="258"/>
        <v>-0.75817539657574506</v>
      </c>
      <c r="AK1534" s="77">
        <f t="shared" ca="1" si="259"/>
        <v>2</v>
      </c>
      <c r="AL1534" s="76">
        <f t="array" ref="AL1534">AVERAGEIFS($J$2:$J2565,$B$2:$B2565,$B1534,$P$2:$P2565,"&lt;="&amp;$P1534,$P$2:$P2565,"&gt;"&amp;$P1534-7)</f>
        <v>7</v>
      </c>
      <c r="AM1534" s="76">
        <f ca="1">IFERROR(__xludf.DUMMYFUNCTION("iferror(stdevp(filter($I$2:$I2568,$B$2:$B2568=$B1537,$O$2:$O2568&lt;=$O1537,$O$2:$O2568&gt;$O1537-7)),0)"),0.471404520791031)</f>
        <v>0.47140452079103101</v>
      </c>
      <c r="AN1534" s="77">
        <f t="shared" ca="1" si="260"/>
        <v>2.1213203435596455</v>
      </c>
      <c r="AO1534" s="77">
        <f t="shared" ca="1" si="261"/>
        <v>4</v>
      </c>
      <c r="AP1534" s="76">
        <f t="array" ref="AP1534">AVERAGEIFS($K$2:$K2565,$B$2:$B2565,$B1534,$P$2:$P2565,"&lt;="&amp;$P1534,$P$2:$P2565,"&gt;"&amp;$P1534-7)</f>
        <v>7.4285714285714288</v>
      </c>
      <c r="AQ1534" s="76">
        <f ca="1">IFERROR(__xludf.DUMMYFUNCTION("iferror(stdevp(filter($J$2:$J2568,$B$2:$B2568=$B1537,$O$2:$O2568&lt;=$O1537,$O$2:$O2568&gt;$O1537-7)),0)"),1.24721912892464)</f>
        <v>1.2472191289246399</v>
      </c>
      <c r="AR1534" s="77">
        <f t="shared" ca="1" si="262"/>
        <v>0.45816212899272996</v>
      </c>
      <c r="AS1534" s="77">
        <f t="shared" ca="1" si="263"/>
        <v>3</v>
      </c>
      <c r="AT1534" s="78">
        <f t="shared" ca="1" si="264"/>
        <v>0.70833333333333337</v>
      </c>
    </row>
    <row r="1535" spans="1:46" ht="12.5" x14ac:dyDescent="0.25">
      <c r="A1535" s="75">
        <v>45012.601260138894</v>
      </c>
      <c r="B1535" s="1" t="s">
        <v>23</v>
      </c>
      <c r="C1535" s="1" t="str">
        <f>INDEX(TBL_Name,MATCH(Table2[[#This Row],[Athlete Name]],listNames,0),2)</f>
        <v>Athlete 15</v>
      </c>
      <c r="D1535" s="1" t="s">
        <v>143</v>
      </c>
      <c r="E1535" s="1">
        <v>3</v>
      </c>
      <c r="F1535" s="1">
        <v>5</v>
      </c>
      <c r="G1535" s="1">
        <v>7</v>
      </c>
      <c r="H1535" s="1" t="s">
        <v>324</v>
      </c>
      <c r="I1535" s="1">
        <v>7</v>
      </c>
      <c r="J1535" s="1">
        <v>10</v>
      </c>
      <c r="K1535" s="1">
        <v>10</v>
      </c>
      <c r="L1535" s="1">
        <v>88</v>
      </c>
      <c r="M1535" s="1" t="e">
        <f t="shared" ref="M1535" ca="1" si="607">_xludf.concat($B1535,$P1535)</f>
        <v>#NAME?</v>
      </c>
      <c r="N1535" s="1" t="e">
        <f t="shared" si="248"/>
        <v>#VALUE!</v>
      </c>
      <c r="O1535" s="1" t="e">
        <f t="shared" ref="O1535" ca="1" si="608">IF($N1535=_xludf.MINIFS($N$2:$N3041,$R$2:$R3041,$R1535),1,
($N1535-_xludf.MINIFS($N$2:$N3041,$R$2:$R3041,$R1535))+1)</f>
        <v>#VALUE!</v>
      </c>
      <c r="P1535" s="13" t="e">
        <f t="shared" si="250"/>
        <v>#VALUE!</v>
      </c>
      <c r="Q1535" s="1" t="str">
        <f>RIGHT(YEAR($A1535),2)-(MONTH($A1535)&lt;=[3]Roster!$K$25)
 &amp;"-"&amp;
 RIGHT(YEAR($A1535),2)+(MONTH($A1535)&gt;=[3]Roster!$K$26)</f>
        <v>22-23</v>
      </c>
      <c r="R1535" s="1" t="e">
        <f>CHOOSE(MONTH($P1535),[3]Roster!$K$9,[3]Roster!$K$10,[3]Roster!$K$11,[3]Roster!$K$12,[3]Roster!$K$13,[3]Roster!$K$14,[3]Roster!$K$15,[3]Roster!$K$16,[3]Roster!$K$17,[3]Roster!$K$18,[3]Roster!$K$19,[3]Roster!$K$20)&amp;" "&amp;$Q1535</f>
        <v>#VALUE!</v>
      </c>
      <c r="S1535" s="1">
        <f t="shared" si="251"/>
        <v>2</v>
      </c>
      <c r="T1535" s="1" t="str">
        <f t="array" ref="T1535">IFERROR(INDEX([3]Roster!$D$3:$D$42,MATCH($B1535,[3]Roster!$C$3:$C$42,0)),"")</f>
        <v>D</v>
      </c>
      <c r="U1535" s="1" t="str">
        <f t="array" ref="U1535">IFERROR(INDEX([3]Roster!$E$3:$E$42,MATCH($B1535,[3]Roster!$C$3:$C$42,0)),"")</f>
        <v>D</v>
      </c>
      <c r="V1535" s="76">
        <f t="array" ref="V1535">AVERAGEIFS($E$2:$E2565,$B$2:$B2565,$B1535,$P$2:$P2565,"&lt;="&amp;$P1535,$P$2:$P2565,"&gt;"&amp;$P1535-7)</f>
        <v>4.7777777777777777</v>
      </c>
      <c r="W1535" s="76">
        <f ca="1">IFERROR(__xludf.DUMMYFUNCTION("iferror(stdevp(filter($D$2:$D2568,$B$2:$B2568=$B1538,$O$2:$O2568&lt;=$O1538,$O$2:$O2568&gt;$O1538-7)),0)"),0)</f>
        <v>0</v>
      </c>
      <c r="X1535" s="77">
        <f t="shared" ca="1" si="252"/>
        <v>0</v>
      </c>
      <c r="Y1535" s="77">
        <f t="shared" ca="1" si="253"/>
        <v>3</v>
      </c>
      <c r="Z1535" s="76">
        <f t="array" ref="Z1535">AVERAGEIFS($F$2:$F2565,$B$2:$B2565,$B1535,$P$2:$P2565,"&lt;="&amp;$P1535,$P$2:$P2565,"&gt;"&amp;$P1535-7)</f>
        <v>6.4444444444444446</v>
      </c>
      <c r="AA1535" s="76">
        <f ca="1">IFERROR(__xludf.DUMMYFUNCTION("iferror(stdevp(filter($E$2:$E2568,$B$2:$B2568=$B1538,$O$2:$O2568&lt;=$O1538,$O$2:$O2568&gt;$O1538-7)),0)"),0)</f>
        <v>0</v>
      </c>
      <c r="AB1535" s="77">
        <f t="shared" ca="1" si="254"/>
        <v>0</v>
      </c>
      <c r="AC1535" s="77">
        <f t="shared" ca="1" si="255"/>
        <v>3</v>
      </c>
      <c r="AD1535" s="76">
        <f t="array" ref="AD1535">AVERAGEIFS($G$2:$G2565,$B$2:$B2565,$B1535,$P$2:$P2565,"&lt;="&amp;$P1535,$P$2:$P2565,"&gt;"&amp;$P1535-7)</f>
        <v>7.4444444444444446</v>
      </c>
      <c r="AE1535" s="76">
        <f ca="1">IFERROR(__xludf.DUMMYFUNCTION("iferror(stdevp(filter($F$2:$F2568,$B$2:$B2568=$B1538,$O$2:$O2568&lt;=$O1538,$O$2:$O2568&gt;$O1538-7)),0)"),0)</f>
        <v>0</v>
      </c>
      <c r="AF1535" s="77">
        <f t="shared" ca="1" si="256"/>
        <v>0</v>
      </c>
      <c r="AG1535" s="77">
        <f t="shared" ca="1" si="257"/>
        <v>3</v>
      </c>
      <c r="AH1535" s="76">
        <f t="array" ref="AH1535">AVERAGEIFS($I$2:$I2565,$B$2:$B2565,$B1535,$P$2:$P2565,"&lt;="&amp;$P1535,$P$2:$P2565,"&gt;"&amp;$P1535-7)</f>
        <v>6.7777777777777777</v>
      </c>
      <c r="AI1535" s="76">
        <f ca="1">IFERROR(__xludf.DUMMYFUNCTION("iferror(stdevp(filter($H$2:$H2568,$B$2:$B2568=$B1538,$O$2:$O2568&lt;=$O1538,$O$2:$O2568&gt;$O1538-7)),0)"),0)</f>
        <v>0</v>
      </c>
      <c r="AJ1535" s="77">
        <f t="shared" ca="1" si="258"/>
        <v>0</v>
      </c>
      <c r="AK1535" s="77">
        <f t="shared" ca="1" si="259"/>
        <v>3</v>
      </c>
      <c r="AL1535" s="76">
        <f t="array" ref="AL1535">AVERAGEIFS($J$2:$J2565,$B$2:$B2565,$B1535,$P$2:$P2565,"&lt;="&amp;$P1535,$P$2:$P2565,"&gt;"&amp;$P1535-7)</f>
        <v>8.2222222222222214</v>
      </c>
      <c r="AM1535" s="76">
        <f ca="1">IFERROR(__xludf.DUMMYFUNCTION("iferror(stdevp(filter($I$2:$I2568,$B$2:$B2568=$B1538,$O$2:$O2568&lt;=$O1538,$O$2:$O2568&gt;$O1538-7)),0)"),0)</f>
        <v>0</v>
      </c>
      <c r="AN1535" s="77">
        <f t="shared" ca="1" si="260"/>
        <v>0</v>
      </c>
      <c r="AO1535" s="77">
        <f t="shared" ca="1" si="261"/>
        <v>3</v>
      </c>
      <c r="AP1535" s="76">
        <f t="array" ref="AP1535">AVERAGEIFS($K$2:$K2565,$B$2:$B2565,$B1535,$P$2:$P2565,"&lt;="&amp;$P1535,$P$2:$P2565,"&gt;"&amp;$P1535-7)</f>
        <v>8.1111111111111107</v>
      </c>
      <c r="AQ1535" s="76">
        <f ca="1">IFERROR(__xludf.DUMMYFUNCTION("iferror(stdevp(filter($J$2:$J2568,$B$2:$B2568=$B1538,$O$2:$O2568&lt;=$O1538,$O$2:$O2568&gt;$O1538-7)),0)"),0)</f>
        <v>0</v>
      </c>
      <c r="AR1535" s="77">
        <f t="shared" ca="1" si="262"/>
        <v>0</v>
      </c>
      <c r="AS1535" s="77">
        <f t="shared" ca="1" si="263"/>
        <v>3</v>
      </c>
      <c r="AT1535" s="78">
        <f t="shared" ca="1" si="264"/>
        <v>0.75</v>
      </c>
    </row>
    <row r="1536" spans="1:46" ht="12.5" x14ac:dyDescent="0.25">
      <c r="A1536" s="75">
        <v>45012.602027615736</v>
      </c>
      <c r="B1536" s="1" t="s">
        <v>16</v>
      </c>
      <c r="C1536" s="1" t="str">
        <f>INDEX(TBL_Name,MATCH(Table2[[#This Row],[Athlete Name]],listNames,0),2)</f>
        <v>Athlete 9</v>
      </c>
      <c r="D1536" s="1" t="s">
        <v>130</v>
      </c>
      <c r="E1536" s="1">
        <v>9</v>
      </c>
      <c r="F1536" s="1">
        <v>8</v>
      </c>
      <c r="G1536" s="1">
        <v>8</v>
      </c>
      <c r="H1536" s="1" t="s">
        <v>699</v>
      </c>
      <c r="I1536" s="1">
        <v>7</v>
      </c>
      <c r="J1536" s="1">
        <v>8</v>
      </c>
      <c r="K1536" s="1">
        <v>9</v>
      </c>
      <c r="L1536" s="1">
        <v>87</v>
      </c>
      <c r="M1536" s="1" t="e">
        <f t="shared" ref="M1536" ca="1" si="609">_xludf.concat($B1536,$P1536)</f>
        <v>#NAME?</v>
      </c>
      <c r="N1536" s="1" t="e">
        <f t="shared" si="248"/>
        <v>#VALUE!</v>
      </c>
      <c r="O1536" s="1" t="e">
        <f t="shared" ref="O1536" ca="1" si="610">IF($N1536=_xludf.MINIFS($N$2:$N3042,$R$2:$R3042,$R1536),1,
($N1536-_xludf.MINIFS($N$2:$N3042,$R$2:$R3042,$R1536))+1)</f>
        <v>#VALUE!</v>
      </c>
      <c r="P1536" s="13" t="e">
        <f t="shared" si="250"/>
        <v>#VALUE!</v>
      </c>
      <c r="Q1536" s="1" t="str">
        <f>RIGHT(YEAR($A1536),2)-(MONTH($A1536)&lt;=[3]Roster!$K$25)
 &amp;"-"&amp;
 RIGHT(YEAR($A1536),2)+(MONTH($A1536)&gt;=[3]Roster!$K$26)</f>
        <v>22-23</v>
      </c>
      <c r="R1536" s="1" t="e">
        <f>CHOOSE(MONTH($P1536),[3]Roster!$K$9,[3]Roster!$K$10,[3]Roster!$K$11,[3]Roster!$K$12,[3]Roster!$K$13,[3]Roster!$K$14,[3]Roster!$K$15,[3]Roster!$K$16,[3]Roster!$K$17,[3]Roster!$K$18,[3]Roster!$K$19,[3]Roster!$K$20)&amp;" "&amp;$Q1536</f>
        <v>#VALUE!</v>
      </c>
      <c r="S1536" s="1">
        <f t="shared" si="251"/>
        <v>1</v>
      </c>
      <c r="T1536" s="1" t="str">
        <f t="array" ref="T1536">IFERROR(INDEX([3]Roster!$D$3:$D$42,MATCH($B1536,[3]Roster!$C$3:$C$42,0)),"")</f>
        <v>MID/D</v>
      </c>
      <c r="U1536" s="1" t="str">
        <f t="array" ref="U1536">IFERROR(INDEX([3]Roster!$E$3:$E$42,MATCH($B1536,[3]Roster!$C$3:$C$42,0)),"")</f>
        <v>MID/D</v>
      </c>
      <c r="V1536" s="76">
        <f t="array" ref="V1536">AVERAGEIFS($E$2:$E2565,$B$2:$B2565,$B1536,$P$2:$P2565,"&lt;="&amp;$P1536,$P$2:$P2565,"&gt;"&amp;$P1536-7)</f>
        <v>8.9600000000000009</v>
      </c>
      <c r="W1536" s="76">
        <f ca="1">IFERROR(__xludf.DUMMYFUNCTION("iferror(stdevp(filter($D$2:$D2568,$B$2:$B2568=$B1539,$O$2:$O2568&lt;=$O1539,$O$2:$O2568&gt;$O1539-7)),0)"),0.489897948556635)</f>
        <v>0.48989794855663499</v>
      </c>
      <c r="X1536" s="77">
        <f t="shared" ca="1" si="252"/>
        <v>8.1649658092770971E-2</v>
      </c>
      <c r="Y1536" s="77">
        <f t="shared" ca="1" si="253"/>
        <v>3</v>
      </c>
      <c r="Z1536" s="76">
        <f t="array" ref="Z1536">AVERAGEIFS($F$2:$F2565,$B$2:$B2565,$B1536,$P$2:$P2565,"&lt;="&amp;$P1536,$P$2:$P2565,"&gt;"&amp;$P1536-7)</f>
        <v>7.48</v>
      </c>
      <c r="AA1536" s="76">
        <f ca="1">IFERROR(__xludf.DUMMYFUNCTION("iferror(stdevp(filter($E$2:$E2568,$B$2:$B2568=$B1539,$O$2:$O2568&lt;=$O1539,$O$2:$O2568&gt;$O1539-7)),0)"),0)</f>
        <v>0</v>
      </c>
      <c r="AB1536" s="77">
        <f t="shared" ca="1" si="254"/>
        <v>0</v>
      </c>
      <c r="AC1536" s="77">
        <f t="shared" ca="1" si="255"/>
        <v>3</v>
      </c>
      <c r="AD1536" s="76">
        <f t="array" ref="AD1536">AVERAGEIFS($G$2:$G2565,$B$2:$B2565,$B1536,$P$2:$P2565,"&lt;="&amp;$P1536,$P$2:$P2565,"&gt;"&amp;$P1536-7)</f>
        <v>7.56</v>
      </c>
      <c r="AE1536" s="76">
        <f ca="1">IFERROR(__xludf.DUMMYFUNCTION("iferror(stdevp(filter($F$2:$F2568,$B$2:$B2568=$B1539,$O$2:$O2568&lt;=$O1539,$O$2:$O2568&gt;$O1539-7)),0)"),0)</f>
        <v>0</v>
      </c>
      <c r="AF1536" s="77">
        <f t="shared" ca="1" si="256"/>
        <v>0</v>
      </c>
      <c r="AG1536" s="77">
        <f t="shared" ca="1" si="257"/>
        <v>3</v>
      </c>
      <c r="AH1536" s="76">
        <f t="array" ref="AH1536">AVERAGEIFS($I$2:$I2565,$B$2:$B2565,$B1536,$P$2:$P2565,"&lt;="&amp;$P1536,$P$2:$P2565,"&gt;"&amp;$P1536-7)</f>
        <v>5.8</v>
      </c>
      <c r="AI1536" s="76">
        <f ca="1">IFERROR(__xludf.DUMMYFUNCTION("iferror(stdevp(filter($H$2:$H2568,$B$2:$B2568=$B1539,$O$2:$O2568&lt;=$O1539,$O$2:$O2568&gt;$O1539-7)),0)"),0.8)</f>
        <v>0.8</v>
      </c>
      <c r="AJ1536" s="77">
        <f t="shared" ca="1" si="258"/>
        <v>1.5000000000000002</v>
      </c>
      <c r="AK1536" s="77">
        <f t="shared" ca="1" si="259"/>
        <v>4</v>
      </c>
      <c r="AL1536" s="76">
        <f t="array" ref="AL1536">AVERAGEIFS($J$2:$J2565,$B$2:$B2565,$B1536,$P$2:$P2565,"&lt;="&amp;$P1536,$P$2:$P2565,"&gt;"&amp;$P1536-7)</f>
        <v>7.8</v>
      </c>
      <c r="AM1536" s="76">
        <f ca="1">IFERROR(__xludf.DUMMYFUNCTION("iferror(stdevp(filter($I$2:$I2568,$B$2:$B2568=$B1539,$O$2:$O2568&lt;=$O1539,$O$2:$O2568&gt;$O1539-7)),0)"),0.489897948556635)</f>
        <v>0.48989794855663499</v>
      </c>
      <c r="AN1536" s="77">
        <f t="shared" ca="1" si="260"/>
        <v>0.40824829046386391</v>
      </c>
      <c r="AO1536" s="77">
        <f t="shared" ca="1" si="261"/>
        <v>3</v>
      </c>
      <c r="AP1536" s="76">
        <f t="array" ref="AP1536">AVERAGEIFS($K$2:$K2565,$B$2:$B2565,$B1536,$P$2:$P2565,"&lt;="&amp;$P1536,$P$2:$P2565,"&gt;"&amp;$P1536-7)</f>
        <v>8.6</v>
      </c>
      <c r="AQ1536" s="76">
        <f ca="1">IFERROR(__xludf.DUMMYFUNCTION("iferror(stdevp(filter($J$2:$J2568,$B$2:$B2568=$B1539,$O$2:$O2568&lt;=$O1539,$O$2:$O2568&gt;$O1539-7)),0)"),0)</f>
        <v>0</v>
      </c>
      <c r="AR1536" s="77">
        <f t="shared" ca="1" si="262"/>
        <v>0</v>
      </c>
      <c r="AS1536" s="77">
        <f t="shared" ca="1" si="263"/>
        <v>3</v>
      </c>
      <c r="AT1536" s="78">
        <f t="shared" ca="1" si="264"/>
        <v>0.79166666666666663</v>
      </c>
    </row>
    <row r="1537" spans="1:46" ht="12.5" x14ac:dyDescent="0.25">
      <c r="A1537" s="75">
        <v>45013.310628159721</v>
      </c>
      <c r="B1537" s="1" t="s">
        <v>17</v>
      </c>
      <c r="C1537" s="1" t="str">
        <f>INDEX(TBL_Name,MATCH(Table2[[#This Row],[Athlete Name]],listNames,0),2)</f>
        <v>Athlete 10</v>
      </c>
      <c r="D1537" s="1" t="s">
        <v>130</v>
      </c>
      <c r="E1537" s="1">
        <v>7</v>
      </c>
      <c r="F1537" s="1">
        <v>8</v>
      </c>
      <c r="G1537" s="1">
        <v>7</v>
      </c>
      <c r="H1537" s="1" t="s">
        <v>1642</v>
      </c>
      <c r="I1537" s="1">
        <v>8</v>
      </c>
      <c r="J1537" s="1">
        <v>6</v>
      </c>
      <c r="K1537" s="1">
        <v>8</v>
      </c>
      <c r="L1537" s="1">
        <v>76</v>
      </c>
      <c r="M1537" s="1" t="e">
        <f t="shared" ref="M1537" ca="1" si="611">_xludf.concat($B1537,$P1537)</f>
        <v>#NAME?</v>
      </c>
      <c r="N1537" s="1" t="e">
        <f t="shared" si="248"/>
        <v>#VALUE!</v>
      </c>
      <c r="O1537" s="1" t="e">
        <f t="shared" ref="O1537" ca="1" si="612">IF($N1537=_xludf.MINIFS($N$2:$N3043,$R$2:$R3043,$R1537),1,
($N1537-_xludf.MINIFS($N$2:$N3043,$R$2:$R3043,$R1537))+1)</f>
        <v>#VALUE!</v>
      </c>
      <c r="P1537" s="13" t="e">
        <f t="shared" si="250"/>
        <v>#VALUE!</v>
      </c>
      <c r="Q1537" s="1" t="str">
        <f>RIGHT(YEAR($A1537),2)-(MONTH($A1537)&lt;=[3]Roster!$K$25)
 &amp;"-"&amp;
 RIGHT(YEAR($A1537),2)+(MONTH($A1537)&gt;=[3]Roster!$K$26)</f>
        <v>22-23</v>
      </c>
      <c r="R1537" s="1" t="e">
        <f>CHOOSE(MONTH($P1537),[3]Roster!$K$9,[3]Roster!$K$10,[3]Roster!$K$11,[3]Roster!$K$12,[3]Roster!$K$13,[3]Roster!$K$14,[3]Roster!$K$15,[3]Roster!$K$16,[3]Roster!$K$17,[3]Roster!$K$18,[3]Roster!$K$19,[3]Roster!$K$20)&amp;" "&amp;$Q1537</f>
        <v>#VALUE!</v>
      </c>
      <c r="S1537" s="1">
        <f t="shared" si="251"/>
        <v>1</v>
      </c>
      <c r="T1537" s="1" t="str">
        <f t="array" ref="T1537">IFERROR(INDEX([3]Roster!$D$3:$D$42,MATCH($B1537,[3]Roster!$C$3:$C$42,0)),"")</f>
        <v>D</v>
      </c>
      <c r="U1537" s="1" t="str">
        <f t="array" ref="U1537">IFERROR(INDEX([3]Roster!$E$3:$E$42,MATCH($B1537,[3]Roster!$C$3:$C$42,0)),"")</f>
        <v>D</v>
      </c>
      <c r="V1537" s="76">
        <f t="array" ref="V1537">AVERAGEIFS($E$2:$E2565,$B$2:$B2565,$B1537,$P$2:$P2565,"&lt;="&amp;$P1537,$P$2:$P2565,"&gt;"&amp;$P1537-7)</f>
        <v>6.9024390243902438</v>
      </c>
      <c r="W1537" s="76">
        <f ca="1">IFERROR(__xludf.DUMMYFUNCTION("iferror(stdevp(filter($D$2:$D2568,$B$2:$B2568=$B1540,$O$2:$O2568&lt;=$O1540,$O$2:$O2568&gt;$O1540-7)),0)"),1.62480768092719)</f>
        <v>1.6248076809271901</v>
      </c>
      <c r="X1537" s="77">
        <f t="shared" ca="1" si="252"/>
        <v>6.0044629746016091E-2</v>
      </c>
      <c r="Y1537" s="77">
        <f t="shared" ca="1" si="253"/>
        <v>3</v>
      </c>
      <c r="Z1537" s="76">
        <f t="array" ref="Z1537">AVERAGEIFS($F$2:$F2565,$B$2:$B2565,$B1537,$P$2:$P2565,"&lt;="&amp;$P1537,$P$2:$P2565,"&gt;"&amp;$P1537-7)</f>
        <v>7.2926829268292686</v>
      </c>
      <c r="AA1537" s="76">
        <f ca="1">IFERROR(__xludf.DUMMYFUNCTION("iferror(stdevp(filter($E$2:$E2568,$B$2:$B2568=$B1540,$O$2:$O2568&lt;=$O1540,$O$2:$O2568&gt;$O1540-7)),0)"),0.748331477354788)</f>
        <v>0.748331477354788</v>
      </c>
      <c r="AB1537" s="77">
        <f t="shared" ca="1" si="254"/>
        <v>0.94519219700735457</v>
      </c>
      <c r="AC1537" s="77">
        <f t="shared" ca="1" si="255"/>
        <v>3</v>
      </c>
      <c r="AD1537" s="76">
        <f t="array" ref="AD1537">AVERAGEIFS($G$2:$G2565,$B$2:$B2565,$B1537,$P$2:$P2565,"&lt;="&amp;$P1537,$P$2:$P2565,"&gt;"&amp;$P1537-7)</f>
        <v>7.8048780487804876</v>
      </c>
      <c r="AE1537" s="76">
        <f ca="1">IFERROR(__xludf.DUMMYFUNCTION("iferror(stdevp(filter($F$2:$F2568,$B$2:$B2568=$B1540,$O$2:$O2568&lt;=$O1540,$O$2:$O2568&gt;$O1540-7)),0)"),1.35646599662505)</f>
        <v>1.3564659966250501</v>
      </c>
      <c r="AF1537" s="77">
        <f t="shared" ca="1" si="256"/>
        <v>-0.59336396989166063</v>
      </c>
      <c r="AG1537" s="77">
        <f t="shared" ca="1" si="257"/>
        <v>2</v>
      </c>
      <c r="AH1537" s="76">
        <f t="array" ref="AH1537">AVERAGEIFS($I$2:$I2565,$B$2:$B2565,$B1537,$P$2:$P2565,"&lt;="&amp;$P1537,$P$2:$P2565,"&gt;"&amp;$P1537-7)</f>
        <v>6.3170731707317076</v>
      </c>
      <c r="AI1537" s="76">
        <f ca="1">IFERROR(__xludf.DUMMYFUNCTION("iferror(stdevp(filter($H$2:$H2568,$B$2:$B2568=$B1540,$O$2:$O2568&lt;=$O1540,$O$2:$O2568&gt;$O1540-7)),0)"),1.83303027798233)</f>
        <v>1.83303027798233</v>
      </c>
      <c r="AJ1537" s="77">
        <f t="shared" ca="1" si="258"/>
        <v>0.91811185526119032</v>
      </c>
      <c r="AK1537" s="77">
        <f t="shared" ca="1" si="259"/>
        <v>3</v>
      </c>
      <c r="AL1537" s="76">
        <f t="array" ref="AL1537">AVERAGEIFS($J$2:$J2565,$B$2:$B2565,$B1537,$P$2:$P2565,"&lt;="&amp;$P1537,$P$2:$P2565,"&gt;"&amp;$P1537-7)</f>
        <v>6.9024390243902438</v>
      </c>
      <c r="AM1537" s="76">
        <f ca="1">IFERROR(__xludf.DUMMYFUNCTION("iferror(stdevp(filter($I$2:$I2568,$B$2:$B2568=$B1540,$O$2:$O2568&lt;=$O1540,$O$2:$O2568&gt;$O1540-7)),0)"),1.01980390271855)</f>
        <v>1.0198039027185499</v>
      </c>
      <c r="AN1537" s="77">
        <f t="shared" ca="1" si="260"/>
        <v>-0.88491426830644615</v>
      </c>
      <c r="AO1537" s="77">
        <f t="shared" ca="1" si="261"/>
        <v>2</v>
      </c>
      <c r="AP1537" s="76">
        <f t="array" ref="AP1537">AVERAGEIFS($K$2:$K2565,$B$2:$B2565,$B1537,$P$2:$P2565,"&lt;="&amp;$P1537,$P$2:$P2565,"&gt;"&amp;$P1537-7)</f>
        <v>8</v>
      </c>
      <c r="AQ1537" s="76">
        <f ca="1">IFERROR(__xludf.DUMMYFUNCTION("iferror(stdevp(filter($J$2:$J2568,$B$2:$B2568=$B1540,$O$2:$O2568&lt;=$O1540,$O$2:$O2568&gt;$O1540-7)),0)"),0.748331477354788)</f>
        <v>0.748331477354788</v>
      </c>
      <c r="AR1537" s="77">
        <f t="shared" ca="1" si="262"/>
        <v>0</v>
      </c>
      <c r="AS1537" s="77">
        <f t="shared" ca="1" si="263"/>
        <v>3</v>
      </c>
      <c r="AT1537" s="78">
        <f t="shared" ca="1" si="264"/>
        <v>0.66666666666666663</v>
      </c>
    </row>
    <row r="1538" spans="1:46" ht="12.5" x14ac:dyDescent="0.25">
      <c r="A1538" s="75">
        <v>45013.326994976851</v>
      </c>
      <c r="B1538" s="1" t="s">
        <v>4</v>
      </c>
      <c r="C1538" s="1" t="str">
        <f>INDEX(TBL_Name,MATCH(Table2[[#This Row],[Athlete Name]],listNames,0),2)</f>
        <v>Athlete 1</v>
      </c>
      <c r="D1538" s="1" t="s">
        <v>130</v>
      </c>
      <c r="E1538" s="1">
        <v>9</v>
      </c>
      <c r="F1538" s="1">
        <v>3</v>
      </c>
      <c r="G1538" s="1">
        <v>4</v>
      </c>
      <c r="H1538" s="1"/>
      <c r="I1538" s="1">
        <v>6</v>
      </c>
      <c r="J1538" s="1">
        <v>3</v>
      </c>
      <c r="K1538" s="1">
        <v>3</v>
      </c>
      <c r="L1538" s="1">
        <v>65</v>
      </c>
      <c r="M1538" s="1" t="e">
        <f t="shared" ref="M1538" ca="1" si="613">_xludf.concat($B1538,$P1538)</f>
        <v>#NAME?</v>
      </c>
      <c r="N1538" s="1" t="e">
        <f t="shared" si="248"/>
        <v>#VALUE!</v>
      </c>
      <c r="O1538" s="1" t="e">
        <f t="shared" ref="O1538" ca="1" si="614">IF($N1538=_xludf.MINIFS($N$2:$N3044,$R$2:$R3044,$R1538),1,
($N1538-_xludf.MINIFS($N$2:$N3044,$R$2:$R3044,$R1538))+1)</f>
        <v>#VALUE!</v>
      </c>
      <c r="P1538" s="13" t="e">
        <f t="shared" si="250"/>
        <v>#VALUE!</v>
      </c>
      <c r="Q1538" s="1" t="str">
        <f>RIGHT(YEAR($A1538),2)-(MONTH($A1538)&lt;=[3]Roster!$K$25)
 &amp;"-"&amp;
 RIGHT(YEAR($A1538),2)+(MONTH($A1538)&gt;=[3]Roster!$K$26)</f>
        <v>22-23</v>
      </c>
      <c r="R1538" s="1" t="e">
        <f>CHOOSE(MONTH($P1538),[3]Roster!$K$9,[3]Roster!$K$10,[3]Roster!$K$11,[3]Roster!$K$12,[3]Roster!$K$13,[3]Roster!$K$14,[3]Roster!$K$15,[3]Roster!$K$16,[3]Roster!$K$17,[3]Roster!$K$18,[3]Roster!$K$19,[3]Roster!$K$20)&amp;" "&amp;$Q1538</f>
        <v>#VALUE!</v>
      </c>
      <c r="S1538" s="1">
        <f t="shared" si="251"/>
        <v>1</v>
      </c>
      <c r="T1538" s="1" t="str">
        <f t="array" ref="T1538">IFERROR(INDEX([3]Roster!$D$3:$D$42,MATCH($B1538,[3]Roster!$C$3:$C$42,0)),"")</f>
        <v>FWD</v>
      </c>
      <c r="U1538" s="1" t="str">
        <f t="array" ref="U1538">IFERROR(INDEX([3]Roster!$E$3:$E$42,MATCH($B1538,[3]Roster!$C$3:$C$42,0)),"")</f>
        <v>FWD</v>
      </c>
      <c r="V1538" s="76">
        <f t="array" ref="V1538">AVERAGEIFS($E$2:$E2565,$B$2:$B2565,$B1538,$P$2:$P2565,"&lt;="&amp;$P1538,$P$2:$P2565,"&gt;"&amp;$P1538-7)</f>
        <v>8.3809523809523814</v>
      </c>
      <c r="W1538" s="76">
        <f ca="1">IFERROR(__xludf.DUMMYFUNCTION("iferror(stdevp(filter($D$2:$D2568,$B$2:$B2568=$B1541,$O$2:$O2568&lt;=$O1541,$O$2:$O2568&gt;$O1541-7)),0)"),0.433012701892219)</f>
        <v>0.43301270189221902</v>
      </c>
      <c r="X1538" s="77">
        <f t="shared" ca="1" si="252"/>
        <v>1.4296292379933591</v>
      </c>
      <c r="Y1538" s="77">
        <f t="shared" ca="1" si="253"/>
        <v>4</v>
      </c>
      <c r="Z1538" s="76">
        <f t="array" ref="Z1538">AVERAGEIFS($F$2:$F2565,$B$2:$B2565,$B1538,$P$2:$P2565,"&lt;="&amp;$P1538,$P$2:$P2565,"&gt;"&amp;$P1538-7)</f>
        <v>6.8571428571428568</v>
      </c>
      <c r="AA1538" s="76">
        <f ca="1">IFERROR(__xludf.DUMMYFUNCTION("iferror(stdevp(filter($E$2:$E2568,$B$2:$B2568=$B1541,$O$2:$O2568&lt;=$O1541,$O$2:$O2568&gt;$O1541-7)),0)"),1.29903810567665)</f>
        <v>1.29903810567665</v>
      </c>
      <c r="AB1538" s="77">
        <f t="shared" ca="1" si="254"/>
        <v>-2.9692299558323789</v>
      </c>
      <c r="AC1538" s="77">
        <f t="shared" ca="1" si="255"/>
        <v>1</v>
      </c>
      <c r="AD1538" s="76">
        <f t="array" ref="AD1538">AVERAGEIFS($G$2:$G2565,$B$2:$B2565,$B1538,$P$2:$P2565,"&lt;="&amp;$P1538,$P$2:$P2565,"&gt;"&amp;$P1538-7)</f>
        <v>5.7619047619047619</v>
      </c>
      <c r="AE1538" s="76">
        <f ca="1">IFERROR(__xludf.DUMMYFUNCTION("iferror(stdevp(filter($F$2:$F2568,$B$2:$B2568=$B1541,$O$2:$O2568&lt;=$O1541,$O$2:$O2568&gt;$O1541-7)),0)"),1.22474487139158)</f>
        <v>1.2247448713915801</v>
      </c>
      <c r="AF1538" s="77">
        <f t="shared" ca="1" si="256"/>
        <v>-1.4385892140155279</v>
      </c>
      <c r="AG1538" s="77">
        <f t="shared" ca="1" si="257"/>
        <v>1</v>
      </c>
      <c r="AH1538" s="76">
        <f t="array" ref="AH1538">AVERAGEIFS($I$2:$I2565,$B$2:$B2565,$B1538,$P$2:$P2565,"&lt;="&amp;$P1538,$P$2:$P2565,"&gt;"&amp;$P1538-7)</f>
        <v>6.8571428571428568</v>
      </c>
      <c r="AI1538" s="76">
        <f ca="1">IFERROR(__xludf.DUMMYFUNCTION("iferror(stdevp(filter($H$2:$H2568,$B$2:$B2568=$B1541,$O$2:$O2568&lt;=$O1541,$O$2:$O2568&gt;$O1541-7)),0)"),1.22474487139158)</f>
        <v>1.2247448713915801</v>
      </c>
      <c r="AJ1538" s="77">
        <f t="shared" ca="1" si="258"/>
        <v>-0.69985421222376998</v>
      </c>
      <c r="AK1538" s="77">
        <f t="shared" ca="1" si="259"/>
        <v>2</v>
      </c>
      <c r="AL1538" s="76">
        <f t="array" ref="AL1538">AVERAGEIFS($J$2:$J2565,$B$2:$B2565,$B1538,$P$2:$P2565,"&lt;="&amp;$P1538,$P$2:$P2565,"&gt;"&amp;$P1538-7)</f>
        <v>5.0952380952380949</v>
      </c>
      <c r="AM1538" s="76">
        <f ca="1">IFERROR(__xludf.DUMMYFUNCTION("iferror(stdevp(filter($I$2:$I2568,$B$2:$B2568=$B1541,$O$2:$O2568&lt;=$O1541,$O$2:$O2568&gt;$O1541-7)),0)"),0.82915619758885)</f>
        <v>0.82915619758884995</v>
      </c>
      <c r="AN1538" s="77">
        <f t="shared" ca="1" si="260"/>
        <v>-2.5269522212231612</v>
      </c>
      <c r="AO1538" s="77">
        <f t="shared" ca="1" si="261"/>
        <v>1</v>
      </c>
      <c r="AP1538" s="76">
        <f t="array" ref="AP1538">AVERAGEIFS($K$2:$K2565,$B$2:$B2565,$B1538,$P$2:$P2565,"&lt;="&amp;$P1538,$P$2:$P2565,"&gt;"&amp;$P1538-7)</f>
        <v>5.3809523809523814</v>
      </c>
      <c r="AQ1538" s="76">
        <f ca="1">IFERROR(__xludf.DUMMYFUNCTION("iferror(stdevp(filter($J$2:$J2568,$B$2:$B2568=$B1541,$O$2:$O2568&lt;=$O1541,$O$2:$O2568&gt;$O1541-7)),0)"),1.6583123951777)</f>
        <v>1.6583123951776999</v>
      </c>
      <c r="AR1538" s="77">
        <f t="shared" ca="1" si="262"/>
        <v>-1.4357683075131604</v>
      </c>
      <c r="AS1538" s="77">
        <f t="shared" ca="1" si="263"/>
        <v>1</v>
      </c>
      <c r="AT1538" s="78">
        <f t="shared" ca="1" si="264"/>
        <v>0.41666666666666669</v>
      </c>
    </row>
    <row r="1539" spans="1:46" ht="12.5" x14ac:dyDescent="0.25">
      <c r="A1539" s="75">
        <v>45013.370482430561</v>
      </c>
      <c r="B1539" s="1" t="s">
        <v>15</v>
      </c>
      <c r="C1539" s="1" t="str">
        <f>INDEX(TBL_Name,MATCH(Table2[[#This Row],[Athlete Name]],listNames,0),2)</f>
        <v>Athlete 8</v>
      </c>
      <c r="D1539" s="1" t="s">
        <v>130</v>
      </c>
      <c r="E1539" s="1">
        <v>7</v>
      </c>
      <c r="F1539" s="1">
        <v>7</v>
      </c>
      <c r="G1539" s="1">
        <v>8</v>
      </c>
      <c r="H1539" s="1" t="s">
        <v>71</v>
      </c>
      <c r="I1539" s="1">
        <v>6</v>
      </c>
      <c r="J1539" s="1">
        <v>10</v>
      </c>
      <c r="K1539" s="1">
        <v>10</v>
      </c>
      <c r="L1539" s="1">
        <v>90</v>
      </c>
      <c r="M1539" s="1" t="e">
        <f t="shared" ref="M1539" ca="1" si="615">_xludf.concat($B1539,$P1539)</f>
        <v>#NAME?</v>
      </c>
      <c r="N1539" s="1" t="e">
        <f t="shared" si="248"/>
        <v>#VALUE!</v>
      </c>
      <c r="O1539" s="1" t="e">
        <f t="shared" ref="O1539" ca="1" si="616">IF($N1539=_xludf.MINIFS($N$2:$N3045,$R$2:$R3045,$R1539),1,
($N1539-_xludf.MINIFS($N$2:$N3045,$R$2:$R3045,$R1539))+1)</f>
        <v>#VALUE!</v>
      </c>
      <c r="P1539" s="13" t="e">
        <f t="shared" si="250"/>
        <v>#VALUE!</v>
      </c>
      <c r="Q1539" s="1" t="str">
        <f>RIGHT(YEAR($A1539),2)-(MONTH($A1539)&lt;=[3]Roster!$K$25)
 &amp;"-"&amp;
 RIGHT(YEAR($A1539),2)+(MONTH($A1539)&gt;=[3]Roster!$K$26)</f>
        <v>22-23</v>
      </c>
      <c r="R1539" s="1" t="e">
        <f>CHOOSE(MONTH($P1539),[3]Roster!$K$9,[3]Roster!$K$10,[3]Roster!$K$11,[3]Roster!$K$12,[3]Roster!$K$13,[3]Roster!$K$14,[3]Roster!$K$15,[3]Roster!$K$16,[3]Roster!$K$17,[3]Roster!$K$18,[3]Roster!$K$19,[3]Roster!$K$20)&amp;" "&amp;$Q1539</f>
        <v>#VALUE!</v>
      </c>
      <c r="S1539" s="1">
        <f t="shared" si="251"/>
        <v>1</v>
      </c>
      <c r="T1539" s="1" t="str">
        <f t="array" ref="T1539">IFERROR(INDEX([3]Roster!$D$3:$D$42,MATCH($B1539,[3]Roster!$C$3:$C$42,0)),"")</f>
        <v>MID/D</v>
      </c>
      <c r="U1539" s="1" t="str">
        <f t="array" ref="U1539">IFERROR(INDEX([3]Roster!$E$3:$E$42,MATCH($B1539,[3]Roster!$C$3:$C$42,0)),"")</f>
        <v>MID/D</v>
      </c>
      <c r="V1539" s="76">
        <f t="array" ref="V1539">AVERAGEIFS($E$2:$E2565,$B$2:$B2565,$B1539,$P$2:$P2565,"&lt;="&amp;$P1539,$P$2:$P2565,"&gt;"&amp;$P1539-7)</f>
        <v>8.935483870967742</v>
      </c>
      <c r="W1539" s="76">
        <f ca="1">IFERROR(__xludf.DUMMYFUNCTION("iferror(stdevp(filter($D$2:$D2568,$B$2:$B2568=$B1542,$O$2:$O2568&lt;=$O1542,$O$2:$O2568&gt;$O1542-7)),0)"),1.2)</f>
        <v>1.2</v>
      </c>
      <c r="X1539" s="77">
        <f t="shared" ca="1" si="252"/>
        <v>-1.6129032258064517</v>
      </c>
      <c r="Y1539" s="77">
        <f t="shared" ca="1" si="253"/>
        <v>1</v>
      </c>
      <c r="Z1539" s="76">
        <f t="array" ref="Z1539">AVERAGEIFS($F$2:$F2565,$B$2:$B2565,$B1539,$P$2:$P2565,"&lt;="&amp;$P1539,$P$2:$P2565,"&gt;"&amp;$P1539-7)</f>
        <v>8.741935483870968</v>
      </c>
      <c r="AA1539" s="76">
        <f ca="1">IFERROR(__xludf.DUMMYFUNCTION("iferror(stdevp(filter($E$2:$E2568,$B$2:$B2568=$B1542,$O$2:$O2568&lt;=$O1542,$O$2:$O2568&gt;$O1542-7)),0)"),1.16619037896906)</f>
        <v>1.16619037896906</v>
      </c>
      <c r="AB1539" s="77">
        <f t="shared" ca="1" si="254"/>
        <v>-1.4936973544670129</v>
      </c>
      <c r="AC1539" s="77">
        <f t="shared" ca="1" si="255"/>
        <v>1</v>
      </c>
      <c r="AD1539" s="76">
        <f t="array" ref="AD1539">AVERAGEIFS($G$2:$G2565,$B$2:$B2565,$B1539,$P$2:$P2565,"&lt;="&amp;$P1539,$P$2:$P2565,"&gt;"&amp;$P1539-7)</f>
        <v>7.32258064516129</v>
      </c>
      <c r="AE1539" s="76">
        <f ca="1">IFERROR(__xludf.DUMMYFUNCTION("iferror(stdevp(filter($F$2:$F2568,$B$2:$B2568=$B1542,$O$2:$O2568&lt;=$O1542,$O$2:$O2568&gt;$O1542-7)),0)"),0.489897948556635)</f>
        <v>0.48989794855663499</v>
      </c>
      <c r="AF1539" s="77">
        <f t="shared" ca="1" si="256"/>
        <v>1.3827764677001835</v>
      </c>
      <c r="AG1539" s="77">
        <f t="shared" ca="1" si="257"/>
        <v>4</v>
      </c>
      <c r="AH1539" s="76">
        <f t="array" ref="AH1539">AVERAGEIFS($I$2:$I2565,$B$2:$B2565,$B1539,$P$2:$P2565,"&lt;="&amp;$P1539,$P$2:$P2565,"&gt;"&amp;$P1539-7)</f>
        <v>6.419354838709677</v>
      </c>
      <c r="AI1539" s="76">
        <f ca="1">IFERROR(__xludf.DUMMYFUNCTION("iferror(stdevp(filter($H$2:$H2568,$B$2:$B2568=$B1542,$O$2:$O2568&lt;=$O1542,$O$2:$O2568&gt;$O1542-7)),0)"),1.54919333848296)</f>
        <v>1.5491933384829599</v>
      </c>
      <c r="AJ1539" s="77">
        <f t="shared" ca="1" si="258"/>
        <v>-0.27069238441234728</v>
      </c>
      <c r="AK1539" s="77">
        <f t="shared" ca="1" si="259"/>
        <v>2</v>
      </c>
      <c r="AL1539" s="76">
        <f t="array" ref="AL1539">AVERAGEIFS($J$2:$J2565,$B$2:$B2565,$B1539,$P$2:$P2565,"&lt;="&amp;$P1539,$P$2:$P2565,"&gt;"&amp;$P1539-7)</f>
        <v>9.612903225806452</v>
      </c>
      <c r="AM1539" s="76">
        <f ca="1">IFERROR(__xludf.DUMMYFUNCTION("iferror(stdevp(filter($I$2:$I2568,$B$2:$B2568=$B1542,$O$2:$O2568&lt;=$O1542,$O$2:$O2568&gt;$O1542-7)),0)"),0)</f>
        <v>0</v>
      </c>
      <c r="AN1539" s="77">
        <f t="shared" ca="1" si="260"/>
        <v>0</v>
      </c>
      <c r="AO1539" s="77">
        <f t="shared" ca="1" si="261"/>
        <v>3</v>
      </c>
      <c r="AP1539" s="76">
        <f t="array" ref="AP1539">AVERAGEIFS($K$2:$K2565,$B$2:$B2565,$B1539,$P$2:$P2565,"&lt;="&amp;$P1539,$P$2:$P2565,"&gt;"&amp;$P1539-7)</f>
        <v>10</v>
      </c>
      <c r="AQ1539" s="76">
        <f ca="1">IFERROR(__xludf.DUMMYFUNCTION("iferror(stdevp(filter($J$2:$J2568,$B$2:$B2568=$B1542,$O$2:$O2568&lt;=$O1542,$O$2:$O2568&gt;$O1542-7)),0)"),0)</f>
        <v>0</v>
      </c>
      <c r="AR1539" s="77">
        <f t="shared" ca="1" si="262"/>
        <v>0</v>
      </c>
      <c r="AS1539" s="77">
        <f t="shared" ca="1" si="263"/>
        <v>3</v>
      </c>
      <c r="AT1539" s="78">
        <f t="shared" ca="1" si="264"/>
        <v>0.58333333333333337</v>
      </c>
    </row>
    <row r="1540" spans="1:46" ht="12.5" x14ac:dyDescent="0.25">
      <c r="A1540" s="75">
        <v>45013.440370937504</v>
      </c>
      <c r="B1540" s="1" t="s">
        <v>16</v>
      </c>
      <c r="C1540" s="1" t="str">
        <f>INDEX(TBL_Name,MATCH(Table2[[#This Row],[Athlete Name]],listNames,0),2)</f>
        <v>Athlete 9</v>
      </c>
      <c r="D1540" s="1" t="s">
        <v>130</v>
      </c>
      <c r="E1540" s="1">
        <v>9</v>
      </c>
      <c r="F1540" s="1">
        <v>8</v>
      </c>
      <c r="G1540" s="1">
        <v>8</v>
      </c>
      <c r="H1540" s="1" t="s">
        <v>742</v>
      </c>
      <c r="I1540" s="1">
        <v>7</v>
      </c>
      <c r="J1540" s="1">
        <v>9</v>
      </c>
      <c r="K1540" s="1">
        <v>9</v>
      </c>
      <c r="L1540" s="1">
        <v>85</v>
      </c>
      <c r="M1540" s="1" t="e">
        <f t="shared" ref="M1540" ca="1" si="617">_xludf.concat($B1540,$P1540)</f>
        <v>#NAME?</v>
      </c>
      <c r="N1540" s="1" t="e">
        <f t="shared" si="248"/>
        <v>#VALUE!</v>
      </c>
      <c r="O1540" s="1" t="e">
        <f t="shared" ref="O1540" ca="1" si="618">IF($N1540=_xludf.MINIFS($N$2:$N3046,$R$2:$R3046,$R1540),1,
($N1540-_xludf.MINIFS($N$2:$N3046,$R$2:$R3046,$R1540))+1)</f>
        <v>#VALUE!</v>
      </c>
      <c r="P1540" s="13" t="e">
        <f t="shared" si="250"/>
        <v>#VALUE!</v>
      </c>
      <c r="Q1540" s="1" t="str">
        <f>RIGHT(YEAR($A1540),2)-(MONTH($A1540)&lt;=[3]Roster!$K$25)
 &amp;"-"&amp;
 RIGHT(YEAR($A1540),2)+(MONTH($A1540)&gt;=[3]Roster!$K$26)</f>
        <v>22-23</v>
      </c>
      <c r="R1540" s="1" t="e">
        <f>CHOOSE(MONTH($P1540),[3]Roster!$K$9,[3]Roster!$K$10,[3]Roster!$K$11,[3]Roster!$K$12,[3]Roster!$K$13,[3]Roster!$K$14,[3]Roster!$K$15,[3]Roster!$K$16,[3]Roster!$K$17,[3]Roster!$K$18,[3]Roster!$K$19,[3]Roster!$K$20)&amp;" "&amp;$Q1540</f>
        <v>#VALUE!</v>
      </c>
      <c r="S1540" s="1">
        <f t="shared" si="251"/>
        <v>1</v>
      </c>
      <c r="T1540" s="1" t="str">
        <f t="array" ref="T1540">IFERROR(INDEX([3]Roster!$D$3:$D$42,MATCH($B1540,[3]Roster!$C$3:$C$42,0)),"")</f>
        <v>MID/D</v>
      </c>
      <c r="U1540" s="1" t="str">
        <f t="array" ref="U1540">IFERROR(INDEX([3]Roster!$E$3:$E$42,MATCH($B1540,[3]Roster!$C$3:$C$42,0)),"")</f>
        <v>MID/D</v>
      </c>
      <c r="V1540" s="76">
        <f t="array" ref="V1540">AVERAGEIFS($E$2:$E2565,$B$2:$B2565,$B1540,$P$2:$P2565,"&lt;="&amp;$P1540,$P$2:$P2565,"&gt;"&amp;$P1540-7)</f>
        <v>8.9600000000000009</v>
      </c>
      <c r="W1540" s="76">
        <f ca="1">IFERROR(__xludf.DUMMYFUNCTION("iferror(stdevp(filter($D$2:$D2568,$B$2:$B2568=$B1543,$O$2:$O2568&lt;=$O1543,$O$2:$O2568&gt;$O1543-7)),0)"),0.4)</f>
        <v>0.4</v>
      </c>
      <c r="X1540" s="77">
        <f t="shared" ca="1" si="252"/>
        <v>9.9999999999997868E-2</v>
      </c>
      <c r="Y1540" s="77">
        <f t="shared" ca="1" si="253"/>
        <v>3</v>
      </c>
      <c r="Z1540" s="76">
        <f t="array" ref="Z1540">AVERAGEIFS($F$2:$F2565,$B$2:$B2565,$B1540,$P$2:$P2565,"&lt;="&amp;$P1540,$P$2:$P2565,"&gt;"&amp;$P1540-7)</f>
        <v>7.48</v>
      </c>
      <c r="AA1540" s="76">
        <f ca="1">IFERROR(__xludf.DUMMYFUNCTION("iferror(stdevp(filter($E$2:$E2568,$B$2:$B2568=$B1543,$O$2:$O2568&lt;=$O1543,$O$2:$O2568&gt;$O1543-7)),0)"),0)</f>
        <v>0</v>
      </c>
      <c r="AB1540" s="77">
        <f t="shared" ca="1" si="254"/>
        <v>0</v>
      </c>
      <c r="AC1540" s="77">
        <f t="shared" ca="1" si="255"/>
        <v>3</v>
      </c>
      <c r="AD1540" s="76">
        <f t="array" ref="AD1540">AVERAGEIFS($G$2:$G2565,$B$2:$B2565,$B1540,$P$2:$P2565,"&lt;="&amp;$P1540,$P$2:$P2565,"&gt;"&amp;$P1540-7)</f>
        <v>7.56</v>
      </c>
      <c r="AE1540" s="76">
        <f ca="1">IFERROR(__xludf.DUMMYFUNCTION("iferror(stdevp(filter($F$2:$F2568,$B$2:$B2568=$B1543,$O$2:$O2568&lt;=$O1543,$O$2:$O2568&gt;$O1543-7)),0)"),0)</f>
        <v>0</v>
      </c>
      <c r="AF1540" s="77">
        <f t="shared" ca="1" si="256"/>
        <v>0</v>
      </c>
      <c r="AG1540" s="77">
        <f t="shared" ca="1" si="257"/>
        <v>3</v>
      </c>
      <c r="AH1540" s="76">
        <f t="array" ref="AH1540">AVERAGEIFS($I$2:$I2565,$B$2:$B2565,$B1540,$P$2:$P2565,"&lt;="&amp;$P1540,$P$2:$P2565,"&gt;"&amp;$P1540-7)</f>
        <v>5.8</v>
      </c>
      <c r="AI1540" s="76">
        <f ca="1">IFERROR(__xludf.DUMMYFUNCTION("iferror(stdevp(filter($H$2:$H2568,$B$2:$B2568=$B1543,$O$2:$O2568&lt;=$O1543,$O$2:$O2568&gt;$O1543-7)),0)"),0.894427190999915)</f>
        <v>0.89442719099991497</v>
      </c>
      <c r="AJ1540" s="77">
        <f t="shared" ca="1" si="258"/>
        <v>1.3416407864998754</v>
      </c>
      <c r="AK1540" s="77">
        <f t="shared" ca="1" si="259"/>
        <v>4</v>
      </c>
      <c r="AL1540" s="76">
        <f t="array" ref="AL1540">AVERAGEIFS($J$2:$J2565,$B$2:$B2565,$B1540,$P$2:$P2565,"&lt;="&amp;$P1540,$P$2:$P2565,"&gt;"&amp;$P1540-7)</f>
        <v>7.8</v>
      </c>
      <c r="AM1540" s="76">
        <f ca="1">IFERROR(__xludf.DUMMYFUNCTION("iferror(stdevp(filter($I$2:$I2568,$B$2:$B2568=$B1543,$O$2:$O2568&lt;=$O1543,$O$2:$O2568&gt;$O1543-7)),0)"),0.489897948556635)</f>
        <v>0.48989794855663499</v>
      </c>
      <c r="AN1540" s="77">
        <f t="shared" ca="1" si="260"/>
        <v>2.4494897427831814</v>
      </c>
      <c r="AO1540" s="77">
        <f t="shared" ca="1" si="261"/>
        <v>4</v>
      </c>
      <c r="AP1540" s="76">
        <f t="array" ref="AP1540">AVERAGEIFS($K$2:$K2565,$B$2:$B2565,$B1540,$P$2:$P2565,"&lt;="&amp;$P1540,$P$2:$P2565,"&gt;"&amp;$P1540-7)</f>
        <v>8.6</v>
      </c>
      <c r="AQ1540" s="76">
        <f ca="1">IFERROR(__xludf.DUMMYFUNCTION("iferror(stdevp(filter($J$2:$J2568,$B$2:$B2568=$B1543,$O$2:$O2568&lt;=$O1543,$O$2:$O2568&gt;$O1543-7)),0)"),0)</f>
        <v>0</v>
      </c>
      <c r="AR1540" s="77">
        <f t="shared" ca="1" si="262"/>
        <v>0</v>
      </c>
      <c r="AS1540" s="77">
        <f t="shared" ca="1" si="263"/>
        <v>3</v>
      </c>
      <c r="AT1540" s="78">
        <f t="shared" ca="1" si="264"/>
        <v>0.83333333333333337</v>
      </c>
    </row>
    <row r="1541" spans="1:46" ht="12.5" x14ac:dyDescent="0.25">
      <c r="A1541" s="75">
        <v>45013.467191504635</v>
      </c>
      <c r="B1541" s="1" t="s">
        <v>13</v>
      </c>
      <c r="C1541" s="1" t="str">
        <f>INDEX(TBL_Name,MATCH(Table2[[#This Row],[Athlete Name]],listNames,0),2)</f>
        <v>Athlete 7</v>
      </c>
      <c r="D1541" s="1" t="s">
        <v>130</v>
      </c>
      <c r="E1541" s="1">
        <v>8</v>
      </c>
      <c r="F1541" s="1">
        <v>8</v>
      </c>
      <c r="G1541" s="1">
        <v>8</v>
      </c>
      <c r="H1541" s="1" t="s">
        <v>231</v>
      </c>
      <c r="I1541" s="1">
        <v>7</v>
      </c>
      <c r="J1541" s="1">
        <v>10</v>
      </c>
      <c r="K1541" s="1">
        <v>10</v>
      </c>
      <c r="L1541" s="1">
        <v>80</v>
      </c>
      <c r="M1541" s="1" t="e">
        <f t="shared" ref="M1541" ca="1" si="619">_xludf.concat($B1541,$P1541)</f>
        <v>#NAME?</v>
      </c>
      <c r="N1541" s="1" t="e">
        <f t="shared" si="248"/>
        <v>#VALUE!</v>
      </c>
      <c r="O1541" s="1" t="e">
        <f t="shared" ref="O1541" ca="1" si="620">IF($N1541=_xludf.MINIFS($N$2:$N3047,$R$2:$R3047,$R1541),1,
($N1541-_xludf.MINIFS($N$2:$N3047,$R$2:$R3047,$R1541))+1)</f>
        <v>#VALUE!</v>
      </c>
      <c r="P1541" s="13" t="e">
        <f t="shared" si="250"/>
        <v>#VALUE!</v>
      </c>
      <c r="Q1541" s="1" t="str">
        <f>RIGHT(YEAR($A1541),2)-(MONTH($A1541)&lt;=[3]Roster!$K$25)
 &amp;"-"&amp;
 RIGHT(YEAR($A1541),2)+(MONTH($A1541)&gt;=[3]Roster!$K$26)</f>
        <v>22-23</v>
      </c>
      <c r="R1541" s="1" t="e">
        <f>CHOOSE(MONTH($P1541),[3]Roster!$K$9,[3]Roster!$K$10,[3]Roster!$K$11,[3]Roster!$K$12,[3]Roster!$K$13,[3]Roster!$K$14,[3]Roster!$K$15,[3]Roster!$K$16,[3]Roster!$K$17,[3]Roster!$K$18,[3]Roster!$K$19,[3]Roster!$K$20)&amp;" "&amp;$Q1541</f>
        <v>#VALUE!</v>
      </c>
      <c r="S1541" s="1">
        <f t="shared" si="251"/>
        <v>1</v>
      </c>
      <c r="T1541" s="1" t="str">
        <f t="array" ref="T1541">IFERROR(INDEX([3]Roster!$D$3:$D$42,MATCH($B1541,[3]Roster!$C$3:$C$42,0)),"")</f>
        <v>MID/D</v>
      </c>
      <c r="U1541" s="1" t="str">
        <f t="array" ref="U1541">IFERROR(INDEX([3]Roster!$E$3:$E$42,MATCH($B1541,[3]Roster!$C$3:$C$42,0)),"")</f>
        <v>MID/D</v>
      </c>
      <c r="V1541" s="76">
        <f t="array" ref="V1541">AVERAGEIFS($E$2:$E2565,$B$2:$B2565,$B1541,$P$2:$P2565,"&lt;="&amp;$P1541,$P$2:$P2565,"&gt;"&amp;$P1541-7)</f>
        <v>7.6857142857142859</v>
      </c>
      <c r="W1541" s="76">
        <f ca="1">IFERROR(__xludf.DUMMYFUNCTION("iferror(stdevp(filter($D$2:$D2568,$B$2:$B2568=$B1544,$O$2:$O2568&lt;=$O1544,$O$2:$O2568&gt;$O1544-7)),0)"),0.8)</f>
        <v>0.8</v>
      </c>
      <c r="X1541" s="77">
        <f t="shared" ca="1" si="252"/>
        <v>0.39285714285714257</v>
      </c>
      <c r="Y1541" s="77">
        <f t="shared" ca="1" si="253"/>
        <v>3</v>
      </c>
      <c r="Z1541" s="76">
        <f t="array" ref="Z1541">AVERAGEIFS($F$2:$F2565,$B$2:$B2565,$B1541,$P$2:$P2565,"&lt;="&amp;$P1541,$P$2:$P2565,"&gt;"&amp;$P1541-7)</f>
        <v>7.0857142857142854</v>
      </c>
      <c r="AA1541" s="76">
        <f ca="1">IFERROR(__xludf.DUMMYFUNCTION("iferror(stdevp(filter($E$2:$E2568,$B$2:$B2568=$B1544,$O$2:$O2568&lt;=$O1544,$O$2:$O2568&gt;$O1544-7)),0)"),1.32664991614216)</f>
        <v>1.3266499161421601</v>
      </c>
      <c r="AB1541" s="77">
        <f t="shared" ca="1" si="254"/>
        <v>0.68916878760631695</v>
      </c>
      <c r="AC1541" s="77">
        <f t="shared" ca="1" si="255"/>
        <v>3</v>
      </c>
      <c r="AD1541" s="76">
        <f t="array" ref="AD1541">AVERAGEIFS($G$2:$G2565,$B$2:$B2565,$B1541,$P$2:$P2565,"&lt;="&amp;$P1541,$P$2:$P2565,"&gt;"&amp;$P1541-7)</f>
        <v>7.1428571428571432</v>
      </c>
      <c r="AE1541" s="76">
        <f ca="1">IFERROR(__xludf.DUMMYFUNCTION("iferror(stdevp(filter($F$2:$F2568,$B$2:$B2568=$B1544,$O$2:$O2568&lt;=$O1544,$O$2:$O2568&gt;$O1544-7)),0)"),0.748331477354788)</f>
        <v>0.748331477354788</v>
      </c>
      <c r="AF1541" s="77">
        <f t="shared" ca="1" si="256"/>
        <v>1.1454053224818188</v>
      </c>
      <c r="AG1541" s="77">
        <f t="shared" ca="1" si="257"/>
        <v>4</v>
      </c>
      <c r="AH1541" s="76">
        <f t="array" ref="AH1541">AVERAGEIFS($I$2:$I2565,$B$2:$B2565,$B1541,$P$2:$P2565,"&lt;="&amp;$P1541,$P$2:$P2565,"&gt;"&amp;$P1541-7)</f>
        <v>7.0285714285714285</v>
      </c>
      <c r="AI1541" s="76">
        <f ca="1">IFERROR(__xludf.DUMMYFUNCTION("iferror(stdevp(filter($H$2:$H2568,$B$2:$B2568=$B1544,$O$2:$O2568&lt;=$O1544,$O$2:$O2568&gt;$O1544-7)),0)"),0)</f>
        <v>0</v>
      </c>
      <c r="AJ1541" s="77">
        <f t="shared" ca="1" si="258"/>
        <v>0</v>
      </c>
      <c r="AK1541" s="77">
        <f t="shared" ca="1" si="259"/>
        <v>3</v>
      </c>
      <c r="AL1541" s="76">
        <f t="array" ref="AL1541">AVERAGEIFS($J$2:$J2565,$B$2:$B2565,$B1541,$P$2:$P2565,"&lt;="&amp;$P1541,$P$2:$P2565,"&gt;"&amp;$P1541-7)</f>
        <v>9.742857142857142</v>
      </c>
      <c r="AM1541" s="76">
        <f ca="1">IFERROR(__xludf.DUMMYFUNCTION("iferror(stdevp(filter($I$2:$I2568,$B$2:$B2568=$B1544,$O$2:$O2568&lt;=$O1544,$O$2:$O2568&gt;$O1544-7)),0)"),0)</f>
        <v>0</v>
      </c>
      <c r="AN1541" s="77">
        <f t="shared" ca="1" si="260"/>
        <v>0</v>
      </c>
      <c r="AO1541" s="77">
        <f t="shared" ca="1" si="261"/>
        <v>3</v>
      </c>
      <c r="AP1541" s="76">
        <f t="array" ref="AP1541">AVERAGEIFS($K$2:$K2565,$B$2:$B2565,$B1541,$P$2:$P2565,"&lt;="&amp;$P1541,$P$2:$P2565,"&gt;"&amp;$P1541-7)</f>
        <v>9.4285714285714288</v>
      </c>
      <c r="AQ1541" s="76">
        <f ca="1">IFERROR(__xludf.DUMMYFUNCTION("iferror(stdevp(filter($J$2:$J2568,$B$2:$B2568=$B1544,$O$2:$O2568&lt;=$O1544,$O$2:$O2568&gt;$O1544-7)),0)"),1.26491106406735)</f>
        <v>1.26491106406735</v>
      </c>
      <c r="AR1541" s="77">
        <f t="shared" ca="1" si="262"/>
        <v>0.45175395145262603</v>
      </c>
      <c r="AS1541" s="77">
        <f t="shared" ca="1" si="263"/>
        <v>3</v>
      </c>
      <c r="AT1541" s="78">
        <f t="shared" ca="1" si="264"/>
        <v>0.79166666666666663</v>
      </c>
    </row>
    <row r="1542" spans="1:46" ht="12.5" x14ac:dyDescent="0.25">
      <c r="A1542" s="75">
        <v>45013.492750092591</v>
      </c>
      <c r="B1542" s="1" t="s">
        <v>10</v>
      </c>
      <c r="C1542" s="1" t="str">
        <f>INDEX(TBL_Name,MATCH(Table2[[#This Row],[Athlete Name]],listNames,0),2)</f>
        <v>Athlete 5</v>
      </c>
      <c r="D1542" s="1" t="s">
        <v>130</v>
      </c>
      <c r="E1542" s="1">
        <v>6</v>
      </c>
      <c r="F1542" s="1">
        <v>7</v>
      </c>
      <c r="G1542" s="1">
        <v>7</v>
      </c>
      <c r="H1542" s="1" t="s">
        <v>69</v>
      </c>
      <c r="I1542" s="1">
        <v>9</v>
      </c>
      <c r="J1542" s="1">
        <v>9</v>
      </c>
      <c r="K1542" s="1">
        <v>9</v>
      </c>
      <c r="L1542" s="1">
        <v>76</v>
      </c>
      <c r="M1542" s="1" t="e">
        <f t="shared" ref="M1542" ca="1" si="621">_xludf.concat($B1542,$P1542)</f>
        <v>#NAME?</v>
      </c>
      <c r="N1542" s="1" t="e">
        <f t="shared" si="248"/>
        <v>#VALUE!</v>
      </c>
      <c r="O1542" s="1" t="e">
        <f t="shared" ref="O1542" ca="1" si="622">IF($N1542=_xludf.MINIFS($N$2:$N3048,$R$2:$R3048,$R1542),1,
($N1542-_xludf.MINIFS($N$2:$N3048,$R$2:$R3048,$R1542))+1)</f>
        <v>#VALUE!</v>
      </c>
      <c r="P1542" s="13" t="e">
        <f t="shared" si="250"/>
        <v>#VALUE!</v>
      </c>
      <c r="Q1542" s="1" t="str">
        <f>RIGHT(YEAR($A1542),2)-(MONTH($A1542)&lt;=[3]Roster!$K$25)
 &amp;"-"&amp;
 RIGHT(YEAR($A1542),2)+(MONTH($A1542)&gt;=[3]Roster!$K$26)</f>
        <v>22-23</v>
      </c>
      <c r="R1542" s="1" t="e">
        <f>CHOOSE(MONTH($P1542),[3]Roster!$K$9,[3]Roster!$K$10,[3]Roster!$K$11,[3]Roster!$K$12,[3]Roster!$K$13,[3]Roster!$K$14,[3]Roster!$K$15,[3]Roster!$K$16,[3]Roster!$K$17,[3]Roster!$K$18,[3]Roster!$K$19,[3]Roster!$K$20)&amp;" "&amp;$Q1542</f>
        <v>#VALUE!</v>
      </c>
      <c r="S1542" s="1">
        <f t="shared" si="251"/>
        <v>1</v>
      </c>
      <c r="T1542" s="1" t="str">
        <f t="array" ref="T1542">IFERROR(INDEX([3]Roster!$D$3:$D$42,MATCH($B1542,[3]Roster!$C$3:$C$42,0)),"")</f>
        <v>MID</v>
      </c>
      <c r="U1542" s="1" t="str">
        <f t="array" ref="U1542">IFERROR(INDEX([3]Roster!$E$3:$E$42,MATCH($B1542,[3]Roster!$C$3:$C$42,0)),"")</f>
        <v>MID</v>
      </c>
      <c r="V1542" s="76">
        <f t="array" ref="V1542">AVERAGEIFS($E$2:$E2565,$B$2:$B2565,$B1542,$P$2:$P2565,"&lt;="&amp;$P1542,$P$2:$P2565,"&gt;"&amp;$P1542-7)</f>
        <v>8.4042553191489358</v>
      </c>
      <c r="W1542" s="76">
        <f ca="1">IFERROR(__xludf.DUMMYFUNCTION("iferror(stdevp(filter($D$2:$D2568,$B$2:$B2568=$B1545,$O$2:$O2568&lt;=$O1545,$O$2:$O2568&gt;$O1545-7)),0)"),1.03015750727542)</f>
        <v>1.0301575072754201</v>
      </c>
      <c r="X1542" s="77">
        <f t="shared" ca="1" si="252"/>
        <v>-2.333871570288077</v>
      </c>
      <c r="Y1542" s="77">
        <f t="shared" ca="1" si="253"/>
        <v>1</v>
      </c>
      <c r="Z1542" s="76">
        <f t="array" ref="Z1542">AVERAGEIFS($F$2:$F2565,$B$2:$B2565,$B1542,$P$2:$P2565,"&lt;="&amp;$P1542,$P$2:$P2565,"&gt;"&amp;$P1542-7)</f>
        <v>8.085106382978724</v>
      </c>
      <c r="AA1542" s="76">
        <f ca="1">IFERROR(__xludf.DUMMYFUNCTION("iferror(stdevp(filter($E$2:$E2568,$B$2:$B2568=$B1545,$O$2:$O2568&lt;=$O1545,$O$2:$O2568&gt;$O1545-7)),0)"),0.349927106111882)</f>
        <v>0.34992710611188199</v>
      </c>
      <c r="AB1542" s="77">
        <f t="shared" ca="1" si="254"/>
        <v>-3.1009497807574347</v>
      </c>
      <c r="AC1542" s="77">
        <f t="shared" ca="1" si="255"/>
        <v>1</v>
      </c>
      <c r="AD1542" s="76">
        <f t="array" ref="AD1542">AVERAGEIFS($G$2:$G2565,$B$2:$B2565,$B1542,$P$2:$P2565,"&lt;="&amp;$P1542,$P$2:$P2565,"&gt;"&amp;$P1542-7)</f>
        <v>8.0638297872340434</v>
      </c>
      <c r="AE1542" s="76">
        <f ca="1">IFERROR(__xludf.DUMMYFUNCTION("iferror(stdevp(filter($F$2:$F2568,$B$2:$B2568=$B1545,$O$2:$O2568&lt;=$O1545,$O$2:$O2568&gt;$O1545-7)),0)"),0.349927106111882)</f>
        <v>0.34992710611188199</v>
      </c>
      <c r="AF1542" s="77">
        <f t="shared" ca="1" si="256"/>
        <v>-3.0401468438798385</v>
      </c>
      <c r="AG1542" s="77">
        <f t="shared" ca="1" si="257"/>
        <v>1</v>
      </c>
      <c r="AH1542" s="76">
        <f t="array" ref="AH1542">AVERAGEIFS($I$2:$I2565,$B$2:$B2565,$B1542,$P$2:$P2565,"&lt;="&amp;$P1542,$P$2:$P2565,"&gt;"&amp;$P1542-7)</f>
        <v>6.7446808510638299</v>
      </c>
      <c r="AI1542" s="76">
        <f ca="1">IFERROR(__xludf.DUMMYFUNCTION("iferror(stdevp(filter($H$2:$H2568,$B$2:$B2568=$B1545,$O$2:$O2568&lt;=$O1545,$O$2:$O2568&gt;$O1545-7)),0)"),0.699854212223765)</f>
        <v>0.69985421222376498</v>
      </c>
      <c r="AJ1542" s="77">
        <f t="shared" ca="1" si="258"/>
        <v>3.2225556545126217</v>
      </c>
      <c r="AK1542" s="77">
        <f t="shared" ca="1" si="259"/>
        <v>4</v>
      </c>
      <c r="AL1542" s="76">
        <f t="array" ref="AL1542">AVERAGEIFS($J$2:$J2565,$B$2:$B2565,$B1542,$P$2:$P2565,"&lt;="&amp;$P1542,$P$2:$P2565,"&gt;"&amp;$P1542-7)</f>
        <v>8.1063829787234045</v>
      </c>
      <c r="AM1542" s="76">
        <f ca="1">IFERROR(__xludf.DUMMYFUNCTION("iferror(stdevp(filter($I$2:$I2568,$B$2:$B2568=$B1545,$O$2:$O2568&lt;=$O1545,$O$2:$O2568&gt;$O1545-7)),0)"),0.638876564999939)</f>
        <v>0.63887656499993895</v>
      </c>
      <c r="AN1542" s="77">
        <f t="shared" ca="1" si="260"/>
        <v>1.3987318837977425</v>
      </c>
      <c r="AO1542" s="77">
        <f t="shared" ca="1" si="261"/>
        <v>4</v>
      </c>
      <c r="AP1542" s="76">
        <f t="array" ref="AP1542">AVERAGEIFS($K$2:$K2565,$B$2:$B2565,$B1542,$P$2:$P2565,"&lt;="&amp;$P1542,$P$2:$P2565,"&gt;"&amp;$P1542-7)</f>
        <v>8.2978723404255312</v>
      </c>
      <c r="AQ1542" s="76">
        <f ca="1">IFERROR(__xludf.DUMMYFUNCTION("iferror(stdevp(filter($J$2:$J2568,$B$2:$B2568=$B1545,$O$2:$O2568&lt;=$O1545,$O$2:$O2568&gt;$O1545-7)),0)"),0.451753951452625)</f>
        <v>0.45175395145262498</v>
      </c>
      <c r="AR1542" s="77">
        <f t="shared" ca="1" si="262"/>
        <v>1.5542258287210582</v>
      </c>
      <c r="AS1542" s="77">
        <f t="shared" ca="1" si="263"/>
        <v>4</v>
      </c>
      <c r="AT1542" s="78">
        <f t="shared" ca="1" si="264"/>
        <v>0.625</v>
      </c>
    </row>
    <row r="1543" spans="1:46" ht="12.5" x14ac:dyDescent="0.25">
      <c r="A1543" s="75">
        <v>45013.501289305554</v>
      </c>
      <c r="B1543" s="1" t="s">
        <v>6</v>
      </c>
      <c r="C1543" s="1" t="str">
        <f>INDEX(TBL_Name,MATCH(Table2[[#This Row],[Athlete Name]],listNames,0),2)</f>
        <v>Athlete 2</v>
      </c>
      <c r="D1543" s="1" t="s">
        <v>130</v>
      </c>
      <c r="E1543" s="1">
        <v>9</v>
      </c>
      <c r="F1543" s="1">
        <v>8</v>
      </c>
      <c r="G1543" s="1">
        <v>9</v>
      </c>
      <c r="H1543" s="1"/>
      <c r="I1543" s="1">
        <v>9</v>
      </c>
      <c r="J1543" s="1">
        <v>10</v>
      </c>
      <c r="K1543" s="1">
        <v>6</v>
      </c>
      <c r="L1543" s="1">
        <v>60</v>
      </c>
      <c r="M1543" s="1" t="e">
        <f t="shared" ref="M1543" ca="1" si="623">_xludf.concat($B1543,$P1543)</f>
        <v>#NAME?</v>
      </c>
      <c r="N1543" s="1" t="e">
        <f t="shared" si="248"/>
        <v>#VALUE!</v>
      </c>
      <c r="O1543" s="1" t="e">
        <f t="shared" ref="O1543" ca="1" si="624">IF($N1543=_xludf.MINIFS($N$2:$N3049,$R$2:$R3049,$R1543),1,
($N1543-_xludf.MINIFS($N$2:$N3049,$R$2:$R3049,$R1543))+1)</f>
        <v>#VALUE!</v>
      </c>
      <c r="P1543" s="13" t="e">
        <f t="shared" si="250"/>
        <v>#VALUE!</v>
      </c>
      <c r="Q1543" s="1" t="str">
        <f>RIGHT(YEAR($A1543),2)-(MONTH($A1543)&lt;=[3]Roster!$K$25)
 &amp;"-"&amp;
 RIGHT(YEAR($A1543),2)+(MONTH($A1543)&gt;=[3]Roster!$K$26)</f>
        <v>22-23</v>
      </c>
      <c r="R1543" s="1" t="e">
        <f>CHOOSE(MONTH($P1543),[3]Roster!$K$9,[3]Roster!$K$10,[3]Roster!$K$11,[3]Roster!$K$12,[3]Roster!$K$13,[3]Roster!$K$14,[3]Roster!$K$15,[3]Roster!$K$16,[3]Roster!$K$17,[3]Roster!$K$18,[3]Roster!$K$19,[3]Roster!$K$20)&amp;" "&amp;$Q1543</f>
        <v>#VALUE!</v>
      </c>
      <c r="S1543" s="1">
        <f t="shared" si="251"/>
        <v>1</v>
      </c>
      <c r="T1543" s="1" t="str">
        <f t="array" ref="T1543">IFERROR(INDEX([3]Roster!$D$3:$D$42,MATCH($B1543,[3]Roster!$C$3:$C$42,0)),"")</f>
        <v>FWD</v>
      </c>
      <c r="U1543" s="1" t="str">
        <f t="array" ref="U1543">IFERROR(INDEX([3]Roster!$E$3:$E$42,MATCH($B1543,[3]Roster!$C$3:$C$42,0)),"")</f>
        <v>FWD</v>
      </c>
      <c r="V1543" s="76">
        <f t="array" ref="V1543">AVERAGEIFS($E$2:$E2565,$B$2:$B2565,$B1543,$P$2:$P2565,"&lt;="&amp;$P1543,$P$2:$P2565,"&gt;"&amp;$P1543-7)</f>
        <v>9.7441860465116275</v>
      </c>
      <c r="W1543" s="76">
        <f ca="1">IFERROR(__xludf.DUMMYFUNCTION("iferror(stdevp(filter($D$2:$D2568,$B$2:$B2568=$B1546,$O$2:$O2568&lt;=$O1546,$O$2:$O2568&gt;$O1546-7)),0)"),0.638876564999939)</f>
        <v>0.63887656499993895</v>
      </c>
      <c r="X1543" s="77">
        <f t="shared" ca="1" si="252"/>
        <v>-1.1648354115347752</v>
      </c>
      <c r="Y1543" s="77">
        <f t="shared" ca="1" si="253"/>
        <v>1</v>
      </c>
      <c r="Z1543" s="76">
        <f t="array" ref="Z1543">AVERAGEIFS($F$2:$F2565,$B$2:$B2565,$B1543,$P$2:$P2565,"&lt;="&amp;$P1543,$P$2:$P2565,"&gt;"&amp;$P1543-7)</f>
        <v>8.279069767441861</v>
      </c>
      <c r="AA1543" s="76">
        <f ca="1">IFERROR(__xludf.DUMMYFUNCTION("iferror(stdevp(filter($E$2:$E2568,$B$2:$B2568=$B1546,$O$2:$O2568&lt;=$O1546,$O$2:$O2568&gt;$O1546-7)),0)"),1.66598625567008)</f>
        <v>1.66598625567008</v>
      </c>
      <c r="AB1543" s="77">
        <f t="shared" ca="1" si="254"/>
        <v>-0.16751024595314906</v>
      </c>
      <c r="AC1543" s="77">
        <f t="shared" ca="1" si="255"/>
        <v>2</v>
      </c>
      <c r="AD1543" s="76">
        <f t="array" ref="AD1543">AVERAGEIFS($G$2:$G2565,$B$2:$B2565,$B1543,$P$2:$P2565,"&lt;="&amp;$P1543,$P$2:$P2565,"&gt;"&amp;$P1543-7)</f>
        <v>8.604651162790697</v>
      </c>
      <c r="AE1543" s="76">
        <f ca="1">IFERROR(__xludf.DUMMYFUNCTION("iferror(stdevp(filter($F$2:$F2568,$B$2:$B2568=$B1546,$O$2:$O2568&lt;=$O1546,$O$2:$O2568&gt;$O1546-7)),0)"),1.67819144635296)</f>
        <v>1.6781914463529599</v>
      </c>
      <c r="AF1543" s="77">
        <f t="shared" ca="1" si="256"/>
        <v>0.23558029572160782</v>
      </c>
      <c r="AG1543" s="77">
        <f t="shared" ca="1" si="257"/>
        <v>3</v>
      </c>
      <c r="AH1543" s="76">
        <f t="array" ref="AH1543">AVERAGEIFS($I$2:$I2565,$B$2:$B2565,$B1543,$P$2:$P2565,"&lt;="&amp;$P1543,$P$2:$P2565,"&gt;"&amp;$P1543-7)</f>
        <v>8.3488372093023262</v>
      </c>
      <c r="AI1543" s="76">
        <f ca="1">IFERROR(__xludf.DUMMYFUNCTION("iferror(stdevp(filter($H$2:$H2568,$B$2:$B2568=$B1546,$O$2:$O2568&lt;=$O1546,$O$2:$O2568&gt;$O1546-7)),0)"),0.349927106111882)</f>
        <v>0.34992710611188199</v>
      </c>
      <c r="AJ1543" s="77">
        <f t="shared" ca="1" si="258"/>
        <v>1.8608526728120283</v>
      </c>
      <c r="AK1543" s="77">
        <f t="shared" ca="1" si="259"/>
        <v>4</v>
      </c>
      <c r="AL1543" s="76">
        <f t="array" ref="AL1543">AVERAGEIFS($J$2:$J2565,$B$2:$B2565,$B1543,$P$2:$P2565,"&lt;="&amp;$P1543,$P$2:$P2565,"&gt;"&amp;$P1543-7)</f>
        <v>8.3023255813953494</v>
      </c>
      <c r="AM1543" s="76">
        <f ca="1">IFERROR(__xludf.DUMMYFUNCTION("iferror(stdevp(filter($I$2:$I2568,$B$2:$B2568=$B1546,$O$2:$O2568&lt;=$O1546,$O$2:$O2568&gt;$O1546-7)),0)"),0)</f>
        <v>0</v>
      </c>
      <c r="AN1543" s="77">
        <f t="shared" ca="1" si="260"/>
        <v>0</v>
      </c>
      <c r="AO1543" s="77">
        <f t="shared" ca="1" si="261"/>
        <v>3</v>
      </c>
      <c r="AP1543" s="76">
        <f t="array" ref="AP1543">AVERAGEIFS($K$2:$K2565,$B$2:$B2565,$B1543,$P$2:$P2565,"&lt;="&amp;$P1543,$P$2:$P2565,"&gt;"&amp;$P1543-7)</f>
        <v>8.9069767441860463</v>
      </c>
      <c r="AQ1543" s="76">
        <f ca="1">IFERROR(__xludf.DUMMYFUNCTION("iferror(stdevp(filter($J$2:$J2568,$B$2:$B2568=$B1546,$O$2:$O2568&lt;=$O1546,$O$2:$O2568&gt;$O1546-7)),0)"),1.39970842444753)</f>
        <v>1.39970842444753</v>
      </c>
      <c r="AR1543" s="77">
        <f t="shared" ca="1" si="262"/>
        <v>-2.0768445009062804</v>
      </c>
      <c r="AS1543" s="77">
        <f t="shared" ca="1" si="263"/>
        <v>1</v>
      </c>
      <c r="AT1543" s="78">
        <f t="shared" ca="1" si="264"/>
        <v>0.58333333333333337</v>
      </c>
    </row>
    <row r="1544" spans="1:46" ht="12.5" x14ac:dyDescent="0.25">
      <c r="A1544" s="75">
        <v>45014.369070451387</v>
      </c>
      <c r="B1544" s="1" t="s">
        <v>17</v>
      </c>
      <c r="C1544" s="1" t="str">
        <f>INDEX(TBL_Name,MATCH(Table2[[#This Row],[Athlete Name]],listNames,0),2)</f>
        <v>Athlete 10</v>
      </c>
      <c r="D1544" s="1" t="s">
        <v>130</v>
      </c>
      <c r="E1544" s="1">
        <v>7</v>
      </c>
      <c r="F1544" s="1">
        <v>9</v>
      </c>
      <c r="G1544" s="1">
        <v>8</v>
      </c>
      <c r="H1544" s="1" t="s">
        <v>131</v>
      </c>
      <c r="I1544" s="1">
        <v>8</v>
      </c>
      <c r="J1544" s="1">
        <v>6</v>
      </c>
      <c r="K1544" s="1">
        <v>7</v>
      </c>
      <c r="L1544" s="1">
        <v>72</v>
      </c>
      <c r="M1544" s="1" t="e">
        <f t="shared" ref="M1544" ca="1" si="625">_xludf.concat($B1544,$P1544)</f>
        <v>#NAME?</v>
      </c>
      <c r="N1544" s="1" t="e">
        <f t="shared" si="248"/>
        <v>#VALUE!</v>
      </c>
      <c r="O1544" s="1" t="e">
        <f t="shared" ref="O1544" ca="1" si="626">IF($N1544=_xludf.MINIFS($N$2:$N3050,$R$2:$R3050,$R1544),1,
($N1544-_xludf.MINIFS($N$2:$N3050,$R$2:$R3050,$R1544))+1)</f>
        <v>#VALUE!</v>
      </c>
      <c r="P1544" s="13" t="e">
        <f t="shared" si="250"/>
        <v>#VALUE!</v>
      </c>
      <c r="Q1544" s="1" t="str">
        <f>RIGHT(YEAR($A1544),2)-(MONTH($A1544)&lt;=[3]Roster!$K$25)
 &amp;"-"&amp;
 RIGHT(YEAR($A1544),2)+(MONTH($A1544)&gt;=[3]Roster!$K$26)</f>
        <v>22-23</v>
      </c>
      <c r="R1544" s="1" t="e">
        <f>CHOOSE(MONTH($P1544),[3]Roster!$K$9,[3]Roster!$K$10,[3]Roster!$K$11,[3]Roster!$K$12,[3]Roster!$K$13,[3]Roster!$K$14,[3]Roster!$K$15,[3]Roster!$K$16,[3]Roster!$K$17,[3]Roster!$K$18,[3]Roster!$K$19,[3]Roster!$K$20)&amp;" "&amp;$Q1544</f>
        <v>#VALUE!</v>
      </c>
      <c r="S1544" s="1">
        <f t="shared" si="251"/>
        <v>1</v>
      </c>
      <c r="T1544" s="1" t="str">
        <f t="array" ref="T1544">IFERROR(INDEX([3]Roster!$D$3:$D$42,MATCH($B1544,[3]Roster!$C$3:$C$42,0)),"")</f>
        <v>D</v>
      </c>
      <c r="U1544" s="1" t="str">
        <f t="array" ref="U1544">IFERROR(INDEX([3]Roster!$E$3:$E$42,MATCH($B1544,[3]Roster!$C$3:$C$42,0)),"")</f>
        <v>D</v>
      </c>
      <c r="V1544" s="76">
        <f t="array" ref="V1544">AVERAGEIFS($E$2:$E2565,$B$2:$B2565,$B1544,$P$2:$P2565,"&lt;="&amp;$P1544,$P$2:$P2565,"&gt;"&amp;$P1544-7)</f>
        <v>6.9024390243902438</v>
      </c>
      <c r="W1544" s="76">
        <f ca="1">IFERROR(__xludf.DUMMYFUNCTION("iferror(stdevp(filter($D$2:$D2568,$B$2:$B2568=$B1547,$O$2:$O2568&lt;=$O1547,$O$2:$O2568&gt;$O1547-7)),0)"),1.09544511501033)</f>
        <v>1.0954451150103299</v>
      </c>
      <c r="X1544" s="77">
        <f t="shared" ca="1" si="252"/>
        <v>8.9060578456124834E-2</v>
      </c>
      <c r="Y1544" s="77">
        <f t="shared" ca="1" si="253"/>
        <v>3</v>
      </c>
      <c r="Z1544" s="76">
        <f t="array" ref="Z1544">AVERAGEIFS($F$2:$F2565,$B$2:$B2565,$B1544,$P$2:$P2565,"&lt;="&amp;$P1544,$P$2:$P2565,"&gt;"&amp;$P1544-7)</f>
        <v>7.2926829268292686</v>
      </c>
      <c r="AA1544" s="76">
        <f ca="1">IFERROR(__xludf.DUMMYFUNCTION("iferror(stdevp(filter($E$2:$E2568,$B$2:$B2568=$B1547,$O$2:$O2568&lt;=$O1547,$O$2:$O2568&gt;$O1547-7)),0)"),1.01980390271855)</f>
        <v>1.0198039027185499</v>
      </c>
      <c r="AB1544" s="77">
        <f t="shared" ca="1" si="254"/>
        <v>1.6741621292284117</v>
      </c>
      <c r="AC1544" s="77">
        <f t="shared" ca="1" si="255"/>
        <v>4</v>
      </c>
      <c r="AD1544" s="76">
        <f t="array" ref="AD1544">AVERAGEIFS($G$2:$G2565,$B$2:$B2565,$B1544,$P$2:$P2565,"&lt;="&amp;$P1544,$P$2:$P2565,"&gt;"&amp;$P1544-7)</f>
        <v>7.8048780487804876</v>
      </c>
      <c r="AE1544" s="76">
        <f ca="1">IFERROR(__xludf.DUMMYFUNCTION("iferror(stdevp(filter($F$2:$F2568,$B$2:$B2568=$B1547,$O$2:$O2568&lt;=$O1547,$O$2:$O2568&gt;$O1547-7)),0)"),0.632455532033676)</f>
        <v>0.63245553203367599</v>
      </c>
      <c r="AF1544" s="77">
        <f t="shared" ca="1" si="256"/>
        <v>0.30851489367496404</v>
      </c>
      <c r="AG1544" s="77">
        <f t="shared" ca="1" si="257"/>
        <v>3</v>
      </c>
      <c r="AH1544" s="76">
        <f t="array" ref="AH1544">AVERAGEIFS($I$2:$I2565,$B$2:$B2565,$B1544,$P$2:$P2565,"&lt;="&amp;$P1544,$P$2:$P2565,"&gt;"&amp;$P1544-7)</f>
        <v>6.3170731707317076</v>
      </c>
      <c r="AI1544" s="76">
        <f ca="1">IFERROR(__xludf.DUMMYFUNCTION("iferror(stdevp(filter($H$2:$H2568,$B$2:$B2568=$B1547,$O$2:$O2568&lt;=$O1547,$O$2:$O2568&gt;$O1547-7)),0)"),1.95959179422654)</f>
        <v>1.95959179422654</v>
      </c>
      <c r="AJ1544" s="77">
        <f t="shared" ca="1" si="258"/>
        <v>0.85881500128068844</v>
      </c>
      <c r="AK1544" s="77">
        <f t="shared" ca="1" si="259"/>
        <v>3</v>
      </c>
      <c r="AL1544" s="76">
        <f t="array" ref="AL1544">AVERAGEIFS($J$2:$J2565,$B$2:$B2565,$B1544,$P$2:$P2565,"&lt;="&amp;$P1544,$P$2:$P2565,"&gt;"&amp;$P1544-7)</f>
        <v>6.9024390243902438</v>
      </c>
      <c r="AM1544" s="76">
        <f ca="1">IFERROR(__xludf.DUMMYFUNCTION("iferror(stdevp(filter($I$2:$I2568,$B$2:$B2568=$B1547,$O$2:$O2568&lt;=$O1547,$O$2:$O2568&gt;$O1547-7)),0)"),0.748331477354788)</f>
        <v>0.748331477354788</v>
      </c>
      <c r="AN1544" s="77">
        <f t="shared" ca="1" si="260"/>
        <v>-1.2059348720438665</v>
      </c>
      <c r="AO1544" s="77">
        <f t="shared" ca="1" si="261"/>
        <v>1</v>
      </c>
      <c r="AP1544" s="76">
        <f t="array" ref="AP1544">AVERAGEIFS($K$2:$K2565,$B$2:$B2565,$B1544,$P$2:$P2565,"&lt;="&amp;$P1544,$P$2:$P2565,"&gt;"&amp;$P1544-7)</f>
        <v>8</v>
      </c>
      <c r="AQ1544" s="76">
        <f ca="1">IFERROR(__xludf.DUMMYFUNCTION("iferror(stdevp(filter($J$2:$J2568,$B$2:$B2568=$B1547,$O$2:$O2568&lt;=$O1547,$O$2:$O2568&gt;$O1547-7)),0)"),0.748331477354788)</f>
        <v>0.748331477354788</v>
      </c>
      <c r="AR1544" s="77">
        <f t="shared" ca="1" si="262"/>
        <v>-1.3363062095621223</v>
      </c>
      <c r="AS1544" s="77">
        <f t="shared" ca="1" si="263"/>
        <v>1</v>
      </c>
      <c r="AT1544" s="78">
        <f t="shared" ca="1" si="264"/>
        <v>0.625</v>
      </c>
    </row>
    <row r="1545" spans="1:46" ht="12.5" x14ac:dyDescent="0.25">
      <c r="A1545" s="75">
        <v>45014.369454027779</v>
      </c>
      <c r="B1545" s="1" t="s">
        <v>15</v>
      </c>
      <c r="C1545" s="1" t="str">
        <f>INDEX(TBL_Name,MATCH(Table2[[#This Row],[Athlete Name]],listNames,0),2)</f>
        <v>Athlete 8</v>
      </c>
      <c r="D1545" s="1" t="s">
        <v>130</v>
      </c>
      <c r="E1545" s="1">
        <v>10</v>
      </c>
      <c r="F1545" s="1">
        <v>10</v>
      </c>
      <c r="G1545" s="1">
        <v>8</v>
      </c>
      <c r="H1545" s="1" t="s">
        <v>326</v>
      </c>
      <c r="I1545" s="1">
        <v>4</v>
      </c>
      <c r="J1545" s="1">
        <v>10</v>
      </c>
      <c r="K1545" s="1">
        <v>10</v>
      </c>
      <c r="L1545" s="1">
        <v>75</v>
      </c>
      <c r="M1545" s="1" t="e">
        <f t="shared" ref="M1545" ca="1" si="627">_xludf.concat($B1545,$P1545)</f>
        <v>#NAME?</v>
      </c>
      <c r="N1545" s="1" t="e">
        <f t="shared" si="248"/>
        <v>#VALUE!</v>
      </c>
      <c r="O1545" s="1" t="e">
        <f t="shared" ref="O1545" ca="1" si="628">IF($N1545=_xludf.MINIFS($N$2:$N3051,$R$2:$R3051,$R1545),1,
($N1545-_xludf.MINIFS($N$2:$N3051,$R$2:$R3051,$R1545))+1)</f>
        <v>#VALUE!</v>
      </c>
      <c r="P1545" s="13" t="e">
        <f t="shared" si="250"/>
        <v>#VALUE!</v>
      </c>
      <c r="Q1545" s="1" t="str">
        <f>RIGHT(YEAR($A1545),2)-(MONTH($A1545)&lt;=[3]Roster!$K$25)
 &amp;"-"&amp;
 RIGHT(YEAR($A1545),2)+(MONTH($A1545)&gt;=[3]Roster!$K$26)</f>
        <v>22-23</v>
      </c>
      <c r="R1545" s="1" t="e">
        <f>CHOOSE(MONTH($P1545),[3]Roster!$K$9,[3]Roster!$K$10,[3]Roster!$K$11,[3]Roster!$K$12,[3]Roster!$K$13,[3]Roster!$K$14,[3]Roster!$K$15,[3]Roster!$K$16,[3]Roster!$K$17,[3]Roster!$K$18,[3]Roster!$K$19,[3]Roster!$K$20)&amp;" "&amp;$Q1545</f>
        <v>#VALUE!</v>
      </c>
      <c r="S1545" s="1">
        <f t="shared" si="251"/>
        <v>1</v>
      </c>
      <c r="T1545" s="1" t="str">
        <f t="array" ref="T1545">IFERROR(INDEX([3]Roster!$D$3:$D$42,MATCH($B1545,[3]Roster!$C$3:$C$42,0)),"")</f>
        <v>MID/D</v>
      </c>
      <c r="U1545" s="1" t="str">
        <f t="array" ref="U1545">IFERROR(INDEX([3]Roster!$E$3:$E$42,MATCH($B1545,[3]Roster!$C$3:$C$42,0)),"")</f>
        <v>MID/D</v>
      </c>
      <c r="V1545" s="76">
        <f t="array" ref="V1545">AVERAGEIFS($E$2:$E2565,$B$2:$B2565,$B1545,$P$2:$P2565,"&lt;="&amp;$P1545,$P$2:$P2565,"&gt;"&amp;$P1545-7)</f>
        <v>8.935483870967742</v>
      </c>
      <c r="W1545" s="76">
        <f ca="1">IFERROR(__xludf.DUMMYFUNCTION("iferror(stdevp(filter($D$2:$D2568,$B$2:$B2568=$B1548,$O$2:$O2568&lt;=$O1548,$O$2:$O2568&gt;$O1548-7)),0)"),1.2)</f>
        <v>1.2</v>
      </c>
      <c r="X1545" s="77">
        <f t="shared" ca="1" si="252"/>
        <v>0.88709677419354838</v>
      </c>
      <c r="Y1545" s="77">
        <f t="shared" ca="1" si="253"/>
        <v>3</v>
      </c>
      <c r="Z1545" s="76">
        <f t="array" ref="Z1545">AVERAGEIFS($F$2:$F2565,$B$2:$B2565,$B1545,$P$2:$P2565,"&lt;="&amp;$P1545,$P$2:$P2565,"&gt;"&amp;$P1545-7)</f>
        <v>8.741935483870968</v>
      </c>
      <c r="AA1545" s="76">
        <f ca="1">IFERROR(__xludf.DUMMYFUNCTION("iferror(stdevp(filter($E$2:$E2568,$B$2:$B2568=$B1548,$O$2:$O2568&lt;=$O1548,$O$2:$O2568&gt;$O1548-7)),0)"),1.16619037896906)</f>
        <v>1.16619037896906</v>
      </c>
      <c r="AB1545" s="77">
        <f t="shared" ca="1" si="254"/>
        <v>1.07878142267062</v>
      </c>
      <c r="AC1545" s="77">
        <f t="shared" ca="1" si="255"/>
        <v>4</v>
      </c>
      <c r="AD1545" s="76">
        <f t="array" ref="AD1545">AVERAGEIFS($G$2:$G2565,$B$2:$B2565,$B1545,$P$2:$P2565,"&lt;="&amp;$P1545,$P$2:$P2565,"&gt;"&amp;$P1545-7)</f>
        <v>7.32258064516129</v>
      </c>
      <c r="AE1545" s="76">
        <f ca="1">IFERROR(__xludf.DUMMYFUNCTION("iferror(stdevp(filter($F$2:$F2568,$B$2:$B2568=$B1548,$O$2:$O2568&lt;=$O1548,$O$2:$O2568&gt;$O1548-7)),0)"),0.4)</f>
        <v>0.4</v>
      </c>
      <c r="AF1545" s="77">
        <f t="shared" ca="1" si="256"/>
        <v>1.6935483870967749</v>
      </c>
      <c r="AG1545" s="77">
        <f t="shared" ca="1" si="257"/>
        <v>4</v>
      </c>
      <c r="AH1545" s="76">
        <f t="array" ref="AH1545">AVERAGEIFS($I$2:$I2565,$B$2:$B2565,$B1545,$P$2:$P2565,"&lt;="&amp;$P1545,$P$2:$P2565,"&gt;"&amp;$P1545-7)</f>
        <v>6.419354838709677</v>
      </c>
      <c r="AI1545" s="76">
        <f ca="1">IFERROR(__xludf.DUMMYFUNCTION("iferror(stdevp(filter($H$2:$H2568,$B$2:$B2568=$B1548,$O$2:$O2568&lt;=$O1548,$O$2:$O2568&gt;$O1548-7)),0)"),1.95959179422654)</f>
        <v>1.95959179422654</v>
      </c>
      <c r="AJ1545" s="77">
        <f t="shared" ca="1" si="258"/>
        <v>-1.2346218461608776</v>
      </c>
      <c r="AK1545" s="77">
        <f t="shared" ca="1" si="259"/>
        <v>1</v>
      </c>
      <c r="AL1545" s="76">
        <f t="array" ref="AL1545">AVERAGEIFS($J$2:$J2565,$B$2:$B2565,$B1545,$P$2:$P2565,"&lt;="&amp;$P1545,$P$2:$P2565,"&gt;"&amp;$P1545-7)</f>
        <v>9.612903225806452</v>
      </c>
      <c r="AM1545" s="76">
        <f ca="1">IFERROR(__xludf.DUMMYFUNCTION("iferror(stdevp(filter($I$2:$I2568,$B$2:$B2568=$B1548,$O$2:$O2568&lt;=$O1548,$O$2:$O2568&gt;$O1548-7)),0)"),0)</f>
        <v>0</v>
      </c>
      <c r="AN1545" s="77">
        <f t="shared" ca="1" si="260"/>
        <v>0</v>
      </c>
      <c r="AO1545" s="77">
        <f t="shared" ca="1" si="261"/>
        <v>3</v>
      </c>
      <c r="AP1545" s="76">
        <f t="array" ref="AP1545">AVERAGEIFS($K$2:$K2565,$B$2:$B2565,$B1545,$P$2:$P2565,"&lt;="&amp;$P1545,$P$2:$P2565,"&gt;"&amp;$P1545-7)</f>
        <v>10</v>
      </c>
      <c r="AQ1545" s="76">
        <f ca="1">IFERROR(__xludf.DUMMYFUNCTION("iferror(stdevp(filter($J$2:$J2568,$B$2:$B2568=$B1548,$O$2:$O2568&lt;=$O1548,$O$2:$O2568&gt;$O1548-7)),0)"),0)</f>
        <v>0</v>
      </c>
      <c r="AR1545" s="77">
        <f t="shared" ca="1" si="262"/>
        <v>0</v>
      </c>
      <c r="AS1545" s="77">
        <f t="shared" ca="1" si="263"/>
        <v>3</v>
      </c>
      <c r="AT1545" s="78">
        <f t="shared" ca="1" si="264"/>
        <v>0.75</v>
      </c>
    </row>
    <row r="1546" spans="1:46" ht="12.5" x14ac:dyDescent="0.25">
      <c r="A1546" s="75">
        <v>45014.422227337964</v>
      </c>
      <c r="B1546" s="1" t="s">
        <v>13</v>
      </c>
      <c r="C1546" s="1" t="str">
        <f>INDEX(TBL_Name,MATCH(Table2[[#This Row],[Athlete Name]],listNames,0),2)</f>
        <v>Athlete 7</v>
      </c>
      <c r="D1546" s="1" t="s">
        <v>130</v>
      </c>
      <c r="E1546" s="1">
        <v>10</v>
      </c>
      <c r="F1546" s="1">
        <v>10</v>
      </c>
      <c r="G1546" s="1">
        <v>8</v>
      </c>
      <c r="H1546" s="1" t="s">
        <v>231</v>
      </c>
      <c r="I1546" s="1">
        <v>8</v>
      </c>
      <c r="J1546" s="1">
        <v>10</v>
      </c>
      <c r="K1546" s="1">
        <v>10</v>
      </c>
      <c r="L1546" s="1">
        <v>90</v>
      </c>
      <c r="M1546" s="1" t="e">
        <f t="shared" ref="M1546" ca="1" si="629">_xludf.concat($B1546,$P1546)</f>
        <v>#NAME?</v>
      </c>
      <c r="N1546" s="1" t="e">
        <f t="shared" si="248"/>
        <v>#VALUE!</v>
      </c>
      <c r="O1546" s="1" t="e">
        <f t="shared" ref="O1546" ca="1" si="630">IF($N1546=_xludf.MINIFS($N$2:$N3052,$R$2:$R3052,$R1546),1,
($N1546-_xludf.MINIFS($N$2:$N3052,$R$2:$R3052,$R1546))+1)</f>
        <v>#VALUE!</v>
      </c>
      <c r="P1546" s="13" t="e">
        <f t="shared" si="250"/>
        <v>#VALUE!</v>
      </c>
      <c r="Q1546" s="1" t="str">
        <f>RIGHT(YEAR($A1546),2)-(MONTH($A1546)&lt;=[3]Roster!$K$25)
 &amp;"-"&amp;
 RIGHT(YEAR($A1546),2)+(MONTH($A1546)&gt;=[3]Roster!$K$26)</f>
        <v>22-23</v>
      </c>
      <c r="R1546" s="1" t="e">
        <f>CHOOSE(MONTH($P1546),[3]Roster!$K$9,[3]Roster!$K$10,[3]Roster!$K$11,[3]Roster!$K$12,[3]Roster!$K$13,[3]Roster!$K$14,[3]Roster!$K$15,[3]Roster!$K$16,[3]Roster!$K$17,[3]Roster!$K$18,[3]Roster!$K$19,[3]Roster!$K$20)&amp;" "&amp;$Q1546</f>
        <v>#VALUE!</v>
      </c>
      <c r="S1546" s="1">
        <f t="shared" si="251"/>
        <v>1</v>
      </c>
      <c r="T1546" s="1" t="str">
        <f t="array" ref="T1546">IFERROR(INDEX([3]Roster!$D$3:$D$42,MATCH($B1546,[3]Roster!$C$3:$C$42,0)),"")</f>
        <v>MID/D</v>
      </c>
      <c r="U1546" s="1" t="str">
        <f t="array" ref="U1546">IFERROR(INDEX([3]Roster!$E$3:$E$42,MATCH($B1546,[3]Roster!$C$3:$C$42,0)),"")</f>
        <v>MID/D</v>
      </c>
      <c r="V1546" s="76">
        <f t="array" ref="V1546">AVERAGEIFS($E$2:$E2565,$B$2:$B2565,$B1546,$P$2:$P2565,"&lt;="&amp;$P1546,$P$2:$P2565,"&gt;"&amp;$P1546-7)</f>
        <v>7.6857142857142859</v>
      </c>
      <c r="W1546" s="76">
        <f ca="1">IFERROR(__xludf.DUMMYFUNCTION("iferror(stdevp(filter($D$2:$D2568,$B$2:$B2568=$B1549,$O$2:$O2568&lt;=$O1549,$O$2:$O2568&gt;$O1549-7)),0)"),1.26491106406735)</f>
        <v>1.26491106406735</v>
      </c>
      <c r="X1546" s="77">
        <f t="shared" ca="1" si="252"/>
        <v>1.8296035033831362</v>
      </c>
      <c r="Y1546" s="77">
        <f t="shared" ca="1" si="253"/>
        <v>4</v>
      </c>
      <c r="Z1546" s="76">
        <f t="array" ref="Z1546">AVERAGEIFS($F$2:$F2565,$B$2:$B2565,$B1546,$P$2:$P2565,"&lt;="&amp;$P1546,$P$2:$P2565,"&gt;"&amp;$P1546-7)</f>
        <v>7.0857142857142854</v>
      </c>
      <c r="AA1546" s="76">
        <f ca="1">IFERROR(__xludf.DUMMYFUNCTION("iferror(stdevp(filter($E$2:$E2568,$B$2:$B2568=$B1549,$O$2:$O2568&lt;=$O1549,$O$2:$O2568&gt;$O1549-7)),0)"),1.49666295470957)</f>
        <v>1.49666295470957</v>
      </c>
      <c r="AB1546" s="77">
        <f t="shared" ca="1" si="254"/>
        <v>1.9471890482191008</v>
      </c>
      <c r="AC1546" s="77">
        <f t="shared" ca="1" si="255"/>
        <v>4</v>
      </c>
      <c r="AD1546" s="76">
        <f t="array" ref="AD1546">AVERAGEIFS($G$2:$G2565,$B$2:$B2565,$B1546,$P$2:$P2565,"&lt;="&amp;$P1546,$P$2:$P2565,"&gt;"&amp;$P1546-7)</f>
        <v>7.1428571428571432</v>
      </c>
      <c r="AE1546" s="76">
        <f ca="1">IFERROR(__xludf.DUMMYFUNCTION("iferror(stdevp(filter($F$2:$F2568,$B$2:$B2568=$B1549,$O$2:$O2568&lt;=$O1549,$O$2:$O2568&gt;$O1549-7)),0)"),0.799999999999999)</f>
        <v>0.79999999999999905</v>
      </c>
      <c r="AF1546" s="77">
        <f t="shared" ca="1" si="256"/>
        <v>1.0714285714285723</v>
      </c>
      <c r="AG1546" s="77">
        <f t="shared" ca="1" si="257"/>
        <v>4</v>
      </c>
      <c r="AH1546" s="76">
        <f t="array" ref="AH1546">AVERAGEIFS($I$2:$I2565,$B$2:$B2565,$B1546,$P$2:$P2565,"&lt;="&amp;$P1546,$P$2:$P2565,"&gt;"&amp;$P1546-7)</f>
        <v>7.0285714285714285</v>
      </c>
      <c r="AI1546" s="76">
        <f ca="1">IFERROR(__xludf.DUMMYFUNCTION("iferror(stdevp(filter($H$2:$H2568,$B$2:$B2568=$B1549,$O$2:$O2568&lt;=$O1549,$O$2:$O2568&gt;$O1549-7)),0)"),0.399999999999999)</f>
        <v>0.39999999999999902</v>
      </c>
      <c r="AJ1546" s="77">
        <f t="shared" ca="1" si="258"/>
        <v>2.4285714285714346</v>
      </c>
      <c r="AK1546" s="77">
        <f t="shared" ca="1" si="259"/>
        <v>4</v>
      </c>
      <c r="AL1546" s="76">
        <f t="array" ref="AL1546">AVERAGEIFS($J$2:$J2565,$B$2:$B2565,$B1546,$P$2:$P2565,"&lt;="&amp;$P1546,$P$2:$P2565,"&gt;"&amp;$P1546-7)</f>
        <v>9.742857142857142</v>
      </c>
      <c r="AM1546" s="76">
        <f ca="1">IFERROR(__xludf.DUMMYFUNCTION("iferror(stdevp(filter($I$2:$I2568,$B$2:$B2568=$B1549,$O$2:$O2568&lt;=$O1549,$O$2:$O2568&gt;$O1549-7)),0)"),0)</f>
        <v>0</v>
      </c>
      <c r="AN1546" s="77">
        <f t="shared" ca="1" si="260"/>
        <v>0</v>
      </c>
      <c r="AO1546" s="77">
        <f t="shared" ca="1" si="261"/>
        <v>3</v>
      </c>
      <c r="AP1546" s="76">
        <f t="array" ref="AP1546">AVERAGEIFS($K$2:$K2565,$B$2:$B2565,$B1546,$P$2:$P2565,"&lt;="&amp;$P1546,$P$2:$P2565,"&gt;"&amp;$P1546-7)</f>
        <v>9.4285714285714288</v>
      </c>
      <c r="AQ1546" s="76">
        <f ca="1">IFERROR(__xludf.DUMMYFUNCTION("iferror(stdevp(filter($J$2:$J2568,$B$2:$B2568=$B1549,$O$2:$O2568&lt;=$O1549,$O$2:$O2568&gt;$O1549-7)),0)"),1.2)</f>
        <v>1.2</v>
      </c>
      <c r="AR1546" s="77">
        <f t="shared" ca="1" si="262"/>
        <v>0.476190476190476</v>
      </c>
      <c r="AS1546" s="77">
        <f t="shared" ca="1" si="263"/>
        <v>3</v>
      </c>
      <c r="AT1546" s="78">
        <f t="shared" ca="1" si="264"/>
        <v>0.91666666666666663</v>
      </c>
    </row>
    <row r="1547" spans="1:46" ht="12.5" x14ac:dyDescent="0.25">
      <c r="A1547" s="75">
        <v>45014.428723275458</v>
      </c>
      <c r="B1547" s="1" t="s">
        <v>21</v>
      </c>
      <c r="C1547" s="1" t="str">
        <f>INDEX(TBL_Name,MATCH(Table2[[#This Row],[Athlete Name]],listNames,0),2)</f>
        <v>Athlete 13</v>
      </c>
      <c r="D1547" s="1" t="s">
        <v>130</v>
      </c>
      <c r="E1547" s="1">
        <v>6</v>
      </c>
      <c r="F1547" s="1">
        <v>8</v>
      </c>
      <c r="G1547" s="1">
        <v>9</v>
      </c>
      <c r="H1547" s="1" t="s">
        <v>1643</v>
      </c>
      <c r="I1547" s="1">
        <v>5</v>
      </c>
      <c r="J1547" s="1">
        <v>8</v>
      </c>
      <c r="K1547" s="1">
        <v>7</v>
      </c>
      <c r="L1547" s="1">
        <v>81</v>
      </c>
      <c r="M1547" s="1" t="e">
        <f t="shared" ref="M1547" ca="1" si="631">_xludf.concat($B1547,$P1547)</f>
        <v>#NAME?</v>
      </c>
      <c r="N1547" s="1" t="e">
        <f t="shared" si="248"/>
        <v>#VALUE!</v>
      </c>
      <c r="O1547" s="1" t="e">
        <f t="shared" ref="O1547" ca="1" si="632">IF($N1547=_xludf.MINIFS($N$2:$N3053,$R$2:$R3053,$R1547),1,
($N1547-_xludf.MINIFS($N$2:$N3053,$R$2:$R3053,$R1547))+1)</f>
        <v>#VALUE!</v>
      </c>
      <c r="P1547" s="13" t="e">
        <f t="shared" si="250"/>
        <v>#VALUE!</v>
      </c>
      <c r="Q1547" s="1" t="str">
        <f>RIGHT(YEAR($A1547),2)-(MONTH($A1547)&lt;=[3]Roster!$K$25)
 &amp;"-"&amp;
 RIGHT(YEAR($A1547),2)+(MONTH($A1547)&gt;=[3]Roster!$K$26)</f>
        <v>22-23</v>
      </c>
      <c r="R1547" s="1" t="e">
        <f>CHOOSE(MONTH($P1547),[3]Roster!$K$9,[3]Roster!$K$10,[3]Roster!$K$11,[3]Roster!$K$12,[3]Roster!$K$13,[3]Roster!$K$14,[3]Roster!$K$15,[3]Roster!$K$16,[3]Roster!$K$17,[3]Roster!$K$18,[3]Roster!$K$19,[3]Roster!$K$20)&amp;" "&amp;$Q1547</f>
        <v>#VALUE!</v>
      </c>
      <c r="S1547" s="1">
        <f t="shared" si="251"/>
        <v>1</v>
      </c>
      <c r="T1547" s="1" t="str">
        <f t="array" ref="T1547">IFERROR(INDEX([3]Roster!$D$3:$D$42,MATCH($B1547,[3]Roster!$C$3:$C$42,0)),"")</f>
        <v>D</v>
      </c>
      <c r="U1547" s="1" t="str">
        <f t="array" ref="U1547">IFERROR(INDEX([3]Roster!$E$3:$E$42,MATCH($B1547,[3]Roster!$C$3:$C$42,0)),"")</f>
        <v>D</v>
      </c>
      <c r="V1547" s="76">
        <f t="array" ref="V1547">AVERAGEIFS($E$2:$E2565,$B$2:$B2565,$B1547,$P$2:$P2565,"&lt;="&amp;$P1547,$P$2:$P2565,"&gt;"&amp;$P1547-7)</f>
        <v>6.6304347826086953</v>
      </c>
      <c r="W1547" s="76">
        <f ca="1">IFERROR(__xludf.DUMMYFUNCTION("iferror(stdevp(filter($D$2:$D2568,$B$2:$B2568=$B1550,$O$2:$O2568&lt;=$O1550,$O$2:$O2568&gt;$O1550-7)),0)"),0.632455532033675)</f>
        <v>0.63245553203367499</v>
      </c>
      <c r="X1547" s="77">
        <f t="shared" ca="1" si="252"/>
        <v>-0.99680491461829435</v>
      </c>
      <c r="Y1547" s="77">
        <f t="shared" ca="1" si="253"/>
        <v>2</v>
      </c>
      <c r="Z1547" s="76">
        <f t="array" ref="Z1547">AVERAGEIFS($F$2:$F2565,$B$2:$B2565,$B1547,$P$2:$P2565,"&lt;="&amp;$P1547,$P$2:$P2565,"&gt;"&amp;$P1547-7)</f>
        <v>7.6956521739130439</v>
      </c>
      <c r="AA1547" s="76">
        <f ca="1">IFERROR(__xludf.DUMMYFUNCTION("iferror(stdevp(filter($E$2:$E2568,$B$2:$B2568=$B1550,$O$2:$O2568&lt;=$O1550,$O$2:$O2568&gt;$O1550-7)),0)"),0.489897948556635)</f>
        <v>0.48989794855663499</v>
      </c>
      <c r="AB1547" s="77">
        <f t="shared" ca="1" si="254"/>
        <v>0.62124739853196542</v>
      </c>
      <c r="AC1547" s="77">
        <f t="shared" ca="1" si="255"/>
        <v>3</v>
      </c>
      <c r="AD1547" s="76">
        <f t="array" ref="AD1547">AVERAGEIFS($G$2:$G2565,$B$2:$B2565,$B1547,$P$2:$P2565,"&lt;="&amp;$P1547,$P$2:$P2565,"&gt;"&amp;$P1547-7)</f>
        <v>8.2608695652173907</v>
      </c>
      <c r="AE1547" s="76">
        <f ca="1">IFERROR(__xludf.DUMMYFUNCTION("iferror(stdevp(filter($F$2:$F2568,$B$2:$B2568=$B1550,$O$2:$O2568&lt;=$O1550,$O$2:$O2568&gt;$O1550-7)),0)"),0.4)</f>
        <v>0.4</v>
      </c>
      <c r="AF1547" s="77">
        <f t="shared" ca="1" si="256"/>
        <v>1.8478260869565233</v>
      </c>
      <c r="AG1547" s="77">
        <f t="shared" ca="1" si="257"/>
        <v>4</v>
      </c>
      <c r="AH1547" s="76">
        <f t="array" ref="AH1547">AVERAGEIFS($I$2:$I2565,$B$2:$B2565,$B1547,$P$2:$P2565,"&lt;="&amp;$P1547,$P$2:$P2565,"&gt;"&amp;$P1547-7)</f>
        <v>5.7391304347826084</v>
      </c>
      <c r="AI1547" s="76">
        <f ca="1">IFERROR(__xludf.DUMMYFUNCTION("iferror(stdevp(filter($H$2:$H2568,$B$2:$B2568=$B1550,$O$2:$O2568&lt;=$O1550,$O$2:$O2568&gt;$O1550-7)),0)"),0.4)</f>
        <v>0.4</v>
      </c>
      <c r="AJ1547" s="77">
        <f t="shared" ca="1" si="258"/>
        <v>-1.8478260869565211</v>
      </c>
      <c r="AK1547" s="77">
        <f t="shared" ca="1" si="259"/>
        <v>1</v>
      </c>
      <c r="AL1547" s="76">
        <f t="array" ref="AL1547">AVERAGEIFS($J$2:$J2565,$B$2:$B2565,$B1547,$P$2:$P2565,"&lt;="&amp;$P1547,$P$2:$P2565,"&gt;"&amp;$P1547-7)</f>
        <v>6.5434782608695654</v>
      </c>
      <c r="AM1547" s="76">
        <f ca="1">IFERROR(__xludf.DUMMYFUNCTION("iferror(stdevp(filter($I$2:$I2568,$B$2:$B2568=$B1550,$O$2:$O2568&lt;=$O1550,$O$2:$O2568&gt;$O1550-7)),0)"),0.632455532033675)</f>
        <v>0.63245553203367499</v>
      </c>
      <c r="AN1547" s="77">
        <f t="shared" ca="1" si="260"/>
        <v>2.3029630786008877</v>
      </c>
      <c r="AO1547" s="77">
        <f t="shared" ca="1" si="261"/>
        <v>4</v>
      </c>
      <c r="AP1547" s="76">
        <f t="array" ref="AP1547">AVERAGEIFS($K$2:$K2565,$B$2:$B2565,$B1547,$P$2:$P2565,"&lt;="&amp;$P1547,$P$2:$P2565,"&gt;"&amp;$P1547-7)</f>
        <v>6.6086956521739131</v>
      </c>
      <c r="AQ1547" s="76">
        <f ca="1">IFERROR(__xludf.DUMMYFUNCTION("iferror(stdevp(filter($J$2:$J2568,$B$2:$B2568=$B1550,$O$2:$O2568&lt;=$O1550,$O$2:$O2568&gt;$O1550-7)),0)"),0.4)</f>
        <v>0.4</v>
      </c>
      <c r="AR1547" s="77">
        <f t="shared" ca="1" si="262"/>
        <v>0.97826086956521729</v>
      </c>
      <c r="AS1547" s="77">
        <f t="shared" ca="1" si="263"/>
        <v>3</v>
      </c>
      <c r="AT1547" s="78">
        <f t="shared" ca="1" si="264"/>
        <v>0.70833333333333337</v>
      </c>
    </row>
    <row r="1548" spans="1:46" ht="12.5" x14ac:dyDescent="0.25">
      <c r="A1548" s="75">
        <v>45014.462184085649</v>
      </c>
      <c r="B1548" s="1" t="s">
        <v>6</v>
      </c>
      <c r="C1548" s="1" t="str">
        <f>INDEX(TBL_Name,MATCH(Table2[[#This Row],[Athlete Name]],listNames,0),2)</f>
        <v>Athlete 2</v>
      </c>
      <c r="D1548" s="1" t="s">
        <v>130</v>
      </c>
      <c r="E1548" s="1">
        <v>9</v>
      </c>
      <c r="F1548" s="1">
        <v>2</v>
      </c>
      <c r="G1548" s="1">
        <v>5</v>
      </c>
      <c r="H1548" s="1"/>
      <c r="I1548" s="1">
        <v>8</v>
      </c>
      <c r="J1548" s="1">
        <v>8</v>
      </c>
      <c r="K1548" s="1">
        <v>4</v>
      </c>
      <c r="L1548" s="1">
        <v>50</v>
      </c>
      <c r="M1548" s="1" t="e">
        <f t="shared" ref="M1548" ca="1" si="633">_xludf.concat($B1548,$P1548)</f>
        <v>#NAME?</v>
      </c>
      <c r="N1548" s="1" t="e">
        <f t="shared" si="248"/>
        <v>#VALUE!</v>
      </c>
      <c r="O1548" s="1" t="e">
        <f t="shared" ref="O1548" ca="1" si="634">IF($N1548=_xludf.MINIFS($N$2:$N3054,$R$2:$R3054,$R1548),1,
($N1548-_xludf.MINIFS($N$2:$N3054,$R$2:$R3054,$R1548))+1)</f>
        <v>#VALUE!</v>
      </c>
      <c r="P1548" s="13" t="e">
        <f t="shared" si="250"/>
        <v>#VALUE!</v>
      </c>
      <c r="Q1548" s="1" t="str">
        <f>RIGHT(YEAR($A1548),2)-(MONTH($A1548)&lt;=[3]Roster!$K$25)
 &amp;"-"&amp;
 RIGHT(YEAR($A1548),2)+(MONTH($A1548)&gt;=[3]Roster!$K$26)</f>
        <v>22-23</v>
      </c>
      <c r="R1548" s="1" t="e">
        <f>CHOOSE(MONTH($P1548),[3]Roster!$K$9,[3]Roster!$K$10,[3]Roster!$K$11,[3]Roster!$K$12,[3]Roster!$K$13,[3]Roster!$K$14,[3]Roster!$K$15,[3]Roster!$K$16,[3]Roster!$K$17,[3]Roster!$K$18,[3]Roster!$K$19,[3]Roster!$K$20)&amp;" "&amp;$Q1548</f>
        <v>#VALUE!</v>
      </c>
      <c r="S1548" s="1">
        <f t="shared" si="251"/>
        <v>1</v>
      </c>
      <c r="T1548" s="1" t="str">
        <f t="array" ref="T1548">IFERROR(INDEX([3]Roster!$D$3:$D$42,MATCH($B1548,[3]Roster!$C$3:$C$42,0)),"")</f>
        <v>FWD</v>
      </c>
      <c r="U1548" s="1" t="str">
        <f t="array" ref="U1548">IFERROR(INDEX([3]Roster!$E$3:$E$42,MATCH($B1548,[3]Roster!$C$3:$C$42,0)),"")</f>
        <v>FWD</v>
      </c>
      <c r="V1548" s="76">
        <f t="array" ref="V1548">AVERAGEIFS($E$2:$E2565,$B$2:$B2565,$B1548,$P$2:$P2565,"&lt;="&amp;$P1548,$P$2:$P2565,"&gt;"&amp;$P1548-7)</f>
        <v>9.7441860465116275</v>
      </c>
      <c r="W1548" s="76">
        <f ca="1">IFERROR(__xludf.DUMMYFUNCTION("iferror(stdevp(filter($D$2:$D2568,$B$2:$B2568=$B1551,$O$2:$O2568&lt;=$O1551,$O$2:$O2568&gt;$O1551-7)),0)"),0.534522483824848)</f>
        <v>0.53452248382484802</v>
      </c>
      <c r="X1548" s="77">
        <f t="shared" ca="1" si="252"/>
        <v>-1.3922446090321654</v>
      </c>
      <c r="Y1548" s="77">
        <f t="shared" ca="1" si="253"/>
        <v>1</v>
      </c>
      <c r="Z1548" s="76">
        <f t="array" ref="Z1548">AVERAGEIFS($F$2:$F2565,$B$2:$B2565,$B1548,$P$2:$P2565,"&lt;="&amp;$P1548,$P$2:$P2565,"&gt;"&amp;$P1548-7)</f>
        <v>8.279069767441861</v>
      </c>
      <c r="AA1548" s="76">
        <f ca="1">IFERROR(__xludf.DUMMYFUNCTION("iferror(stdevp(filter($E$2:$E2568,$B$2:$B2568=$B1551,$O$2:$O2568&lt;=$O1551,$O$2:$O2568&gt;$O1551-7)),0)"),1.8070158058105)</f>
        <v>1.8070158058104999</v>
      </c>
      <c r="AB1548" s="77">
        <f t="shared" ca="1" si="254"/>
        <v>-3.474828359138515</v>
      </c>
      <c r="AC1548" s="77">
        <f t="shared" ca="1" si="255"/>
        <v>1</v>
      </c>
      <c r="AD1548" s="76">
        <f t="array" ref="AD1548">AVERAGEIFS($G$2:$G2565,$B$2:$B2565,$B1548,$P$2:$P2565,"&lt;="&amp;$P1548,$P$2:$P2565,"&gt;"&amp;$P1548-7)</f>
        <v>8.604651162790697</v>
      </c>
      <c r="AE1548" s="76">
        <f ca="1">IFERROR(__xludf.DUMMYFUNCTION("iferror(stdevp(filter($F$2:$F2568,$B$2:$B2568=$B1551,$O$2:$O2568&lt;=$O1551,$O$2:$O2568&gt;$O1551-7)),0)"),1.74963553055941)</f>
        <v>1.74963553055941</v>
      </c>
      <c r="AF1548" s="77">
        <f t="shared" ca="1" si="256"/>
        <v>-2.0602297448990328</v>
      </c>
      <c r="AG1548" s="77">
        <f t="shared" ca="1" si="257"/>
        <v>1</v>
      </c>
      <c r="AH1548" s="76">
        <f t="array" ref="AH1548">AVERAGEIFS($I$2:$I2565,$B$2:$B2565,$B1548,$P$2:$P2565,"&lt;="&amp;$P1548,$P$2:$P2565,"&gt;"&amp;$P1548-7)</f>
        <v>8.3488372093023262</v>
      </c>
      <c r="AI1548" s="76">
        <f ca="1">IFERROR(__xludf.DUMMYFUNCTION("iferror(stdevp(filter($H$2:$H2568,$B$2:$B2568=$B1551,$O$2:$O2568&lt;=$O1551,$O$2:$O2568&gt;$O1551-7)),0)"),0.451753951452625)</f>
        <v>0.45175395145262498</v>
      </c>
      <c r="AJ1548" s="77">
        <f t="shared" ca="1" si="258"/>
        <v>-0.77218407980856019</v>
      </c>
      <c r="AK1548" s="77">
        <f t="shared" ca="1" si="259"/>
        <v>2</v>
      </c>
      <c r="AL1548" s="76">
        <f t="array" ref="AL1548">AVERAGEIFS($J$2:$J2565,$B$2:$B2565,$B1548,$P$2:$P2565,"&lt;="&amp;$P1548,$P$2:$P2565,"&gt;"&amp;$P1548-7)</f>
        <v>8.3023255813953494</v>
      </c>
      <c r="AM1548" s="76">
        <f ca="1">IFERROR(__xludf.DUMMYFUNCTION("iferror(stdevp(filter($I$2:$I2568,$B$2:$B2568=$B1551,$O$2:$O2568&lt;=$O1551,$O$2:$O2568&gt;$O1551-7)),0)"),0.699854212223765)</f>
        <v>0.69985421222376498</v>
      </c>
      <c r="AN1548" s="77">
        <f t="shared" ca="1" si="260"/>
        <v>-0.43198365618850709</v>
      </c>
      <c r="AO1548" s="77">
        <f t="shared" ca="1" si="261"/>
        <v>2</v>
      </c>
      <c r="AP1548" s="76">
        <f t="array" ref="AP1548">AVERAGEIFS($K$2:$K2565,$B$2:$B2565,$B1548,$P$2:$P2565,"&lt;="&amp;$P1548,$P$2:$P2565,"&gt;"&amp;$P1548-7)</f>
        <v>8.9069767441860463</v>
      </c>
      <c r="AQ1548" s="76">
        <f ca="1">IFERROR(__xludf.DUMMYFUNCTION("iferror(stdevp(filter($J$2:$J2568,$B$2:$B2568=$B1551,$O$2:$O2568&lt;=$O1551,$O$2:$O2568&gt;$O1551-7)),0)"),2.32115382989598)</f>
        <v>2.3211538298959802</v>
      </c>
      <c r="AR1548" s="77">
        <f t="shared" ca="1" si="262"/>
        <v>-2.1140247927497104</v>
      </c>
      <c r="AS1548" s="77">
        <f t="shared" ca="1" si="263"/>
        <v>1</v>
      </c>
      <c r="AT1548" s="78">
        <f t="shared" ca="1" si="264"/>
        <v>0.33333333333333331</v>
      </c>
    </row>
    <row r="1549" spans="1:46" ht="12.5" x14ac:dyDescent="0.25">
      <c r="A1549" s="75">
        <v>45014.495838078699</v>
      </c>
      <c r="B1549" s="1" t="s">
        <v>10</v>
      </c>
      <c r="C1549" s="1" t="str">
        <f>INDEX(TBL_Name,MATCH(Table2[[#This Row],[Athlete Name]],listNames,0),2)</f>
        <v>Athlete 5</v>
      </c>
      <c r="D1549" s="1" t="s">
        <v>130</v>
      </c>
      <c r="E1549" s="1">
        <v>8</v>
      </c>
      <c r="F1549" s="1">
        <v>7</v>
      </c>
      <c r="G1549" s="1">
        <v>7</v>
      </c>
      <c r="H1549" s="1" t="s">
        <v>1213</v>
      </c>
      <c r="I1549" s="1">
        <v>6</v>
      </c>
      <c r="J1549" s="1">
        <v>8</v>
      </c>
      <c r="K1549" s="1">
        <v>8</v>
      </c>
      <c r="L1549" s="1">
        <v>72</v>
      </c>
      <c r="M1549" s="1" t="e">
        <f t="shared" ref="M1549" ca="1" si="635">_xludf.concat($B1549,$P1549)</f>
        <v>#NAME?</v>
      </c>
      <c r="N1549" s="1" t="e">
        <f t="shared" si="248"/>
        <v>#VALUE!</v>
      </c>
      <c r="O1549" s="1" t="e">
        <f t="shared" ref="O1549" ca="1" si="636">IF($N1549=_xludf.MINIFS($N$2:$N3055,$R$2:$R3055,$R1549),1,
($N1549-_xludf.MINIFS($N$2:$N3055,$R$2:$R3055,$R1549))+1)</f>
        <v>#VALUE!</v>
      </c>
      <c r="P1549" s="13" t="e">
        <f t="shared" si="250"/>
        <v>#VALUE!</v>
      </c>
      <c r="Q1549" s="1" t="str">
        <f>RIGHT(YEAR($A1549),2)-(MONTH($A1549)&lt;=[3]Roster!$K$25)
 &amp;"-"&amp;
 RIGHT(YEAR($A1549),2)+(MONTH($A1549)&gt;=[3]Roster!$K$26)</f>
        <v>22-23</v>
      </c>
      <c r="R1549" s="1" t="e">
        <f>CHOOSE(MONTH($P1549),[3]Roster!$K$9,[3]Roster!$K$10,[3]Roster!$K$11,[3]Roster!$K$12,[3]Roster!$K$13,[3]Roster!$K$14,[3]Roster!$K$15,[3]Roster!$K$16,[3]Roster!$K$17,[3]Roster!$K$18,[3]Roster!$K$19,[3]Roster!$K$20)&amp;" "&amp;$Q1549</f>
        <v>#VALUE!</v>
      </c>
      <c r="S1549" s="1">
        <f t="shared" si="251"/>
        <v>1</v>
      </c>
      <c r="T1549" s="1" t="str">
        <f t="array" ref="T1549">IFERROR(INDEX([3]Roster!$D$3:$D$42,MATCH($B1549,[3]Roster!$C$3:$C$42,0)),"")</f>
        <v>MID</v>
      </c>
      <c r="U1549" s="1" t="str">
        <f t="array" ref="U1549">IFERROR(INDEX([3]Roster!$E$3:$E$42,MATCH($B1549,[3]Roster!$C$3:$C$42,0)),"")</f>
        <v>MID</v>
      </c>
      <c r="V1549" s="76">
        <f t="array" ref="V1549">AVERAGEIFS($E$2:$E2565,$B$2:$B2565,$B1549,$P$2:$P2565,"&lt;="&amp;$P1549,$P$2:$P2565,"&gt;"&amp;$P1549-7)</f>
        <v>8.4042553191489358</v>
      </c>
      <c r="W1549" s="76">
        <f ca="1">IFERROR(__xludf.DUMMYFUNCTION("iferror(stdevp(filter($D$2:$D2568,$B$2:$B2568=$B1552,$O$2:$O2568&lt;=$O1552,$O$2:$O2568&gt;$O1552-7)),0)"),1.03015750727542)</f>
        <v>1.0301575072754201</v>
      </c>
      <c r="X1549" s="77">
        <f t="shared" ca="1" si="252"/>
        <v>-0.39242088349976484</v>
      </c>
      <c r="Y1549" s="77">
        <f t="shared" ca="1" si="253"/>
        <v>2</v>
      </c>
      <c r="Z1549" s="76">
        <f t="array" ref="Z1549">AVERAGEIFS($F$2:$F2565,$B$2:$B2565,$B1549,$P$2:$P2565,"&lt;="&amp;$P1549,$P$2:$P2565,"&gt;"&amp;$P1549-7)</f>
        <v>8.085106382978724</v>
      </c>
      <c r="AA1549" s="76">
        <f ca="1">IFERROR(__xludf.DUMMYFUNCTION("iferror(stdevp(filter($E$2:$E2568,$B$2:$B2568=$B1552,$O$2:$O2568&lt;=$O1552,$O$2:$O2568&gt;$O1552-7)),0)"),0.451753951452625)</f>
        <v>0.45175395145262498</v>
      </c>
      <c r="AB1549" s="77">
        <f t="shared" ca="1" si="254"/>
        <v>-2.4019853716598161</v>
      </c>
      <c r="AC1549" s="77">
        <f t="shared" ca="1" si="255"/>
        <v>1</v>
      </c>
      <c r="AD1549" s="76">
        <f t="array" ref="AD1549">AVERAGEIFS($G$2:$G2565,$B$2:$B2565,$B1549,$P$2:$P2565,"&lt;="&amp;$P1549,$P$2:$P2565,"&gt;"&amp;$P1549-7)</f>
        <v>8.0638297872340434</v>
      </c>
      <c r="AE1549" s="76">
        <f ca="1">IFERROR(__xludf.DUMMYFUNCTION("iferror(stdevp(filter($F$2:$F2568,$B$2:$B2568=$B1552,$O$2:$O2568&lt;=$O1552,$O$2:$O2568&gt;$O1552-7)),0)"),0.451753951452625)</f>
        <v>0.45175395145262498</v>
      </c>
      <c r="AF1549" s="77">
        <f t="shared" ca="1" si="256"/>
        <v>-2.3548876192743302</v>
      </c>
      <c r="AG1549" s="77">
        <f t="shared" ca="1" si="257"/>
        <v>1</v>
      </c>
      <c r="AH1549" s="76">
        <f t="array" ref="AH1549">AVERAGEIFS($I$2:$I2565,$B$2:$B2565,$B1549,$P$2:$P2565,"&lt;="&amp;$P1549,$P$2:$P2565,"&gt;"&amp;$P1549-7)</f>
        <v>6.7446808510638299</v>
      </c>
      <c r="AI1549" s="76">
        <f ca="1">IFERROR(__xludf.DUMMYFUNCTION("iferror(stdevp(filter($H$2:$H2568,$B$2:$B2568=$B1552,$O$2:$O2568&lt;=$O1552,$O$2:$O2568&gt;$O1552-7)),0)"),0.903507902905251)</f>
        <v>0.90350790290525096</v>
      </c>
      <c r="AJ1549" s="77">
        <f t="shared" ca="1" si="258"/>
        <v>-0.82421066674601406</v>
      </c>
      <c r="AK1549" s="77">
        <f t="shared" ca="1" si="259"/>
        <v>2</v>
      </c>
      <c r="AL1549" s="76">
        <f t="array" ref="AL1549">AVERAGEIFS($J$2:$J2565,$B$2:$B2565,$B1549,$P$2:$P2565,"&lt;="&amp;$P1549,$P$2:$P2565,"&gt;"&amp;$P1549-7)</f>
        <v>8.1063829787234045</v>
      </c>
      <c r="AM1549" s="76">
        <f ca="1">IFERROR(__xludf.DUMMYFUNCTION("iferror(stdevp(filter($I$2:$I2568,$B$2:$B2568=$B1552,$O$2:$O2568&lt;=$O1552,$O$2:$O2568&gt;$O1552-7)),0)"),0.451753951452625)</f>
        <v>0.45175395145262498</v>
      </c>
      <c r="AN1549" s="77">
        <f t="shared" ca="1" si="260"/>
        <v>-0.23548876192743343</v>
      </c>
      <c r="AO1549" s="77">
        <f t="shared" ca="1" si="261"/>
        <v>2</v>
      </c>
      <c r="AP1549" s="76">
        <f t="array" ref="AP1549">AVERAGEIFS($K$2:$K2565,$B$2:$B2565,$B1549,$P$2:$P2565,"&lt;="&amp;$P1549,$P$2:$P2565,"&gt;"&amp;$P1549-7)</f>
        <v>8.2978723404255312</v>
      </c>
      <c r="AQ1549" s="76">
        <f ca="1">IFERROR(__xludf.DUMMYFUNCTION("iferror(stdevp(filter($J$2:$J2568,$B$2:$B2568=$B1552,$O$2:$O2568&lt;=$O1552,$O$2:$O2568&gt;$O1552-7)),0)"),0.451753951452625)</f>
        <v>0.45175395145262498</v>
      </c>
      <c r="AR1549" s="77">
        <f t="shared" ca="1" si="262"/>
        <v>-0.65936853339681045</v>
      </c>
      <c r="AS1549" s="77">
        <f t="shared" ca="1" si="263"/>
        <v>2</v>
      </c>
      <c r="AT1549" s="78">
        <f t="shared" ca="1" si="264"/>
        <v>0.41666666666666669</v>
      </c>
    </row>
    <row r="1550" spans="1:46" ht="12.5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3"/>
      <c r="Q1550" s="1"/>
      <c r="R1550" s="1"/>
      <c r="S1550" s="1"/>
      <c r="T1550" s="1"/>
      <c r="U1550" s="1"/>
      <c r="V1550" s="76"/>
      <c r="W1550" s="76"/>
      <c r="X1550" s="77"/>
      <c r="Y1550" s="77"/>
      <c r="Z1550" s="76"/>
      <c r="AA1550" s="76"/>
      <c r="AB1550" s="77"/>
      <c r="AC1550" s="77"/>
      <c r="AD1550" s="76"/>
      <c r="AE1550" s="76"/>
      <c r="AF1550" s="77"/>
      <c r="AG1550" s="77"/>
      <c r="AH1550" s="76"/>
      <c r="AI1550" s="76"/>
      <c r="AJ1550" s="77"/>
      <c r="AK1550" s="77"/>
      <c r="AL1550" s="77"/>
      <c r="AM1550" s="77"/>
      <c r="AN1550" s="77"/>
      <c r="AO1550" s="77"/>
      <c r="AP1550" s="77"/>
      <c r="AQ1550" s="77"/>
      <c r="AR1550" s="77"/>
      <c r="AS1550" s="77"/>
      <c r="AT1550" s="82"/>
    </row>
    <row r="1551" spans="1:46" ht="12.5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3"/>
      <c r="Q1551" s="1"/>
      <c r="R1551" s="1"/>
      <c r="S1551" s="1"/>
      <c r="T1551" s="1"/>
      <c r="U1551" s="1"/>
      <c r="V1551" s="76"/>
      <c r="W1551" s="76"/>
      <c r="X1551" s="77"/>
      <c r="Y1551" s="77"/>
      <c r="Z1551" s="76"/>
      <c r="AA1551" s="76"/>
      <c r="AB1551" s="77"/>
      <c r="AC1551" s="77"/>
      <c r="AD1551" s="76"/>
      <c r="AE1551" s="76"/>
      <c r="AF1551" s="77"/>
      <c r="AG1551" s="77"/>
      <c r="AH1551" s="76"/>
      <c r="AI1551" s="76"/>
      <c r="AJ1551" s="77"/>
      <c r="AK1551" s="77"/>
      <c r="AL1551" s="77"/>
      <c r="AM1551" s="77"/>
      <c r="AN1551" s="77"/>
      <c r="AO1551" s="77"/>
      <c r="AP1551" s="77"/>
      <c r="AQ1551" s="77"/>
      <c r="AR1551" s="77"/>
      <c r="AS1551" s="77"/>
      <c r="AT1551" s="82"/>
    </row>
    <row r="1552" spans="1:46" ht="12.5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3"/>
      <c r="Q1552" s="1"/>
      <c r="R1552" s="1"/>
      <c r="S1552" s="1"/>
      <c r="T1552" s="1"/>
      <c r="U1552" s="1"/>
      <c r="V1552" s="76"/>
      <c r="W1552" s="76"/>
      <c r="X1552" s="77"/>
      <c r="Y1552" s="77"/>
      <c r="Z1552" s="76"/>
      <c r="AA1552" s="76"/>
      <c r="AB1552" s="77"/>
      <c r="AC1552" s="77"/>
      <c r="AD1552" s="76"/>
      <c r="AE1552" s="76"/>
      <c r="AF1552" s="77"/>
      <c r="AG1552" s="77"/>
      <c r="AH1552" s="76"/>
      <c r="AI1552" s="76"/>
      <c r="AJ1552" s="77"/>
      <c r="AK1552" s="77"/>
      <c r="AL1552" s="77"/>
      <c r="AM1552" s="77"/>
      <c r="AN1552" s="77"/>
      <c r="AO1552" s="77"/>
      <c r="AP1552" s="77"/>
      <c r="AQ1552" s="77"/>
      <c r="AR1552" s="77"/>
      <c r="AS1552" s="77"/>
      <c r="AT1552" s="82"/>
    </row>
    <row r="1553" spans="1:46" ht="12.5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3"/>
      <c r="Q1553" s="1"/>
      <c r="R1553" s="1"/>
      <c r="S1553" s="1"/>
      <c r="T1553" s="1"/>
      <c r="U1553" s="1"/>
      <c r="V1553" s="76"/>
      <c r="W1553" s="76"/>
      <c r="X1553" s="77"/>
      <c r="Y1553" s="77"/>
      <c r="Z1553" s="76"/>
      <c r="AA1553" s="76"/>
      <c r="AB1553" s="77"/>
      <c r="AC1553" s="77"/>
      <c r="AD1553" s="76"/>
      <c r="AE1553" s="76"/>
      <c r="AF1553" s="77"/>
      <c r="AG1553" s="77"/>
      <c r="AH1553" s="76"/>
      <c r="AI1553" s="76"/>
      <c r="AJ1553" s="77"/>
      <c r="AK1553" s="77"/>
      <c r="AL1553" s="77"/>
      <c r="AM1553" s="77"/>
      <c r="AN1553" s="77"/>
      <c r="AO1553" s="77"/>
      <c r="AP1553" s="77"/>
      <c r="AQ1553" s="77"/>
      <c r="AR1553" s="77"/>
      <c r="AS1553" s="77"/>
      <c r="AT1553" s="82"/>
    </row>
    <row r="1554" spans="1:46" ht="12.5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3"/>
      <c r="Q1554" s="1"/>
      <c r="R1554" s="1"/>
      <c r="S1554" s="1"/>
      <c r="T1554" s="1"/>
      <c r="U1554" s="1"/>
      <c r="V1554" s="76"/>
      <c r="W1554" s="76"/>
      <c r="X1554" s="77"/>
      <c r="Y1554" s="77"/>
      <c r="Z1554" s="76"/>
      <c r="AA1554" s="76"/>
      <c r="AB1554" s="77"/>
      <c r="AC1554" s="77"/>
      <c r="AD1554" s="76"/>
      <c r="AE1554" s="76"/>
      <c r="AF1554" s="77"/>
      <c r="AG1554" s="77"/>
      <c r="AH1554" s="76"/>
      <c r="AI1554" s="76"/>
      <c r="AJ1554" s="77"/>
      <c r="AK1554" s="77"/>
      <c r="AL1554" s="77"/>
      <c r="AM1554" s="77"/>
      <c r="AN1554" s="77"/>
      <c r="AO1554" s="77"/>
      <c r="AP1554" s="77"/>
      <c r="AQ1554" s="77"/>
      <c r="AR1554" s="77"/>
      <c r="AS1554" s="77"/>
      <c r="AT1554" s="82"/>
    </row>
    <row r="1555" spans="1:46" ht="12.5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3"/>
      <c r="Q1555" s="1"/>
      <c r="R1555" s="1"/>
      <c r="S1555" s="1"/>
      <c r="T1555" s="1"/>
      <c r="U1555" s="1"/>
      <c r="V1555" s="76"/>
      <c r="W1555" s="76"/>
      <c r="X1555" s="77"/>
      <c r="Y1555" s="77"/>
      <c r="Z1555" s="76"/>
      <c r="AA1555" s="76"/>
      <c r="AB1555" s="77"/>
      <c r="AC1555" s="77"/>
      <c r="AD1555" s="76"/>
      <c r="AE1555" s="76"/>
      <c r="AF1555" s="77"/>
      <c r="AG1555" s="77"/>
      <c r="AH1555" s="76"/>
      <c r="AI1555" s="76"/>
      <c r="AJ1555" s="77"/>
      <c r="AK1555" s="77"/>
      <c r="AL1555" s="77"/>
      <c r="AM1555" s="77"/>
      <c r="AN1555" s="77"/>
      <c r="AO1555" s="77"/>
      <c r="AP1555" s="77"/>
      <c r="AQ1555" s="77"/>
      <c r="AR1555" s="77"/>
      <c r="AS1555" s="77"/>
      <c r="AT1555" s="82"/>
    </row>
    <row r="1556" spans="1:46" ht="12.5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3"/>
      <c r="Q1556" s="1"/>
      <c r="R1556" s="1"/>
      <c r="S1556" s="1"/>
      <c r="T1556" s="1"/>
      <c r="U1556" s="1"/>
      <c r="V1556" s="76"/>
      <c r="W1556" s="76"/>
      <c r="X1556" s="77"/>
      <c r="Y1556" s="77"/>
      <c r="Z1556" s="76"/>
      <c r="AA1556" s="76"/>
      <c r="AB1556" s="77"/>
      <c r="AC1556" s="77"/>
      <c r="AD1556" s="76"/>
      <c r="AE1556" s="76"/>
      <c r="AF1556" s="77"/>
      <c r="AG1556" s="77"/>
      <c r="AH1556" s="76"/>
      <c r="AI1556" s="76"/>
      <c r="AJ1556" s="77"/>
      <c r="AK1556" s="77"/>
      <c r="AL1556" s="77"/>
      <c r="AM1556" s="77"/>
      <c r="AN1556" s="77"/>
      <c r="AO1556" s="77"/>
      <c r="AP1556" s="77"/>
      <c r="AQ1556" s="77"/>
      <c r="AR1556" s="77"/>
      <c r="AS1556" s="77"/>
      <c r="AT1556" s="82"/>
    </row>
    <row r="1557" spans="1:46" ht="12.5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3"/>
      <c r="Q1557" s="1"/>
      <c r="R1557" s="1"/>
      <c r="S1557" s="1"/>
      <c r="T1557" s="1"/>
      <c r="U1557" s="1"/>
      <c r="V1557" s="76"/>
      <c r="W1557" s="76"/>
      <c r="X1557" s="77"/>
      <c r="Y1557" s="77"/>
      <c r="Z1557" s="76"/>
      <c r="AA1557" s="76"/>
      <c r="AB1557" s="77"/>
      <c r="AC1557" s="77"/>
      <c r="AD1557" s="76"/>
      <c r="AE1557" s="76"/>
      <c r="AF1557" s="77"/>
      <c r="AG1557" s="77"/>
      <c r="AH1557" s="76"/>
      <c r="AI1557" s="76"/>
      <c r="AJ1557" s="77"/>
      <c r="AK1557" s="77"/>
      <c r="AL1557" s="77"/>
      <c r="AM1557" s="77"/>
      <c r="AN1557" s="77"/>
      <c r="AO1557" s="77"/>
      <c r="AP1557" s="77"/>
      <c r="AQ1557" s="77"/>
      <c r="AR1557" s="77"/>
      <c r="AS1557" s="77"/>
      <c r="AT1557" s="82"/>
    </row>
    <row r="1558" spans="1:46" ht="12.5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3"/>
      <c r="Q1558" s="1"/>
      <c r="R1558" s="1"/>
      <c r="S1558" s="1"/>
      <c r="T1558" s="1"/>
      <c r="U1558" s="1"/>
      <c r="V1558" s="76"/>
      <c r="W1558" s="76"/>
      <c r="X1558" s="77"/>
      <c r="Y1558" s="77"/>
      <c r="Z1558" s="76"/>
      <c r="AA1558" s="76"/>
      <c r="AB1558" s="77"/>
      <c r="AC1558" s="77"/>
      <c r="AD1558" s="76"/>
      <c r="AE1558" s="76"/>
      <c r="AF1558" s="77"/>
      <c r="AG1558" s="77"/>
      <c r="AH1558" s="76"/>
      <c r="AI1558" s="76"/>
      <c r="AJ1558" s="77"/>
      <c r="AK1558" s="77"/>
      <c r="AL1558" s="77"/>
      <c r="AM1558" s="77"/>
      <c r="AN1558" s="77"/>
      <c r="AO1558" s="77"/>
      <c r="AP1558" s="77"/>
      <c r="AQ1558" s="77"/>
      <c r="AR1558" s="77"/>
      <c r="AS1558" s="77"/>
      <c r="AT1558" s="82"/>
    </row>
    <row r="1559" spans="1:46" ht="12.5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3"/>
      <c r="Q1559" s="1"/>
      <c r="R1559" s="1"/>
      <c r="S1559" s="1"/>
      <c r="T1559" s="1"/>
      <c r="U1559" s="1"/>
      <c r="V1559" s="76"/>
      <c r="W1559" s="76"/>
      <c r="X1559" s="77"/>
      <c r="Y1559" s="77"/>
      <c r="Z1559" s="76"/>
      <c r="AA1559" s="76"/>
      <c r="AB1559" s="77"/>
      <c r="AC1559" s="77"/>
      <c r="AD1559" s="76"/>
      <c r="AE1559" s="76"/>
      <c r="AF1559" s="77"/>
      <c r="AG1559" s="77"/>
      <c r="AH1559" s="76"/>
      <c r="AI1559" s="76"/>
      <c r="AJ1559" s="77"/>
      <c r="AK1559" s="77"/>
      <c r="AL1559" s="77"/>
      <c r="AM1559" s="77"/>
      <c r="AN1559" s="77"/>
      <c r="AO1559" s="77"/>
      <c r="AP1559" s="77"/>
      <c r="AQ1559" s="77"/>
      <c r="AR1559" s="77"/>
      <c r="AS1559" s="77"/>
      <c r="AT1559" s="82"/>
    </row>
    <row r="1560" spans="1:46" ht="12.5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3"/>
      <c r="Q1560" s="1"/>
      <c r="R1560" s="1"/>
      <c r="S1560" s="1"/>
      <c r="T1560" s="1"/>
      <c r="U1560" s="1"/>
      <c r="V1560" s="76"/>
      <c r="W1560" s="76"/>
      <c r="X1560" s="77"/>
      <c r="Y1560" s="77"/>
      <c r="Z1560" s="76"/>
      <c r="AA1560" s="76"/>
      <c r="AB1560" s="77"/>
      <c r="AC1560" s="77"/>
      <c r="AD1560" s="76"/>
      <c r="AE1560" s="76"/>
      <c r="AF1560" s="77"/>
      <c r="AG1560" s="77"/>
      <c r="AH1560" s="76"/>
      <c r="AI1560" s="76"/>
      <c r="AJ1560" s="77"/>
      <c r="AK1560" s="77"/>
      <c r="AL1560" s="77"/>
      <c r="AM1560" s="77"/>
      <c r="AN1560" s="77"/>
      <c r="AO1560" s="77"/>
      <c r="AP1560" s="77"/>
      <c r="AQ1560" s="77"/>
      <c r="AR1560" s="77"/>
      <c r="AS1560" s="77"/>
      <c r="AT1560" s="82"/>
    </row>
    <row r="1561" spans="1:46" ht="12.5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3"/>
      <c r="Q1561" s="1"/>
      <c r="R1561" s="1"/>
      <c r="S1561" s="1"/>
      <c r="T1561" s="1"/>
      <c r="U1561" s="1"/>
      <c r="V1561" s="76"/>
      <c r="W1561" s="76"/>
      <c r="X1561" s="77"/>
      <c r="Y1561" s="77"/>
      <c r="Z1561" s="76"/>
      <c r="AA1561" s="76"/>
      <c r="AB1561" s="77"/>
      <c r="AC1561" s="77"/>
      <c r="AD1561" s="76"/>
      <c r="AE1561" s="76"/>
      <c r="AF1561" s="77"/>
      <c r="AG1561" s="77"/>
      <c r="AH1561" s="76"/>
      <c r="AI1561" s="76"/>
      <c r="AJ1561" s="77"/>
      <c r="AK1561" s="77"/>
      <c r="AL1561" s="77"/>
      <c r="AM1561" s="77"/>
      <c r="AN1561" s="77"/>
      <c r="AO1561" s="77"/>
      <c r="AP1561" s="77"/>
      <c r="AQ1561" s="77"/>
      <c r="AR1561" s="77"/>
      <c r="AS1561" s="77"/>
      <c r="AT1561" s="82"/>
    </row>
    <row r="1562" spans="1:46" ht="12.5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3"/>
      <c r="Q1562" s="1"/>
      <c r="R1562" s="1"/>
      <c r="S1562" s="1"/>
      <c r="T1562" s="1"/>
      <c r="U1562" s="1"/>
      <c r="V1562" s="76"/>
      <c r="W1562" s="76"/>
      <c r="X1562" s="77"/>
      <c r="Y1562" s="77"/>
      <c r="Z1562" s="76"/>
      <c r="AA1562" s="76"/>
      <c r="AB1562" s="77"/>
      <c r="AC1562" s="77"/>
      <c r="AD1562" s="76"/>
      <c r="AE1562" s="76"/>
      <c r="AF1562" s="77"/>
      <c r="AG1562" s="77"/>
      <c r="AH1562" s="76"/>
      <c r="AI1562" s="76"/>
      <c r="AJ1562" s="77"/>
      <c r="AK1562" s="77"/>
      <c r="AL1562" s="77"/>
      <c r="AM1562" s="77"/>
      <c r="AN1562" s="77"/>
      <c r="AO1562" s="77"/>
      <c r="AP1562" s="77"/>
      <c r="AQ1562" s="77"/>
      <c r="AR1562" s="77"/>
      <c r="AS1562" s="77"/>
      <c r="AT1562" s="82"/>
    </row>
    <row r="1563" spans="1:46" ht="12.5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3"/>
      <c r="Q1563" s="1"/>
      <c r="R1563" s="1"/>
      <c r="S1563" s="1"/>
      <c r="T1563" s="1"/>
      <c r="U1563" s="1"/>
      <c r="V1563" s="76"/>
      <c r="W1563" s="76"/>
      <c r="X1563" s="77"/>
      <c r="Y1563" s="77"/>
      <c r="Z1563" s="76"/>
      <c r="AA1563" s="76"/>
      <c r="AB1563" s="77"/>
      <c r="AC1563" s="77"/>
      <c r="AD1563" s="76"/>
      <c r="AE1563" s="76"/>
      <c r="AF1563" s="77"/>
      <c r="AG1563" s="77"/>
      <c r="AH1563" s="76"/>
      <c r="AI1563" s="76"/>
      <c r="AJ1563" s="77"/>
      <c r="AK1563" s="77"/>
      <c r="AL1563" s="77"/>
      <c r="AM1563" s="77"/>
      <c r="AN1563" s="77"/>
      <c r="AO1563" s="77"/>
      <c r="AP1563" s="77"/>
      <c r="AQ1563" s="77"/>
      <c r="AR1563" s="77"/>
      <c r="AS1563" s="77"/>
      <c r="AT1563" s="82"/>
    </row>
    <row r="1564" spans="1:46" ht="12.5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3"/>
      <c r="Q1564" s="1"/>
      <c r="R1564" s="1"/>
      <c r="S1564" s="1"/>
      <c r="T1564" s="1"/>
      <c r="U1564" s="1"/>
      <c r="V1564" s="76"/>
      <c r="W1564" s="76"/>
      <c r="X1564" s="77"/>
      <c r="Y1564" s="77"/>
      <c r="Z1564" s="76"/>
      <c r="AA1564" s="76"/>
      <c r="AB1564" s="77"/>
      <c r="AC1564" s="77"/>
      <c r="AD1564" s="76"/>
      <c r="AE1564" s="76"/>
      <c r="AF1564" s="77"/>
      <c r="AG1564" s="77"/>
      <c r="AH1564" s="76"/>
      <c r="AI1564" s="76"/>
      <c r="AJ1564" s="77"/>
      <c r="AK1564" s="77"/>
      <c r="AL1564" s="77"/>
      <c r="AM1564" s="77"/>
      <c r="AN1564" s="77"/>
      <c r="AO1564" s="77"/>
      <c r="AP1564" s="77"/>
      <c r="AQ1564" s="77"/>
      <c r="AR1564" s="77"/>
      <c r="AS1564" s="77"/>
      <c r="AT1564" s="82"/>
    </row>
    <row r="1565" spans="1:46" ht="12.5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3"/>
      <c r="Q1565" s="1"/>
      <c r="R1565" s="1"/>
      <c r="S1565" s="1"/>
      <c r="T1565" s="1"/>
      <c r="U1565" s="1"/>
      <c r="V1565" s="76"/>
      <c r="W1565" s="76"/>
      <c r="X1565" s="77"/>
      <c r="Y1565" s="77"/>
      <c r="Z1565" s="76"/>
      <c r="AA1565" s="76"/>
      <c r="AB1565" s="77"/>
      <c r="AC1565" s="77"/>
      <c r="AD1565" s="76"/>
      <c r="AE1565" s="76"/>
      <c r="AF1565" s="77"/>
      <c r="AG1565" s="77"/>
      <c r="AH1565" s="76"/>
      <c r="AI1565" s="76"/>
      <c r="AJ1565" s="77"/>
      <c r="AK1565" s="77"/>
      <c r="AL1565" s="77"/>
      <c r="AM1565" s="77"/>
      <c r="AN1565" s="77"/>
      <c r="AO1565" s="77"/>
      <c r="AP1565" s="77"/>
      <c r="AQ1565" s="77"/>
      <c r="AR1565" s="77"/>
      <c r="AS1565" s="77"/>
      <c r="AT1565" s="82"/>
    </row>
    <row r="1566" spans="1:46" ht="12.5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3"/>
      <c r="Q1566" s="1"/>
      <c r="R1566" s="1"/>
      <c r="S1566" s="1"/>
      <c r="T1566" s="1"/>
      <c r="U1566" s="1"/>
      <c r="V1566" s="76"/>
      <c r="W1566" s="76"/>
      <c r="X1566" s="77"/>
      <c r="Y1566" s="77"/>
      <c r="Z1566" s="76"/>
      <c r="AA1566" s="76"/>
      <c r="AB1566" s="77"/>
      <c r="AC1566" s="77"/>
      <c r="AD1566" s="76"/>
      <c r="AE1566" s="76"/>
      <c r="AF1566" s="77"/>
      <c r="AG1566" s="77"/>
      <c r="AH1566" s="76"/>
      <c r="AI1566" s="76"/>
      <c r="AJ1566" s="77"/>
      <c r="AK1566" s="77"/>
      <c r="AL1566" s="77"/>
      <c r="AM1566" s="77"/>
      <c r="AN1566" s="77"/>
      <c r="AO1566" s="77"/>
      <c r="AP1566" s="77"/>
      <c r="AQ1566" s="77"/>
      <c r="AR1566" s="77"/>
      <c r="AS1566" s="77"/>
      <c r="AT1566" s="82"/>
    </row>
    <row r="1567" spans="1:46" ht="12.5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3"/>
      <c r="Q1567" s="1"/>
      <c r="R1567" s="1"/>
      <c r="S1567" s="1"/>
      <c r="T1567" s="1"/>
      <c r="U1567" s="1"/>
      <c r="V1567" s="76"/>
      <c r="W1567" s="76"/>
      <c r="X1567" s="77"/>
      <c r="Y1567" s="77"/>
      <c r="Z1567" s="76"/>
      <c r="AA1567" s="76"/>
      <c r="AB1567" s="77"/>
      <c r="AC1567" s="77"/>
      <c r="AD1567" s="76"/>
      <c r="AE1567" s="76"/>
      <c r="AF1567" s="77"/>
      <c r="AG1567" s="77"/>
      <c r="AH1567" s="76"/>
      <c r="AI1567" s="76"/>
      <c r="AJ1567" s="77"/>
      <c r="AK1567" s="77"/>
      <c r="AL1567" s="77"/>
      <c r="AM1567" s="77"/>
      <c r="AN1567" s="77"/>
      <c r="AO1567" s="77"/>
      <c r="AP1567" s="77"/>
      <c r="AQ1567" s="77"/>
      <c r="AR1567" s="77"/>
      <c r="AS1567" s="77"/>
      <c r="AT1567" s="82"/>
    </row>
    <row r="1568" spans="1:46" ht="12.5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3"/>
      <c r="Q1568" s="1"/>
      <c r="R1568" s="1"/>
      <c r="S1568" s="1"/>
      <c r="T1568" s="1"/>
      <c r="U1568" s="1"/>
      <c r="V1568" s="76"/>
      <c r="W1568" s="76"/>
      <c r="X1568" s="77"/>
      <c r="Y1568" s="77"/>
      <c r="Z1568" s="76"/>
      <c r="AA1568" s="76"/>
      <c r="AB1568" s="77"/>
      <c r="AC1568" s="77"/>
      <c r="AD1568" s="76"/>
      <c r="AE1568" s="76"/>
      <c r="AF1568" s="77"/>
      <c r="AG1568" s="77"/>
      <c r="AH1568" s="76"/>
      <c r="AI1568" s="76"/>
      <c r="AJ1568" s="77"/>
      <c r="AK1568" s="77"/>
      <c r="AL1568" s="77"/>
      <c r="AM1568" s="77"/>
      <c r="AN1568" s="77"/>
      <c r="AO1568" s="77"/>
      <c r="AP1568" s="77"/>
      <c r="AQ1568" s="77"/>
      <c r="AR1568" s="77"/>
      <c r="AS1568" s="77"/>
      <c r="AT1568" s="82"/>
    </row>
    <row r="1569" spans="1:46" ht="12.5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3"/>
      <c r="Q1569" s="1"/>
      <c r="R1569" s="1"/>
      <c r="S1569" s="1"/>
      <c r="T1569" s="1"/>
      <c r="U1569" s="1"/>
      <c r="V1569" s="76"/>
      <c r="W1569" s="76"/>
      <c r="X1569" s="77"/>
      <c r="Y1569" s="77"/>
      <c r="Z1569" s="76"/>
      <c r="AA1569" s="76"/>
      <c r="AB1569" s="77"/>
      <c r="AC1569" s="77"/>
      <c r="AD1569" s="76"/>
      <c r="AE1569" s="76"/>
      <c r="AF1569" s="77"/>
      <c r="AG1569" s="77"/>
      <c r="AH1569" s="76"/>
      <c r="AI1569" s="76"/>
      <c r="AJ1569" s="77"/>
      <c r="AK1569" s="77"/>
      <c r="AL1569" s="77"/>
      <c r="AM1569" s="77"/>
      <c r="AN1569" s="77"/>
      <c r="AO1569" s="77"/>
      <c r="AP1569" s="77"/>
      <c r="AQ1569" s="77"/>
      <c r="AR1569" s="77"/>
      <c r="AS1569" s="77"/>
      <c r="AT1569" s="82"/>
    </row>
    <row r="1570" spans="1:46" ht="12.5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3"/>
      <c r="Q1570" s="1"/>
      <c r="R1570" s="1"/>
      <c r="S1570" s="1"/>
      <c r="T1570" s="1"/>
      <c r="U1570" s="1"/>
      <c r="V1570" s="76"/>
      <c r="W1570" s="76"/>
      <c r="X1570" s="77"/>
      <c r="Y1570" s="77"/>
      <c r="Z1570" s="76"/>
      <c r="AA1570" s="76"/>
      <c r="AB1570" s="77"/>
      <c r="AC1570" s="77"/>
      <c r="AD1570" s="76"/>
      <c r="AE1570" s="76"/>
      <c r="AF1570" s="77"/>
      <c r="AG1570" s="77"/>
      <c r="AH1570" s="76"/>
      <c r="AI1570" s="76"/>
      <c r="AJ1570" s="77"/>
      <c r="AK1570" s="77"/>
      <c r="AL1570" s="77"/>
      <c r="AM1570" s="77"/>
      <c r="AN1570" s="77"/>
      <c r="AO1570" s="77"/>
      <c r="AP1570" s="77"/>
      <c r="AQ1570" s="77"/>
      <c r="AR1570" s="77"/>
      <c r="AS1570" s="77"/>
      <c r="AT1570" s="82"/>
    </row>
    <row r="1571" spans="1:46" ht="12.5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3"/>
      <c r="Q1571" s="1"/>
      <c r="R1571" s="1"/>
      <c r="S1571" s="1"/>
      <c r="T1571" s="1"/>
      <c r="U1571" s="1"/>
      <c r="V1571" s="76"/>
      <c r="W1571" s="76"/>
      <c r="X1571" s="77"/>
      <c r="Y1571" s="77"/>
      <c r="Z1571" s="76"/>
      <c r="AA1571" s="76"/>
      <c r="AB1571" s="77"/>
      <c r="AC1571" s="77"/>
      <c r="AD1571" s="76"/>
      <c r="AE1571" s="76"/>
      <c r="AF1571" s="77"/>
      <c r="AG1571" s="77"/>
      <c r="AH1571" s="76"/>
      <c r="AI1571" s="76"/>
      <c r="AJ1571" s="77"/>
      <c r="AK1571" s="77"/>
      <c r="AL1571" s="77"/>
      <c r="AM1571" s="77"/>
      <c r="AN1571" s="77"/>
      <c r="AO1571" s="77"/>
      <c r="AP1571" s="77"/>
      <c r="AQ1571" s="77"/>
      <c r="AR1571" s="77"/>
      <c r="AS1571" s="77"/>
      <c r="AT1571" s="82"/>
    </row>
    <row r="1572" spans="1:46" ht="12.5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3"/>
      <c r="Q1572" s="1"/>
      <c r="R1572" s="1"/>
      <c r="S1572" s="1"/>
      <c r="T1572" s="1"/>
      <c r="U1572" s="1"/>
      <c r="V1572" s="76"/>
      <c r="W1572" s="76"/>
      <c r="X1572" s="77"/>
      <c r="Y1572" s="77"/>
      <c r="Z1572" s="76"/>
      <c r="AA1572" s="76"/>
      <c r="AB1572" s="77"/>
      <c r="AC1572" s="77"/>
      <c r="AD1572" s="76"/>
      <c r="AE1572" s="76"/>
      <c r="AF1572" s="77"/>
      <c r="AG1572" s="77"/>
      <c r="AH1572" s="76"/>
      <c r="AI1572" s="76"/>
      <c r="AJ1572" s="77"/>
      <c r="AK1572" s="77"/>
      <c r="AL1572" s="77"/>
      <c r="AM1572" s="77"/>
      <c r="AN1572" s="77"/>
      <c r="AO1572" s="77"/>
      <c r="AP1572" s="77"/>
      <c r="AQ1572" s="77"/>
      <c r="AR1572" s="77"/>
      <c r="AS1572" s="77"/>
      <c r="AT1572" s="82"/>
    </row>
    <row r="1573" spans="1:46" ht="12.5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3"/>
      <c r="Q1573" s="1"/>
      <c r="R1573" s="1"/>
      <c r="S1573" s="1"/>
      <c r="T1573" s="1"/>
      <c r="U1573" s="1"/>
      <c r="V1573" s="76"/>
      <c r="W1573" s="76"/>
      <c r="X1573" s="77"/>
      <c r="Y1573" s="77"/>
      <c r="Z1573" s="76"/>
      <c r="AA1573" s="76"/>
      <c r="AB1573" s="77"/>
      <c r="AC1573" s="77"/>
      <c r="AD1573" s="76"/>
      <c r="AE1573" s="76"/>
      <c r="AF1573" s="77"/>
      <c r="AG1573" s="77"/>
      <c r="AH1573" s="76"/>
      <c r="AI1573" s="76"/>
      <c r="AJ1573" s="77"/>
      <c r="AK1573" s="77"/>
      <c r="AL1573" s="77"/>
      <c r="AM1573" s="77"/>
      <c r="AN1573" s="77"/>
      <c r="AO1573" s="77"/>
      <c r="AP1573" s="77"/>
      <c r="AQ1573" s="77"/>
      <c r="AR1573" s="77"/>
      <c r="AS1573" s="77"/>
      <c r="AT1573" s="82"/>
    </row>
    <row r="1574" spans="1:46" ht="12.5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3"/>
      <c r="Q1574" s="1"/>
      <c r="R1574" s="1"/>
      <c r="S1574" s="1"/>
      <c r="T1574" s="1"/>
      <c r="U1574" s="1"/>
      <c r="V1574" s="76"/>
      <c r="W1574" s="76"/>
      <c r="X1574" s="77"/>
      <c r="Y1574" s="77"/>
      <c r="Z1574" s="76"/>
      <c r="AA1574" s="76"/>
      <c r="AB1574" s="77"/>
      <c r="AC1574" s="77"/>
      <c r="AD1574" s="76"/>
      <c r="AE1574" s="76"/>
      <c r="AF1574" s="77"/>
      <c r="AG1574" s="77"/>
      <c r="AH1574" s="76"/>
      <c r="AI1574" s="76"/>
      <c r="AJ1574" s="77"/>
      <c r="AK1574" s="77"/>
      <c r="AL1574" s="77"/>
      <c r="AM1574" s="77"/>
      <c r="AN1574" s="77"/>
      <c r="AO1574" s="77"/>
      <c r="AP1574" s="77"/>
      <c r="AQ1574" s="77"/>
      <c r="AR1574" s="77"/>
      <c r="AS1574" s="77"/>
      <c r="AT1574" s="82"/>
    </row>
    <row r="1575" spans="1:46" ht="12.5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3"/>
      <c r="Q1575" s="1"/>
      <c r="R1575" s="1"/>
      <c r="S1575" s="1"/>
      <c r="T1575" s="1"/>
      <c r="U1575" s="1"/>
      <c r="V1575" s="76"/>
      <c r="W1575" s="76"/>
      <c r="X1575" s="77"/>
      <c r="Y1575" s="77"/>
      <c r="Z1575" s="76"/>
      <c r="AA1575" s="76"/>
      <c r="AB1575" s="77"/>
      <c r="AC1575" s="77"/>
      <c r="AD1575" s="76"/>
      <c r="AE1575" s="76"/>
      <c r="AF1575" s="77"/>
      <c r="AG1575" s="77"/>
      <c r="AH1575" s="76"/>
      <c r="AI1575" s="76"/>
      <c r="AJ1575" s="77"/>
      <c r="AK1575" s="77"/>
      <c r="AL1575" s="77"/>
      <c r="AM1575" s="77"/>
      <c r="AN1575" s="77"/>
      <c r="AO1575" s="77"/>
      <c r="AP1575" s="77"/>
      <c r="AQ1575" s="77"/>
      <c r="AR1575" s="77"/>
      <c r="AS1575" s="77"/>
      <c r="AT1575" s="82"/>
    </row>
    <row r="1576" spans="1:46" ht="12.5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3"/>
      <c r="Q1576" s="1"/>
      <c r="R1576" s="1"/>
      <c r="S1576" s="1"/>
      <c r="T1576" s="1"/>
      <c r="U1576" s="1"/>
      <c r="V1576" s="76"/>
      <c r="W1576" s="76"/>
      <c r="X1576" s="77"/>
      <c r="Y1576" s="77"/>
      <c r="Z1576" s="76"/>
      <c r="AA1576" s="76"/>
      <c r="AB1576" s="77"/>
      <c r="AC1576" s="77"/>
      <c r="AD1576" s="76"/>
      <c r="AE1576" s="76"/>
      <c r="AF1576" s="77"/>
      <c r="AG1576" s="77"/>
      <c r="AH1576" s="76"/>
      <c r="AI1576" s="76"/>
      <c r="AJ1576" s="77"/>
      <c r="AK1576" s="77"/>
      <c r="AL1576" s="77"/>
      <c r="AM1576" s="77"/>
      <c r="AN1576" s="77"/>
      <c r="AO1576" s="77"/>
      <c r="AP1576" s="77"/>
      <c r="AQ1576" s="77"/>
      <c r="AR1576" s="77"/>
      <c r="AS1576" s="77"/>
      <c r="AT1576" s="82"/>
    </row>
    <row r="1577" spans="1:46" ht="12.5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3"/>
      <c r="Q1577" s="1"/>
      <c r="R1577" s="1"/>
      <c r="S1577" s="1"/>
      <c r="T1577" s="1"/>
      <c r="U1577" s="1"/>
      <c r="V1577" s="76"/>
      <c r="W1577" s="76"/>
      <c r="X1577" s="77"/>
      <c r="Y1577" s="77"/>
      <c r="Z1577" s="76"/>
      <c r="AA1577" s="76"/>
      <c r="AB1577" s="77"/>
      <c r="AC1577" s="77"/>
      <c r="AD1577" s="76"/>
      <c r="AE1577" s="76"/>
      <c r="AF1577" s="77"/>
      <c r="AG1577" s="77"/>
      <c r="AH1577" s="76"/>
      <c r="AI1577" s="76"/>
      <c r="AJ1577" s="77"/>
      <c r="AK1577" s="77"/>
      <c r="AL1577" s="77"/>
      <c r="AM1577" s="77"/>
      <c r="AN1577" s="77"/>
      <c r="AO1577" s="77"/>
      <c r="AP1577" s="77"/>
      <c r="AQ1577" s="77"/>
      <c r="AR1577" s="77"/>
      <c r="AS1577" s="77"/>
      <c r="AT1577" s="82"/>
    </row>
    <row r="1578" spans="1:46" ht="12.5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3"/>
      <c r="Q1578" s="1"/>
      <c r="R1578" s="1"/>
      <c r="S1578" s="1"/>
      <c r="T1578" s="1"/>
      <c r="U1578" s="1"/>
      <c r="V1578" s="76"/>
      <c r="W1578" s="76"/>
      <c r="X1578" s="77"/>
      <c r="Y1578" s="77"/>
      <c r="Z1578" s="76"/>
      <c r="AA1578" s="76"/>
      <c r="AB1578" s="77"/>
      <c r="AC1578" s="77"/>
      <c r="AD1578" s="76"/>
      <c r="AE1578" s="76"/>
      <c r="AF1578" s="77"/>
      <c r="AG1578" s="77"/>
      <c r="AH1578" s="76"/>
      <c r="AI1578" s="76"/>
      <c r="AJ1578" s="77"/>
      <c r="AK1578" s="77"/>
      <c r="AL1578" s="77"/>
      <c r="AM1578" s="77"/>
      <c r="AN1578" s="77"/>
      <c r="AO1578" s="77"/>
      <c r="AP1578" s="77"/>
      <c r="AQ1578" s="77"/>
      <c r="AR1578" s="77"/>
      <c r="AS1578" s="77"/>
      <c r="AT1578" s="82"/>
    </row>
    <row r="1579" spans="1:46" ht="12.5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3"/>
      <c r="Q1579" s="1"/>
      <c r="R1579" s="1"/>
      <c r="S1579" s="1"/>
      <c r="T1579" s="1"/>
      <c r="U1579" s="1"/>
      <c r="V1579" s="76"/>
      <c r="W1579" s="76"/>
      <c r="X1579" s="77"/>
      <c r="Y1579" s="77"/>
      <c r="Z1579" s="76"/>
      <c r="AA1579" s="76"/>
      <c r="AB1579" s="77"/>
      <c r="AC1579" s="77"/>
      <c r="AD1579" s="76"/>
      <c r="AE1579" s="76"/>
      <c r="AF1579" s="77"/>
      <c r="AG1579" s="77"/>
      <c r="AH1579" s="76"/>
      <c r="AI1579" s="76"/>
      <c r="AJ1579" s="77"/>
      <c r="AK1579" s="77"/>
      <c r="AL1579" s="77"/>
      <c r="AM1579" s="77"/>
      <c r="AN1579" s="77"/>
      <c r="AO1579" s="77"/>
      <c r="AP1579" s="77"/>
      <c r="AQ1579" s="77"/>
      <c r="AR1579" s="77"/>
      <c r="AS1579" s="77"/>
      <c r="AT1579" s="82"/>
    </row>
    <row r="1580" spans="1:46" ht="12.5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3"/>
      <c r="Q1580" s="1"/>
      <c r="R1580" s="1"/>
      <c r="S1580" s="1"/>
      <c r="T1580" s="1"/>
      <c r="U1580" s="1"/>
      <c r="V1580" s="76"/>
      <c r="W1580" s="76"/>
      <c r="X1580" s="77"/>
      <c r="Y1580" s="77"/>
      <c r="Z1580" s="76"/>
      <c r="AA1580" s="76"/>
      <c r="AB1580" s="77"/>
      <c r="AC1580" s="77"/>
      <c r="AD1580" s="76"/>
      <c r="AE1580" s="76"/>
      <c r="AF1580" s="77"/>
      <c r="AG1580" s="77"/>
      <c r="AH1580" s="76"/>
      <c r="AI1580" s="76"/>
      <c r="AJ1580" s="77"/>
      <c r="AK1580" s="77"/>
      <c r="AL1580" s="77"/>
      <c r="AM1580" s="77"/>
      <c r="AN1580" s="77"/>
      <c r="AO1580" s="77"/>
      <c r="AP1580" s="77"/>
      <c r="AQ1580" s="77"/>
      <c r="AR1580" s="77"/>
      <c r="AS1580" s="77"/>
      <c r="AT1580" s="82"/>
    </row>
    <row r="1581" spans="1:46" ht="12.5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3"/>
      <c r="Q1581" s="1"/>
      <c r="R1581" s="1"/>
      <c r="S1581" s="1"/>
      <c r="T1581" s="1"/>
      <c r="U1581" s="1"/>
      <c r="V1581" s="76"/>
      <c r="W1581" s="76"/>
      <c r="X1581" s="77"/>
      <c r="Y1581" s="77"/>
      <c r="Z1581" s="76"/>
      <c r="AA1581" s="76"/>
      <c r="AB1581" s="77"/>
      <c r="AC1581" s="77"/>
      <c r="AD1581" s="76"/>
      <c r="AE1581" s="76"/>
      <c r="AF1581" s="77"/>
      <c r="AG1581" s="77"/>
      <c r="AH1581" s="76"/>
      <c r="AI1581" s="76"/>
      <c r="AJ1581" s="77"/>
      <c r="AK1581" s="77"/>
      <c r="AL1581" s="77"/>
      <c r="AM1581" s="77"/>
      <c r="AN1581" s="77"/>
      <c r="AO1581" s="77"/>
      <c r="AP1581" s="77"/>
      <c r="AQ1581" s="77"/>
      <c r="AR1581" s="77"/>
      <c r="AS1581" s="77"/>
      <c r="AT1581" s="82"/>
    </row>
    <row r="1582" spans="1:46" ht="12.5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3"/>
      <c r="Q1582" s="1"/>
      <c r="R1582" s="1"/>
      <c r="S1582" s="1"/>
      <c r="T1582" s="1"/>
      <c r="U1582" s="1"/>
      <c r="V1582" s="76"/>
      <c r="W1582" s="76"/>
      <c r="X1582" s="77"/>
      <c r="Y1582" s="77"/>
      <c r="Z1582" s="76"/>
      <c r="AA1582" s="76"/>
      <c r="AB1582" s="77"/>
      <c r="AC1582" s="77"/>
      <c r="AD1582" s="76"/>
      <c r="AE1582" s="76"/>
      <c r="AF1582" s="77"/>
      <c r="AG1582" s="77"/>
      <c r="AH1582" s="76"/>
      <c r="AI1582" s="76"/>
      <c r="AJ1582" s="77"/>
      <c r="AK1582" s="77"/>
      <c r="AL1582" s="77"/>
      <c r="AM1582" s="77"/>
      <c r="AN1582" s="77"/>
      <c r="AO1582" s="77"/>
      <c r="AP1582" s="77"/>
      <c r="AQ1582" s="77"/>
      <c r="AR1582" s="77"/>
      <c r="AS1582" s="77"/>
      <c r="AT1582" s="82"/>
    </row>
    <row r="1583" spans="1:46" ht="12.5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3"/>
      <c r="Q1583" s="1"/>
      <c r="R1583" s="1"/>
      <c r="S1583" s="1"/>
      <c r="T1583" s="1"/>
      <c r="U1583" s="1"/>
      <c r="V1583" s="76"/>
      <c r="W1583" s="76"/>
      <c r="X1583" s="77"/>
      <c r="Y1583" s="77"/>
      <c r="Z1583" s="76"/>
      <c r="AA1583" s="76"/>
      <c r="AB1583" s="77"/>
      <c r="AC1583" s="77"/>
      <c r="AD1583" s="76"/>
      <c r="AE1583" s="76"/>
      <c r="AF1583" s="77"/>
      <c r="AG1583" s="77"/>
      <c r="AH1583" s="76"/>
      <c r="AI1583" s="76"/>
      <c r="AJ1583" s="77"/>
      <c r="AK1583" s="77"/>
      <c r="AL1583" s="77"/>
      <c r="AM1583" s="77"/>
      <c r="AN1583" s="77"/>
      <c r="AO1583" s="77"/>
      <c r="AP1583" s="77"/>
      <c r="AQ1583" s="77"/>
      <c r="AR1583" s="77"/>
      <c r="AS1583" s="77"/>
      <c r="AT1583" s="82"/>
    </row>
    <row r="1584" spans="1:46" ht="12.5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3"/>
      <c r="Q1584" s="1"/>
      <c r="R1584" s="1"/>
      <c r="S1584" s="1"/>
      <c r="T1584" s="1"/>
      <c r="U1584" s="1"/>
      <c r="V1584" s="76"/>
      <c r="W1584" s="76"/>
      <c r="X1584" s="77"/>
      <c r="Y1584" s="77"/>
      <c r="Z1584" s="76"/>
      <c r="AA1584" s="76"/>
      <c r="AB1584" s="77"/>
      <c r="AC1584" s="77"/>
      <c r="AD1584" s="76"/>
      <c r="AE1584" s="76"/>
      <c r="AF1584" s="77"/>
      <c r="AG1584" s="77"/>
      <c r="AH1584" s="76"/>
      <c r="AI1584" s="76"/>
      <c r="AJ1584" s="77"/>
      <c r="AK1584" s="77"/>
      <c r="AL1584" s="77"/>
      <c r="AM1584" s="77"/>
      <c r="AN1584" s="77"/>
      <c r="AO1584" s="77"/>
      <c r="AP1584" s="77"/>
      <c r="AQ1584" s="77"/>
      <c r="AR1584" s="77"/>
      <c r="AS1584" s="77"/>
      <c r="AT1584" s="82"/>
    </row>
    <row r="1585" spans="1:46" ht="12.5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3"/>
      <c r="Q1585" s="1"/>
      <c r="R1585" s="1"/>
      <c r="S1585" s="1"/>
      <c r="T1585" s="1"/>
      <c r="U1585" s="1"/>
      <c r="V1585" s="76"/>
      <c r="W1585" s="76"/>
      <c r="X1585" s="77"/>
      <c r="Y1585" s="77"/>
      <c r="Z1585" s="76"/>
      <c r="AA1585" s="76"/>
      <c r="AB1585" s="77"/>
      <c r="AC1585" s="77"/>
      <c r="AD1585" s="76"/>
      <c r="AE1585" s="76"/>
      <c r="AF1585" s="77"/>
      <c r="AG1585" s="77"/>
      <c r="AH1585" s="76"/>
      <c r="AI1585" s="76"/>
      <c r="AJ1585" s="77"/>
      <c r="AK1585" s="77"/>
      <c r="AL1585" s="77"/>
      <c r="AM1585" s="77"/>
      <c r="AN1585" s="77"/>
      <c r="AO1585" s="77"/>
      <c r="AP1585" s="77"/>
      <c r="AQ1585" s="77"/>
      <c r="AR1585" s="77"/>
      <c r="AS1585" s="77"/>
      <c r="AT1585" s="82"/>
    </row>
    <row r="1586" spans="1:46" ht="12.5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3"/>
      <c r="Q1586" s="1"/>
      <c r="R1586" s="1"/>
      <c r="S1586" s="1"/>
      <c r="T1586" s="1"/>
      <c r="U1586" s="1"/>
      <c r="V1586" s="76"/>
      <c r="W1586" s="76"/>
      <c r="X1586" s="77"/>
      <c r="Y1586" s="77"/>
      <c r="Z1586" s="76"/>
      <c r="AA1586" s="76"/>
      <c r="AB1586" s="77"/>
      <c r="AC1586" s="77"/>
      <c r="AD1586" s="76"/>
      <c r="AE1586" s="76"/>
      <c r="AF1586" s="77"/>
      <c r="AG1586" s="77"/>
      <c r="AH1586" s="76"/>
      <c r="AI1586" s="76"/>
      <c r="AJ1586" s="77"/>
      <c r="AK1586" s="77"/>
      <c r="AL1586" s="77"/>
      <c r="AM1586" s="77"/>
      <c r="AN1586" s="77"/>
      <c r="AO1586" s="77"/>
      <c r="AP1586" s="77"/>
      <c r="AQ1586" s="77"/>
      <c r="AR1586" s="77"/>
      <c r="AS1586" s="77"/>
      <c r="AT1586" s="82"/>
    </row>
    <row r="1587" spans="1:46" ht="12.5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3"/>
      <c r="Q1587" s="1"/>
      <c r="R1587" s="1"/>
      <c r="S1587" s="1"/>
      <c r="T1587" s="1"/>
      <c r="U1587" s="1"/>
      <c r="V1587" s="76"/>
      <c r="W1587" s="76"/>
      <c r="X1587" s="77"/>
      <c r="Y1587" s="77"/>
      <c r="Z1587" s="76"/>
      <c r="AA1587" s="76"/>
      <c r="AB1587" s="77"/>
      <c r="AC1587" s="77"/>
      <c r="AD1587" s="76"/>
      <c r="AE1587" s="76"/>
      <c r="AF1587" s="77"/>
      <c r="AG1587" s="77"/>
      <c r="AH1587" s="76"/>
      <c r="AI1587" s="76"/>
      <c r="AJ1587" s="77"/>
      <c r="AK1587" s="77"/>
      <c r="AL1587" s="77"/>
      <c r="AM1587" s="77"/>
      <c r="AN1587" s="77"/>
      <c r="AO1587" s="77"/>
      <c r="AP1587" s="77"/>
      <c r="AQ1587" s="77"/>
      <c r="AR1587" s="77"/>
      <c r="AS1587" s="77"/>
      <c r="AT1587" s="82"/>
    </row>
    <row r="1588" spans="1:46" ht="12.5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3"/>
      <c r="Q1588" s="1"/>
      <c r="R1588" s="1"/>
      <c r="S1588" s="1"/>
      <c r="T1588" s="1"/>
      <c r="U1588" s="1"/>
      <c r="V1588" s="76"/>
      <c r="W1588" s="76"/>
      <c r="X1588" s="77"/>
      <c r="Y1588" s="77"/>
      <c r="Z1588" s="76"/>
      <c r="AA1588" s="76"/>
      <c r="AB1588" s="77"/>
      <c r="AC1588" s="77"/>
      <c r="AD1588" s="76"/>
      <c r="AE1588" s="76"/>
      <c r="AF1588" s="77"/>
      <c r="AG1588" s="77"/>
      <c r="AH1588" s="76"/>
      <c r="AI1588" s="76"/>
      <c r="AJ1588" s="77"/>
      <c r="AK1588" s="77"/>
      <c r="AL1588" s="77"/>
      <c r="AM1588" s="77"/>
      <c r="AN1588" s="77"/>
      <c r="AO1588" s="77"/>
      <c r="AP1588" s="77"/>
      <c r="AQ1588" s="77"/>
      <c r="AR1588" s="77"/>
      <c r="AS1588" s="77"/>
      <c r="AT1588" s="82"/>
    </row>
    <row r="1589" spans="1:46" ht="12.5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3"/>
      <c r="Q1589" s="1"/>
      <c r="R1589" s="1"/>
      <c r="S1589" s="1"/>
      <c r="T1589" s="1"/>
      <c r="U1589" s="1"/>
      <c r="V1589" s="76"/>
      <c r="W1589" s="76"/>
      <c r="X1589" s="77"/>
      <c r="Y1589" s="77"/>
      <c r="Z1589" s="76"/>
      <c r="AA1589" s="76"/>
      <c r="AB1589" s="77"/>
      <c r="AC1589" s="77"/>
      <c r="AD1589" s="76"/>
      <c r="AE1589" s="76"/>
      <c r="AF1589" s="77"/>
      <c r="AG1589" s="77"/>
      <c r="AH1589" s="76"/>
      <c r="AI1589" s="76"/>
      <c r="AJ1589" s="77"/>
      <c r="AK1589" s="77"/>
      <c r="AL1589" s="77"/>
      <c r="AM1589" s="77"/>
      <c r="AN1589" s="77"/>
      <c r="AO1589" s="77"/>
      <c r="AP1589" s="77"/>
      <c r="AQ1589" s="77"/>
      <c r="AR1589" s="77"/>
      <c r="AS1589" s="77"/>
      <c r="AT1589" s="82"/>
    </row>
    <row r="1590" spans="1:46" ht="12.5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3"/>
      <c r="Q1590" s="1"/>
      <c r="R1590" s="1"/>
      <c r="S1590" s="1"/>
      <c r="T1590" s="1"/>
      <c r="U1590" s="1"/>
      <c r="V1590" s="76"/>
      <c r="W1590" s="76"/>
      <c r="X1590" s="77"/>
      <c r="Y1590" s="77"/>
      <c r="Z1590" s="76"/>
      <c r="AA1590" s="76"/>
      <c r="AB1590" s="77"/>
      <c r="AC1590" s="77"/>
      <c r="AD1590" s="76"/>
      <c r="AE1590" s="76"/>
      <c r="AF1590" s="77"/>
      <c r="AG1590" s="77"/>
      <c r="AH1590" s="76"/>
      <c r="AI1590" s="76"/>
      <c r="AJ1590" s="77"/>
      <c r="AK1590" s="77"/>
      <c r="AL1590" s="77"/>
      <c r="AM1590" s="77"/>
      <c r="AN1590" s="77"/>
      <c r="AO1590" s="77"/>
      <c r="AP1590" s="77"/>
      <c r="AQ1590" s="77"/>
      <c r="AR1590" s="77"/>
      <c r="AS1590" s="77"/>
      <c r="AT1590" s="82"/>
    </row>
    <row r="1591" spans="1:46" ht="12.5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3"/>
      <c r="Q1591" s="1"/>
      <c r="R1591" s="1"/>
      <c r="S1591" s="1"/>
      <c r="T1591" s="1"/>
      <c r="U1591" s="1"/>
      <c r="V1591" s="76"/>
      <c r="W1591" s="76"/>
      <c r="X1591" s="77"/>
      <c r="Y1591" s="77"/>
      <c r="Z1591" s="76"/>
      <c r="AA1591" s="76"/>
      <c r="AB1591" s="77"/>
      <c r="AC1591" s="77"/>
      <c r="AD1591" s="76"/>
      <c r="AE1591" s="76"/>
      <c r="AF1591" s="77"/>
      <c r="AG1591" s="77"/>
      <c r="AH1591" s="76"/>
      <c r="AI1591" s="76"/>
      <c r="AJ1591" s="77"/>
      <c r="AK1591" s="77"/>
      <c r="AL1591" s="77"/>
      <c r="AM1591" s="77"/>
      <c r="AN1591" s="77"/>
      <c r="AO1591" s="77"/>
      <c r="AP1591" s="77"/>
      <c r="AQ1591" s="77"/>
      <c r="AR1591" s="77"/>
      <c r="AS1591" s="77"/>
      <c r="AT1591" s="82"/>
    </row>
    <row r="1592" spans="1:46" ht="12.5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3"/>
      <c r="Q1592" s="1"/>
      <c r="R1592" s="1"/>
      <c r="S1592" s="1"/>
      <c r="T1592" s="1"/>
      <c r="U1592" s="1"/>
      <c r="V1592" s="76"/>
      <c r="W1592" s="76"/>
      <c r="X1592" s="77"/>
      <c r="Y1592" s="77"/>
      <c r="Z1592" s="76"/>
      <c r="AA1592" s="76"/>
      <c r="AB1592" s="77"/>
      <c r="AC1592" s="77"/>
      <c r="AD1592" s="76"/>
      <c r="AE1592" s="76"/>
      <c r="AF1592" s="77"/>
      <c r="AG1592" s="77"/>
      <c r="AH1592" s="76"/>
      <c r="AI1592" s="76"/>
      <c r="AJ1592" s="77"/>
      <c r="AK1592" s="77"/>
      <c r="AL1592" s="77"/>
      <c r="AM1592" s="77"/>
      <c r="AN1592" s="77"/>
      <c r="AO1592" s="77"/>
      <c r="AP1592" s="77"/>
      <c r="AQ1592" s="77"/>
      <c r="AR1592" s="77"/>
      <c r="AS1592" s="77"/>
      <c r="AT1592" s="82"/>
    </row>
    <row r="1593" spans="1:46" ht="12.5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3"/>
      <c r="Q1593" s="1"/>
      <c r="R1593" s="1"/>
      <c r="S1593" s="1"/>
      <c r="T1593" s="1"/>
      <c r="U1593" s="1"/>
      <c r="V1593" s="76"/>
      <c r="W1593" s="76"/>
      <c r="X1593" s="77"/>
      <c r="Y1593" s="77"/>
      <c r="Z1593" s="76"/>
      <c r="AA1593" s="76"/>
      <c r="AB1593" s="77"/>
      <c r="AC1593" s="77"/>
      <c r="AD1593" s="76"/>
      <c r="AE1593" s="76"/>
      <c r="AF1593" s="77"/>
      <c r="AG1593" s="77"/>
      <c r="AH1593" s="76"/>
      <c r="AI1593" s="76"/>
      <c r="AJ1593" s="77"/>
      <c r="AK1593" s="77"/>
      <c r="AL1593" s="77"/>
      <c r="AM1593" s="77"/>
      <c r="AN1593" s="77"/>
      <c r="AO1593" s="77"/>
      <c r="AP1593" s="77"/>
      <c r="AQ1593" s="77"/>
      <c r="AR1593" s="77"/>
      <c r="AS1593" s="77"/>
      <c r="AT1593" s="82"/>
    </row>
    <row r="1594" spans="1:46" ht="12.5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3"/>
      <c r="Q1594" s="1"/>
      <c r="R1594" s="1"/>
      <c r="S1594" s="1"/>
      <c r="T1594" s="1"/>
      <c r="U1594" s="1"/>
      <c r="V1594" s="76"/>
      <c r="W1594" s="76"/>
      <c r="X1594" s="77"/>
      <c r="Y1594" s="77"/>
      <c r="Z1594" s="76"/>
      <c r="AA1594" s="76"/>
      <c r="AB1594" s="77"/>
      <c r="AC1594" s="77"/>
      <c r="AD1594" s="76"/>
      <c r="AE1594" s="76"/>
      <c r="AF1594" s="77"/>
      <c r="AG1594" s="77"/>
      <c r="AH1594" s="76"/>
      <c r="AI1594" s="76"/>
      <c r="AJ1594" s="77"/>
      <c r="AK1594" s="77"/>
      <c r="AL1594" s="77"/>
      <c r="AM1594" s="77"/>
      <c r="AN1594" s="77"/>
      <c r="AO1594" s="77"/>
      <c r="AP1594" s="77"/>
      <c r="AQ1594" s="77"/>
      <c r="AR1594" s="77"/>
      <c r="AS1594" s="77"/>
      <c r="AT1594" s="82"/>
    </row>
    <row r="1595" spans="1:46" ht="12.5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3"/>
      <c r="Q1595" s="1"/>
      <c r="R1595" s="1"/>
      <c r="S1595" s="1"/>
      <c r="T1595" s="1"/>
      <c r="U1595" s="1"/>
      <c r="V1595" s="76"/>
      <c r="W1595" s="76"/>
      <c r="X1595" s="77"/>
      <c r="Y1595" s="77"/>
      <c r="Z1595" s="76"/>
      <c r="AA1595" s="76"/>
      <c r="AB1595" s="77"/>
      <c r="AC1595" s="77"/>
      <c r="AD1595" s="76"/>
      <c r="AE1595" s="76"/>
      <c r="AF1595" s="77"/>
      <c r="AG1595" s="77"/>
      <c r="AH1595" s="76"/>
      <c r="AI1595" s="76"/>
      <c r="AJ1595" s="77"/>
      <c r="AK1595" s="77"/>
      <c r="AL1595" s="77"/>
      <c r="AM1595" s="77"/>
      <c r="AN1595" s="77"/>
      <c r="AO1595" s="77"/>
      <c r="AP1595" s="77"/>
      <c r="AQ1595" s="77"/>
      <c r="AR1595" s="77"/>
      <c r="AS1595" s="77"/>
      <c r="AT1595" s="82"/>
    </row>
    <row r="1596" spans="1:46" ht="12.5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3"/>
      <c r="Q1596" s="1"/>
      <c r="R1596" s="1"/>
      <c r="S1596" s="1"/>
      <c r="T1596" s="1"/>
      <c r="U1596" s="1"/>
      <c r="V1596" s="76"/>
      <c r="W1596" s="76"/>
      <c r="X1596" s="77"/>
      <c r="Y1596" s="77"/>
      <c r="Z1596" s="76"/>
      <c r="AA1596" s="76"/>
      <c r="AB1596" s="77"/>
      <c r="AC1596" s="77"/>
      <c r="AD1596" s="76"/>
      <c r="AE1596" s="76"/>
      <c r="AF1596" s="77"/>
      <c r="AG1596" s="77"/>
      <c r="AH1596" s="76"/>
      <c r="AI1596" s="76"/>
      <c r="AJ1596" s="77"/>
      <c r="AK1596" s="77"/>
      <c r="AL1596" s="77"/>
      <c r="AM1596" s="77"/>
      <c r="AN1596" s="77"/>
      <c r="AO1596" s="77"/>
      <c r="AP1596" s="77"/>
      <c r="AQ1596" s="77"/>
      <c r="AR1596" s="77"/>
      <c r="AS1596" s="77"/>
      <c r="AT1596" s="82"/>
    </row>
    <row r="1597" spans="1:46" ht="12.5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3"/>
      <c r="Q1597" s="1"/>
      <c r="R1597" s="1"/>
      <c r="S1597" s="1"/>
      <c r="T1597" s="1"/>
      <c r="U1597" s="1"/>
      <c r="V1597" s="76"/>
      <c r="W1597" s="76"/>
      <c r="X1597" s="77"/>
      <c r="Y1597" s="77"/>
      <c r="Z1597" s="76"/>
      <c r="AA1597" s="76"/>
      <c r="AB1597" s="77"/>
      <c r="AC1597" s="77"/>
      <c r="AD1597" s="76"/>
      <c r="AE1597" s="76"/>
      <c r="AF1597" s="77"/>
      <c r="AG1597" s="77"/>
      <c r="AH1597" s="76"/>
      <c r="AI1597" s="76"/>
      <c r="AJ1597" s="77"/>
      <c r="AK1597" s="77"/>
      <c r="AL1597" s="77"/>
      <c r="AM1597" s="77"/>
      <c r="AN1597" s="77"/>
      <c r="AO1597" s="77"/>
      <c r="AP1597" s="77"/>
      <c r="AQ1597" s="77"/>
      <c r="AR1597" s="77"/>
      <c r="AS1597" s="77"/>
      <c r="AT1597" s="82"/>
    </row>
    <row r="1598" spans="1:46" ht="12.5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3"/>
      <c r="Q1598" s="1"/>
      <c r="R1598" s="1"/>
      <c r="S1598" s="1"/>
      <c r="T1598" s="1"/>
      <c r="U1598" s="1"/>
      <c r="V1598" s="76"/>
      <c r="W1598" s="76"/>
      <c r="X1598" s="77"/>
      <c r="Y1598" s="77"/>
      <c r="Z1598" s="76"/>
      <c r="AA1598" s="76"/>
      <c r="AB1598" s="77"/>
      <c r="AC1598" s="77"/>
      <c r="AD1598" s="76"/>
      <c r="AE1598" s="76"/>
      <c r="AF1598" s="77"/>
      <c r="AG1598" s="77"/>
      <c r="AH1598" s="76"/>
      <c r="AI1598" s="76"/>
      <c r="AJ1598" s="77"/>
      <c r="AK1598" s="77"/>
      <c r="AL1598" s="77"/>
      <c r="AM1598" s="77"/>
      <c r="AN1598" s="77"/>
      <c r="AO1598" s="77"/>
      <c r="AP1598" s="77"/>
      <c r="AQ1598" s="77"/>
      <c r="AR1598" s="77"/>
      <c r="AS1598" s="77"/>
      <c r="AT1598" s="82"/>
    </row>
    <row r="1599" spans="1:46" ht="12.5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3"/>
      <c r="Q1599" s="1"/>
      <c r="R1599" s="1"/>
      <c r="S1599" s="1"/>
      <c r="T1599" s="1"/>
      <c r="U1599" s="1"/>
      <c r="V1599" s="76"/>
      <c r="W1599" s="76"/>
      <c r="X1599" s="77"/>
      <c r="Y1599" s="77"/>
      <c r="Z1599" s="76"/>
      <c r="AA1599" s="76"/>
      <c r="AB1599" s="77"/>
      <c r="AC1599" s="77"/>
      <c r="AD1599" s="76"/>
      <c r="AE1599" s="76"/>
      <c r="AF1599" s="77"/>
      <c r="AG1599" s="77"/>
      <c r="AH1599" s="76"/>
      <c r="AI1599" s="76"/>
      <c r="AJ1599" s="77"/>
      <c r="AK1599" s="77"/>
      <c r="AL1599" s="77"/>
      <c r="AM1599" s="77"/>
      <c r="AN1599" s="77"/>
      <c r="AO1599" s="77"/>
      <c r="AP1599" s="77"/>
      <c r="AQ1599" s="77"/>
      <c r="AR1599" s="77"/>
      <c r="AS1599" s="77"/>
      <c r="AT1599" s="82"/>
    </row>
    <row r="1600" spans="1:46" ht="12.5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3"/>
      <c r="Q1600" s="1"/>
      <c r="R1600" s="1"/>
      <c r="S1600" s="1"/>
      <c r="T1600" s="1"/>
      <c r="U1600" s="1"/>
      <c r="V1600" s="76"/>
      <c r="W1600" s="76"/>
      <c r="X1600" s="77"/>
      <c r="Y1600" s="77"/>
      <c r="Z1600" s="76"/>
      <c r="AA1600" s="76"/>
      <c r="AB1600" s="77"/>
      <c r="AC1600" s="77"/>
      <c r="AD1600" s="76"/>
      <c r="AE1600" s="76"/>
      <c r="AF1600" s="77"/>
      <c r="AG1600" s="77"/>
      <c r="AH1600" s="76"/>
      <c r="AI1600" s="76"/>
      <c r="AJ1600" s="77"/>
      <c r="AK1600" s="77"/>
      <c r="AL1600" s="77"/>
      <c r="AM1600" s="77"/>
      <c r="AN1600" s="77"/>
      <c r="AO1600" s="77"/>
      <c r="AP1600" s="77"/>
      <c r="AQ1600" s="77"/>
      <c r="AR1600" s="77"/>
      <c r="AS1600" s="77"/>
      <c r="AT1600" s="82"/>
    </row>
    <row r="1601" spans="1:46" ht="12.5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3"/>
      <c r="Q1601" s="1"/>
      <c r="R1601" s="1"/>
      <c r="S1601" s="1"/>
      <c r="T1601" s="1"/>
      <c r="U1601" s="1"/>
      <c r="V1601" s="76"/>
      <c r="W1601" s="76"/>
      <c r="X1601" s="77"/>
      <c r="Y1601" s="77"/>
      <c r="Z1601" s="76"/>
      <c r="AA1601" s="76"/>
      <c r="AB1601" s="77"/>
      <c r="AC1601" s="77"/>
      <c r="AD1601" s="76"/>
      <c r="AE1601" s="76"/>
      <c r="AF1601" s="77"/>
      <c r="AG1601" s="77"/>
      <c r="AH1601" s="76"/>
      <c r="AI1601" s="76"/>
      <c r="AJ1601" s="77"/>
      <c r="AK1601" s="77"/>
      <c r="AL1601" s="77"/>
      <c r="AM1601" s="77"/>
      <c r="AN1601" s="77"/>
      <c r="AO1601" s="77"/>
      <c r="AP1601" s="77"/>
      <c r="AQ1601" s="77"/>
      <c r="AR1601" s="77"/>
      <c r="AS1601" s="77"/>
      <c r="AT1601" s="82"/>
    </row>
    <row r="1602" spans="1:46" ht="12.5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3"/>
      <c r="Q1602" s="1"/>
      <c r="R1602" s="1"/>
      <c r="S1602" s="1"/>
      <c r="T1602" s="1"/>
      <c r="U1602" s="1"/>
      <c r="V1602" s="76"/>
      <c r="W1602" s="76"/>
      <c r="X1602" s="77"/>
      <c r="Y1602" s="77"/>
      <c r="Z1602" s="76"/>
      <c r="AA1602" s="76"/>
      <c r="AB1602" s="77"/>
      <c r="AC1602" s="77"/>
      <c r="AD1602" s="76"/>
      <c r="AE1602" s="76"/>
      <c r="AF1602" s="77"/>
      <c r="AG1602" s="77"/>
      <c r="AH1602" s="76"/>
      <c r="AI1602" s="76"/>
      <c r="AJ1602" s="77"/>
      <c r="AK1602" s="77"/>
      <c r="AL1602" s="77"/>
      <c r="AM1602" s="77"/>
      <c r="AN1602" s="77"/>
      <c r="AO1602" s="77"/>
      <c r="AP1602" s="77"/>
      <c r="AQ1602" s="77"/>
      <c r="AR1602" s="77"/>
      <c r="AS1602" s="77"/>
      <c r="AT1602" s="82"/>
    </row>
    <row r="1603" spans="1:46" ht="12.5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3"/>
      <c r="Q1603" s="1"/>
      <c r="R1603" s="1"/>
      <c r="S1603" s="1"/>
      <c r="T1603" s="1"/>
      <c r="U1603" s="1"/>
      <c r="V1603" s="76"/>
      <c r="W1603" s="76"/>
      <c r="X1603" s="77"/>
      <c r="Y1603" s="77"/>
      <c r="Z1603" s="76"/>
      <c r="AA1603" s="76"/>
      <c r="AB1603" s="77"/>
      <c r="AC1603" s="77"/>
      <c r="AD1603" s="76"/>
      <c r="AE1603" s="76"/>
      <c r="AF1603" s="77"/>
      <c r="AG1603" s="77"/>
      <c r="AH1603" s="76"/>
      <c r="AI1603" s="76"/>
      <c r="AJ1603" s="77"/>
      <c r="AK1603" s="77"/>
      <c r="AL1603" s="77"/>
      <c r="AM1603" s="77"/>
      <c r="AN1603" s="77"/>
      <c r="AO1603" s="77"/>
      <c r="AP1603" s="77"/>
      <c r="AQ1603" s="77"/>
      <c r="AR1603" s="77"/>
      <c r="AS1603" s="77"/>
      <c r="AT1603" s="82"/>
    </row>
    <row r="1604" spans="1:46" ht="12.5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3"/>
      <c r="Q1604" s="1"/>
      <c r="R1604" s="1"/>
      <c r="S1604" s="1"/>
      <c r="T1604" s="1"/>
      <c r="U1604" s="1"/>
      <c r="V1604" s="76"/>
      <c r="W1604" s="76"/>
      <c r="X1604" s="77"/>
      <c r="Y1604" s="77"/>
      <c r="Z1604" s="76"/>
      <c r="AA1604" s="76"/>
      <c r="AB1604" s="77"/>
      <c r="AC1604" s="77"/>
      <c r="AD1604" s="76"/>
      <c r="AE1604" s="76"/>
      <c r="AF1604" s="77"/>
      <c r="AG1604" s="77"/>
      <c r="AH1604" s="76"/>
      <c r="AI1604" s="76"/>
      <c r="AJ1604" s="77"/>
      <c r="AK1604" s="77"/>
      <c r="AL1604" s="77"/>
      <c r="AM1604" s="77"/>
      <c r="AN1604" s="77"/>
      <c r="AO1604" s="77"/>
      <c r="AP1604" s="77"/>
      <c r="AQ1604" s="77"/>
      <c r="AR1604" s="77"/>
      <c r="AS1604" s="77"/>
      <c r="AT1604" s="82"/>
    </row>
    <row r="1605" spans="1:46" ht="12.5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3"/>
      <c r="Q1605" s="1"/>
      <c r="R1605" s="1"/>
      <c r="S1605" s="1"/>
      <c r="T1605" s="1"/>
      <c r="U1605" s="1"/>
      <c r="V1605" s="76"/>
      <c r="W1605" s="76"/>
      <c r="X1605" s="77"/>
      <c r="Y1605" s="77"/>
      <c r="Z1605" s="76"/>
      <c r="AA1605" s="76"/>
      <c r="AB1605" s="77"/>
      <c r="AC1605" s="77"/>
      <c r="AD1605" s="76"/>
      <c r="AE1605" s="76"/>
      <c r="AF1605" s="77"/>
      <c r="AG1605" s="77"/>
      <c r="AH1605" s="76"/>
      <c r="AI1605" s="76"/>
      <c r="AJ1605" s="77"/>
      <c r="AK1605" s="77"/>
      <c r="AL1605" s="77"/>
      <c r="AM1605" s="77"/>
      <c r="AN1605" s="77"/>
      <c r="AO1605" s="77"/>
      <c r="AP1605" s="77"/>
      <c r="AQ1605" s="77"/>
      <c r="AR1605" s="77"/>
      <c r="AS1605" s="77"/>
      <c r="AT1605" s="82"/>
    </row>
    <row r="1606" spans="1:46" ht="12.5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3"/>
      <c r="Q1606" s="1"/>
      <c r="R1606" s="1"/>
      <c r="S1606" s="1"/>
      <c r="T1606" s="1"/>
      <c r="U1606" s="1"/>
      <c r="V1606" s="76"/>
      <c r="W1606" s="76"/>
      <c r="X1606" s="77"/>
      <c r="Y1606" s="77"/>
      <c r="Z1606" s="76"/>
      <c r="AA1606" s="76"/>
      <c r="AB1606" s="77"/>
      <c r="AC1606" s="77"/>
      <c r="AD1606" s="76"/>
      <c r="AE1606" s="76"/>
      <c r="AF1606" s="77"/>
      <c r="AG1606" s="77"/>
      <c r="AH1606" s="76"/>
      <c r="AI1606" s="76"/>
      <c r="AJ1606" s="77"/>
      <c r="AK1606" s="77"/>
      <c r="AL1606" s="77"/>
      <c r="AM1606" s="77"/>
      <c r="AN1606" s="77"/>
      <c r="AO1606" s="77"/>
      <c r="AP1606" s="77"/>
      <c r="AQ1606" s="77"/>
      <c r="AR1606" s="77"/>
      <c r="AS1606" s="77"/>
      <c r="AT1606" s="82"/>
    </row>
    <row r="1607" spans="1:46" ht="12.5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3"/>
      <c r="Q1607" s="1"/>
      <c r="R1607" s="1"/>
      <c r="S1607" s="1"/>
      <c r="T1607" s="1"/>
      <c r="U1607" s="1"/>
      <c r="V1607" s="76"/>
      <c r="W1607" s="76"/>
      <c r="X1607" s="77"/>
      <c r="Y1607" s="77"/>
      <c r="Z1607" s="76"/>
      <c r="AA1607" s="76"/>
      <c r="AB1607" s="77"/>
      <c r="AC1607" s="77"/>
      <c r="AD1607" s="76"/>
      <c r="AE1607" s="76"/>
      <c r="AF1607" s="77"/>
      <c r="AG1607" s="77"/>
      <c r="AH1607" s="76"/>
      <c r="AI1607" s="76"/>
      <c r="AJ1607" s="77"/>
      <c r="AK1607" s="77"/>
      <c r="AL1607" s="77"/>
      <c r="AM1607" s="77"/>
      <c r="AN1607" s="77"/>
      <c r="AO1607" s="77"/>
      <c r="AP1607" s="77"/>
      <c r="AQ1607" s="77"/>
      <c r="AR1607" s="77"/>
      <c r="AS1607" s="77"/>
      <c r="AT1607" s="82"/>
    </row>
    <row r="1608" spans="1:46" ht="12.5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3"/>
      <c r="Q1608" s="1"/>
      <c r="R1608" s="1"/>
      <c r="S1608" s="1"/>
      <c r="T1608" s="1"/>
      <c r="U1608" s="1"/>
      <c r="V1608" s="76"/>
      <c r="W1608" s="76"/>
      <c r="X1608" s="77"/>
      <c r="Y1608" s="77"/>
      <c r="Z1608" s="76"/>
      <c r="AA1608" s="76"/>
      <c r="AB1608" s="77"/>
      <c r="AC1608" s="77"/>
      <c r="AD1608" s="76"/>
      <c r="AE1608" s="76"/>
      <c r="AF1608" s="77"/>
      <c r="AG1608" s="77"/>
      <c r="AH1608" s="76"/>
      <c r="AI1608" s="76"/>
      <c r="AJ1608" s="77"/>
      <c r="AK1608" s="77"/>
      <c r="AL1608" s="77"/>
      <c r="AM1608" s="77"/>
      <c r="AN1608" s="77"/>
      <c r="AO1608" s="77"/>
      <c r="AP1608" s="77"/>
      <c r="AQ1608" s="77"/>
      <c r="AR1608" s="77"/>
      <c r="AS1608" s="77"/>
      <c r="AT1608" s="82"/>
    </row>
    <row r="1609" spans="1:46" ht="12.5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3"/>
      <c r="Q1609" s="1"/>
      <c r="R1609" s="1"/>
      <c r="S1609" s="1"/>
      <c r="T1609" s="1"/>
      <c r="U1609" s="1"/>
      <c r="V1609" s="76"/>
      <c r="W1609" s="76"/>
      <c r="X1609" s="77"/>
      <c r="Y1609" s="77"/>
      <c r="Z1609" s="76"/>
      <c r="AA1609" s="76"/>
      <c r="AB1609" s="77"/>
      <c r="AC1609" s="77"/>
      <c r="AD1609" s="76"/>
      <c r="AE1609" s="76"/>
      <c r="AF1609" s="77"/>
      <c r="AG1609" s="77"/>
      <c r="AH1609" s="76"/>
      <c r="AI1609" s="76"/>
      <c r="AJ1609" s="77"/>
      <c r="AK1609" s="77"/>
      <c r="AL1609" s="77"/>
      <c r="AM1609" s="77"/>
      <c r="AN1609" s="77"/>
      <c r="AO1609" s="77"/>
      <c r="AP1609" s="77"/>
      <c r="AQ1609" s="77"/>
      <c r="AR1609" s="77"/>
      <c r="AS1609" s="77"/>
      <c r="AT1609" s="82"/>
    </row>
    <row r="1610" spans="1:46" ht="12.5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3"/>
      <c r="Q1610" s="1"/>
      <c r="R1610" s="1"/>
      <c r="S1610" s="1"/>
      <c r="T1610" s="1"/>
      <c r="U1610" s="1"/>
      <c r="V1610" s="76"/>
      <c r="W1610" s="76"/>
      <c r="X1610" s="77"/>
      <c r="Y1610" s="77"/>
      <c r="Z1610" s="76"/>
      <c r="AA1610" s="76"/>
      <c r="AB1610" s="77"/>
      <c r="AC1610" s="77"/>
      <c r="AD1610" s="76"/>
      <c r="AE1610" s="76"/>
      <c r="AF1610" s="77"/>
      <c r="AG1610" s="77"/>
      <c r="AH1610" s="76"/>
      <c r="AI1610" s="76"/>
      <c r="AJ1610" s="77"/>
      <c r="AK1610" s="77"/>
      <c r="AL1610" s="77"/>
      <c r="AM1610" s="77"/>
      <c r="AN1610" s="77"/>
      <c r="AO1610" s="77"/>
      <c r="AP1610" s="77"/>
      <c r="AQ1610" s="77"/>
      <c r="AR1610" s="77"/>
      <c r="AS1610" s="77"/>
      <c r="AT1610" s="82"/>
    </row>
    <row r="1611" spans="1:46" ht="12.5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3"/>
      <c r="Q1611" s="1"/>
      <c r="R1611" s="1"/>
      <c r="S1611" s="1"/>
      <c r="T1611" s="1"/>
      <c r="U1611" s="1"/>
      <c r="V1611" s="76"/>
      <c r="W1611" s="76"/>
      <c r="X1611" s="77"/>
      <c r="Y1611" s="77"/>
      <c r="Z1611" s="76"/>
      <c r="AA1611" s="76"/>
      <c r="AB1611" s="77"/>
      <c r="AC1611" s="77"/>
      <c r="AD1611" s="76"/>
      <c r="AE1611" s="76"/>
      <c r="AF1611" s="77"/>
      <c r="AG1611" s="77"/>
      <c r="AH1611" s="76"/>
      <c r="AI1611" s="76"/>
      <c r="AJ1611" s="77"/>
      <c r="AK1611" s="77"/>
      <c r="AL1611" s="77"/>
      <c r="AM1611" s="77"/>
      <c r="AN1611" s="77"/>
      <c r="AO1611" s="77"/>
      <c r="AP1611" s="77"/>
      <c r="AQ1611" s="77"/>
      <c r="AR1611" s="77"/>
      <c r="AS1611" s="77"/>
      <c r="AT1611" s="82"/>
    </row>
    <row r="1612" spans="1:46" ht="12.5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3"/>
      <c r="Q1612" s="1"/>
      <c r="R1612" s="1"/>
      <c r="S1612" s="1"/>
      <c r="T1612" s="1"/>
      <c r="U1612" s="1"/>
      <c r="V1612" s="76"/>
      <c r="W1612" s="76"/>
      <c r="X1612" s="77"/>
      <c r="Y1612" s="77"/>
      <c r="Z1612" s="76"/>
      <c r="AA1612" s="76"/>
      <c r="AB1612" s="77"/>
      <c r="AC1612" s="77"/>
      <c r="AD1612" s="76"/>
      <c r="AE1612" s="76"/>
      <c r="AF1612" s="77"/>
      <c r="AG1612" s="77"/>
      <c r="AH1612" s="76"/>
      <c r="AI1612" s="76"/>
      <c r="AJ1612" s="77"/>
      <c r="AK1612" s="77"/>
      <c r="AL1612" s="77"/>
      <c r="AM1612" s="77"/>
      <c r="AN1612" s="77"/>
      <c r="AO1612" s="77"/>
      <c r="AP1612" s="77"/>
      <c r="AQ1612" s="77"/>
      <c r="AR1612" s="77"/>
      <c r="AS1612" s="77"/>
      <c r="AT1612" s="82"/>
    </row>
    <row r="1613" spans="1:46" ht="12.5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3"/>
      <c r="Q1613" s="1"/>
      <c r="R1613" s="1"/>
      <c r="S1613" s="1"/>
      <c r="T1613" s="1"/>
      <c r="U1613" s="1"/>
      <c r="V1613" s="76"/>
      <c r="W1613" s="76"/>
      <c r="X1613" s="77"/>
      <c r="Y1613" s="77"/>
      <c r="Z1613" s="76"/>
      <c r="AA1613" s="76"/>
      <c r="AB1613" s="77"/>
      <c r="AC1613" s="77"/>
      <c r="AD1613" s="76"/>
      <c r="AE1613" s="76"/>
      <c r="AF1613" s="77"/>
      <c r="AG1613" s="77"/>
      <c r="AH1613" s="76"/>
      <c r="AI1613" s="76"/>
      <c r="AJ1613" s="77"/>
      <c r="AK1613" s="77"/>
      <c r="AL1613" s="77"/>
      <c r="AM1613" s="77"/>
      <c r="AN1613" s="77"/>
      <c r="AO1613" s="77"/>
      <c r="AP1613" s="77"/>
      <c r="AQ1613" s="77"/>
      <c r="AR1613" s="77"/>
      <c r="AS1613" s="77"/>
      <c r="AT1613" s="82"/>
    </row>
    <row r="1614" spans="1:46" ht="12.5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3"/>
      <c r="Q1614" s="1"/>
      <c r="R1614" s="1"/>
      <c r="S1614" s="1"/>
      <c r="T1614" s="1"/>
      <c r="U1614" s="1"/>
      <c r="V1614" s="76"/>
      <c r="W1614" s="76"/>
      <c r="X1614" s="77"/>
      <c r="Y1614" s="77"/>
      <c r="Z1614" s="76"/>
      <c r="AA1614" s="76"/>
      <c r="AB1614" s="77"/>
      <c r="AC1614" s="77"/>
      <c r="AD1614" s="76"/>
      <c r="AE1614" s="76"/>
      <c r="AF1614" s="77"/>
      <c r="AG1614" s="77"/>
      <c r="AH1614" s="76"/>
      <c r="AI1614" s="76"/>
      <c r="AJ1614" s="77"/>
      <c r="AK1614" s="77"/>
      <c r="AL1614" s="77"/>
      <c r="AM1614" s="77"/>
      <c r="AN1614" s="77"/>
      <c r="AO1614" s="77"/>
      <c r="AP1614" s="77"/>
      <c r="AQ1614" s="77"/>
      <c r="AR1614" s="77"/>
      <c r="AS1614" s="77"/>
      <c r="AT1614" s="82"/>
    </row>
    <row r="1615" spans="1:46" ht="12.5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3"/>
      <c r="Q1615" s="1"/>
      <c r="R1615" s="1"/>
      <c r="S1615" s="1"/>
      <c r="T1615" s="1"/>
      <c r="U1615" s="1"/>
      <c r="V1615" s="76"/>
      <c r="W1615" s="76"/>
      <c r="X1615" s="77"/>
      <c r="Y1615" s="77"/>
      <c r="Z1615" s="76"/>
      <c r="AA1615" s="76"/>
      <c r="AB1615" s="77"/>
      <c r="AC1615" s="77"/>
      <c r="AD1615" s="76"/>
      <c r="AE1615" s="76"/>
      <c r="AF1615" s="77"/>
      <c r="AG1615" s="77"/>
      <c r="AH1615" s="76"/>
      <c r="AI1615" s="76"/>
      <c r="AJ1615" s="77"/>
      <c r="AK1615" s="77"/>
      <c r="AL1615" s="77"/>
      <c r="AM1615" s="77"/>
      <c r="AN1615" s="77"/>
      <c r="AO1615" s="77"/>
      <c r="AP1615" s="77"/>
      <c r="AQ1615" s="77"/>
      <c r="AR1615" s="77"/>
      <c r="AS1615" s="77"/>
      <c r="AT1615" s="82"/>
    </row>
    <row r="1616" spans="1:46" ht="12.5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3"/>
      <c r="Q1616" s="1"/>
      <c r="R1616" s="1"/>
      <c r="S1616" s="1"/>
      <c r="T1616" s="1"/>
      <c r="U1616" s="1"/>
      <c r="V1616" s="76"/>
      <c r="W1616" s="76"/>
      <c r="X1616" s="77"/>
      <c r="Y1616" s="77"/>
      <c r="Z1616" s="76"/>
      <c r="AA1616" s="76"/>
      <c r="AB1616" s="77"/>
      <c r="AC1616" s="77"/>
      <c r="AD1616" s="76"/>
      <c r="AE1616" s="76"/>
      <c r="AF1616" s="77"/>
      <c r="AG1616" s="77"/>
      <c r="AH1616" s="76"/>
      <c r="AI1616" s="76"/>
      <c r="AJ1616" s="77"/>
      <c r="AK1616" s="77"/>
      <c r="AL1616" s="77"/>
      <c r="AM1616" s="77"/>
      <c r="AN1616" s="77"/>
      <c r="AO1616" s="77"/>
      <c r="AP1616" s="77"/>
      <c r="AQ1616" s="77"/>
      <c r="AR1616" s="77"/>
      <c r="AS1616" s="77"/>
      <c r="AT1616" s="82"/>
    </row>
    <row r="1617" spans="1:46" ht="12.5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3"/>
      <c r="Q1617" s="1"/>
      <c r="R1617" s="1"/>
      <c r="S1617" s="1"/>
      <c r="T1617" s="1"/>
      <c r="U1617" s="1"/>
      <c r="V1617" s="76"/>
      <c r="W1617" s="76"/>
      <c r="X1617" s="77"/>
      <c r="Y1617" s="77"/>
      <c r="Z1617" s="76"/>
      <c r="AA1617" s="76"/>
      <c r="AB1617" s="77"/>
      <c r="AC1617" s="77"/>
      <c r="AD1617" s="76"/>
      <c r="AE1617" s="76"/>
      <c r="AF1617" s="77"/>
      <c r="AG1617" s="77"/>
      <c r="AH1617" s="76"/>
      <c r="AI1617" s="76"/>
      <c r="AJ1617" s="77"/>
      <c r="AK1617" s="77"/>
      <c r="AL1617" s="77"/>
      <c r="AM1617" s="77"/>
      <c r="AN1617" s="77"/>
      <c r="AO1617" s="77"/>
      <c r="AP1617" s="77"/>
      <c r="AQ1617" s="77"/>
      <c r="AR1617" s="77"/>
      <c r="AS1617" s="77"/>
      <c r="AT1617" s="82"/>
    </row>
    <row r="1618" spans="1:46" ht="12.5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3"/>
      <c r="Q1618" s="1"/>
      <c r="R1618" s="1"/>
      <c r="S1618" s="1"/>
      <c r="T1618" s="1"/>
      <c r="U1618" s="1"/>
      <c r="V1618" s="76"/>
      <c r="W1618" s="76"/>
      <c r="X1618" s="77"/>
      <c r="Y1618" s="77"/>
      <c r="Z1618" s="76"/>
      <c r="AA1618" s="76"/>
      <c r="AB1618" s="77"/>
      <c r="AC1618" s="77"/>
      <c r="AD1618" s="76"/>
      <c r="AE1618" s="76"/>
      <c r="AF1618" s="77"/>
      <c r="AG1618" s="77"/>
      <c r="AH1618" s="76"/>
      <c r="AI1618" s="76"/>
      <c r="AJ1618" s="77"/>
      <c r="AK1618" s="77"/>
      <c r="AL1618" s="77"/>
      <c r="AM1618" s="77"/>
      <c r="AN1618" s="77"/>
      <c r="AO1618" s="77"/>
      <c r="AP1618" s="77"/>
      <c r="AQ1618" s="77"/>
      <c r="AR1618" s="77"/>
      <c r="AS1618" s="77"/>
      <c r="AT1618" s="82"/>
    </row>
    <row r="1619" spans="1:46" ht="12.5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3"/>
      <c r="Q1619" s="1"/>
      <c r="R1619" s="1"/>
      <c r="S1619" s="1"/>
      <c r="T1619" s="1"/>
      <c r="U1619" s="1"/>
      <c r="V1619" s="76"/>
      <c r="W1619" s="76"/>
      <c r="X1619" s="77"/>
      <c r="Y1619" s="77"/>
      <c r="Z1619" s="76"/>
      <c r="AA1619" s="76"/>
      <c r="AB1619" s="77"/>
      <c r="AC1619" s="77"/>
      <c r="AD1619" s="76"/>
      <c r="AE1619" s="76"/>
      <c r="AF1619" s="77"/>
      <c r="AG1619" s="77"/>
      <c r="AH1619" s="76"/>
      <c r="AI1619" s="76"/>
      <c r="AJ1619" s="77"/>
      <c r="AK1619" s="77"/>
      <c r="AL1619" s="77"/>
      <c r="AM1619" s="77"/>
      <c r="AN1619" s="77"/>
      <c r="AO1619" s="77"/>
      <c r="AP1619" s="77"/>
      <c r="AQ1619" s="77"/>
      <c r="AR1619" s="77"/>
      <c r="AS1619" s="77"/>
      <c r="AT1619" s="82"/>
    </row>
    <row r="1620" spans="1:46" ht="12.5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3"/>
      <c r="Q1620" s="1"/>
      <c r="R1620" s="1"/>
      <c r="S1620" s="1"/>
      <c r="T1620" s="1"/>
      <c r="U1620" s="1"/>
      <c r="V1620" s="76"/>
      <c r="W1620" s="76"/>
      <c r="X1620" s="77"/>
      <c r="Y1620" s="77"/>
      <c r="Z1620" s="76"/>
      <c r="AA1620" s="76"/>
      <c r="AB1620" s="77"/>
      <c r="AC1620" s="77"/>
      <c r="AD1620" s="76"/>
      <c r="AE1620" s="76"/>
      <c r="AF1620" s="77"/>
      <c r="AG1620" s="77"/>
      <c r="AH1620" s="76"/>
      <c r="AI1620" s="76"/>
      <c r="AJ1620" s="77"/>
      <c r="AK1620" s="77"/>
      <c r="AL1620" s="77"/>
      <c r="AM1620" s="77"/>
      <c r="AN1620" s="77"/>
      <c r="AO1620" s="77"/>
      <c r="AP1620" s="77"/>
      <c r="AQ1620" s="77"/>
      <c r="AR1620" s="77"/>
      <c r="AS1620" s="77"/>
      <c r="AT1620" s="82"/>
    </row>
    <row r="1621" spans="1:46" ht="12.5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3"/>
      <c r="Q1621" s="1"/>
      <c r="R1621" s="1"/>
      <c r="S1621" s="1"/>
      <c r="T1621" s="1"/>
      <c r="U1621" s="1"/>
      <c r="V1621" s="76"/>
      <c r="W1621" s="76"/>
      <c r="X1621" s="77"/>
      <c r="Y1621" s="77"/>
      <c r="Z1621" s="76"/>
      <c r="AA1621" s="76"/>
      <c r="AB1621" s="77"/>
      <c r="AC1621" s="77"/>
      <c r="AD1621" s="76"/>
      <c r="AE1621" s="76"/>
      <c r="AF1621" s="77"/>
      <c r="AG1621" s="77"/>
      <c r="AH1621" s="76"/>
      <c r="AI1621" s="76"/>
      <c r="AJ1621" s="77"/>
      <c r="AK1621" s="77"/>
      <c r="AL1621" s="77"/>
      <c r="AM1621" s="77"/>
      <c r="AN1621" s="77"/>
      <c r="AO1621" s="77"/>
      <c r="AP1621" s="77"/>
      <c r="AQ1621" s="77"/>
      <c r="AR1621" s="77"/>
      <c r="AS1621" s="77"/>
      <c r="AT1621" s="82"/>
    </row>
    <row r="1622" spans="1:46" ht="12.5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3"/>
      <c r="Q1622" s="1"/>
      <c r="R1622" s="1"/>
      <c r="S1622" s="1"/>
      <c r="T1622" s="1"/>
      <c r="U1622" s="1"/>
      <c r="V1622" s="76"/>
      <c r="W1622" s="76"/>
      <c r="X1622" s="77"/>
      <c r="Y1622" s="77"/>
      <c r="Z1622" s="76"/>
      <c r="AA1622" s="76"/>
      <c r="AB1622" s="77"/>
      <c r="AC1622" s="77"/>
      <c r="AD1622" s="76"/>
      <c r="AE1622" s="76"/>
      <c r="AF1622" s="77"/>
      <c r="AG1622" s="77"/>
      <c r="AH1622" s="76"/>
      <c r="AI1622" s="76"/>
      <c r="AJ1622" s="77"/>
      <c r="AK1622" s="77"/>
      <c r="AL1622" s="77"/>
      <c r="AM1622" s="77"/>
      <c r="AN1622" s="77"/>
      <c r="AO1622" s="77"/>
      <c r="AP1622" s="77"/>
      <c r="AQ1622" s="77"/>
      <c r="AR1622" s="77"/>
      <c r="AS1622" s="77"/>
      <c r="AT1622" s="82"/>
    </row>
    <row r="1623" spans="1:46" ht="12.5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3"/>
      <c r="Q1623" s="1"/>
      <c r="R1623" s="1"/>
      <c r="S1623" s="1"/>
      <c r="T1623" s="1"/>
      <c r="U1623" s="1"/>
      <c r="V1623" s="76"/>
      <c r="W1623" s="76"/>
      <c r="X1623" s="77"/>
      <c r="Y1623" s="77"/>
      <c r="Z1623" s="76"/>
      <c r="AA1623" s="76"/>
      <c r="AB1623" s="77"/>
      <c r="AC1623" s="77"/>
      <c r="AD1623" s="76"/>
      <c r="AE1623" s="76"/>
      <c r="AF1623" s="77"/>
      <c r="AG1623" s="77"/>
      <c r="AH1623" s="76"/>
      <c r="AI1623" s="76"/>
      <c r="AJ1623" s="77"/>
      <c r="AK1623" s="77"/>
      <c r="AL1623" s="77"/>
      <c r="AM1623" s="77"/>
      <c r="AN1623" s="77"/>
      <c r="AO1623" s="77"/>
      <c r="AP1623" s="77"/>
      <c r="AQ1623" s="77"/>
      <c r="AR1623" s="77"/>
      <c r="AS1623" s="77"/>
      <c r="AT1623" s="82"/>
    </row>
    <row r="1624" spans="1:46" ht="12.5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3"/>
      <c r="Q1624" s="1"/>
      <c r="R1624" s="1"/>
      <c r="S1624" s="1"/>
      <c r="T1624" s="1"/>
      <c r="U1624" s="1"/>
      <c r="V1624" s="76"/>
      <c r="W1624" s="76"/>
      <c r="X1624" s="77"/>
      <c r="Y1624" s="77"/>
      <c r="Z1624" s="76"/>
      <c r="AA1624" s="76"/>
      <c r="AB1624" s="77"/>
      <c r="AC1624" s="77"/>
      <c r="AD1624" s="76"/>
      <c r="AE1624" s="76"/>
      <c r="AF1624" s="77"/>
      <c r="AG1624" s="77"/>
      <c r="AH1624" s="76"/>
      <c r="AI1624" s="76"/>
      <c r="AJ1624" s="77"/>
      <c r="AK1624" s="77"/>
      <c r="AL1624" s="77"/>
      <c r="AM1624" s="77"/>
      <c r="AN1624" s="77"/>
      <c r="AO1624" s="77"/>
      <c r="AP1624" s="77"/>
      <c r="AQ1624" s="77"/>
      <c r="AR1624" s="77"/>
      <c r="AS1624" s="77"/>
      <c r="AT1624" s="82"/>
    </row>
    <row r="1625" spans="1:46" ht="12.5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3"/>
      <c r="Q1625" s="1"/>
      <c r="R1625" s="1"/>
      <c r="S1625" s="1"/>
      <c r="T1625" s="1"/>
      <c r="U1625" s="1"/>
      <c r="V1625" s="76"/>
      <c r="W1625" s="76"/>
      <c r="X1625" s="77"/>
      <c r="Y1625" s="77"/>
      <c r="Z1625" s="76"/>
      <c r="AA1625" s="76"/>
      <c r="AB1625" s="77"/>
      <c r="AC1625" s="77"/>
      <c r="AD1625" s="76"/>
      <c r="AE1625" s="76"/>
      <c r="AF1625" s="77"/>
      <c r="AG1625" s="77"/>
      <c r="AH1625" s="76"/>
      <c r="AI1625" s="76"/>
      <c r="AJ1625" s="77"/>
      <c r="AK1625" s="77"/>
      <c r="AL1625" s="77"/>
      <c r="AM1625" s="77"/>
      <c r="AN1625" s="77"/>
      <c r="AO1625" s="77"/>
      <c r="AP1625" s="77"/>
      <c r="AQ1625" s="77"/>
      <c r="AR1625" s="77"/>
      <c r="AS1625" s="77"/>
      <c r="AT1625" s="82"/>
    </row>
    <row r="1626" spans="1:46" ht="12.5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3"/>
      <c r="Q1626" s="1"/>
      <c r="R1626" s="1"/>
      <c r="S1626" s="1"/>
      <c r="T1626" s="1"/>
      <c r="U1626" s="1"/>
      <c r="V1626" s="76"/>
      <c r="W1626" s="76"/>
      <c r="X1626" s="77"/>
      <c r="Y1626" s="77"/>
      <c r="Z1626" s="76"/>
      <c r="AA1626" s="76"/>
      <c r="AB1626" s="77"/>
      <c r="AC1626" s="77"/>
      <c r="AD1626" s="76"/>
      <c r="AE1626" s="76"/>
      <c r="AF1626" s="77"/>
      <c r="AG1626" s="77"/>
      <c r="AH1626" s="76"/>
      <c r="AI1626" s="76"/>
      <c r="AJ1626" s="77"/>
      <c r="AK1626" s="77"/>
      <c r="AL1626" s="77"/>
      <c r="AM1626" s="77"/>
      <c r="AN1626" s="77"/>
      <c r="AO1626" s="77"/>
      <c r="AP1626" s="77"/>
      <c r="AQ1626" s="77"/>
      <c r="AR1626" s="77"/>
      <c r="AS1626" s="77"/>
      <c r="AT1626" s="82"/>
    </row>
    <row r="1627" spans="1:46" ht="12.5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3"/>
      <c r="Q1627" s="1"/>
      <c r="R1627" s="1"/>
      <c r="S1627" s="1"/>
      <c r="T1627" s="1"/>
      <c r="U1627" s="1"/>
      <c r="V1627" s="76"/>
      <c r="W1627" s="76"/>
      <c r="X1627" s="77"/>
      <c r="Y1627" s="77"/>
      <c r="Z1627" s="76"/>
      <c r="AA1627" s="76"/>
      <c r="AB1627" s="77"/>
      <c r="AC1627" s="77"/>
      <c r="AD1627" s="76"/>
      <c r="AE1627" s="76"/>
      <c r="AF1627" s="77"/>
      <c r="AG1627" s="77"/>
      <c r="AH1627" s="76"/>
      <c r="AI1627" s="76"/>
      <c r="AJ1627" s="77"/>
      <c r="AK1627" s="77"/>
      <c r="AL1627" s="77"/>
      <c r="AM1627" s="77"/>
      <c r="AN1627" s="77"/>
      <c r="AO1627" s="77"/>
      <c r="AP1627" s="77"/>
      <c r="AQ1627" s="77"/>
      <c r="AR1627" s="77"/>
      <c r="AS1627" s="77"/>
      <c r="AT1627" s="82"/>
    </row>
    <row r="1628" spans="1:46" ht="12.5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3"/>
      <c r="Q1628" s="1"/>
      <c r="R1628" s="1"/>
      <c r="S1628" s="1"/>
      <c r="T1628" s="1"/>
      <c r="U1628" s="1"/>
      <c r="V1628" s="76"/>
      <c r="W1628" s="76"/>
      <c r="X1628" s="77"/>
      <c r="Y1628" s="77"/>
      <c r="Z1628" s="76"/>
      <c r="AA1628" s="76"/>
      <c r="AB1628" s="77"/>
      <c r="AC1628" s="77"/>
      <c r="AD1628" s="76"/>
      <c r="AE1628" s="76"/>
      <c r="AF1628" s="77"/>
      <c r="AG1628" s="77"/>
      <c r="AH1628" s="76"/>
      <c r="AI1628" s="76"/>
      <c r="AJ1628" s="77"/>
      <c r="AK1628" s="77"/>
      <c r="AL1628" s="77"/>
      <c r="AM1628" s="77"/>
      <c r="AN1628" s="77"/>
      <c r="AO1628" s="77"/>
      <c r="AP1628" s="77"/>
      <c r="AQ1628" s="77"/>
      <c r="AR1628" s="77"/>
      <c r="AS1628" s="77"/>
      <c r="AT1628" s="82"/>
    </row>
    <row r="1629" spans="1:46" ht="12.5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3"/>
      <c r="Q1629" s="1"/>
      <c r="R1629" s="1"/>
      <c r="S1629" s="1"/>
      <c r="T1629" s="1"/>
      <c r="U1629" s="1"/>
      <c r="V1629" s="76"/>
      <c r="W1629" s="76"/>
      <c r="X1629" s="77"/>
      <c r="Y1629" s="77"/>
      <c r="Z1629" s="76"/>
      <c r="AA1629" s="76"/>
      <c r="AB1629" s="77"/>
      <c r="AC1629" s="77"/>
      <c r="AD1629" s="76"/>
      <c r="AE1629" s="76"/>
      <c r="AF1629" s="77"/>
      <c r="AG1629" s="77"/>
      <c r="AH1629" s="76"/>
      <c r="AI1629" s="76"/>
      <c r="AJ1629" s="77"/>
      <c r="AK1629" s="77"/>
      <c r="AL1629" s="77"/>
      <c r="AM1629" s="77"/>
      <c r="AN1629" s="77"/>
      <c r="AO1629" s="77"/>
      <c r="AP1629" s="77"/>
      <c r="AQ1629" s="77"/>
      <c r="AR1629" s="77"/>
      <c r="AS1629" s="77"/>
      <c r="AT1629" s="82"/>
    </row>
    <row r="1630" spans="1:46" ht="12.5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3"/>
      <c r="Q1630" s="1"/>
      <c r="R1630" s="1"/>
      <c r="S1630" s="1"/>
      <c r="T1630" s="1"/>
      <c r="U1630" s="1"/>
      <c r="V1630" s="76"/>
      <c r="W1630" s="76"/>
      <c r="X1630" s="77"/>
      <c r="Y1630" s="77"/>
      <c r="Z1630" s="76"/>
      <c r="AA1630" s="76"/>
      <c r="AB1630" s="77"/>
      <c r="AC1630" s="77"/>
      <c r="AD1630" s="76"/>
      <c r="AE1630" s="76"/>
      <c r="AF1630" s="77"/>
      <c r="AG1630" s="77"/>
      <c r="AH1630" s="76"/>
      <c r="AI1630" s="76"/>
      <c r="AJ1630" s="77"/>
      <c r="AK1630" s="77"/>
      <c r="AL1630" s="77"/>
      <c r="AM1630" s="77"/>
      <c r="AN1630" s="77"/>
      <c r="AO1630" s="77"/>
      <c r="AP1630" s="77"/>
      <c r="AQ1630" s="77"/>
      <c r="AR1630" s="77"/>
      <c r="AS1630" s="77"/>
      <c r="AT1630" s="82"/>
    </row>
    <row r="1631" spans="1:46" ht="12.5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3"/>
      <c r="Q1631" s="1"/>
      <c r="R1631" s="1"/>
      <c r="S1631" s="1"/>
      <c r="T1631" s="1"/>
      <c r="U1631" s="1"/>
      <c r="V1631" s="76"/>
      <c r="W1631" s="76"/>
      <c r="X1631" s="77"/>
      <c r="Y1631" s="77"/>
      <c r="Z1631" s="76"/>
      <c r="AA1631" s="76"/>
      <c r="AB1631" s="77"/>
      <c r="AC1631" s="77"/>
      <c r="AD1631" s="76"/>
      <c r="AE1631" s="76"/>
      <c r="AF1631" s="77"/>
      <c r="AG1631" s="77"/>
      <c r="AH1631" s="76"/>
      <c r="AI1631" s="76"/>
      <c r="AJ1631" s="77"/>
      <c r="AK1631" s="77"/>
      <c r="AL1631" s="77"/>
      <c r="AM1631" s="77"/>
      <c r="AN1631" s="77"/>
      <c r="AO1631" s="77"/>
      <c r="AP1631" s="77"/>
      <c r="AQ1631" s="77"/>
      <c r="AR1631" s="77"/>
      <c r="AS1631" s="77"/>
      <c r="AT1631" s="82"/>
    </row>
    <row r="1632" spans="1:46" ht="12.5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3"/>
      <c r="Q1632" s="1"/>
      <c r="R1632" s="1"/>
      <c r="S1632" s="1"/>
      <c r="T1632" s="1"/>
      <c r="U1632" s="1"/>
      <c r="V1632" s="76"/>
      <c r="W1632" s="76"/>
      <c r="X1632" s="77"/>
      <c r="Y1632" s="77"/>
      <c r="Z1632" s="76"/>
      <c r="AA1632" s="76"/>
      <c r="AB1632" s="77"/>
      <c r="AC1632" s="77"/>
      <c r="AD1632" s="76"/>
      <c r="AE1632" s="76"/>
      <c r="AF1632" s="77"/>
      <c r="AG1632" s="77"/>
      <c r="AH1632" s="76"/>
      <c r="AI1632" s="76"/>
      <c r="AJ1632" s="77"/>
      <c r="AK1632" s="77"/>
      <c r="AL1632" s="77"/>
      <c r="AM1632" s="77"/>
      <c r="AN1632" s="77"/>
      <c r="AO1632" s="77"/>
      <c r="AP1632" s="77"/>
      <c r="AQ1632" s="77"/>
      <c r="AR1632" s="77"/>
      <c r="AS1632" s="77"/>
      <c r="AT1632" s="82"/>
    </row>
    <row r="1633" spans="1:46" ht="12.5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3"/>
      <c r="Q1633" s="1"/>
      <c r="R1633" s="1"/>
      <c r="S1633" s="1"/>
      <c r="T1633" s="1"/>
      <c r="U1633" s="1"/>
      <c r="V1633" s="76"/>
      <c r="W1633" s="76"/>
      <c r="X1633" s="77"/>
      <c r="Y1633" s="77"/>
      <c r="Z1633" s="76"/>
      <c r="AA1633" s="76"/>
      <c r="AB1633" s="77"/>
      <c r="AC1633" s="77"/>
      <c r="AD1633" s="76"/>
      <c r="AE1633" s="76"/>
      <c r="AF1633" s="77"/>
      <c r="AG1633" s="77"/>
      <c r="AH1633" s="76"/>
      <c r="AI1633" s="76"/>
      <c r="AJ1633" s="77"/>
      <c r="AK1633" s="77"/>
      <c r="AL1633" s="77"/>
      <c r="AM1633" s="77"/>
      <c r="AN1633" s="77"/>
      <c r="AO1633" s="77"/>
      <c r="AP1633" s="77"/>
      <c r="AQ1633" s="77"/>
      <c r="AR1633" s="77"/>
      <c r="AS1633" s="77"/>
      <c r="AT1633" s="82"/>
    </row>
    <row r="1634" spans="1:46" ht="12.5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3"/>
      <c r="Q1634" s="1"/>
      <c r="R1634" s="1"/>
      <c r="S1634" s="1"/>
      <c r="T1634" s="1"/>
      <c r="U1634" s="1"/>
      <c r="V1634" s="76"/>
      <c r="W1634" s="76"/>
      <c r="X1634" s="77"/>
      <c r="Y1634" s="77"/>
      <c r="Z1634" s="76"/>
      <c r="AA1634" s="76"/>
      <c r="AB1634" s="77"/>
      <c r="AC1634" s="77"/>
      <c r="AD1634" s="76"/>
      <c r="AE1634" s="76"/>
      <c r="AF1634" s="77"/>
      <c r="AG1634" s="77"/>
      <c r="AH1634" s="76"/>
      <c r="AI1634" s="76"/>
      <c r="AJ1634" s="77"/>
      <c r="AK1634" s="77"/>
      <c r="AL1634" s="77"/>
      <c r="AM1634" s="77"/>
      <c r="AN1634" s="77"/>
      <c r="AO1634" s="77"/>
      <c r="AP1634" s="77"/>
      <c r="AQ1634" s="77"/>
      <c r="AR1634" s="77"/>
      <c r="AS1634" s="77"/>
      <c r="AT1634" s="82"/>
    </row>
    <row r="1635" spans="1:46" ht="12.5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3"/>
      <c r="Q1635" s="1"/>
      <c r="R1635" s="1"/>
      <c r="S1635" s="1"/>
      <c r="T1635" s="1"/>
      <c r="U1635" s="1"/>
      <c r="V1635" s="76"/>
      <c r="W1635" s="76"/>
      <c r="X1635" s="77"/>
      <c r="Y1635" s="77"/>
      <c r="Z1635" s="76"/>
      <c r="AA1635" s="76"/>
      <c r="AB1635" s="77"/>
      <c r="AC1635" s="77"/>
      <c r="AD1635" s="76"/>
      <c r="AE1635" s="76"/>
      <c r="AF1635" s="77"/>
      <c r="AG1635" s="77"/>
      <c r="AH1635" s="76"/>
      <c r="AI1635" s="76"/>
      <c r="AJ1635" s="77"/>
      <c r="AK1635" s="77"/>
      <c r="AL1635" s="77"/>
      <c r="AM1635" s="77"/>
      <c r="AN1635" s="77"/>
      <c r="AO1635" s="77"/>
      <c r="AP1635" s="77"/>
      <c r="AQ1635" s="77"/>
      <c r="AR1635" s="77"/>
      <c r="AS1635" s="77"/>
      <c r="AT1635" s="82"/>
    </row>
    <row r="1636" spans="1:46" ht="12.5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3"/>
      <c r="Q1636" s="1"/>
      <c r="R1636" s="1"/>
      <c r="S1636" s="1"/>
      <c r="T1636" s="1"/>
      <c r="U1636" s="1"/>
      <c r="V1636" s="76"/>
      <c r="W1636" s="76"/>
      <c r="X1636" s="77"/>
      <c r="Y1636" s="77"/>
      <c r="Z1636" s="76"/>
      <c r="AA1636" s="76"/>
      <c r="AB1636" s="77"/>
      <c r="AC1636" s="77"/>
      <c r="AD1636" s="76"/>
      <c r="AE1636" s="76"/>
      <c r="AF1636" s="77"/>
      <c r="AG1636" s="77"/>
      <c r="AH1636" s="76"/>
      <c r="AI1636" s="76"/>
      <c r="AJ1636" s="77"/>
      <c r="AK1636" s="77"/>
      <c r="AL1636" s="77"/>
      <c r="AM1636" s="77"/>
      <c r="AN1636" s="77"/>
      <c r="AO1636" s="77"/>
      <c r="AP1636" s="77"/>
      <c r="AQ1636" s="77"/>
      <c r="AR1636" s="77"/>
      <c r="AS1636" s="77"/>
      <c r="AT1636" s="82"/>
    </row>
    <row r="1637" spans="1:46" ht="12.5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3"/>
      <c r="Q1637" s="1"/>
      <c r="R1637" s="1"/>
      <c r="S1637" s="1"/>
      <c r="T1637" s="1"/>
      <c r="U1637" s="1"/>
      <c r="V1637" s="76"/>
      <c r="W1637" s="76"/>
      <c r="X1637" s="77"/>
      <c r="Y1637" s="77"/>
      <c r="Z1637" s="76"/>
      <c r="AA1637" s="76"/>
      <c r="AB1637" s="77"/>
      <c r="AC1637" s="77"/>
      <c r="AD1637" s="76"/>
      <c r="AE1637" s="76"/>
      <c r="AF1637" s="77"/>
      <c r="AG1637" s="77"/>
      <c r="AH1637" s="76"/>
      <c r="AI1637" s="76"/>
      <c r="AJ1637" s="77"/>
      <c r="AK1637" s="77"/>
      <c r="AL1637" s="77"/>
      <c r="AM1637" s="77"/>
      <c r="AN1637" s="77"/>
      <c r="AO1637" s="77"/>
      <c r="AP1637" s="77"/>
      <c r="AQ1637" s="77"/>
      <c r="AR1637" s="77"/>
      <c r="AS1637" s="77"/>
      <c r="AT1637" s="82"/>
    </row>
    <row r="1638" spans="1:46" ht="12.5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3"/>
      <c r="Q1638" s="1"/>
      <c r="R1638" s="1"/>
      <c r="S1638" s="1"/>
      <c r="T1638" s="1"/>
      <c r="U1638" s="1"/>
      <c r="V1638" s="76"/>
      <c r="W1638" s="76"/>
      <c r="X1638" s="77"/>
      <c r="Y1638" s="77"/>
      <c r="Z1638" s="76"/>
      <c r="AA1638" s="76"/>
      <c r="AB1638" s="77"/>
      <c r="AC1638" s="77"/>
      <c r="AD1638" s="76"/>
      <c r="AE1638" s="76"/>
      <c r="AF1638" s="77"/>
      <c r="AG1638" s="77"/>
      <c r="AH1638" s="76"/>
      <c r="AI1638" s="76"/>
      <c r="AJ1638" s="77"/>
      <c r="AK1638" s="77"/>
      <c r="AL1638" s="77"/>
      <c r="AM1638" s="77"/>
      <c r="AN1638" s="77"/>
      <c r="AO1638" s="77"/>
      <c r="AP1638" s="77"/>
      <c r="AQ1638" s="77"/>
      <c r="AR1638" s="77"/>
      <c r="AS1638" s="77"/>
      <c r="AT1638" s="82"/>
    </row>
    <row r="1639" spans="1:46" ht="12.5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3"/>
      <c r="Q1639" s="1"/>
      <c r="R1639" s="1"/>
      <c r="S1639" s="1"/>
      <c r="T1639" s="1"/>
      <c r="U1639" s="1"/>
      <c r="V1639" s="76"/>
      <c r="W1639" s="76"/>
      <c r="X1639" s="77"/>
      <c r="Y1639" s="77"/>
      <c r="Z1639" s="76"/>
      <c r="AA1639" s="76"/>
      <c r="AB1639" s="77"/>
      <c r="AC1639" s="77"/>
      <c r="AD1639" s="76"/>
      <c r="AE1639" s="76"/>
      <c r="AF1639" s="77"/>
      <c r="AG1639" s="77"/>
      <c r="AH1639" s="76"/>
      <c r="AI1639" s="76"/>
      <c r="AJ1639" s="77"/>
      <c r="AK1639" s="77"/>
      <c r="AL1639" s="77"/>
      <c r="AM1639" s="77"/>
      <c r="AN1639" s="77"/>
      <c r="AO1639" s="77"/>
      <c r="AP1639" s="77"/>
      <c r="AQ1639" s="77"/>
      <c r="AR1639" s="77"/>
      <c r="AS1639" s="77"/>
      <c r="AT1639" s="82"/>
    </row>
    <row r="1640" spans="1:46" ht="12.5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3"/>
      <c r="Q1640" s="1"/>
      <c r="R1640" s="1"/>
      <c r="S1640" s="1"/>
      <c r="T1640" s="1"/>
      <c r="U1640" s="1"/>
      <c r="V1640" s="76"/>
      <c r="W1640" s="76"/>
      <c r="X1640" s="77"/>
      <c r="Y1640" s="77"/>
      <c r="Z1640" s="76"/>
      <c r="AA1640" s="76"/>
      <c r="AB1640" s="77"/>
      <c r="AC1640" s="77"/>
      <c r="AD1640" s="76"/>
      <c r="AE1640" s="76"/>
      <c r="AF1640" s="77"/>
      <c r="AG1640" s="77"/>
      <c r="AH1640" s="76"/>
      <c r="AI1640" s="76"/>
      <c r="AJ1640" s="77"/>
      <c r="AK1640" s="77"/>
      <c r="AL1640" s="77"/>
      <c r="AM1640" s="77"/>
      <c r="AN1640" s="77"/>
      <c r="AO1640" s="77"/>
      <c r="AP1640" s="77"/>
      <c r="AQ1640" s="77"/>
      <c r="AR1640" s="77"/>
      <c r="AS1640" s="77"/>
      <c r="AT1640" s="82"/>
    </row>
    <row r="1641" spans="1:46" ht="12.5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3"/>
      <c r="Q1641" s="1"/>
      <c r="R1641" s="1"/>
      <c r="S1641" s="1"/>
      <c r="T1641" s="1"/>
      <c r="U1641" s="1"/>
      <c r="V1641" s="76"/>
      <c r="W1641" s="76"/>
      <c r="X1641" s="77"/>
      <c r="Y1641" s="77"/>
      <c r="Z1641" s="76"/>
      <c r="AA1641" s="76"/>
      <c r="AB1641" s="77"/>
      <c r="AC1641" s="77"/>
      <c r="AD1641" s="76"/>
      <c r="AE1641" s="76"/>
      <c r="AF1641" s="77"/>
      <c r="AG1641" s="77"/>
      <c r="AH1641" s="76"/>
      <c r="AI1641" s="76"/>
      <c r="AJ1641" s="77"/>
      <c r="AK1641" s="77"/>
      <c r="AL1641" s="77"/>
      <c r="AM1641" s="77"/>
      <c r="AN1641" s="77"/>
      <c r="AO1641" s="77"/>
      <c r="AP1641" s="77"/>
      <c r="AQ1641" s="77"/>
      <c r="AR1641" s="77"/>
      <c r="AS1641" s="77"/>
      <c r="AT1641" s="82"/>
    </row>
    <row r="1642" spans="1:46" ht="12.5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3"/>
      <c r="Q1642" s="1"/>
      <c r="R1642" s="1"/>
      <c r="S1642" s="1"/>
      <c r="T1642" s="1"/>
      <c r="U1642" s="1"/>
      <c r="V1642" s="76"/>
      <c r="W1642" s="76"/>
      <c r="X1642" s="77"/>
      <c r="Y1642" s="77"/>
      <c r="Z1642" s="76"/>
      <c r="AA1642" s="76"/>
      <c r="AB1642" s="77"/>
      <c r="AC1642" s="77"/>
      <c r="AD1642" s="76"/>
      <c r="AE1642" s="76"/>
      <c r="AF1642" s="77"/>
      <c r="AG1642" s="77"/>
      <c r="AH1642" s="76"/>
      <c r="AI1642" s="76"/>
      <c r="AJ1642" s="77"/>
      <c r="AK1642" s="77"/>
      <c r="AL1642" s="77"/>
      <c r="AM1642" s="77"/>
      <c r="AN1642" s="77"/>
      <c r="AO1642" s="77"/>
      <c r="AP1642" s="77"/>
      <c r="AQ1642" s="77"/>
      <c r="AR1642" s="77"/>
      <c r="AS1642" s="77"/>
      <c r="AT1642" s="82"/>
    </row>
    <row r="1643" spans="1:46" ht="12.5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3"/>
      <c r="Q1643" s="1"/>
      <c r="R1643" s="1"/>
      <c r="S1643" s="1"/>
      <c r="T1643" s="1"/>
      <c r="U1643" s="1"/>
      <c r="V1643" s="76"/>
      <c r="W1643" s="76"/>
      <c r="X1643" s="77"/>
      <c r="Y1643" s="77"/>
      <c r="Z1643" s="76"/>
      <c r="AA1643" s="76"/>
      <c r="AB1643" s="77"/>
      <c r="AC1643" s="77"/>
      <c r="AD1643" s="76"/>
      <c r="AE1643" s="76"/>
      <c r="AF1643" s="77"/>
      <c r="AG1643" s="77"/>
      <c r="AH1643" s="76"/>
      <c r="AI1643" s="76"/>
      <c r="AJ1643" s="77"/>
      <c r="AK1643" s="77"/>
      <c r="AL1643" s="77"/>
      <c r="AM1643" s="77"/>
      <c r="AN1643" s="77"/>
      <c r="AO1643" s="77"/>
      <c r="AP1643" s="77"/>
      <c r="AQ1643" s="77"/>
      <c r="AR1643" s="77"/>
      <c r="AS1643" s="77"/>
      <c r="AT1643" s="82"/>
    </row>
    <row r="1644" spans="1:46" ht="12.5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3"/>
      <c r="Q1644" s="1"/>
      <c r="R1644" s="1"/>
      <c r="S1644" s="1"/>
      <c r="T1644" s="1"/>
      <c r="U1644" s="1"/>
      <c r="V1644" s="76"/>
      <c r="W1644" s="76"/>
      <c r="X1644" s="77"/>
      <c r="Y1644" s="77"/>
      <c r="Z1644" s="76"/>
      <c r="AA1644" s="76"/>
      <c r="AB1644" s="77"/>
      <c r="AC1644" s="77"/>
      <c r="AD1644" s="76"/>
      <c r="AE1644" s="76"/>
      <c r="AF1644" s="77"/>
      <c r="AG1644" s="77"/>
      <c r="AH1644" s="76"/>
      <c r="AI1644" s="76"/>
      <c r="AJ1644" s="77"/>
      <c r="AK1644" s="77"/>
      <c r="AL1644" s="77"/>
      <c r="AM1644" s="77"/>
      <c r="AN1644" s="77"/>
      <c r="AO1644" s="77"/>
      <c r="AP1644" s="77"/>
      <c r="AQ1644" s="77"/>
      <c r="AR1644" s="77"/>
      <c r="AS1644" s="77"/>
      <c r="AT1644" s="82"/>
    </row>
    <row r="1645" spans="1:46" ht="12.5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3"/>
      <c r="Q1645" s="1"/>
      <c r="R1645" s="1"/>
      <c r="S1645" s="1"/>
      <c r="T1645" s="1"/>
      <c r="U1645" s="1"/>
      <c r="V1645" s="76"/>
      <c r="W1645" s="76"/>
      <c r="X1645" s="77"/>
      <c r="Y1645" s="77"/>
      <c r="Z1645" s="76"/>
      <c r="AA1645" s="76"/>
      <c r="AB1645" s="77"/>
      <c r="AC1645" s="77"/>
      <c r="AD1645" s="76"/>
      <c r="AE1645" s="76"/>
      <c r="AF1645" s="77"/>
      <c r="AG1645" s="77"/>
      <c r="AH1645" s="76"/>
      <c r="AI1645" s="76"/>
      <c r="AJ1645" s="77"/>
      <c r="AK1645" s="77"/>
      <c r="AL1645" s="77"/>
      <c r="AM1645" s="77"/>
      <c r="AN1645" s="77"/>
      <c r="AO1645" s="77"/>
      <c r="AP1645" s="77"/>
      <c r="AQ1645" s="77"/>
      <c r="AR1645" s="77"/>
      <c r="AS1645" s="77"/>
      <c r="AT1645" s="82"/>
    </row>
    <row r="1646" spans="1:46" ht="12.5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3"/>
      <c r="Q1646" s="1"/>
      <c r="R1646" s="1"/>
      <c r="S1646" s="1"/>
      <c r="T1646" s="1"/>
      <c r="U1646" s="1"/>
      <c r="V1646" s="76"/>
      <c r="W1646" s="76"/>
      <c r="X1646" s="77"/>
      <c r="Y1646" s="77"/>
      <c r="Z1646" s="76"/>
      <c r="AA1646" s="76"/>
      <c r="AB1646" s="77"/>
      <c r="AC1646" s="77"/>
      <c r="AD1646" s="76"/>
      <c r="AE1646" s="76"/>
      <c r="AF1646" s="77"/>
      <c r="AG1646" s="77"/>
      <c r="AH1646" s="76"/>
      <c r="AI1646" s="76"/>
      <c r="AJ1646" s="77"/>
      <c r="AK1646" s="77"/>
      <c r="AL1646" s="77"/>
      <c r="AM1646" s="77"/>
      <c r="AN1646" s="77"/>
      <c r="AO1646" s="77"/>
      <c r="AP1646" s="77"/>
      <c r="AQ1646" s="77"/>
      <c r="AR1646" s="77"/>
      <c r="AS1646" s="77"/>
      <c r="AT1646" s="82"/>
    </row>
    <row r="1647" spans="1:46" ht="12.5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3"/>
      <c r="Q1647" s="1"/>
      <c r="R1647" s="1"/>
      <c r="S1647" s="1"/>
      <c r="T1647" s="1"/>
      <c r="U1647" s="1"/>
      <c r="V1647" s="76"/>
      <c r="W1647" s="76"/>
      <c r="X1647" s="77"/>
      <c r="Y1647" s="77"/>
      <c r="Z1647" s="76"/>
      <c r="AA1647" s="76"/>
      <c r="AB1647" s="77"/>
      <c r="AC1647" s="77"/>
      <c r="AD1647" s="76"/>
      <c r="AE1647" s="76"/>
      <c r="AF1647" s="77"/>
      <c r="AG1647" s="77"/>
      <c r="AH1647" s="76"/>
      <c r="AI1647" s="76"/>
      <c r="AJ1647" s="77"/>
      <c r="AK1647" s="77"/>
      <c r="AL1647" s="77"/>
      <c r="AM1647" s="77"/>
      <c r="AN1647" s="77"/>
      <c r="AO1647" s="77"/>
      <c r="AP1647" s="77"/>
      <c r="AQ1647" s="77"/>
      <c r="AR1647" s="77"/>
      <c r="AS1647" s="77"/>
      <c r="AT1647" s="82"/>
    </row>
    <row r="1648" spans="1:46" ht="12.5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3"/>
      <c r="Q1648" s="1"/>
      <c r="R1648" s="1"/>
      <c r="S1648" s="1"/>
      <c r="T1648" s="1"/>
      <c r="U1648" s="1"/>
      <c r="V1648" s="76"/>
      <c r="W1648" s="76"/>
      <c r="X1648" s="77"/>
      <c r="Y1648" s="77"/>
      <c r="Z1648" s="76"/>
      <c r="AA1648" s="76"/>
      <c r="AB1648" s="77"/>
      <c r="AC1648" s="77"/>
      <c r="AD1648" s="76"/>
      <c r="AE1648" s="76"/>
      <c r="AF1648" s="77"/>
      <c r="AG1648" s="77"/>
      <c r="AH1648" s="76"/>
      <c r="AI1648" s="76"/>
      <c r="AJ1648" s="77"/>
      <c r="AK1648" s="77"/>
      <c r="AL1648" s="77"/>
      <c r="AM1648" s="77"/>
      <c r="AN1648" s="77"/>
      <c r="AO1648" s="77"/>
      <c r="AP1648" s="77"/>
      <c r="AQ1648" s="77"/>
      <c r="AR1648" s="77"/>
      <c r="AS1648" s="77"/>
      <c r="AT1648" s="82"/>
    </row>
    <row r="1649" spans="1:46" ht="12.5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3"/>
      <c r="Q1649" s="1"/>
      <c r="R1649" s="1"/>
      <c r="S1649" s="1"/>
      <c r="T1649" s="1"/>
      <c r="U1649" s="1"/>
      <c r="V1649" s="76"/>
      <c r="W1649" s="76"/>
      <c r="X1649" s="77"/>
      <c r="Y1649" s="77"/>
      <c r="Z1649" s="76"/>
      <c r="AA1649" s="76"/>
      <c r="AB1649" s="77"/>
      <c r="AC1649" s="77"/>
      <c r="AD1649" s="76"/>
      <c r="AE1649" s="76"/>
      <c r="AF1649" s="77"/>
      <c r="AG1649" s="77"/>
      <c r="AH1649" s="76"/>
      <c r="AI1649" s="76"/>
      <c r="AJ1649" s="77"/>
      <c r="AK1649" s="77"/>
      <c r="AL1649" s="77"/>
      <c r="AM1649" s="77"/>
      <c r="AN1649" s="77"/>
      <c r="AO1649" s="77"/>
      <c r="AP1649" s="77"/>
      <c r="AQ1649" s="77"/>
      <c r="AR1649" s="77"/>
      <c r="AS1649" s="77"/>
      <c r="AT1649" s="82"/>
    </row>
    <row r="1650" spans="1:46" ht="12.5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3"/>
      <c r="Q1650" s="1"/>
      <c r="R1650" s="1"/>
      <c r="S1650" s="1"/>
      <c r="T1650" s="1"/>
      <c r="U1650" s="1"/>
      <c r="V1650" s="76"/>
      <c r="W1650" s="76"/>
      <c r="X1650" s="77"/>
      <c r="Y1650" s="77"/>
      <c r="Z1650" s="76"/>
      <c r="AA1650" s="76"/>
      <c r="AB1650" s="77"/>
      <c r="AC1650" s="77"/>
      <c r="AD1650" s="76"/>
      <c r="AE1650" s="76"/>
      <c r="AF1650" s="77"/>
      <c r="AG1650" s="77"/>
      <c r="AH1650" s="76"/>
      <c r="AI1650" s="76"/>
      <c r="AJ1650" s="77"/>
      <c r="AK1650" s="77"/>
      <c r="AL1650" s="77"/>
      <c r="AM1650" s="77"/>
      <c r="AN1650" s="77"/>
      <c r="AO1650" s="77"/>
      <c r="AP1650" s="77"/>
      <c r="AQ1650" s="77"/>
      <c r="AR1650" s="77"/>
      <c r="AS1650" s="77"/>
      <c r="AT1650" s="82"/>
    </row>
    <row r="1651" spans="1:46" ht="12.5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3"/>
      <c r="Q1651" s="1"/>
      <c r="R1651" s="1"/>
      <c r="S1651" s="1"/>
      <c r="T1651" s="1"/>
      <c r="U1651" s="1"/>
      <c r="V1651" s="76"/>
      <c r="W1651" s="76"/>
      <c r="X1651" s="77"/>
      <c r="Y1651" s="77"/>
      <c r="Z1651" s="76"/>
      <c r="AA1651" s="76"/>
      <c r="AB1651" s="77"/>
      <c r="AC1651" s="77"/>
      <c r="AD1651" s="76"/>
      <c r="AE1651" s="76"/>
      <c r="AF1651" s="77"/>
      <c r="AG1651" s="77"/>
      <c r="AH1651" s="76"/>
      <c r="AI1651" s="76"/>
      <c r="AJ1651" s="77"/>
      <c r="AK1651" s="77"/>
      <c r="AL1651" s="77"/>
      <c r="AM1651" s="77"/>
      <c r="AN1651" s="77"/>
      <c r="AO1651" s="77"/>
      <c r="AP1651" s="77"/>
      <c r="AQ1651" s="77"/>
      <c r="AR1651" s="77"/>
      <c r="AS1651" s="77"/>
      <c r="AT1651" s="82"/>
    </row>
    <row r="1652" spans="1:46" ht="12.5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3"/>
      <c r="Q1652" s="1"/>
      <c r="R1652" s="1"/>
      <c r="S1652" s="1"/>
      <c r="T1652" s="1"/>
      <c r="U1652" s="1"/>
      <c r="V1652" s="76"/>
      <c r="W1652" s="76"/>
      <c r="X1652" s="77"/>
      <c r="Y1652" s="77"/>
      <c r="Z1652" s="76"/>
      <c r="AA1652" s="76"/>
      <c r="AB1652" s="77"/>
      <c r="AC1652" s="77"/>
      <c r="AD1652" s="76"/>
      <c r="AE1652" s="76"/>
      <c r="AF1652" s="77"/>
      <c r="AG1652" s="77"/>
      <c r="AH1652" s="76"/>
      <c r="AI1652" s="76"/>
      <c r="AJ1652" s="77"/>
      <c r="AK1652" s="77"/>
      <c r="AL1652" s="77"/>
      <c r="AM1652" s="77"/>
      <c r="AN1652" s="77"/>
      <c r="AO1652" s="77"/>
      <c r="AP1652" s="77"/>
      <c r="AQ1652" s="77"/>
      <c r="AR1652" s="77"/>
      <c r="AS1652" s="77"/>
      <c r="AT1652" s="82"/>
    </row>
    <row r="1653" spans="1:46" ht="12.5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3"/>
      <c r="Q1653" s="1"/>
      <c r="R1653" s="1"/>
      <c r="S1653" s="1"/>
      <c r="T1653" s="1"/>
      <c r="U1653" s="1"/>
      <c r="V1653" s="76"/>
      <c r="W1653" s="76"/>
      <c r="X1653" s="77"/>
      <c r="Y1653" s="77"/>
      <c r="Z1653" s="76"/>
      <c r="AA1653" s="76"/>
      <c r="AB1653" s="77"/>
      <c r="AC1653" s="77"/>
      <c r="AD1653" s="76"/>
      <c r="AE1653" s="76"/>
      <c r="AF1653" s="77"/>
      <c r="AG1653" s="77"/>
      <c r="AH1653" s="76"/>
      <c r="AI1653" s="76"/>
      <c r="AJ1653" s="77"/>
      <c r="AK1653" s="77"/>
      <c r="AL1653" s="77"/>
      <c r="AM1653" s="77"/>
      <c r="AN1653" s="77"/>
      <c r="AO1653" s="77"/>
      <c r="AP1653" s="77"/>
      <c r="AQ1653" s="77"/>
      <c r="AR1653" s="77"/>
      <c r="AS1653" s="77"/>
      <c r="AT1653" s="82"/>
    </row>
    <row r="1654" spans="1:46" ht="12.5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3"/>
      <c r="Q1654" s="1"/>
      <c r="R1654" s="1"/>
      <c r="S1654" s="1"/>
      <c r="T1654" s="1"/>
      <c r="U1654" s="1"/>
      <c r="V1654" s="76"/>
      <c r="W1654" s="76"/>
      <c r="X1654" s="77"/>
      <c r="Y1654" s="77"/>
      <c r="Z1654" s="76"/>
      <c r="AA1654" s="76"/>
      <c r="AB1654" s="77"/>
      <c r="AC1654" s="77"/>
      <c r="AD1654" s="76"/>
      <c r="AE1654" s="76"/>
      <c r="AF1654" s="77"/>
      <c r="AG1654" s="77"/>
      <c r="AH1654" s="76"/>
      <c r="AI1654" s="76"/>
      <c r="AJ1654" s="77"/>
      <c r="AK1654" s="77"/>
      <c r="AL1654" s="77"/>
      <c r="AM1654" s="77"/>
      <c r="AN1654" s="77"/>
      <c r="AO1654" s="77"/>
      <c r="AP1654" s="77"/>
      <c r="AQ1654" s="77"/>
      <c r="AR1654" s="77"/>
      <c r="AS1654" s="77"/>
      <c r="AT1654" s="82"/>
    </row>
    <row r="1655" spans="1:46" ht="12.5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3"/>
      <c r="Q1655" s="1"/>
      <c r="R1655" s="1"/>
      <c r="S1655" s="1"/>
      <c r="T1655" s="1"/>
      <c r="U1655" s="1"/>
      <c r="V1655" s="76"/>
      <c r="W1655" s="76"/>
      <c r="X1655" s="77"/>
      <c r="Y1655" s="77"/>
      <c r="Z1655" s="76"/>
      <c r="AA1655" s="76"/>
      <c r="AB1655" s="77"/>
      <c r="AC1655" s="77"/>
      <c r="AD1655" s="76"/>
      <c r="AE1655" s="76"/>
      <c r="AF1655" s="77"/>
      <c r="AG1655" s="77"/>
      <c r="AH1655" s="76"/>
      <c r="AI1655" s="76"/>
      <c r="AJ1655" s="77"/>
      <c r="AK1655" s="77"/>
      <c r="AL1655" s="77"/>
      <c r="AM1655" s="77"/>
      <c r="AN1655" s="77"/>
      <c r="AO1655" s="77"/>
      <c r="AP1655" s="77"/>
      <c r="AQ1655" s="77"/>
      <c r="AR1655" s="77"/>
      <c r="AS1655" s="77"/>
      <c r="AT1655" s="82"/>
    </row>
    <row r="1656" spans="1:46" ht="12.5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3"/>
      <c r="Q1656" s="1"/>
      <c r="R1656" s="1"/>
      <c r="S1656" s="1"/>
      <c r="T1656" s="1"/>
      <c r="U1656" s="1"/>
      <c r="V1656" s="76"/>
      <c r="W1656" s="76"/>
      <c r="X1656" s="77"/>
      <c r="Y1656" s="77"/>
      <c r="Z1656" s="76"/>
      <c r="AA1656" s="76"/>
      <c r="AB1656" s="77"/>
      <c r="AC1656" s="77"/>
      <c r="AD1656" s="76"/>
      <c r="AE1656" s="76"/>
      <c r="AF1656" s="77"/>
      <c r="AG1656" s="77"/>
      <c r="AH1656" s="76"/>
      <c r="AI1656" s="76"/>
      <c r="AJ1656" s="77"/>
      <c r="AK1656" s="77"/>
      <c r="AL1656" s="77"/>
      <c r="AM1656" s="77"/>
      <c r="AN1656" s="77"/>
      <c r="AO1656" s="77"/>
      <c r="AP1656" s="77"/>
      <c r="AQ1656" s="77"/>
      <c r="AR1656" s="77"/>
      <c r="AS1656" s="77"/>
      <c r="AT1656" s="82"/>
    </row>
    <row r="1657" spans="1:46" ht="12.5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3"/>
      <c r="Q1657" s="1"/>
      <c r="R1657" s="1"/>
      <c r="S1657" s="1"/>
      <c r="T1657" s="1"/>
      <c r="U1657" s="1"/>
      <c r="V1657" s="76"/>
      <c r="W1657" s="76"/>
      <c r="X1657" s="77"/>
      <c r="Y1657" s="77"/>
      <c r="Z1657" s="76"/>
      <c r="AA1657" s="76"/>
      <c r="AB1657" s="77"/>
      <c r="AC1657" s="77"/>
      <c r="AD1657" s="76"/>
      <c r="AE1657" s="76"/>
      <c r="AF1657" s="77"/>
      <c r="AG1657" s="77"/>
      <c r="AH1657" s="76"/>
      <c r="AI1657" s="76"/>
      <c r="AJ1657" s="77"/>
      <c r="AK1657" s="77"/>
      <c r="AL1657" s="77"/>
      <c r="AM1657" s="77"/>
      <c r="AN1657" s="77"/>
      <c r="AO1657" s="77"/>
      <c r="AP1657" s="77"/>
      <c r="AQ1657" s="77"/>
      <c r="AR1657" s="77"/>
      <c r="AS1657" s="77"/>
      <c r="AT1657" s="82"/>
    </row>
    <row r="1658" spans="1:46" ht="12.5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3"/>
      <c r="Q1658" s="1"/>
      <c r="R1658" s="1"/>
      <c r="S1658" s="1"/>
      <c r="T1658" s="1"/>
      <c r="U1658" s="1"/>
      <c r="V1658" s="76"/>
      <c r="W1658" s="76"/>
      <c r="X1658" s="77"/>
      <c r="Y1658" s="77"/>
      <c r="Z1658" s="76"/>
      <c r="AA1658" s="76"/>
      <c r="AB1658" s="77"/>
      <c r="AC1658" s="77"/>
      <c r="AD1658" s="76"/>
      <c r="AE1658" s="76"/>
      <c r="AF1658" s="77"/>
      <c r="AG1658" s="77"/>
      <c r="AH1658" s="76"/>
      <c r="AI1658" s="76"/>
      <c r="AJ1658" s="77"/>
      <c r="AK1658" s="77"/>
      <c r="AL1658" s="77"/>
      <c r="AM1658" s="77"/>
      <c r="AN1658" s="77"/>
      <c r="AO1658" s="77"/>
      <c r="AP1658" s="77"/>
      <c r="AQ1658" s="77"/>
      <c r="AR1658" s="77"/>
      <c r="AS1658" s="77"/>
      <c r="AT1658" s="82"/>
    </row>
    <row r="1659" spans="1:46" ht="12.5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3"/>
      <c r="Q1659" s="1"/>
      <c r="R1659" s="1"/>
      <c r="S1659" s="1"/>
      <c r="T1659" s="1"/>
      <c r="U1659" s="1"/>
      <c r="V1659" s="76"/>
      <c r="W1659" s="76"/>
      <c r="X1659" s="77"/>
      <c r="Y1659" s="77"/>
      <c r="Z1659" s="76"/>
      <c r="AA1659" s="76"/>
      <c r="AB1659" s="77"/>
      <c r="AC1659" s="77"/>
      <c r="AD1659" s="76"/>
      <c r="AE1659" s="76"/>
      <c r="AF1659" s="77"/>
      <c r="AG1659" s="77"/>
      <c r="AH1659" s="76"/>
      <c r="AI1659" s="76"/>
      <c r="AJ1659" s="77"/>
      <c r="AK1659" s="77"/>
      <c r="AL1659" s="77"/>
      <c r="AM1659" s="77"/>
      <c r="AN1659" s="77"/>
      <c r="AO1659" s="77"/>
      <c r="AP1659" s="77"/>
      <c r="AQ1659" s="77"/>
      <c r="AR1659" s="77"/>
      <c r="AS1659" s="77"/>
      <c r="AT1659" s="82"/>
    </row>
    <row r="1660" spans="1:46" ht="12.5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3"/>
      <c r="Q1660" s="1"/>
      <c r="R1660" s="1"/>
      <c r="S1660" s="1"/>
      <c r="T1660" s="1"/>
      <c r="U1660" s="1"/>
      <c r="V1660" s="76"/>
      <c r="W1660" s="76"/>
      <c r="X1660" s="77"/>
      <c r="Y1660" s="77"/>
      <c r="Z1660" s="76"/>
      <c r="AA1660" s="76"/>
      <c r="AB1660" s="77"/>
      <c r="AC1660" s="77"/>
      <c r="AD1660" s="76"/>
      <c r="AE1660" s="76"/>
      <c r="AF1660" s="77"/>
      <c r="AG1660" s="77"/>
      <c r="AH1660" s="76"/>
      <c r="AI1660" s="76"/>
      <c r="AJ1660" s="77"/>
      <c r="AK1660" s="77"/>
      <c r="AL1660" s="77"/>
      <c r="AM1660" s="77"/>
      <c r="AN1660" s="77"/>
      <c r="AO1660" s="77"/>
      <c r="AP1660" s="77"/>
      <c r="AQ1660" s="77"/>
      <c r="AR1660" s="77"/>
      <c r="AS1660" s="77"/>
      <c r="AT1660" s="82"/>
    </row>
    <row r="1661" spans="1:46" ht="12.5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3"/>
      <c r="Q1661" s="1"/>
      <c r="R1661" s="1"/>
      <c r="S1661" s="1"/>
      <c r="T1661" s="1"/>
      <c r="U1661" s="1"/>
      <c r="V1661" s="76"/>
      <c r="W1661" s="76"/>
      <c r="X1661" s="77"/>
      <c r="Y1661" s="77"/>
      <c r="Z1661" s="76"/>
      <c r="AA1661" s="76"/>
      <c r="AB1661" s="77"/>
      <c r="AC1661" s="77"/>
      <c r="AD1661" s="76"/>
      <c r="AE1661" s="76"/>
      <c r="AF1661" s="77"/>
      <c r="AG1661" s="77"/>
      <c r="AH1661" s="76"/>
      <c r="AI1661" s="76"/>
      <c r="AJ1661" s="77"/>
      <c r="AK1661" s="77"/>
      <c r="AL1661" s="77"/>
      <c r="AM1661" s="77"/>
      <c r="AN1661" s="77"/>
      <c r="AO1661" s="77"/>
      <c r="AP1661" s="77"/>
      <c r="AQ1661" s="77"/>
      <c r="AR1661" s="77"/>
      <c r="AS1661" s="77"/>
      <c r="AT1661" s="82"/>
    </row>
    <row r="1662" spans="1:46" ht="12.5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3"/>
      <c r="Q1662" s="1"/>
      <c r="R1662" s="1"/>
      <c r="S1662" s="1"/>
      <c r="T1662" s="1"/>
      <c r="U1662" s="1"/>
      <c r="V1662" s="76"/>
      <c r="W1662" s="76"/>
      <c r="X1662" s="77"/>
      <c r="Y1662" s="77"/>
      <c r="Z1662" s="76"/>
      <c r="AA1662" s="76"/>
      <c r="AB1662" s="77"/>
      <c r="AC1662" s="77"/>
      <c r="AD1662" s="76"/>
      <c r="AE1662" s="76"/>
      <c r="AF1662" s="77"/>
      <c r="AG1662" s="77"/>
      <c r="AH1662" s="76"/>
      <c r="AI1662" s="76"/>
      <c r="AJ1662" s="77"/>
      <c r="AK1662" s="77"/>
      <c r="AL1662" s="77"/>
      <c r="AM1662" s="77"/>
      <c r="AN1662" s="77"/>
      <c r="AO1662" s="77"/>
      <c r="AP1662" s="77"/>
      <c r="AQ1662" s="77"/>
      <c r="AR1662" s="77"/>
      <c r="AS1662" s="77"/>
      <c r="AT1662" s="82"/>
    </row>
    <row r="1663" spans="1:46" ht="12.5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3"/>
      <c r="Q1663" s="1"/>
      <c r="R1663" s="1"/>
      <c r="S1663" s="1"/>
      <c r="T1663" s="1"/>
      <c r="U1663" s="1"/>
      <c r="V1663" s="76"/>
      <c r="W1663" s="76"/>
      <c r="X1663" s="77"/>
      <c r="Y1663" s="77"/>
      <c r="Z1663" s="76"/>
      <c r="AA1663" s="76"/>
      <c r="AB1663" s="77"/>
      <c r="AC1663" s="77"/>
      <c r="AD1663" s="76"/>
      <c r="AE1663" s="76"/>
      <c r="AF1663" s="77"/>
      <c r="AG1663" s="77"/>
      <c r="AH1663" s="76"/>
      <c r="AI1663" s="76"/>
      <c r="AJ1663" s="77"/>
      <c r="AK1663" s="77"/>
      <c r="AL1663" s="77"/>
      <c r="AM1663" s="77"/>
      <c r="AN1663" s="77"/>
      <c r="AO1663" s="77"/>
      <c r="AP1663" s="77"/>
      <c r="AQ1663" s="77"/>
      <c r="AR1663" s="77"/>
      <c r="AS1663" s="77"/>
      <c r="AT1663" s="82"/>
    </row>
    <row r="1664" spans="1:46" ht="12.5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3"/>
      <c r="Q1664" s="1"/>
      <c r="R1664" s="1"/>
      <c r="S1664" s="1"/>
      <c r="T1664" s="1"/>
      <c r="U1664" s="1"/>
      <c r="V1664" s="76"/>
      <c r="W1664" s="76"/>
      <c r="X1664" s="77"/>
      <c r="Y1664" s="77"/>
      <c r="Z1664" s="76"/>
      <c r="AA1664" s="76"/>
      <c r="AB1664" s="77"/>
      <c r="AC1664" s="77"/>
      <c r="AD1664" s="76"/>
      <c r="AE1664" s="76"/>
      <c r="AF1664" s="77"/>
      <c r="AG1664" s="77"/>
      <c r="AH1664" s="76"/>
      <c r="AI1664" s="76"/>
      <c r="AJ1664" s="77"/>
      <c r="AK1664" s="77"/>
      <c r="AL1664" s="77"/>
      <c r="AM1664" s="77"/>
      <c r="AN1664" s="77"/>
      <c r="AO1664" s="77"/>
      <c r="AP1664" s="77"/>
      <c r="AQ1664" s="77"/>
      <c r="AR1664" s="77"/>
      <c r="AS1664" s="77"/>
      <c r="AT1664" s="82"/>
    </row>
    <row r="1665" spans="1:46" ht="12.5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3"/>
      <c r="Q1665" s="1"/>
      <c r="R1665" s="1"/>
      <c r="S1665" s="1"/>
      <c r="T1665" s="1"/>
      <c r="U1665" s="1"/>
      <c r="V1665" s="76"/>
      <c r="W1665" s="76"/>
      <c r="X1665" s="77"/>
      <c r="Y1665" s="77"/>
      <c r="Z1665" s="76"/>
      <c r="AA1665" s="76"/>
      <c r="AB1665" s="77"/>
      <c r="AC1665" s="77"/>
      <c r="AD1665" s="76"/>
      <c r="AE1665" s="76"/>
      <c r="AF1665" s="77"/>
      <c r="AG1665" s="77"/>
      <c r="AH1665" s="76"/>
      <c r="AI1665" s="76"/>
      <c r="AJ1665" s="77"/>
      <c r="AK1665" s="77"/>
      <c r="AL1665" s="77"/>
      <c r="AM1665" s="77"/>
      <c r="AN1665" s="77"/>
      <c r="AO1665" s="77"/>
      <c r="AP1665" s="77"/>
      <c r="AQ1665" s="77"/>
      <c r="AR1665" s="77"/>
      <c r="AS1665" s="77"/>
      <c r="AT1665" s="82"/>
    </row>
    <row r="1666" spans="1:46" ht="12.5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3"/>
      <c r="Q1666" s="1"/>
      <c r="R1666" s="1"/>
      <c r="S1666" s="1"/>
      <c r="T1666" s="1"/>
      <c r="U1666" s="1"/>
      <c r="V1666" s="76"/>
      <c r="W1666" s="76"/>
      <c r="X1666" s="77"/>
      <c r="Y1666" s="77"/>
      <c r="Z1666" s="76"/>
      <c r="AA1666" s="76"/>
      <c r="AB1666" s="77"/>
      <c r="AC1666" s="77"/>
      <c r="AD1666" s="76"/>
      <c r="AE1666" s="76"/>
      <c r="AF1666" s="77"/>
      <c r="AG1666" s="77"/>
      <c r="AH1666" s="76"/>
      <c r="AI1666" s="76"/>
      <c r="AJ1666" s="77"/>
      <c r="AK1666" s="77"/>
      <c r="AL1666" s="77"/>
      <c r="AM1666" s="77"/>
      <c r="AN1666" s="77"/>
      <c r="AO1666" s="77"/>
      <c r="AP1666" s="77"/>
      <c r="AQ1666" s="77"/>
      <c r="AR1666" s="77"/>
      <c r="AS1666" s="77"/>
      <c r="AT1666" s="82"/>
    </row>
    <row r="1667" spans="1:46" ht="12.5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3"/>
      <c r="Q1667" s="1"/>
      <c r="R1667" s="1"/>
      <c r="S1667" s="1"/>
      <c r="T1667" s="1"/>
      <c r="U1667" s="1"/>
      <c r="V1667" s="76"/>
      <c r="W1667" s="76"/>
      <c r="X1667" s="77"/>
      <c r="Y1667" s="77"/>
      <c r="Z1667" s="76"/>
      <c r="AA1667" s="76"/>
      <c r="AB1667" s="77"/>
      <c r="AC1667" s="77"/>
      <c r="AD1667" s="76"/>
      <c r="AE1667" s="76"/>
      <c r="AF1667" s="77"/>
      <c r="AG1667" s="77"/>
      <c r="AH1667" s="76"/>
      <c r="AI1667" s="76"/>
      <c r="AJ1667" s="77"/>
      <c r="AK1667" s="77"/>
      <c r="AL1667" s="77"/>
      <c r="AM1667" s="77"/>
      <c r="AN1667" s="77"/>
      <c r="AO1667" s="77"/>
      <c r="AP1667" s="77"/>
      <c r="AQ1667" s="77"/>
      <c r="AR1667" s="77"/>
      <c r="AS1667" s="77"/>
      <c r="AT1667" s="82"/>
    </row>
    <row r="1668" spans="1:46" ht="12.5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3"/>
      <c r="Q1668" s="1"/>
      <c r="R1668" s="1"/>
      <c r="S1668" s="1"/>
      <c r="T1668" s="1"/>
      <c r="U1668" s="1"/>
      <c r="V1668" s="76"/>
      <c r="W1668" s="76"/>
      <c r="X1668" s="77"/>
      <c r="Y1668" s="77"/>
      <c r="Z1668" s="76"/>
      <c r="AA1668" s="76"/>
      <c r="AB1668" s="77"/>
      <c r="AC1668" s="77"/>
      <c r="AD1668" s="76"/>
      <c r="AE1668" s="76"/>
      <c r="AF1668" s="77"/>
      <c r="AG1668" s="77"/>
      <c r="AH1668" s="76"/>
      <c r="AI1668" s="76"/>
      <c r="AJ1668" s="77"/>
      <c r="AK1668" s="77"/>
      <c r="AL1668" s="77"/>
      <c r="AM1668" s="77"/>
      <c r="AN1668" s="77"/>
      <c r="AO1668" s="77"/>
      <c r="AP1668" s="77"/>
      <c r="AQ1668" s="77"/>
      <c r="AR1668" s="77"/>
      <c r="AS1668" s="77"/>
      <c r="AT1668" s="82"/>
    </row>
    <row r="1669" spans="1:46" ht="12.5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3"/>
      <c r="Q1669" s="1"/>
      <c r="R1669" s="1"/>
      <c r="S1669" s="1"/>
      <c r="T1669" s="1"/>
      <c r="U1669" s="1"/>
      <c r="V1669" s="76"/>
      <c r="W1669" s="76"/>
      <c r="X1669" s="77"/>
      <c r="Y1669" s="77"/>
      <c r="Z1669" s="76"/>
      <c r="AA1669" s="76"/>
      <c r="AB1669" s="77"/>
      <c r="AC1669" s="77"/>
      <c r="AD1669" s="76"/>
      <c r="AE1669" s="76"/>
      <c r="AF1669" s="77"/>
      <c r="AG1669" s="77"/>
      <c r="AH1669" s="76"/>
      <c r="AI1669" s="76"/>
      <c r="AJ1669" s="77"/>
      <c r="AK1669" s="77"/>
      <c r="AL1669" s="77"/>
      <c r="AM1669" s="77"/>
      <c r="AN1669" s="77"/>
      <c r="AO1669" s="77"/>
      <c r="AP1669" s="77"/>
      <c r="AQ1669" s="77"/>
      <c r="AR1669" s="77"/>
      <c r="AS1669" s="77"/>
      <c r="AT1669" s="82"/>
    </row>
    <row r="1670" spans="1:46" ht="12.5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3"/>
      <c r="Q1670" s="1"/>
      <c r="R1670" s="1"/>
      <c r="S1670" s="1"/>
      <c r="T1670" s="1"/>
      <c r="U1670" s="1"/>
      <c r="V1670" s="76"/>
      <c r="W1670" s="76"/>
      <c r="X1670" s="77"/>
      <c r="Y1670" s="77"/>
      <c r="Z1670" s="76"/>
      <c r="AA1670" s="76"/>
      <c r="AB1670" s="77"/>
      <c r="AC1670" s="77"/>
      <c r="AD1670" s="76"/>
      <c r="AE1670" s="76"/>
      <c r="AF1670" s="77"/>
      <c r="AG1670" s="77"/>
      <c r="AH1670" s="76"/>
      <c r="AI1670" s="76"/>
      <c r="AJ1670" s="77"/>
      <c r="AK1670" s="77"/>
      <c r="AL1670" s="77"/>
      <c r="AM1670" s="77"/>
      <c r="AN1670" s="77"/>
      <c r="AO1670" s="77"/>
      <c r="AP1670" s="77"/>
      <c r="AQ1670" s="77"/>
      <c r="AR1670" s="77"/>
      <c r="AS1670" s="77"/>
      <c r="AT1670" s="82"/>
    </row>
    <row r="1671" spans="1:46" ht="12.5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3"/>
      <c r="Q1671" s="1"/>
      <c r="R1671" s="1"/>
      <c r="S1671" s="1"/>
      <c r="T1671" s="1"/>
      <c r="U1671" s="1"/>
      <c r="V1671" s="76"/>
      <c r="W1671" s="76"/>
      <c r="X1671" s="77"/>
      <c r="Y1671" s="77"/>
      <c r="Z1671" s="76"/>
      <c r="AA1671" s="76"/>
      <c r="AB1671" s="77"/>
      <c r="AC1671" s="77"/>
      <c r="AD1671" s="76"/>
      <c r="AE1671" s="76"/>
      <c r="AF1671" s="77"/>
      <c r="AG1671" s="77"/>
      <c r="AH1671" s="76"/>
      <c r="AI1671" s="76"/>
      <c r="AJ1671" s="77"/>
      <c r="AK1671" s="77"/>
      <c r="AL1671" s="77"/>
      <c r="AM1671" s="77"/>
      <c r="AN1671" s="77"/>
      <c r="AO1671" s="77"/>
      <c r="AP1671" s="77"/>
      <c r="AQ1671" s="77"/>
      <c r="AR1671" s="77"/>
      <c r="AS1671" s="77"/>
      <c r="AT1671" s="82"/>
    </row>
    <row r="1672" spans="1:46" ht="12.5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3"/>
      <c r="Q1672" s="1"/>
      <c r="R1672" s="1"/>
      <c r="S1672" s="1"/>
      <c r="T1672" s="1"/>
      <c r="U1672" s="1"/>
      <c r="V1672" s="76"/>
      <c r="W1672" s="76"/>
      <c r="X1672" s="77"/>
      <c r="Y1672" s="77"/>
      <c r="Z1672" s="76"/>
      <c r="AA1672" s="76"/>
      <c r="AB1672" s="77"/>
      <c r="AC1672" s="77"/>
      <c r="AD1672" s="76"/>
      <c r="AE1672" s="76"/>
      <c r="AF1672" s="77"/>
      <c r="AG1672" s="77"/>
      <c r="AH1672" s="76"/>
      <c r="AI1672" s="76"/>
      <c r="AJ1672" s="77"/>
      <c r="AK1672" s="77"/>
      <c r="AL1672" s="77"/>
      <c r="AM1672" s="77"/>
      <c r="AN1672" s="77"/>
      <c r="AO1672" s="77"/>
      <c r="AP1672" s="77"/>
      <c r="AQ1672" s="77"/>
      <c r="AR1672" s="77"/>
      <c r="AS1672" s="77"/>
      <c r="AT1672" s="82"/>
    </row>
    <row r="1673" spans="1:46" ht="12.5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3"/>
      <c r="Q1673" s="1"/>
      <c r="R1673" s="1"/>
      <c r="S1673" s="1"/>
      <c r="T1673" s="1"/>
      <c r="U1673" s="1"/>
      <c r="V1673" s="76"/>
      <c r="W1673" s="76"/>
      <c r="X1673" s="77"/>
      <c r="Y1673" s="77"/>
      <c r="Z1673" s="76"/>
      <c r="AA1673" s="76"/>
      <c r="AB1673" s="77"/>
      <c r="AC1673" s="77"/>
      <c r="AD1673" s="76"/>
      <c r="AE1673" s="76"/>
      <c r="AF1673" s="77"/>
      <c r="AG1673" s="77"/>
      <c r="AH1673" s="76"/>
      <c r="AI1673" s="76"/>
      <c r="AJ1673" s="77"/>
      <c r="AK1673" s="77"/>
      <c r="AL1673" s="77"/>
      <c r="AM1673" s="77"/>
      <c r="AN1673" s="77"/>
      <c r="AO1673" s="77"/>
      <c r="AP1673" s="77"/>
      <c r="AQ1673" s="77"/>
      <c r="AR1673" s="77"/>
      <c r="AS1673" s="77"/>
      <c r="AT1673" s="82"/>
    </row>
    <row r="1674" spans="1:46" ht="12.5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3"/>
      <c r="Q1674" s="1"/>
      <c r="R1674" s="1"/>
      <c r="S1674" s="1"/>
      <c r="T1674" s="1"/>
      <c r="U1674" s="1"/>
      <c r="V1674" s="76"/>
      <c r="W1674" s="76"/>
      <c r="X1674" s="77"/>
      <c r="Y1674" s="77"/>
      <c r="Z1674" s="76"/>
      <c r="AA1674" s="76"/>
      <c r="AB1674" s="77"/>
      <c r="AC1674" s="77"/>
      <c r="AD1674" s="76"/>
      <c r="AE1674" s="76"/>
      <c r="AF1674" s="77"/>
      <c r="AG1674" s="77"/>
      <c r="AH1674" s="76"/>
      <c r="AI1674" s="76"/>
      <c r="AJ1674" s="77"/>
      <c r="AK1674" s="77"/>
      <c r="AL1674" s="77"/>
      <c r="AM1674" s="77"/>
      <c r="AN1674" s="77"/>
      <c r="AO1674" s="77"/>
      <c r="AP1674" s="77"/>
      <c r="AQ1674" s="77"/>
      <c r="AR1674" s="77"/>
      <c r="AS1674" s="77"/>
      <c r="AT1674" s="82"/>
    </row>
    <row r="1675" spans="1:46" ht="12.5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3"/>
      <c r="Q1675" s="1"/>
      <c r="R1675" s="1"/>
      <c r="S1675" s="1"/>
      <c r="T1675" s="1"/>
      <c r="U1675" s="1"/>
      <c r="V1675" s="76"/>
      <c r="W1675" s="76"/>
      <c r="X1675" s="77"/>
      <c r="Y1675" s="77"/>
      <c r="Z1675" s="76"/>
      <c r="AA1675" s="76"/>
      <c r="AB1675" s="77"/>
      <c r="AC1675" s="77"/>
      <c r="AD1675" s="76"/>
      <c r="AE1675" s="76"/>
      <c r="AF1675" s="77"/>
      <c r="AG1675" s="77"/>
      <c r="AH1675" s="76"/>
      <c r="AI1675" s="76"/>
      <c r="AJ1675" s="77"/>
      <c r="AK1675" s="77"/>
      <c r="AL1675" s="77"/>
      <c r="AM1675" s="77"/>
      <c r="AN1675" s="77"/>
      <c r="AO1675" s="77"/>
      <c r="AP1675" s="77"/>
      <c r="AQ1675" s="77"/>
      <c r="AR1675" s="77"/>
      <c r="AS1675" s="77"/>
      <c r="AT1675" s="82"/>
    </row>
    <row r="1676" spans="1:46" ht="12.5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3"/>
      <c r="Q1676" s="1"/>
      <c r="R1676" s="1"/>
      <c r="S1676" s="1"/>
      <c r="T1676" s="1"/>
      <c r="U1676" s="1"/>
      <c r="V1676" s="76"/>
      <c r="W1676" s="76"/>
      <c r="X1676" s="77"/>
      <c r="Y1676" s="77"/>
      <c r="Z1676" s="76"/>
      <c r="AA1676" s="76"/>
      <c r="AB1676" s="77"/>
      <c r="AC1676" s="77"/>
      <c r="AD1676" s="76"/>
      <c r="AE1676" s="76"/>
      <c r="AF1676" s="77"/>
      <c r="AG1676" s="77"/>
      <c r="AH1676" s="76"/>
      <c r="AI1676" s="76"/>
      <c r="AJ1676" s="77"/>
      <c r="AK1676" s="77"/>
      <c r="AL1676" s="77"/>
      <c r="AM1676" s="77"/>
      <c r="AN1676" s="77"/>
      <c r="AO1676" s="77"/>
      <c r="AP1676" s="77"/>
      <c r="AQ1676" s="77"/>
      <c r="AR1676" s="77"/>
      <c r="AS1676" s="77"/>
      <c r="AT1676" s="82"/>
    </row>
    <row r="1677" spans="1:46" ht="12.5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3"/>
      <c r="Q1677" s="1"/>
      <c r="R1677" s="1"/>
      <c r="S1677" s="1"/>
      <c r="T1677" s="1"/>
      <c r="U1677" s="1"/>
      <c r="V1677" s="76"/>
      <c r="W1677" s="76"/>
      <c r="X1677" s="77"/>
      <c r="Y1677" s="77"/>
      <c r="Z1677" s="76"/>
      <c r="AA1677" s="76"/>
      <c r="AB1677" s="77"/>
      <c r="AC1677" s="77"/>
      <c r="AD1677" s="76"/>
      <c r="AE1677" s="76"/>
      <c r="AF1677" s="77"/>
      <c r="AG1677" s="77"/>
      <c r="AH1677" s="76"/>
      <c r="AI1677" s="76"/>
      <c r="AJ1677" s="77"/>
      <c r="AK1677" s="77"/>
      <c r="AL1677" s="77"/>
      <c r="AM1677" s="77"/>
      <c r="AN1677" s="77"/>
      <c r="AO1677" s="77"/>
      <c r="AP1677" s="77"/>
      <c r="AQ1677" s="77"/>
      <c r="AR1677" s="77"/>
      <c r="AS1677" s="77"/>
      <c r="AT1677" s="82"/>
    </row>
    <row r="1678" spans="1:46" ht="12.5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3"/>
      <c r="Q1678" s="1"/>
      <c r="R1678" s="1"/>
      <c r="S1678" s="1"/>
      <c r="T1678" s="1"/>
      <c r="U1678" s="1"/>
      <c r="V1678" s="76"/>
      <c r="W1678" s="76"/>
      <c r="X1678" s="77"/>
      <c r="Y1678" s="77"/>
      <c r="Z1678" s="76"/>
      <c r="AA1678" s="76"/>
      <c r="AB1678" s="77"/>
      <c r="AC1678" s="77"/>
      <c r="AD1678" s="76"/>
      <c r="AE1678" s="76"/>
      <c r="AF1678" s="77"/>
      <c r="AG1678" s="77"/>
      <c r="AH1678" s="76"/>
      <c r="AI1678" s="76"/>
      <c r="AJ1678" s="77"/>
      <c r="AK1678" s="77"/>
      <c r="AL1678" s="77"/>
      <c r="AM1678" s="77"/>
      <c r="AN1678" s="77"/>
      <c r="AO1678" s="77"/>
      <c r="AP1678" s="77"/>
      <c r="AQ1678" s="77"/>
      <c r="AR1678" s="77"/>
      <c r="AS1678" s="77"/>
      <c r="AT1678" s="82"/>
    </row>
    <row r="1679" spans="1:46" ht="12.5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3"/>
      <c r="Q1679" s="1"/>
      <c r="R1679" s="1"/>
      <c r="S1679" s="1"/>
      <c r="T1679" s="1"/>
      <c r="U1679" s="1"/>
      <c r="V1679" s="76"/>
      <c r="W1679" s="76"/>
      <c r="X1679" s="77"/>
      <c r="Y1679" s="77"/>
      <c r="Z1679" s="76"/>
      <c r="AA1679" s="76"/>
      <c r="AB1679" s="77"/>
      <c r="AC1679" s="77"/>
      <c r="AD1679" s="76"/>
      <c r="AE1679" s="76"/>
      <c r="AF1679" s="77"/>
      <c r="AG1679" s="77"/>
      <c r="AH1679" s="76"/>
      <c r="AI1679" s="76"/>
      <c r="AJ1679" s="77"/>
      <c r="AK1679" s="77"/>
      <c r="AL1679" s="77"/>
      <c r="AM1679" s="77"/>
      <c r="AN1679" s="77"/>
      <c r="AO1679" s="77"/>
      <c r="AP1679" s="77"/>
      <c r="AQ1679" s="77"/>
      <c r="AR1679" s="77"/>
      <c r="AS1679" s="77"/>
      <c r="AT1679" s="82"/>
    </row>
    <row r="1680" spans="1:46" ht="12.5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3"/>
      <c r="Q1680" s="1"/>
      <c r="R1680" s="1"/>
      <c r="S1680" s="1"/>
      <c r="T1680" s="1"/>
      <c r="U1680" s="1"/>
      <c r="V1680" s="76"/>
      <c r="W1680" s="76"/>
      <c r="X1680" s="77"/>
      <c r="Y1680" s="77"/>
      <c r="Z1680" s="76"/>
      <c r="AA1680" s="76"/>
      <c r="AB1680" s="77"/>
      <c r="AC1680" s="77"/>
      <c r="AD1680" s="76"/>
      <c r="AE1680" s="76"/>
      <c r="AF1680" s="77"/>
      <c r="AG1680" s="77"/>
      <c r="AH1680" s="76"/>
      <c r="AI1680" s="76"/>
      <c r="AJ1680" s="77"/>
      <c r="AK1680" s="77"/>
      <c r="AL1680" s="77"/>
      <c r="AM1680" s="77"/>
      <c r="AN1680" s="77"/>
      <c r="AO1680" s="77"/>
      <c r="AP1680" s="77"/>
      <c r="AQ1680" s="77"/>
      <c r="AR1680" s="77"/>
      <c r="AS1680" s="77"/>
      <c r="AT1680" s="82"/>
    </row>
    <row r="1681" spans="1:46" ht="12.5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3"/>
      <c r="Q1681" s="1"/>
      <c r="R1681" s="1"/>
      <c r="S1681" s="1"/>
      <c r="T1681" s="1"/>
      <c r="U1681" s="1"/>
      <c r="V1681" s="76"/>
      <c r="W1681" s="76"/>
      <c r="X1681" s="77"/>
      <c r="Y1681" s="77"/>
      <c r="Z1681" s="76"/>
      <c r="AA1681" s="76"/>
      <c r="AB1681" s="77"/>
      <c r="AC1681" s="77"/>
      <c r="AD1681" s="76"/>
      <c r="AE1681" s="76"/>
      <c r="AF1681" s="77"/>
      <c r="AG1681" s="77"/>
      <c r="AH1681" s="76"/>
      <c r="AI1681" s="76"/>
      <c r="AJ1681" s="77"/>
      <c r="AK1681" s="77"/>
      <c r="AL1681" s="77"/>
      <c r="AM1681" s="77"/>
      <c r="AN1681" s="77"/>
      <c r="AO1681" s="77"/>
      <c r="AP1681" s="77"/>
      <c r="AQ1681" s="77"/>
      <c r="AR1681" s="77"/>
      <c r="AS1681" s="77"/>
      <c r="AT1681" s="82"/>
    </row>
    <row r="1682" spans="1:46" ht="12.5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3"/>
      <c r="Q1682" s="1"/>
      <c r="R1682" s="1"/>
      <c r="S1682" s="1"/>
      <c r="T1682" s="1"/>
      <c r="U1682" s="1"/>
      <c r="V1682" s="76"/>
      <c r="W1682" s="76"/>
      <c r="X1682" s="77"/>
      <c r="Y1682" s="77"/>
      <c r="Z1682" s="76"/>
      <c r="AA1682" s="76"/>
      <c r="AB1682" s="77"/>
      <c r="AC1682" s="77"/>
      <c r="AD1682" s="76"/>
      <c r="AE1682" s="76"/>
      <c r="AF1682" s="77"/>
      <c r="AG1682" s="77"/>
      <c r="AH1682" s="76"/>
      <c r="AI1682" s="76"/>
      <c r="AJ1682" s="77"/>
      <c r="AK1682" s="77"/>
      <c r="AL1682" s="77"/>
      <c r="AM1682" s="77"/>
      <c r="AN1682" s="77"/>
      <c r="AO1682" s="77"/>
      <c r="AP1682" s="77"/>
      <c r="AQ1682" s="77"/>
      <c r="AR1682" s="77"/>
      <c r="AS1682" s="77"/>
      <c r="AT1682" s="82"/>
    </row>
    <row r="1683" spans="1:46" ht="12.5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3"/>
      <c r="Q1683" s="1"/>
      <c r="R1683" s="1"/>
      <c r="S1683" s="1"/>
      <c r="T1683" s="1"/>
      <c r="U1683" s="1"/>
      <c r="V1683" s="76"/>
      <c r="W1683" s="76"/>
      <c r="X1683" s="77"/>
      <c r="Y1683" s="77"/>
      <c r="Z1683" s="76"/>
      <c r="AA1683" s="76"/>
      <c r="AB1683" s="77"/>
      <c r="AC1683" s="77"/>
      <c r="AD1683" s="76"/>
      <c r="AE1683" s="76"/>
      <c r="AF1683" s="77"/>
      <c r="AG1683" s="77"/>
      <c r="AH1683" s="76"/>
      <c r="AI1683" s="76"/>
      <c r="AJ1683" s="77"/>
      <c r="AK1683" s="77"/>
      <c r="AL1683" s="77"/>
      <c r="AM1683" s="77"/>
      <c r="AN1683" s="77"/>
      <c r="AO1683" s="77"/>
      <c r="AP1683" s="77"/>
      <c r="AQ1683" s="77"/>
      <c r="AR1683" s="77"/>
      <c r="AS1683" s="77"/>
      <c r="AT1683" s="82"/>
    </row>
    <row r="1684" spans="1:46" ht="12.5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3"/>
      <c r="Q1684" s="1"/>
      <c r="R1684" s="1"/>
      <c r="S1684" s="1"/>
      <c r="T1684" s="1"/>
      <c r="U1684" s="1"/>
      <c r="V1684" s="76"/>
      <c r="W1684" s="76"/>
      <c r="X1684" s="77"/>
      <c r="Y1684" s="77"/>
      <c r="Z1684" s="76"/>
      <c r="AA1684" s="76"/>
      <c r="AB1684" s="77"/>
      <c r="AC1684" s="77"/>
      <c r="AD1684" s="76"/>
      <c r="AE1684" s="76"/>
      <c r="AF1684" s="77"/>
      <c r="AG1684" s="77"/>
      <c r="AH1684" s="76"/>
      <c r="AI1684" s="76"/>
      <c r="AJ1684" s="77"/>
      <c r="AK1684" s="77"/>
      <c r="AL1684" s="77"/>
      <c r="AM1684" s="77"/>
      <c r="AN1684" s="77"/>
      <c r="AO1684" s="77"/>
      <c r="AP1684" s="77"/>
      <c r="AQ1684" s="77"/>
      <c r="AR1684" s="77"/>
      <c r="AS1684" s="77"/>
      <c r="AT1684" s="82"/>
    </row>
    <row r="1685" spans="1:46" ht="12.5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3"/>
      <c r="Q1685" s="1"/>
      <c r="R1685" s="1"/>
      <c r="S1685" s="1"/>
      <c r="T1685" s="1"/>
      <c r="U1685" s="1"/>
      <c r="V1685" s="76"/>
      <c r="W1685" s="76"/>
      <c r="X1685" s="77"/>
      <c r="Y1685" s="77"/>
      <c r="Z1685" s="76"/>
      <c r="AA1685" s="76"/>
      <c r="AB1685" s="77"/>
      <c r="AC1685" s="77"/>
      <c r="AD1685" s="76"/>
      <c r="AE1685" s="76"/>
      <c r="AF1685" s="77"/>
      <c r="AG1685" s="77"/>
      <c r="AH1685" s="76"/>
      <c r="AI1685" s="76"/>
      <c r="AJ1685" s="77"/>
      <c r="AK1685" s="77"/>
      <c r="AL1685" s="77"/>
      <c r="AM1685" s="77"/>
      <c r="AN1685" s="77"/>
      <c r="AO1685" s="77"/>
      <c r="AP1685" s="77"/>
      <c r="AQ1685" s="77"/>
      <c r="AR1685" s="77"/>
      <c r="AS1685" s="77"/>
      <c r="AT1685" s="82"/>
    </row>
    <row r="1686" spans="1:46" ht="12.5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3"/>
      <c r="Q1686" s="1"/>
      <c r="R1686" s="1"/>
      <c r="S1686" s="1"/>
      <c r="T1686" s="1"/>
      <c r="U1686" s="1"/>
      <c r="V1686" s="76"/>
      <c r="W1686" s="76"/>
      <c r="X1686" s="77"/>
      <c r="Y1686" s="77"/>
      <c r="Z1686" s="76"/>
      <c r="AA1686" s="76"/>
      <c r="AB1686" s="77"/>
      <c r="AC1686" s="77"/>
      <c r="AD1686" s="76"/>
      <c r="AE1686" s="76"/>
      <c r="AF1686" s="77"/>
      <c r="AG1686" s="77"/>
      <c r="AH1686" s="76"/>
      <c r="AI1686" s="76"/>
      <c r="AJ1686" s="77"/>
      <c r="AK1686" s="77"/>
      <c r="AL1686" s="77"/>
      <c r="AM1686" s="77"/>
      <c r="AN1686" s="77"/>
      <c r="AO1686" s="77"/>
      <c r="AP1686" s="77"/>
      <c r="AQ1686" s="77"/>
      <c r="AR1686" s="77"/>
      <c r="AS1686" s="77"/>
      <c r="AT1686" s="82"/>
    </row>
    <row r="1687" spans="1:46" ht="12.5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3"/>
      <c r="Q1687" s="1"/>
      <c r="R1687" s="1"/>
      <c r="S1687" s="1"/>
      <c r="T1687" s="1"/>
      <c r="U1687" s="1"/>
      <c r="V1687" s="76"/>
      <c r="W1687" s="76"/>
      <c r="X1687" s="77"/>
      <c r="Y1687" s="77"/>
      <c r="Z1687" s="76"/>
      <c r="AA1687" s="76"/>
      <c r="AB1687" s="77"/>
      <c r="AC1687" s="77"/>
      <c r="AD1687" s="76"/>
      <c r="AE1687" s="76"/>
      <c r="AF1687" s="77"/>
      <c r="AG1687" s="77"/>
      <c r="AH1687" s="76"/>
      <c r="AI1687" s="76"/>
      <c r="AJ1687" s="77"/>
      <c r="AK1687" s="77"/>
      <c r="AL1687" s="77"/>
      <c r="AM1687" s="77"/>
      <c r="AN1687" s="77"/>
      <c r="AO1687" s="77"/>
      <c r="AP1687" s="77"/>
      <c r="AQ1687" s="77"/>
      <c r="AR1687" s="77"/>
      <c r="AS1687" s="77"/>
      <c r="AT1687" s="82"/>
    </row>
    <row r="1688" spans="1:46" ht="12.5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3"/>
      <c r="Q1688" s="1"/>
      <c r="R1688" s="1"/>
      <c r="S1688" s="1"/>
      <c r="T1688" s="1"/>
      <c r="U1688" s="1"/>
      <c r="V1688" s="76"/>
      <c r="W1688" s="76"/>
      <c r="X1688" s="77"/>
      <c r="Y1688" s="77"/>
      <c r="Z1688" s="76"/>
      <c r="AA1688" s="76"/>
      <c r="AB1688" s="77"/>
      <c r="AC1688" s="77"/>
      <c r="AD1688" s="76"/>
      <c r="AE1688" s="76"/>
      <c r="AF1688" s="77"/>
      <c r="AG1688" s="77"/>
      <c r="AH1688" s="76"/>
      <c r="AI1688" s="76"/>
      <c r="AJ1688" s="77"/>
      <c r="AK1688" s="77"/>
      <c r="AL1688" s="77"/>
      <c r="AM1688" s="77"/>
      <c r="AN1688" s="77"/>
      <c r="AO1688" s="77"/>
      <c r="AP1688" s="77"/>
      <c r="AQ1688" s="77"/>
      <c r="AR1688" s="77"/>
      <c r="AS1688" s="77"/>
      <c r="AT1688" s="82"/>
    </row>
    <row r="1689" spans="1:46" ht="12.5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3"/>
      <c r="Q1689" s="1"/>
      <c r="R1689" s="1"/>
      <c r="S1689" s="1"/>
      <c r="T1689" s="1"/>
      <c r="U1689" s="1"/>
      <c r="V1689" s="76"/>
      <c r="W1689" s="76"/>
      <c r="X1689" s="77"/>
      <c r="Y1689" s="77"/>
      <c r="Z1689" s="76"/>
      <c r="AA1689" s="76"/>
      <c r="AB1689" s="77"/>
      <c r="AC1689" s="77"/>
      <c r="AD1689" s="76"/>
      <c r="AE1689" s="76"/>
      <c r="AF1689" s="77"/>
      <c r="AG1689" s="77"/>
      <c r="AH1689" s="76"/>
      <c r="AI1689" s="76"/>
      <c r="AJ1689" s="77"/>
      <c r="AK1689" s="77"/>
      <c r="AL1689" s="77"/>
      <c r="AM1689" s="77"/>
      <c r="AN1689" s="77"/>
      <c r="AO1689" s="77"/>
      <c r="AP1689" s="77"/>
      <c r="AQ1689" s="77"/>
      <c r="AR1689" s="77"/>
      <c r="AS1689" s="77"/>
      <c r="AT1689" s="82"/>
    </row>
    <row r="1690" spans="1:46" ht="12.5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3"/>
      <c r="Q1690" s="1"/>
      <c r="R1690" s="1"/>
      <c r="S1690" s="1"/>
      <c r="T1690" s="1"/>
      <c r="U1690" s="1"/>
      <c r="V1690" s="76"/>
      <c r="W1690" s="76"/>
      <c r="X1690" s="77"/>
      <c r="Y1690" s="77"/>
      <c r="Z1690" s="76"/>
      <c r="AA1690" s="76"/>
      <c r="AB1690" s="77"/>
      <c r="AC1690" s="77"/>
      <c r="AD1690" s="76"/>
      <c r="AE1690" s="76"/>
      <c r="AF1690" s="77"/>
      <c r="AG1690" s="77"/>
      <c r="AH1690" s="76"/>
      <c r="AI1690" s="76"/>
      <c r="AJ1690" s="77"/>
      <c r="AK1690" s="77"/>
      <c r="AL1690" s="77"/>
      <c r="AM1690" s="77"/>
      <c r="AN1690" s="77"/>
      <c r="AO1690" s="77"/>
      <c r="AP1690" s="77"/>
      <c r="AQ1690" s="77"/>
      <c r="AR1690" s="77"/>
      <c r="AS1690" s="77"/>
      <c r="AT1690" s="82"/>
    </row>
    <row r="1691" spans="1:46" ht="12.5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3"/>
      <c r="Q1691" s="1"/>
      <c r="R1691" s="1"/>
      <c r="S1691" s="1"/>
      <c r="T1691" s="1"/>
      <c r="U1691" s="1"/>
      <c r="V1691" s="76"/>
      <c r="W1691" s="76"/>
      <c r="X1691" s="77"/>
      <c r="Y1691" s="77"/>
      <c r="Z1691" s="76"/>
      <c r="AA1691" s="76"/>
      <c r="AB1691" s="77"/>
      <c r="AC1691" s="77"/>
      <c r="AD1691" s="76"/>
      <c r="AE1691" s="76"/>
      <c r="AF1691" s="77"/>
      <c r="AG1691" s="77"/>
      <c r="AH1691" s="76"/>
      <c r="AI1691" s="76"/>
      <c r="AJ1691" s="77"/>
      <c r="AK1691" s="77"/>
      <c r="AL1691" s="77"/>
      <c r="AM1691" s="77"/>
      <c r="AN1691" s="77"/>
      <c r="AO1691" s="77"/>
      <c r="AP1691" s="77"/>
      <c r="AQ1691" s="77"/>
      <c r="AR1691" s="77"/>
      <c r="AS1691" s="77"/>
      <c r="AT1691" s="82"/>
    </row>
    <row r="1692" spans="1:46" ht="12.5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3"/>
      <c r="Q1692" s="1"/>
      <c r="R1692" s="1"/>
      <c r="S1692" s="1"/>
      <c r="T1692" s="1"/>
      <c r="U1692" s="1"/>
      <c r="V1692" s="76"/>
      <c r="W1692" s="76"/>
      <c r="X1692" s="77"/>
      <c r="Y1692" s="77"/>
      <c r="Z1692" s="76"/>
      <c r="AA1692" s="76"/>
      <c r="AB1692" s="77"/>
      <c r="AC1692" s="77"/>
      <c r="AD1692" s="76"/>
      <c r="AE1692" s="76"/>
      <c r="AF1692" s="77"/>
      <c r="AG1692" s="77"/>
      <c r="AH1692" s="76"/>
      <c r="AI1692" s="76"/>
      <c r="AJ1692" s="77"/>
      <c r="AK1692" s="77"/>
      <c r="AL1692" s="77"/>
      <c r="AM1692" s="77"/>
      <c r="AN1692" s="77"/>
      <c r="AO1692" s="77"/>
      <c r="AP1692" s="77"/>
      <c r="AQ1692" s="77"/>
      <c r="AR1692" s="77"/>
      <c r="AS1692" s="77"/>
      <c r="AT1692" s="82"/>
    </row>
    <row r="1693" spans="1:46" ht="12.5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3"/>
      <c r="Q1693" s="1"/>
      <c r="R1693" s="1"/>
      <c r="S1693" s="1"/>
      <c r="T1693" s="1"/>
      <c r="U1693" s="1"/>
      <c r="V1693" s="76"/>
      <c r="W1693" s="76"/>
      <c r="X1693" s="77"/>
      <c r="Y1693" s="77"/>
      <c r="Z1693" s="76"/>
      <c r="AA1693" s="76"/>
      <c r="AB1693" s="77"/>
      <c r="AC1693" s="77"/>
      <c r="AD1693" s="76"/>
      <c r="AE1693" s="76"/>
      <c r="AF1693" s="77"/>
      <c r="AG1693" s="77"/>
      <c r="AH1693" s="76"/>
      <c r="AI1693" s="76"/>
      <c r="AJ1693" s="77"/>
      <c r="AK1693" s="77"/>
      <c r="AL1693" s="77"/>
      <c r="AM1693" s="77"/>
      <c r="AN1693" s="77"/>
      <c r="AO1693" s="77"/>
      <c r="AP1693" s="77"/>
      <c r="AQ1693" s="77"/>
      <c r="AR1693" s="77"/>
      <c r="AS1693" s="77"/>
      <c r="AT1693" s="82"/>
    </row>
    <row r="1694" spans="1:46" ht="12.5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3"/>
      <c r="Q1694" s="1"/>
      <c r="R1694" s="1"/>
      <c r="S1694" s="1"/>
      <c r="T1694" s="1"/>
      <c r="U1694" s="1"/>
      <c r="V1694" s="76"/>
      <c r="W1694" s="76"/>
      <c r="X1694" s="77"/>
      <c r="Y1694" s="77"/>
      <c r="Z1694" s="76"/>
      <c r="AA1694" s="76"/>
      <c r="AB1694" s="77"/>
      <c r="AC1694" s="77"/>
      <c r="AD1694" s="76"/>
      <c r="AE1694" s="76"/>
      <c r="AF1694" s="77"/>
      <c r="AG1694" s="77"/>
      <c r="AH1694" s="76"/>
      <c r="AI1694" s="76"/>
      <c r="AJ1694" s="77"/>
      <c r="AK1694" s="77"/>
      <c r="AL1694" s="77"/>
      <c r="AM1694" s="77"/>
      <c r="AN1694" s="77"/>
      <c r="AO1694" s="77"/>
      <c r="AP1694" s="77"/>
      <c r="AQ1694" s="77"/>
      <c r="AR1694" s="77"/>
      <c r="AS1694" s="77"/>
      <c r="AT1694" s="82"/>
    </row>
    <row r="1695" spans="1:46" ht="12.5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3"/>
      <c r="Q1695" s="1"/>
      <c r="R1695" s="1"/>
      <c r="S1695" s="1"/>
      <c r="T1695" s="1"/>
      <c r="U1695" s="1"/>
      <c r="V1695" s="76"/>
      <c r="W1695" s="76"/>
      <c r="X1695" s="77"/>
      <c r="Y1695" s="77"/>
      <c r="Z1695" s="76"/>
      <c r="AA1695" s="76"/>
      <c r="AB1695" s="77"/>
      <c r="AC1695" s="77"/>
      <c r="AD1695" s="76"/>
      <c r="AE1695" s="76"/>
      <c r="AF1695" s="77"/>
      <c r="AG1695" s="77"/>
      <c r="AH1695" s="76"/>
      <c r="AI1695" s="76"/>
      <c r="AJ1695" s="77"/>
      <c r="AK1695" s="77"/>
      <c r="AL1695" s="77"/>
      <c r="AM1695" s="77"/>
      <c r="AN1695" s="77"/>
      <c r="AO1695" s="77"/>
      <c r="AP1695" s="77"/>
      <c r="AQ1695" s="77"/>
      <c r="AR1695" s="77"/>
      <c r="AS1695" s="77"/>
      <c r="AT1695" s="82"/>
    </row>
    <row r="1696" spans="1:46" ht="12.5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3"/>
      <c r="Q1696" s="1"/>
      <c r="R1696" s="1"/>
      <c r="S1696" s="1"/>
      <c r="T1696" s="1"/>
      <c r="U1696" s="1"/>
      <c r="V1696" s="76"/>
      <c r="W1696" s="76"/>
      <c r="X1696" s="77"/>
      <c r="Y1696" s="77"/>
      <c r="Z1696" s="76"/>
      <c r="AA1696" s="76"/>
      <c r="AB1696" s="77"/>
      <c r="AC1696" s="77"/>
      <c r="AD1696" s="76"/>
      <c r="AE1696" s="76"/>
      <c r="AF1696" s="77"/>
      <c r="AG1696" s="77"/>
      <c r="AH1696" s="76"/>
      <c r="AI1696" s="76"/>
      <c r="AJ1696" s="77"/>
      <c r="AK1696" s="77"/>
      <c r="AL1696" s="77"/>
      <c r="AM1696" s="77"/>
      <c r="AN1696" s="77"/>
      <c r="AO1696" s="77"/>
      <c r="AP1696" s="77"/>
      <c r="AQ1696" s="77"/>
      <c r="AR1696" s="77"/>
      <c r="AS1696" s="77"/>
      <c r="AT1696" s="82"/>
    </row>
    <row r="1697" spans="1:46" ht="12.5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3"/>
      <c r="Q1697" s="1"/>
      <c r="R1697" s="1"/>
      <c r="S1697" s="1"/>
      <c r="T1697" s="1"/>
      <c r="U1697" s="1"/>
      <c r="V1697" s="76"/>
      <c r="W1697" s="76"/>
      <c r="X1697" s="77"/>
      <c r="Y1697" s="77"/>
      <c r="Z1697" s="76"/>
      <c r="AA1697" s="76"/>
      <c r="AB1697" s="77"/>
      <c r="AC1697" s="77"/>
      <c r="AD1697" s="76"/>
      <c r="AE1697" s="76"/>
      <c r="AF1697" s="77"/>
      <c r="AG1697" s="77"/>
      <c r="AH1697" s="76"/>
      <c r="AI1697" s="76"/>
      <c r="AJ1697" s="77"/>
      <c r="AK1697" s="77"/>
      <c r="AL1697" s="77"/>
      <c r="AM1697" s="77"/>
      <c r="AN1697" s="77"/>
      <c r="AO1697" s="77"/>
      <c r="AP1697" s="77"/>
      <c r="AQ1697" s="77"/>
      <c r="AR1697" s="77"/>
      <c r="AS1697" s="77"/>
      <c r="AT1697" s="82"/>
    </row>
    <row r="1698" spans="1:46" ht="12.5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3"/>
      <c r="Q1698" s="1"/>
      <c r="R1698" s="1"/>
      <c r="S1698" s="1"/>
      <c r="T1698" s="1"/>
      <c r="U1698" s="1"/>
      <c r="V1698" s="76"/>
      <c r="W1698" s="76"/>
      <c r="X1698" s="77"/>
      <c r="Y1698" s="77"/>
      <c r="Z1698" s="76"/>
      <c r="AA1698" s="76"/>
      <c r="AB1698" s="77"/>
      <c r="AC1698" s="77"/>
      <c r="AD1698" s="76"/>
      <c r="AE1698" s="76"/>
      <c r="AF1698" s="77"/>
      <c r="AG1698" s="77"/>
      <c r="AH1698" s="76"/>
      <c r="AI1698" s="76"/>
      <c r="AJ1698" s="77"/>
      <c r="AK1698" s="77"/>
      <c r="AL1698" s="77"/>
      <c r="AM1698" s="77"/>
      <c r="AN1698" s="77"/>
      <c r="AO1698" s="77"/>
      <c r="AP1698" s="77"/>
      <c r="AQ1698" s="77"/>
      <c r="AR1698" s="77"/>
      <c r="AS1698" s="77"/>
      <c r="AT1698" s="82"/>
    </row>
    <row r="1699" spans="1:46" ht="12.5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3"/>
      <c r="Q1699" s="1"/>
      <c r="R1699" s="1"/>
      <c r="S1699" s="1"/>
      <c r="T1699" s="1"/>
      <c r="U1699" s="1"/>
      <c r="V1699" s="76"/>
      <c r="W1699" s="76"/>
      <c r="X1699" s="77"/>
      <c r="Y1699" s="77"/>
      <c r="Z1699" s="76"/>
      <c r="AA1699" s="76"/>
      <c r="AB1699" s="77"/>
      <c r="AC1699" s="77"/>
      <c r="AD1699" s="76"/>
      <c r="AE1699" s="76"/>
      <c r="AF1699" s="77"/>
      <c r="AG1699" s="77"/>
      <c r="AH1699" s="76"/>
      <c r="AI1699" s="76"/>
      <c r="AJ1699" s="77"/>
      <c r="AK1699" s="77"/>
      <c r="AL1699" s="77"/>
      <c r="AM1699" s="77"/>
      <c r="AN1699" s="77"/>
      <c r="AO1699" s="77"/>
      <c r="AP1699" s="77"/>
      <c r="AQ1699" s="77"/>
      <c r="AR1699" s="77"/>
      <c r="AS1699" s="77"/>
      <c r="AT1699" s="82"/>
    </row>
    <row r="1700" spans="1:46" ht="12.5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3"/>
      <c r="Q1700" s="1"/>
      <c r="R1700" s="1"/>
      <c r="S1700" s="1"/>
      <c r="T1700" s="1"/>
      <c r="U1700" s="1"/>
      <c r="V1700" s="76"/>
      <c r="W1700" s="76"/>
      <c r="X1700" s="77"/>
      <c r="Y1700" s="77"/>
      <c r="Z1700" s="76"/>
      <c r="AA1700" s="76"/>
      <c r="AB1700" s="77"/>
      <c r="AC1700" s="77"/>
      <c r="AD1700" s="76"/>
      <c r="AE1700" s="76"/>
      <c r="AF1700" s="77"/>
      <c r="AG1700" s="77"/>
      <c r="AH1700" s="76"/>
      <c r="AI1700" s="76"/>
      <c r="AJ1700" s="77"/>
      <c r="AK1700" s="77"/>
      <c r="AL1700" s="77"/>
      <c r="AM1700" s="77"/>
      <c r="AN1700" s="77"/>
      <c r="AO1700" s="77"/>
      <c r="AP1700" s="77"/>
      <c r="AQ1700" s="77"/>
      <c r="AR1700" s="77"/>
      <c r="AS1700" s="77"/>
      <c r="AT1700" s="82"/>
    </row>
    <row r="1701" spans="1:46" ht="12.5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3"/>
      <c r="Q1701" s="1"/>
      <c r="R1701" s="1"/>
      <c r="S1701" s="1"/>
      <c r="T1701" s="1"/>
      <c r="U1701" s="1"/>
      <c r="V1701" s="76"/>
      <c r="W1701" s="76"/>
      <c r="X1701" s="77"/>
      <c r="Y1701" s="77"/>
      <c r="Z1701" s="76"/>
      <c r="AA1701" s="76"/>
      <c r="AB1701" s="77"/>
      <c r="AC1701" s="77"/>
      <c r="AD1701" s="76"/>
      <c r="AE1701" s="76"/>
      <c r="AF1701" s="77"/>
      <c r="AG1701" s="77"/>
      <c r="AH1701" s="76"/>
      <c r="AI1701" s="76"/>
      <c r="AJ1701" s="77"/>
      <c r="AK1701" s="77"/>
      <c r="AL1701" s="77"/>
      <c r="AM1701" s="77"/>
      <c r="AN1701" s="77"/>
      <c r="AO1701" s="77"/>
      <c r="AP1701" s="77"/>
      <c r="AQ1701" s="77"/>
      <c r="AR1701" s="77"/>
      <c r="AS1701" s="77"/>
      <c r="AT1701" s="82"/>
    </row>
    <row r="1702" spans="1:46" ht="12.5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3"/>
      <c r="Q1702" s="1"/>
      <c r="R1702" s="1"/>
      <c r="S1702" s="1"/>
      <c r="T1702" s="1"/>
      <c r="U1702" s="1"/>
      <c r="V1702" s="76"/>
      <c r="W1702" s="76"/>
      <c r="X1702" s="77"/>
      <c r="Y1702" s="77"/>
      <c r="Z1702" s="76"/>
      <c r="AA1702" s="76"/>
      <c r="AB1702" s="77"/>
      <c r="AC1702" s="77"/>
      <c r="AD1702" s="76"/>
      <c r="AE1702" s="76"/>
      <c r="AF1702" s="77"/>
      <c r="AG1702" s="77"/>
      <c r="AH1702" s="76"/>
      <c r="AI1702" s="76"/>
      <c r="AJ1702" s="77"/>
      <c r="AK1702" s="77"/>
      <c r="AL1702" s="77"/>
      <c r="AM1702" s="77"/>
      <c r="AN1702" s="77"/>
      <c r="AO1702" s="77"/>
      <c r="AP1702" s="77"/>
      <c r="AQ1702" s="77"/>
      <c r="AR1702" s="77"/>
      <c r="AS1702" s="77"/>
      <c r="AT1702" s="82"/>
    </row>
    <row r="1703" spans="1:46" ht="12.5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3"/>
      <c r="Q1703" s="1"/>
      <c r="R1703" s="1"/>
      <c r="S1703" s="1"/>
      <c r="T1703" s="1"/>
      <c r="U1703" s="1"/>
      <c r="V1703" s="76"/>
      <c r="W1703" s="76"/>
      <c r="X1703" s="77"/>
      <c r="Y1703" s="77"/>
      <c r="Z1703" s="76"/>
      <c r="AA1703" s="76"/>
      <c r="AB1703" s="77"/>
      <c r="AC1703" s="77"/>
      <c r="AD1703" s="76"/>
      <c r="AE1703" s="76"/>
      <c r="AF1703" s="77"/>
      <c r="AG1703" s="77"/>
      <c r="AH1703" s="76"/>
      <c r="AI1703" s="76"/>
      <c r="AJ1703" s="77"/>
      <c r="AK1703" s="77"/>
      <c r="AL1703" s="77"/>
      <c r="AM1703" s="77"/>
      <c r="AN1703" s="77"/>
      <c r="AO1703" s="77"/>
      <c r="AP1703" s="77"/>
      <c r="AQ1703" s="77"/>
      <c r="AR1703" s="77"/>
      <c r="AS1703" s="77"/>
      <c r="AT1703" s="82"/>
    </row>
    <row r="1704" spans="1:46" ht="12.5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3"/>
      <c r="Q1704" s="1"/>
      <c r="R1704" s="1"/>
      <c r="S1704" s="1"/>
      <c r="T1704" s="1"/>
      <c r="U1704" s="1"/>
      <c r="V1704" s="76"/>
      <c r="W1704" s="76"/>
      <c r="X1704" s="77"/>
      <c r="Y1704" s="77"/>
      <c r="Z1704" s="76"/>
      <c r="AA1704" s="76"/>
      <c r="AB1704" s="77"/>
      <c r="AC1704" s="77"/>
      <c r="AD1704" s="76"/>
      <c r="AE1704" s="76"/>
      <c r="AF1704" s="77"/>
      <c r="AG1704" s="77"/>
      <c r="AH1704" s="76"/>
      <c r="AI1704" s="76"/>
      <c r="AJ1704" s="77"/>
      <c r="AK1704" s="77"/>
      <c r="AL1704" s="77"/>
      <c r="AM1704" s="77"/>
      <c r="AN1704" s="77"/>
      <c r="AO1704" s="77"/>
      <c r="AP1704" s="77"/>
      <c r="AQ1704" s="77"/>
      <c r="AR1704" s="77"/>
      <c r="AS1704" s="77"/>
      <c r="AT1704" s="82"/>
    </row>
    <row r="1705" spans="1:46" ht="12.5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3"/>
      <c r="Q1705" s="1"/>
      <c r="R1705" s="1"/>
      <c r="S1705" s="1"/>
      <c r="T1705" s="1"/>
      <c r="U1705" s="1"/>
      <c r="V1705" s="76"/>
      <c r="W1705" s="76"/>
      <c r="X1705" s="77"/>
      <c r="Y1705" s="77"/>
      <c r="Z1705" s="76"/>
      <c r="AA1705" s="76"/>
      <c r="AB1705" s="77"/>
      <c r="AC1705" s="77"/>
      <c r="AD1705" s="76"/>
      <c r="AE1705" s="76"/>
      <c r="AF1705" s="77"/>
      <c r="AG1705" s="77"/>
      <c r="AH1705" s="76"/>
      <c r="AI1705" s="76"/>
      <c r="AJ1705" s="77"/>
      <c r="AK1705" s="77"/>
      <c r="AL1705" s="77"/>
      <c r="AM1705" s="77"/>
      <c r="AN1705" s="77"/>
      <c r="AO1705" s="77"/>
      <c r="AP1705" s="77"/>
      <c r="AQ1705" s="77"/>
      <c r="AR1705" s="77"/>
      <c r="AS1705" s="77"/>
      <c r="AT1705" s="82"/>
    </row>
    <row r="1706" spans="1:46" ht="12.5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3"/>
      <c r="Q1706" s="1"/>
      <c r="R1706" s="1"/>
      <c r="S1706" s="1"/>
      <c r="T1706" s="1"/>
      <c r="U1706" s="1"/>
      <c r="V1706" s="76"/>
      <c r="W1706" s="76"/>
      <c r="X1706" s="77"/>
      <c r="Y1706" s="77"/>
      <c r="Z1706" s="76"/>
      <c r="AA1706" s="76"/>
      <c r="AB1706" s="77"/>
      <c r="AC1706" s="77"/>
      <c r="AD1706" s="76"/>
      <c r="AE1706" s="76"/>
      <c r="AF1706" s="77"/>
      <c r="AG1706" s="77"/>
      <c r="AH1706" s="76"/>
      <c r="AI1706" s="76"/>
      <c r="AJ1706" s="77"/>
      <c r="AK1706" s="77"/>
      <c r="AL1706" s="77"/>
      <c r="AM1706" s="77"/>
      <c r="AN1706" s="77"/>
      <c r="AO1706" s="77"/>
      <c r="AP1706" s="77"/>
      <c r="AQ1706" s="77"/>
      <c r="AR1706" s="77"/>
      <c r="AS1706" s="77"/>
      <c r="AT1706" s="82"/>
    </row>
    <row r="1707" spans="1:46" ht="12.5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3"/>
      <c r="Q1707" s="1"/>
      <c r="R1707" s="1"/>
      <c r="S1707" s="1"/>
      <c r="T1707" s="1"/>
      <c r="U1707" s="1"/>
      <c r="V1707" s="76"/>
      <c r="W1707" s="76"/>
      <c r="X1707" s="77"/>
      <c r="Y1707" s="77"/>
      <c r="Z1707" s="76"/>
      <c r="AA1707" s="76"/>
      <c r="AB1707" s="77"/>
      <c r="AC1707" s="77"/>
      <c r="AD1707" s="76"/>
      <c r="AE1707" s="76"/>
      <c r="AF1707" s="77"/>
      <c r="AG1707" s="77"/>
      <c r="AH1707" s="76"/>
      <c r="AI1707" s="76"/>
      <c r="AJ1707" s="77"/>
      <c r="AK1707" s="77"/>
      <c r="AL1707" s="77"/>
      <c r="AM1707" s="77"/>
      <c r="AN1707" s="77"/>
      <c r="AO1707" s="77"/>
      <c r="AP1707" s="77"/>
      <c r="AQ1707" s="77"/>
      <c r="AR1707" s="77"/>
      <c r="AS1707" s="77"/>
      <c r="AT1707" s="82"/>
    </row>
    <row r="1708" spans="1:46" ht="12.5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3"/>
      <c r="Q1708" s="1"/>
      <c r="R1708" s="1"/>
      <c r="S1708" s="1"/>
      <c r="T1708" s="1"/>
      <c r="U1708" s="1"/>
      <c r="V1708" s="76"/>
      <c r="W1708" s="76"/>
      <c r="X1708" s="77"/>
      <c r="Y1708" s="77"/>
      <c r="Z1708" s="76"/>
      <c r="AA1708" s="76"/>
      <c r="AB1708" s="77"/>
      <c r="AC1708" s="77"/>
      <c r="AD1708" s="76"/>
      <c r="AE1708" s="76"/>
      <c r="AF1708" s="77"/>
      <c r="AG1708" s="77"/>
      <c r="AH1708" s="76"/>
      <c r="AI1708" s="76"/>
      <c r="AJ1708" s="77"/>
      <c r="AK1708" s="77"/>
      <c r="AL1708" s="77"/>
      <c r="AM1708" s="77"/>
      <c r="AN1708" s="77"/>
      <c r="AO1708" s="77"/>
      <c r="AP1708" s="77"/>
      <c r="AQ1708" s="77"/>
      <c r="AR1708" s="77"/>
      <c r="AS1708" s="77"/>
      <c r="AT1708" s="82"/>
    </row>
    <row r="1709" spans="1:46" ht="12.5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3"/>
      <c r="Q1709" s="1"/>
      <c r="R1709" s="1"/>
      <c r="S1709" s="1"/>
      <c r="T1709" s="1"/>
      <c r="U1709" s="1"/>
      <c r="V1709" s="76"/>
      <c r="W1709" s="76"/>
      <c r="X1709" s="77"/>
      <c r="Y1709" s="77"/>
      <c r="Z1709" s="76"/>
      <c r="AA1709" s="76"/>
      <c r="AB1709" s="77"/>
      <c r="AC1709" s="77"/>
      <c r="AD1709" s="76"/>
      <c r="AE1709" s="76"/>
      <c r="AF1709" s="77"/>
      <c r="AG1709" s="77"/>
      <c r="AH1709" s="76"/>
      <c r="AI1709" s="76"/>
      <c r="AJ1709" s="77"/>
      <c r="AK1709" s="77"/>
      <c r="AL1709" s="77"/>
      <c r="AM1709" s="77"/>
      <c r="AN1709" s="77"/>
      <c r="AO1709" s="77"/>
      <c r="AP1709" s="77"/>
      <c r="AQ1709" s="77"/>
      <c r="AR1709" s="77"/>
      <c r="AS1709" s="77"/>
      <c r="AT1709" s="82"/>
    </row>
    <row r="1710" spans="1:46" ht="12.5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3"/>
      <c r="Q1710" s="1"/>
      <c r="R1710" s="1"/>
      <c r="S1710" s="1"/>
      <c r="T1710" s="1"/>
      <c r="U1710" s="1"/>
      <c r="V1710" s="76"/>
      <c r="W1710" s="76"/>
      <c r="X1710" s="77"/>
      <c r="Y1710" s="77"/>
      <c r="Z1710" s="76"/>
      <c r="AA1710" s="76"/>
      <c r="AB1710" s="77"/>
      <c r="AC1710" s="77"/>
      <c r="AD1710" s="76"/>
      <c r="AE1710" s="76"/>
      <c r="AF1710" s="77"/>
      <c r="AG1710" s="77"/>
      <c r="AH1710" s="76"/>
      <c r="AI1710" s="76"/>
      <c r="AJ1710" s="77"/>
      <c r="AK1710" s="77"/>
      <c r="AL1710" s="77"/>
      <c r="AM1710" s="77"/>
      <c r="AN1710" s="77"/>
      <c r="AO1710" s="77"/>
      <c r="AP1710" s="77"/>
      <c r="AQ1710" s="77"/>
      <c r="AR1710" s="77"/>
      <c r="AS1710" s="77"/>
      <c r="AT1710" s="82"/>
    </row>
    <row r="1711" spans="1:46" ht="12.5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3"/>
      <c r="Q1711" s="1"/>
      <c r="R1711" s="1"/>
      <c r="S1711" s="1"/>
      <c r="T1711" s="1"/>
      <c r="U1711" s="1"/>
      <c r="V1711" s="76"/>
      <c r="W1711" s="76"/>
      <c r="X1711" s="77"/>
      <c r="Y1711" s="77"/>
      <c r="Z1711" s="76"/>
      <c r="AA1711" s="76"/>
      <c r="AB1711" s="77"/>
      <c r="AC1711" s="77"/>
      <c r="AD1711" s="76"/>
      <c r="AE1711" s="76"/>
      <c r="AF1711" s="77"/>
      <c r="AG1711" s="77"/>
      <c r="AH1711" s="76"/>
      <c r="AI1711" s="76"/>
      <c r="AJ1711" s="77"/>
      <c r="AK1711" s="77"/>
      <c r="AL1711" s="77"/>
      <c r="AM1711" s="77"/>
      <c r="AN1711" s="77"/>
      <c r="AO1711" s="77"/>
      <c r="AP1711" s="77"/>
      <c r="AQ1711" s="77"/>
      <c r="AR1711" s="77"/>
      <c r="AS1711" s="77"/>
      <c r="AT1711" s="82"/>
    </row>
    <row r="1712" spans="1:46" ht="12.5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3"/>
      <c r="Q1712" s="1"/>
      <c r="R1712" s="1"/>
      <c r="S1712" s="1"/>
      <c r="T1712" s="1"/>
      <c r="U1712" s="1"/>
      <c r="V1712" s="76"/>
      <c r="W1712" s="76"/>
      <c r="X1712" s="77"/>
      <c r="Y1712" s="77"/>
      <c r="Z1712" s="76"/>
      <c r="AA1712" s="76"/>
      <c r="AB1712" s="77"/>
      <c r="AC1712" s="77"/>
      <c r="AD1712" s="76"/>
      <c r="AE1712" s="76"/>
      <c r="AF1712" s="77"/>
      <c r="AG1712" s="77"/>
      <c r="AH1712" s="76"/>
      <c r="AI1712" s="76"/>
      <c r="AJ1712" s="77"/>
      <c r="AK1712" s="77"/>
      <c r="AL1712" s="77"/>
      <c r="AM1712" s="77"/>
      <c r="AN1712" s="77"/>
      <c r="AO1712" s="77"/>
      <c r="AP1712" s="77"/>
      <c r="AQ1712" s="77"/>
      <c r="AR1712" s="77"/>
      <c r="AS1712" s="77"/>
      <c r="AT1712" s="82"/>
    </row>
    <row r="1713" spans="1:46" ht="12.5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3"/>
      <c r="Q1713" s="1"/>
      <c r="R1713" s="1"/>
      <c r="S1713" s="1"/>
      <c r="T1713" s="1"/>
      <c r="U1713" s="1"/>
      <c r="V1713" s="76"/>
      <c r="W1713" s="76"/>
      <c r="X1713" s="77"/>
      <c r="Y1713" s="77"/>
      <c r="Z1713" s="76"/>
      <c r="AA1713" s="76"/>
      <c r="AB1713" s="77"/>
      <c r="AC1713" s="77"/>
      <c r="AD1713" s="76"/>
      <c r="AE1713" s="76"/>
      <c r="AF1713" s="77"/>
      <c r="AG1713" s="77"/>
      <c r="AH1713" s="76"/>
      <c r="AI1713" s="76"/>
      <c r="AJ1713" s="77"/>
      <c r="AK1713" s="77"/>
      <c r="AL1713" s="77"/>
      <c r="AM1713" s="77"/>
      <c r="AN1713" s="77"/>
      <c r="AO1713" s="77"/>
      <c r="AP1713" s="77"/>
      <c r="AQ1713" s="77"/>
      <c r="AR1713" s="77"/>
      <c r="AS1713" s="77"/>
      <c r="AT1713" s="82"/>
    </row>
    <row r="1714" spans="1:46" ht="12.5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3"/>
      <c r="Q1714" s="1"/>
      <c r="R1714" s="1"/>
      <c r="S1714" s="1"/>
      <c r="T1714" s="1"/>
      <c r="U1714" s="1"/>
      <c r="V1714" s="76"/>
      <c r="W1714" s="76"/>
      <c r="X1714" s="77"/>
      <c r="Y1714" s="77"/>
      <c r="Z1714" s="76"/>
      <c r="AA1714" s="76"/>
      <c r="AB1714" s="77"/>
      <c r="AC1714" s="77"/>
      <c r="AD1714" s="76"/>
      <c r="AE1714" s="76"/>
      <c r="AF1714" s="77"/>
      <c r="AG1714" s="77"/>
      <c r="AH1714" s="76"/>
      <c r="AI1714" s="76"/>
      <c r="AJ1714" s="77"/>
      <c r="AK1714" s="77"/>
      <c r="AL1714" s="77"/>
      <c r="AM1714" s="77"/>
      <c r="AN1714" s="77"/>
      <c r="AO1714" s="77"/>
      <c r="AP1714" s="77"/>
      <c r="AQ1714" s="77"/>
      <c r="AR1714" s="77"/>
      <c r="AS1714" s="77"/>
      <c r="AT1714" s="82"/>
    </row>
    <row r="1715" spans="1:46" ht="12.5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3"/>
      <c r="Q1715" s="1"/>
      <c r="R1715" s="1"/>
      <c r="S1715" s="1"/>
      <c r="T1715" s="1"/>
      <c r="U1715" s="1"/>
      <c r="V1715" s="76"/>
      <c r="W1715" s="76"/>
      <c r="X1715" s="77"/>
      <c r="Y1715" s="77"/>
      <c r="Z1715" s="76"/>
      <c r="AA1715" s="76"/>
      <c r="AB1715" s="77"/>
      <c r="AC1715" s="77"/>
      <c r="AD1715" s="76"/>
      <c r="AE1715" s="76"/>
      <c r="AF1715" s="77"/>
      <c r="AG1715" s="77"/>
      <c r="AH1715" s="76"/>
      <c r="AI1715" s="76"/>
      <c r="AJ1715" s="77"/>
      <c r="AK1715" s="77"/>
      <c r="AL1715" s="77"/>
      <c r="AM1715" s="77"/>
      <c r="AN1715" s="77"/>
      <c r="AO1715" s="77"/>
      <c r="AP1715" s="77"/>
      <c r="AQ1715" s="77"/>
      <c r="AR1715" s="77"/>
      <c r="AS1715" s="77"/>
      <c r="AT1715" s="82"/>
    </row>
    <row r="1716" spans="1:46" ht="12.5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3"/>
      <c r="Q1716" s="1"/>
      <c r="R1716" s="1"/>
      <c r="S1716" s="1"/>
      <c r="T1716" s="1"/>
      <c r="U1716" s="1"/>
      <c r="V1716" s="76"/>
      <c r="W1716" s="76"/>
      <c r="X1716" s="77"/>
      <c r="Y1716" s="77"/>
      <c r="Z1716" s="76"/>
      <c r="AA1716" s="76"/>
      <c r="AB1716" s="77"/>
      <c r="AC1716" s="77"/>
      <c r="AD1716" s="76"/>
      <c r="AE1716" s="76"/>
      <c r="AF1716" s="77"/>
      <c r="AG1716" s="77"/>
      <c r="AH1716" s="76"/>
      <c r="AI1716" s="76"/>
      <c r="AJ1716" s="77"/>
      <c r="AK1716" s="77"/>
      <c r="AL1716" s="77"/>
      <c r="AM1716" s="77"/>
      <c r="AN1716" s="77"/>
      <c r="AO1716" s="77"/>
      <c r="AP1716" s="77"/>
      <c r="AQ1716" s="77"/>
      <c r="AR1716" s="77"/>
      <c r="AS1716" s="77"/>
      <c r="AT1716" s="82"/>
    </row>
    <row r="1717" spans="1:46" ht="12.5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3"/>
      <c r="Q1717" s="1"/>
      <c r="R1717" s="1"/>
      <c r="S1717" s="1"/>
      <c r="T1717" s="1"/>
      <c r="U1717" s="1"/>
      <c r="V1717" s="76"/>
      <c r="W1717" s="76"/>
      <c r="X1717" s="77"/>
      <c r="Y1717" s="77"/>
      <c r="Z1717" s="76"/>
      <c r="AA1717" s="76"/>
      <c r="AB1717" s="77"/>
      <c r="AC1717" s="77"/>
      <c r="AD1717" s="76"/>
      <c r="AE1717" s="76"/>
      <c r="AF1717" s="77"/>
      <c r="AG1717" s="77"/>
      <c r="AH1717" s="76"/>
      <c r="AI1717" s="76"/>
      <c r="AJ1717" s="77"/>
      <c r="AK1717" s="77"/>
      <c r="AL1717" s="77"/>
      <c r="AM1717" s="77"/>
      <c r="AN1717" s="77"/>
      <c r="AO1717" s="77"/>
      <c r="AP1717" s="77"/>
      <c r="AQ1717" s="77"/>
      <c r="AR1717" s="77"/>
      <c r="AS1717" s="77"/>
      <c r="AT1717" s="82"/>
    </row>
    <row r="1718" spans="1:46" ht="12.5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3"/>
      <c r="Q1718" s="1"/>
      <c r="R1718" s="1"/>
      <c r="S1718" s="1"/>
      <c r="T1718" s="1"/>
      <c r="U1718" s="1"/>
      <c r="V1718" s="76"/>
      <c r="W1718" s="76"/>
      <c r="X1718" s="77"/>
      <c r="Y1718" s="77"/>
      <c r="Z1718" s="76"/>
      <c r="AA1718" s="76"/>
      <c r="AB1718" s="77"/>
      <c r="AC1718" s="77"/>
      <c r="AD1718" s="76"/>
      <c r="AE1718" s="76"/>
      <c r="AF1718" s="77"/>
      <c r="AG1718" s="77"/>
      <c r="AH1718" s="76"/>
      <c r="AI1718" s="76"/>
      <c r="AJ1718" s="77"/>
      <c r="AK1718" s="77"/>
      <c r="AL1718" s="77"/>
      <c r="AM1718" s="77"/>
      <c r="AN1718" s="77"/>
      <c r="AO1718" s="77"/>
      <c r="AP1718" s="77"/>
      <c r="AQ1718" s="77"/>
      <c r="AR1718" s="77"/>
      <c r="AS1718" s="77"/>
      <c r="AT1718" s="82"/>
    </row>
    <row r="1719" spans="1:46" ht="12.5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3"/>
      <c r="Q1719" s="1"/>
      <c r="R1719" s="1"/>
      <c r="S1719" s="1"/>
      <c r="T1719" s="1"/>
      <c r="U1719" s="1"/>
      <c r="V1719" s="76"/>
      <c r="W1719" s="76"/>
      <c r="X1719" s="77"/>
      <c r="Y1719" s="77"/>
      <c r="Z1719" s="76"/>
      <c r="AA1719" s="76"/>
      <c r="AB1719" s="77"/>
      <c r="AC1719" s="77"/>
      <c r="AD1719" s="76"/>
      <c r="AE1719" s="76"/>
      <c r="AF1719" s="77"/>
      <c r="AG1719" s="77"/>
      <c r="AH1719" s="76"/>
      <c r="AI1719" s="76"/>
      <c r="AJ1719" s="77"/>
      <c r="AK1719" s="77"/>
      <c r="AL1719" s="77"/>
      <c r="AM1719" s="77"/>
      <c r="AN1719" s="77"/>
      <c r="AO1719" s="77"/>
      <c r="AP1719" s="77"/>
      <c r="AQ1719" s="77"/>
      <c r="AR1719" s="77"/>
      <c r="AS1719" s="77"/>
      <c r="AT1719" s="82"/>
    </row>
    <row r="1720" spans="1:46" ht="12.5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3"/>
      <c r="Q1720" s="1"/>
      <c r="R1720" s="1"/>
      <c r="S1720" s="1"/>
      <c r="T1720" s="1"/>
      <c r="U1720" s="1"/>
      <c r="V1720" s="76"/>
      <c r="W1720" s="76"/>
      <c r="X1720" s="77"/>
      <c r="Y1720" s="77"/>
      <c r="Z1720" s="76"/>
      <c r="AA1720" s="76"/>
      <c r="AB1720" s="77"/>
      <c r="AC1720" s="77"/>
      <c r="AD1720" s="76"/>
      <c r="AE1720" s="76"/>
      <c r="AF1720" s="77"/>
      <c r="AG1720" s="77"/>
      <c r="AH1720" s="76"/>
      <c r="AI1720" s="76"/>
      <c r="AJ1720" s="77"/>
      <c r="AK1720" s="77"/>
      <c r="AL1720" s="77"/>
      <c r="AM1720" s="77"/>
      <c r="AN1720" s="77"/>
      <c r="AO1720" s="77"/>
      <c r="AP1720" s="77"/>
      <c r="AQ1720" s="77"/>
      <c r="AR1720" s="77"/>
      <c r="AS1720" s="77"/>
      <c r="AT1720" s="82"/>
    </row>
    <row r="1721" spans="1:46" ht="12.5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3"/>
      <c r="Q1721" s="1"/>
      <c r="R1721" s="1"/>
      <c r="S1721" s="1"/>
      <c r="T1721" s="1"/>
      <c r="U1721" s="1"/>
      <c r="V1721" s="76"/>
      <c r="W1721" s="76"/>
      <c r="X1721" s="77"/>
      <c r="Y1721" s="77"/>
      <c r="Z1721" s="76"/>
      <c r="AA1721" s="76"/>
      <c r="AB1721" s="77"/>
      <c r="AC1721" s="77"/>
      <c r="AD1721" s="76"/>
      <c r="AE1721" s="76"/>
      <c r="AF1721" s="77"/>
      <c r="AG1721" s="77"/>
      <c r="AH1721" s="76"/>
      <c r="AI1721" s="76"/>
      <c r="AJ1721" s="77"/>
      <c r="AK1721" s="77"/>
      <c r="AL1721" s="77"/>
      <c r="AM1721" s="77"/>
      <c r="AN1721" s="77"/>
      <c r="AO1721" s="77"/>
      <c r="AP1721" s="77"/>
      <c r="AQ1721" s="77"/>
      <c r="AR1721" s="77"/>
      <c r="AS1721" s="77"/>
      <c r="AT1721" s="82"/>
    </row>
    <row r="1722" spans="1:46" ht="12.5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3"/>
      <c r="Q1722" s="1"/>
      <c r="R1722" s="1"/>
      <c r="S1722" s="1"/>
      <c r="T1722" s="1"/>
      <c r="U1722" s="1"/>
      <c r="V1722" s="76"/>
      <c r="W1722" s="76"/>
      <c r="X1722" s="77"/>
      <c r="Y1722" s="77"/>
      <c r="Z1722" s="76"/>
      <c r="AA1722" s="76"/>
      <c r="AB1722" s="77"/>
      <c r="AC1722" s="77"/>
      <c r="AD1722" s="76"/>
      <c r="AE1722" s="76"/>
      <c r="AF1722" s="77"/>
      <c r="AG1722" s="77"/>
      <c r="AH1722" s="76"/>
      <c r="AI1722" s="76"/>
      <c r="AJ1722" s="77"/>
      <c r="AK1722" s="77"/>
      <c r="AL1722" s="77"/>
      <c r="AM1722" s="77"/>
      <c r="AN1722" s="77"/>
      <c r="AO1722" s="77"/>
      <c r="AP1722" s="77"/>
      <c r="AQ1722" s="77"/>
      <c r="AR1722" s="77"/>
      <c r="AS1722" s="77"/>
      <c r="AT1722" s="82"/>
    </row>
    <row r="1723" spans="1:46" ht="12.5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3"/>
      <c r="Q1723" s="1"/>
      <c r="R1723" s="1"/>
      <c r="S1723" s="1"/>
      <c r="T1723" s="1"/>
      <c r="U1723" s="1"/>
      <c r="V1723" s="76"/>
      <c r="W1723" s="76"/>
      <c r="X1723" s="77"/>
      <c r="Y1723" s="77"/>
      <c r="Z1723" s="76"/>
      <c r="AA1723" s="76"/>
      <c r="AB1723" s="77"/>
      <c r="AC1723" s="77"/>
      <c r="AD1723" s="76"/>
      <c r="AE1723" s="76"/>
      <c r="AF1723" s="77"/>
      <c r="AG1723" s="77"/>
      <c r="AH1723" s="76"/>
      <c r="AI1723" s="76"/>
      <c r="AJ1723" s="77"/>
      <c r="AK1723" s="77"/>
      <c r="AL1723" s="77"/>
      <c r="AM1723" s="77"/>
      <c r="AN1723" s="77"/>
      <c r="AO1723" s="77"/>
      <c r="AP1723" s="77"/>
      <c r="AQ1723" s="77"/>
      <c r="AR1723" s="77"/>
      <c r="AS1723" s="77"/>
      <c r="AT1723" s="82"/>
    </row>
    <row r="1724" spans="1:46" ht="12.5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3"/>
      <c r="Q1724" s="1"/>
      <c r="R1724" s="1"/>
      <c r="S1724" s="1"/>
      <c r="T1724" s="1"/>
      <c r="U1724" s="1"/>
      <c r="V1724" s="76"/>
      <c r="W1724" s="76"/>
      <c r="X1724" s="77"/>
      <c r="Y1724" s="77"/>
      <c r="Z1724" s="76"/>
      <c r="AA1724" s="76"/>
      <c r="AB1724" s="77"/>
      <c r="AC1724" s="77"/>
      <c r="AD1724" s="76"/>
      <c r="AE1724" s="76"/>
      <c r="AF1724" s="77"/>
      <c r="AG1724" s="77"/>
      <c r="AH1724" s="76"/>
      <c r="AI1724" s="76"/>
      <c r="AJ1724" s="77"/>
      <c r="AK1724" s="77"/>
      <c r="AL1724" s="77"/>
      <c r="AM1724" s="77"/>
      <c r="AN1724" s="77"/>
      <c r="AO1724" s="77"/>
      <c r="AP1724" s="77"/>
      <c r="AQ1724" s="77"/>
      <c r="AR1724" s="77"/>
      <c r="AS1724" s="77"/>
      <c r="AT1724" s="82"/>
    </row>
    <row r="1725" spans="1:46" ht="12.5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3"/>
      <c r="Q1725" s="1"/>
      <c r="R1725" s="1"/>
      <c r="S1725" s="1"/>
      <c r="T1725" s="1"/>
      <c r="U1725" s="1"/>
      <c r="V1725" s="76"/>
      <c r="W1725" s="76"/>
      <c r="X1725" s="77"/>
      <c r="Y1725" s="77"/>
      <c r="Z1725" s="76"/>
      <c r="AA1725" s="76"/>
      <c r="AB1725" s="77"/>
      <c r="AC1725" s="77"/>
      <c r="AD1725" s="76"/>
      <c r="AE1725" s="76"/>
      <c r="AF1725" s="77"/>
      <c r="AG1725" s="77"/>
      <c r="AH1725" s="76"/>
      <c r="AI1725" s="76"/>
      <c r="AJ1725" s="77"/>
      <c r="AK1725" s="77"/>
      <c r="AL1725" s="77"/>
      <c r="AM1725" s="77"/>
      <c r="AN1725" s="77"/>
      <c r="AO1725" s="77"/>
      <c r="AP1725" s="77"/>
      <c r="AQ1725" s="77"/>
      <c r="AR1725" s="77"/>
      <c r="AS1725" s="77"/>
      <c r="AT1725" s="82"/>
    </row>
    <row r="1726" spans="1:46" ht="12.5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3"/>
      <c r="Q1726" s="1"/>
      <c r="R1726" s="1"/>
      <c r="S1726" s="1"/>
      <c r="T1726" s="1"/>
      <c r="U1726" s="1"/>
      <c r="V1726" s="76"/>
      <c r="W1726" s="76"/>
      <c r="X1726" s="77"/>
      <c r="Y1726" s="77"/>
      <c r="Z1726" s="76"/>
      <c r="AA1726" s="76"/>
      <c r="AB1726" s="77"/>
      <c r="AC1726" s="77"/>
      <c r="AD1726" s="76"/>
      <c r="AE1726" s="76"/>
      <c r="AF1726" s="77"/>
      <c r="AG1726" s="77"/>
      <c r="AH1726" s="76"/>
      <c r="AI1726" s="76"/>
      <c r="AJ1726" s="77"/>
      <c r="AK1726" s="77"/>
      <c r="AL1726" s="77"/>
      <c r="AM1726" s="77"/>
      <c r="AN1726" s="77"/>
      <c r="AO1726" s="77"/>
      <c r="AP1726" s="77"/>
      <c r="AQ1726" s="77"/>
      <c r="AR1726" s="77"/>
      <c r="AS1726" s="77"/>
      <c r="AT1726" s="82"/>
    </row>
    <row r="1727" spans="1:46" ht="12.5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3"/>
      <c r="Q1727" s="1"/>
      <c r="R1727" s="1"/>
      <c r="S1727" s="1"/>
      <c r="T1727" s="1"/>
      <c r="U1727" s="1"/>
      <c r="V1727" s="76"/>
      <c r="W1727" s="76"/>
      <c r="X1727" s="77"/>
      <c r="Y1727" s="77"/>
      <c r="Z1727" s="76"/>
      <c r="AA1727" s="76"/>
      <c r="AB1727" s="77"/>
      <c r="AC1727" s="77"/>
      <c r="AD1727" s="76"/>
      <c r="AE1727" s="76"/>
      <c r="AF1727" s="77"/>
      <c r="AG1727" s="77"/>
      <c r="AH1727" s="76"/>
      <c r="AI1727" s="76"/>
      <c r="AJ1727" s="77"/>
      <c r="AK1727" s="77"/>
      <c r="AL1727" s="77"/>
      <c r="AM1727" s="77"/>
      <c r="AN1727" s="77"/>
      <c r="AO1727" s="77"/>
      <c r="AP1727" s="77"/>
      <c r="AQ1727" s="77"/>
      <c r="AR1727" s="77"/>
      <c r="AS1727" s="77"/>
      <c r="AT1727" s="82"/>
    </row>
    <row r="1728" spans="1:46" ht="12.5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3"/>
      <c r="Q1728" s="1"/>
      <c r="R1728" s="1"/>
      <c r="S1728" s="1"/>
      <c r="T1728" s="1"/>
      <c r="U1728" s="1"/>
      <c r="V1728" s="76"/>
      <c r="W1728" s="76"/>
      <c r="X1728" s="77"/>
      <c r="Y1728" s="77"/>
      <c r="Z1728" s="76"/>
      <c r="AA1728" s="76"/>
      <c r="AB1728" s="77"/>
      <c r="AC1728" s="77"/>
      <c r="AD1728" s="76"/>
      <c r="AE1728" s="76"/>
      <c r="AF1728" s="77"/>
      <c r="AG1728" s="77"/>
      <c r="AH1728" s="76"/>
      <c r="AI1728" s="76"/>
      <c r="AJ1728" s="77"/>
      <c r="AK1728" s="77"/>
      <c r="AL1728" s="77"/>
      <c r="AM1728" s="77"/>
      <c r="AN1728" s="77"/>
      <c r="AO1728" s="77"/>
      <c r="AP1728" s="77"/>
      <c r="AQ1728" s="77"/>
      <c r="AR1728" s="77"/>
      <c r="AS1728" s="77"/>
      <c r="AT1728" s="82"/>
    </row>
    <row r="1729" spans="1:46" ht="12.5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3"/>
      <c r="Q1729" s="1"/>
      <c r="R1729" s="1"/>
      <c r="S1729" s="1"/>
      <c r="T1729" s="1"/>
      <c r="U1729" s="1"/>
      <c r="V1729" s="76"/>
      <c r="W1729" s="76"/>
      <c r="X1729" s="77"/>
      <c r="Y1729" s="77"/>
      <c r="Z1729" s="76"/>
      <c r="AA1729" s="76"/>
      <c r="AB1729" s="77"/>
      <c r="AC1729" s="77"/>
      <c r="AD1729" s="76"/>
      <c r="AE1729" s="76"/>
      <c r="AF1729" s="77"/>
      <c r="AG1729" s="77"/>
      <c r="AH1729" s="76"/>
      <c r="AI1729" s="76"/>
      <c r="AJ1729" s="77"/>
      <c r="AK1729" s="77"/>
      <c r="AL1729" s="77"/>
      <c r="AM1729" s="77"/>
      <c r="AN1729" s="77"/>
      <c r="AO1729" s="77"/>
      <c r="AP1729" s="77"/>
      <c r="AQ1729" s="77"/>
      <c r="AR1729" s="77"/>
      <c r="AS1729" s="77"/>
      <c r="AT1729" s="82"/>
    </row>
    <row r="1730" spans="1:46" ht="12.5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3"/>
      <c r="Q1730" s="1"/>
      <c r="R1730" s="1"/>
      <c r="S1730" s="1"/>
      <c r="T1730" s="1"/>
      <c r="U1730" s="1"/>
      <c r="V1730" s="76"/>
      <c r="W1730" s="76"/>
      <c r="X1730" s="77"/>
      <c r="Y1730" s="77"/>
      <c r="Z1730" s="76"/>
      <c r="AA1730" s="76"/>
      <c r="AB1730" s="77"/>
      <c r="AC1730" s="77"/>
      <c r="AD1730" s="76"/>
      <c r="AE1730" s="76"/>
      <c r="AF1730" s="77"/>
      <c r="AG1730" s="77"/>
      <c r="AH1730" s="76"/>
      <c r="AI1730" s="76"/>
      <c r="AJ1730" s="77"/>
      <c r="AK1730" s="77"/>
      <c r="AL1730" s="77"/>
      <c r="AM1730" s="77"/>
      <c r="AN1730" s="77"/>
      <c r="AO1730" s="77"/>
      <c r="AP1730" s="77"/>
      <c r="AQ1730" s="77"/>
      <c r="AR1730" s="77"/>
      <c r="AS1730" s="77"/>
      <c r="AT1730" s="82"/>
    </row>
    <row r="1731" spans="1:46" ht="12.5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3"/>
      <c r="Q1731" s="1"/>
      <c r="R1731" s="1"/>
      <c r="S1731" s="1"/>
      <c r="T1731" s="1"/>
      <c r="U1731" s="1"/>
      <c r="V1731" s="76"/>
      <c r="W1731" s="76"/>
      <c r="X1731" s="77"/>
      <c r="Y1731" s="77"/>
      <c r="Z1731" s="76"/>
      <c r="AA1731" s="76"/>
      <c r="AB1731" s="77"/>
      <c r="AC1731" s="77"/>
      <c r="AD1731" s="76"/>
      <c r="AE1731" s="76"/>
      <c r="AF1731" s="77"/>
      <c r="AG1731" s="77"/>
      <c r="AH1731" s="76"/>
      <c r="AI1731" s="76"/>
      <c r="AJ1731" s="77"/>
      <c r="AK1731" s="77"/>
      <c r="AL1731" s="77"/>
      <c r="AM1731" s="77"/>
      <c r="AN1731" s="77"/>
      <c r="AO1731" s="77"/>
      <c r="AP1731" s="77"/>
      <c r="AQ1731" s="77"/>
      <c r="AR1731" s="77"/>
      <c r="AS1731" s="77"/>
      <c r="AT1731" s="82"/>
    </row>
    <row r="1732" spans="1:46" ht="12.5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3"/>
      <c r="Q1732" s="1"/>
      <c r="R1732" s="1"/>
      <c r="S1732" s="1"/>
      <c r="T1732" s="1"/>
      <c r="U1732" s="1"/>
      <c r="V1732" s="76"/>
      <c r="W1732" s="76"/>
      <c r="X1732" s="77"/>
      <c r="Y1732" s="77"/>
      <c r="Z1732" s="76"/>
      <c r="AA1732" s="76"/>
      <c r="AB1732" s="77"/>
      <c r="AC1732" s="77"/>
      <c r="AD1732" s="76"/>
      <c r="AE1732" s="76"/>
      <c r="AF1732" s="77"/>
      <c r="AG1732" s="77"/>
      <c r="AH1732" s="76"/>
      <c r="AI1732" s="76"/>
      <c r="AJ1732" s="77"/>
      <c r="AK1732" s="77"/>
      <c r="AL1732" s="77"/>
      <c r="AM1732" s="77"/>
      <c r="AN1732" s="77"/>
      <c r="AO1732" s="77"/>
      <c r="AP1732" s="77"/>
      <c r="AQ1732" s="77"/>
      <c r="AR1732" s="77"/>
      <c r="AS1732" s="77"/>
      <c r="AT1732" s="82"/>
    </row>
    <row r="1733" spans="1:46" ht="12.5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3"/>
      <c r="Q1733" s="1"/>
      <c r="R1733" s="1"/>
      <c r="S1733" s="1"/>
      <c r="T1733" s="1"/>
      <c r="U1733" s="1"/>
      <c r="V1733" s="76"/>
      <c r="W1733" s="76"/>
      <c r="X1733" s="77"/>
      <c r="Y1733" s="77"/>
      <c r="Z1733" s="76"/>
      <c r="AA1733" s="76"/>
      <c r="AB1733" s="77"/>
      <c r="AC1733" s="77"/>
      <c r="AD1733" s="76"/>
      <c r="AE1733" s="76"/>
      <c r="AF1733" s="77"/>
      <c r="AG1733" s="77"/>
      <c r="AH1733" s="76"/>
      <c r="AI1733" s="76"/>
      <c r="AJ1733" s="77"/>
      <c r="AK1733" s="77"/>
      <c r="AL1733" s="77"/>
      <c r="AM1733" s="77"/>
      <c r="AN1733" s="77"/>
      <c r="AO1733" s="77"/>
      <c r="AP1733" s="77"/>
      <c r="AQ1733" s="77"/>
      <c r="AR1733" s="77"/>
      <c r="AS1733" s="77"/>
      <c r="AT1733" s="82"/>
    </row>
    <row r="1734" spans="1:46" ht="12.5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3"/>
      <c r="Q1734" s="1"/>
      <c r="R1734" s="1"/>
      <c r="S1734" s="1"/>
      <c r="T1734" s="1"/>
      <c r="U1734" s="1"/>
      <c r="V1734" s="76"/>
      <c r="W1734" s="76"/>
      <c r="X1734" s="77"/>
      <c r="Y1734" s="77"/>
      <c r="Z1734" s="76"/>
      <c r="AA1734" s="76"/>
      <c r="AB1734" s="77"/>
      <c r="AC1734" s="77"/>
      <c r="AD1734" s="76"/>
      <c r="AE1734" s="76"/>
      <c r="AF1734" s="77"/>
      <c r="AG1734" s="77"/>
      <c r="AH1734" s="76"/>
      <c r="AI1734" s="76"/>
      <c r="AJ1734" s="77"/>
      <c r="AK1734" s="77"/>
      <c r="AL1734" s="77"/>
      <c r="AM1734" s="77"/>
      <c r="AN1734" s="77"/>
      <c r="AO1734" s="77"/>
      <c r="AP1734" s="77"/>
      <c r="AQ1734" s="77"/>
      <c r="AR1734" s="77"/>
      <c r="AS1734" s="77"/>
      <c r="AT1734" s="82"/>
    </row>
    <row r="1735" spans="1:46" ht="12.5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3"/>
      <c r="Q1735" s="1"/>
      <c r="R1735" s="1"/>
      <c r="S1735" s="1"/>
      <c r="T1735" s="1"/>
      <c r="U1735" s="1"/>
      <c r="V1735" s="76"/>
      <c r="W1735" s="76"/>
      <c r="X1735" s="77"/>
      <c r="Y1735" s="77"/>
      <c r="Z1735" s="76"/>
      <c r="AA1735" s="76"/>
      <c r="AB1735" s="77"/>
      <c r="AC1735" s="77"/>
      <c r="AD1735" s="76"/>
      <c r="AE1735" s="76"/>
      <c r="AF1735" s="77"/>
      <c r="AG1735" s="77"/>
      <c r="AH1735" s="76"/>
      <c r="AI1735" s="76"/>
      <c r="AJ1735" s="77"/>
      <c r="AK1735" s="77"/>
      <c r="AL1735" s="77"/>
      <c r="AM1735" s="77"/>
      <c r="AN1735" s="77"/>
      <c r="AO1735" s="77"/>
      <c r="AP1735" s="77"/>
      <c r="AQ1735" s="77"/>
      <c r="AR1735" s="77"/>
      <c r="AS1735" s="77"/>
      <c r="AT1735" s="82"/>
    </row>
    <row r="1736" spans="1:46" ht="12.5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3"/>
      <c r="Q1736" s="1"/>
      <c r="R1736" s="1"/>
      <c r="S1736" s="1"/>
      <c r="T1736" s="1"/>
      <c r="U1736" s="1"/>
      <c r="V1736" s="76"/>
      <c r="W1736" s="76"/>
      <c r="X1736" s="77"/>
      <c r="Y1736" s="77"/>
      <c r="Z1736" s="76"/>
      <c r="AA1736" s="76"/>
      <c r="AB1736" s="77"/>
      <c r="AC1736" s="77"/>
      <c r="AD1736" s="76"/>
      <c r="AE1736" s="76"/>
      <c r="AF1736" s="77"/>
      <c r="AG1736" s="77"/>
      <c r="AH1736" s="76"/>
      <c r="AI1736" s="76"/>
      <c r="AJ1736" s="77"/>
      <c r="AK1736" s="77"/>
      <c r="AL1736" s="77"/>
      <c r="AM1736" s="77"/>
      <c r="AN1736" s="77"/>
      <c r="AO1736" s="77"/>
      <c r="AP1736" s="77"/>
      <c r="AQ1736" s="77"/>
      <c r="AR1736" s="77"/>
      <c r="AS1736" s="77"/>
      <c r="AT1736" s="82"/>
    </row>
    <row r="1737" spans="1:46" ht="12.5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3"/>
      <c r="Q1737" s="1"/>
      <c r="R1737" s="1"/>
      <c r="S1737" s="1"/>
      <c r="T1737" s="1"/>
      <c r="U1737" s="1"/>
      <c r="V1737" s="76"/>
      <c r="W1737" s="76"/>
      <c r="X1737" s="77"/>
      <c r="Y1737" s="77"/>
      <c r="Z1737" s="76"/>
      <c r="AA1737" s="76"/>
      <c r="AB1737" s="77"/>
      <c r="AC1737" s="77"/>
      <c r="AD1737" s="76"/>
      <c r="AE1737" s="76"/>
      <c r="AF1737" s="77"/>
      <c r="AG1737" s="77"/>
      <c r="AH1737" s="76"/>
      <c r="AI1737" s="76"/>
      <c r="AJ1737" s="77"/>
      <c r="AK1737" s="77"/>
      <c r="AL1737" s="77"/>
      <c r="AM1737" s="77"/>
      <c r="AN1737" s="77"/>
      <c r="AO1737" s="77"/>
      <c r="AP1737" s="77"/>
      <c r="AQ1737" s="77"/>
      <c r="AR1737" s="77"/>
      <c r="AS1737" s="77"/>
      <c r="AT1737" s="82"/>
    </row>
    <row r="1738" spans="1:46" ht="12.5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3"/>
      <c r="Q1738" s="1"/>
      <c r="R1738" s="1"/>
      <c r="S1738" s="1"/>
      <c r="T1738" s="1"/>
      <c r="U1738" s="1"/>
      <c r="V1738" s="76"/>
      <c r="W1738" s="76"/>
      <c r="X1738" s="77"/>
      <c r="Y1738" s="77"/>
      <c r="Z1738" s="76"/>
      <c r="AA1738" s="76"/>
      <c r="AB1738" s="77"/>
      <c r="AC1738" s="77"/>
      <c r="AD1738" s="76"/>
      <c r="AE1738" s="76"/>
      <c r="AF1738" s="77"/>
      <c r="AG1738" s="77"/>
      <c r="AH1738" s="76"/>
      <c r="AI1738" s="76"/>
      <c r="AJ1738" s="77"/>
      <c r="AK1738" s="77"/>
      <c r="AL1738" s="77"/>
      <c r="AM1738" s="77"/>
      <c r="AN1738" s="77"/>
      <c r="AO1738" s="77"/>
      <c r="AP1738" s="77"/>
      <c r="AQ1738" s="77"/>
      <c r="AR1738" s="77"/>
      <c r="AS1738" s="77"/>
      <c r="AT1738" s="82"/>
    </row>
    <row r="1739" spans="1:46" ht="12.5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3"/>
      <c r="Q1739" s="1"/>
      <c r="R1739" s="1"/>
      <c r="S1739" s="1"/>
      <c r="T1739" s="1"/>
      <c r="U1739" s="1"/>
      <c r="V1739" s="76"/>
      <c r="W1739" s="76"/>
      <c r="X1739" s="77"/>
      <c r="Y1739" s="77"/>
      <c r="Z1739" s="76"/>
      <c r="AA1739" s="76"/>
      <c r="AB1739" s="77"/>
      <c r="AC1739" s="77"/>
      <c r="AD1739" s="76"/>
      <c r="AE1739" s="76"/>
      <c r="AF1739" s="77"/>
      <c r="AG1739" s="77"/>
      <c r="AH1739" s="76"/>
      <c r="AI1739" s="76"/>
      <c r="AJ1739" s="77"/>
      <c r="AK1739" s="77"/>
      <c r="AL1739" s="77"/>
      <c r="AM1739" s="77"/>
      <c r="AN1739" s="77"/>
      <c r="AO1739" s="77"/>
      <c r="AP1739" s="77"/>
      <c r="AQ1739" s="77"/>
      <c r="AR1739" s="77"/>
      <c r="AS1739" s="77"/>
      <c r="AT1739" s="82"/>
    </row>
    <row r="1740" spans="1:46" ht="12.5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3"/>
      <c r="Q1740" s="1"/>
      <c r="R1740" s="1"/>
      <c r="S1740" s="1"/>
      <c r="T1740" s="1"/>
      <c r="U1740" s="1"/>
      <c r="V1740" s="76"/>
      <c r="W1740" s="76"/>
      <c r="X1740" s="77"/>
      <c r="Y1740" s="77"/>
      <c r="Z1740" s="76"/>
      <c r="AA1740" s="76"/>
      <c r="AB1740" s="77"/>
      <c r="AC1740" s="77"/>
      <c r="AD1740" s="76"/>
      <c r="AE1740" s="76"/>
      <c r="AF1740" s="77"/>
      <c r="AG1740" s="77"/>
      <c r="AH1740" s="76"/>
      <c r="AI1740" s="76"/>
      <c r="AJ1740" s="77"/>
      <c r="AK1740" s="77"/>
      <c r="AL1740" s="77"/>
      <c r="AM1740" s="77"/>
      <c r="AN1740" s="77"/>
      <c r="AO1740" s="77"/>
      <c r="AP1740" s="77"/>
      <c r="AQ1740" s="77"/>
      <c r="AR1740" s="77"/>
      <c r="AS1740" s="77"/>
      <c r="AT1740" s="82"/>
    </row>
    <row r="1741" spans="1:46" ht="12.5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3"/>
      <c r="Q1741" s="1"/>
      <c r="R1741" s="1"/>
      <c r="S1741" s="1"/>
      <c r="T1741" s="1"/>
      <c r="U1741" s="1"/>
      <c r="V1741" s="76"/>
      <c r="W1741" s="76"/>
      <c r="X1741" s="77"/>
      <c r="Y1741" s="77"/>
      <c r="Z1741" s="76"/>
      <c r="AA1741" s="76"/>
      <c r="AB1741" s="77"/>
      <c r="AC1741" s="77"/>
      <c r="AD1741" s="76"/>
      <c r="AE1741" s="76"/>
      <c r="AF1741" s="77"/>
      <c r="AG1741" s="77"/>
      <c r="AH1741" s="76"/>
      <c r="AI1741" s="76"/>
      <c r="AJ1741" s="77"/>
      <c r="AK1741" s="77"/>
      <c r="AL1741" s="77"/>
      <c r="AM1741" s="77"/>
      <c r="AN1741" s="77"/>
      <c r="AO1741" s="77"/>
      <c r="AP1741" s="77"/>
      <c r="AQ1741" s="77"/>
      <c r="AR1741" s="77"/>
      <c r="AS1741" s="77"/>
      <c r="AT1741" s="82"/>
    </row>
    <row r="1742" spans="1:46" ht="12.5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3"/>
      <c r="Q1742" s="1"/>
      <c r="R1742" s="1"/>
      <c r="S1742" s="1"/>
      <c r="T1742" s="1"/>
      <c r="U1742" s="1"/>
      <c r="V1742" s="76"/>
      <c r="W1742" s="76"/>
      <c r="X1742" s="77"/>
      <c r="Y1742" s="77"/>
      <c r="Z1742" s="76"/>
      <c r="AA1742" s="76"/>
      <c r="AB1742" s="77"/>
      <c r="AC1742" s="77"/>
      <c r="AD1742" s="76"/>
      <c r="AE1742" s="76"/>
      <c r="AF1742" s="77"/>
      <c r="AG1742" s="77"/>
      <c r="AH1742" s="76"/>
      <c r="AI1742" s="76"/>
      <c r="AJ1742" s="77"/>
      <c r="AK1742" s="77"/>
      <c r="AL1742" s="77"/>
      <c r="AM1742" s="77"/>
      <c r="AN1742" s="77"/>
      <c r="AO1742" s="77"/>
      <c r="AP1742" s="77"/>
      <c r="AQ1742" s="77"/>
      <c r="AR1742" s="77"/>
      <c r="AS1742" s="77"/>
      <c r="AT1742" s="82"/>
    </row>
    <row r="1743" spans="1:46" ht="12.5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3"/>
      <c r="Q1743" s="1"/>
      <c r="R1743" s="1"/>
      <c r="S1743" s="1"/>
      <c r="T1743" s="1"/>
      <c r="U1743" s="1"/>
      <c r="V1743" s="76"/>
      <c r="W1743" s="76"/>
      <c r="X1743" s="77"/>
      <c r="Y1743" s="77"/>
      <c r="Z1743" s="76"/>
      <c r="AA1743" s="76"/>
      <c r="AB1743" s="77"/>
      <c r="AC1743" s="77"/>
      <c r="AD1743" s="76"/>
      <c r="AE1743" s="76"/>
      <c r="AF1743" s="77"/>
      <c r="AG1743" s="77"/>
      <c r="AH1743" s="76"/>
      <c r="AI1743" s="76"/>
      <c r="AJ1743" s="77"/>
      <c r="AK1743" s="77"/>
      <c r="AL1743" s="77"/>
      <c r="AM1743" s="77"/>
      <c r="AN1743" s="77"/>
      <c r="AO1743" s="77"/>
      <c r="AP1743" s="77"/>
      <c r="AQ1743" s="77"/>
      <c r="AR1743" s="77"/>
      <c r="AS1743" s="77"/>
      <c r="AT1743" s="82"/>
    </row>
    <row r="1744" spans="1:46" ht="12.5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3"/>
      <c r="Q1744" s="1"/>
      <c r="R1744" s="1"/>
      <c r="S1744" s="1"/>
      <c r="T1744" s="1"/>
      <c r="U1744" s="1"/>
      <c r="V1744" s="76"/>
      <c r="W1744" s="76"/>
      <c r="X1744" s="77"/>
      <c r="Y1744" s="77"/>
      <c r="Z1744" s="76"/>
      <c r="AA1744" s="76"/>
      <c r="AB1744" s="77"/>
      <c r="AC1744" s="77"/>
      <c r="AD1744" s="76"/>
      <c r="AE1744" s="76"/>
      <c r="AF1744" s="77"/>
      <c r="AG1744" s="77"/>
      <c r="AH1744" s="76"/>
      <c r="AI1744" s="76"/>
      <c r="AJ1744" s="77"/>
      <c r="AK1744" s="77"/>
      <c r="AL1744" s="77"/>
      <c r="AM1744" s="77"/>
      <c r="AN1744" s="77"/>
      <c r="AO1744" s="77"/>
      <c r="AP1744" s="77"/>
      <c r="AQ1744" s="77"/>
      <c r="AR1744" s="77"/>
      <c r="AS1744" s="77"/>
      <c r="AT1744" s="82"/>
    </row>
    <row r="1745" spans="1:46" ht="12.5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3"/>
      <c r="Q1745" s="1"/>
      <c r="R1745" s="1"/>
      <c r="S1745" s="1"/>
      <c r="T1745" s="1"/>
      <c r="U1745" s="1"/>
      <c r="V1745" s="76"/>
      <c r="W1745" s="76"/>
      <c r="X1745" s="77"/>
      <c r="Y1745" s="77"/>
      <c r="Z1745" s="76"/>
      <c r="AA1745" s="76"/>
      <c r="AB1745" s="77"/>
      <c r="AC1745" s="77"/>
      <c r="AD1745" s="76"/>
      <c r="AE1745" s="76"/>
      <c r="AF1745" s="77"/>
      <c r="AG1745" s="77"/>
      <c r="AH1745" s="76"/>
      <c r="AI1745" s="76"/>
      <c r="AJ1745" s="77"/>
      <c r="AK1745" s="77"/>
      <c r="AL1745" s="77"/>
      <c r="AM1745" s="77"/>
      <c r="AN1745" s="77"/>
      <c r="AO1745" s="77"/>
      <c r="AP1745" s="77"/>
      <c r="AQ1745" s="77"/>
      <c r="AR1745" s="77"/>
      <c r="AS1745" s="77"/>
      <c r="AT1745" s="82"/>
    </row>
    <row r="1746" spans="1:46" ht="12.5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3"/>
      <c r="Q1746" s="1"/>
      <c r="R1746" s="1"/>
      <c r="S1746" s="1"/>
      <c r="T1746" s="1"/>
      <c r="U1746" s="1"/>
      <c r="V1746" s="76"/>
      <c r="W1746" s="76"/>
      <c r="X1746" s="77"/>
      <c r="Y1746" s="77"/>
      <c r="Z1746" s="76"/>
      <c r="AA1746" s="76"/>
      <c r="AB1746" s="77"/>
      <c r="AC1746" s="77"/>
      <c r="AD1746" s="76"/>
      <c r="AE1746" s="76"/>
      <c r="AF1746" s="77"/>
      <c r="AG1746" s="77"/>
      <c r="AH1746" s="76"/>
      <c r="AI1746" s="76"/>
      <c r="AJ1746" s="77"/>
      <c r="AK1746" s="77"/>
      <c r="AL1746" s="77"/>
      <c r="AM1746" s="77"/>
      <c r="AN1746" s="77"/>
      <c r="AO1746" s="77"/>
      <c r="AP1746" s="77"/>
      <c r="AQ1746" s="77"/>
      <c r="AR1746" s="77"/>
      <c r="AS1746" s="77"/>
      <c r="AT1746" s="82"/>
    </row>
    <row r="1747" spans="1:46" ht="12.5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3"/>
      <c r="Q1747" s="1"/>
      <c r="R1747" s="1"/>
      <c r="S1747" s="1"/>
      <c r="T1747" s="1"/>
      <c r="U1747" s="1"/>
      <c r="V1747" s="76"/>
      <c r="W1747" s="76"/>
      <c r="X1747" s="77"/>
      <c r="Y1747" s="77"/>
      <c r="Z1747" s="76"/>
      <c r="AA1747" s="76"/>
      <c r="AB1747" s="77"/>
      <c r="AC1747" s="77"/>
      <c r="AD1747" s="76"/>
      <c r="AE1747" s="76"/>
      <c r="AF1747" s="77"/>
      <c r="AG1747" s="77"/>
      <c r="AH1747" s="76"/>
      <c r="AI1747" s="76"/>
      <c r="AJ1747" s="77"/>
      <c r="AK1747" s="77"/>
      <c r="AL1747" s="77"/>
      <c r="AM1747" s="77"/>
      <c r="AN1747" s="77"/>
      <c r="AO1747" s="77"/>
      <c r="AP1747" s="77"/>
      <c r="AQ1747" s="77"/>
      <c r="AR1747" s="77"/>
      <c r="AS1747" s="77"/>
      <c r="AT1747" s="82"/>
    </row>
    <row r="1748" spans="1:46" ht="12.5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3"/>
      <c r="Q1748" s="1"/>
      <c r="R1748" s="1"/>
      <c r="S1748" s="1"/>
      <c r="T1748" s="1"/>
      <c r="U1748" s="1"/>
      <c r="V1748" s="76"/>
      <c r="W1748" s="76"/>
      <c r="X1748" s="77"/>
      <c r="Y1748" s="77"/>
      <c r="Z1748" s="76"/>
      <c r="AA1748" s="76"/>
      <c r="AB1748" s="77"/>
      <c r="AC1748" s="77"/>
      <c r="AD1748" s="76"/>
      <c r="AE1748" s="76"/>
      <c r="AF1748" s="77"/>
      <c r="AG1748" s="77"/>
      <c r="AH1748" s="76"/>
      <c r="AI1748" s="76"/>
      <c r="AJ1748" s="77"/>
      <c r="AK1748" s="77"/>
      <c r="AL1748" s="77"/>
      <c r="AM1748" s="77"/>
      <c r="AN1748" s="77"/>
      <c r="AO1748" s="77"/>
      <c r="AP1748" s="77"/>
      <c r="AQ1748" s="77"/>
      <c r="AR1748" s="77"/>
      <c r="AS1748" s="77"/>
      <c r="AT1748" s="82"/>
    </row>
    <row r="1749" spans="1:46" ht="12.5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3"/>
      <c r="Q1749" s="1"/>
      <c r="R1749" s="1"/>
      <c r="S1749" s="1"/>
      <c r="T1749" s="1"/>
      <c r="U1749" s="1"/>
      <c r="V1749" s="76"/>
      <c r="W1749" s="76"/>
      <c r="X1749" s="77"/>
      <c r="Y1749" s="77"/>
      <c r="Z1749" s="76"/>
      <c r="AA1749" s="76"/>
      <c r="AB1749" s="77"/>
      <c r="AC1749" s="77"/>
      <c r="AD1749" s="76"/>
      <c r="AE1749" s="76"/>
      <c r="AF1749" s="77"/>
      <c r="AG1749" s="77"/>
      <c r="AH1749" s="76"/>
      <c r="AI1749" s="76"/>
      <c r="AJ1749" s="77"/>
      <c r="AK1749" s="77"/>
      <c r="AL1749" s="77"/>
      <c r="AM1749" s="77"/>
      <c r="AN1749" s="77"/>
      <c r="AO1749" s="77"/>
      <c r="AP1749" s="77"/>
      <c r="AQ1749" s="77"/>
      <c r="AR1749" s="77"/>
      <c r="AS1749" s="77"/>
      <c r="AT1749" s="82"/>
    </row>
    <row r="1750" spans="1:46" ht="12.5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3"/>
      <c r="Q1750" s="1"/>
      <c r="R1750" s="1"/>
      <c r="S1750" s="1"/>
      <c r="T1750" s="1"/>
      <c r="U1750" s="1"/>
      <c r="V1750" s="76"/>
      <c r="W1750" s="76"/>
      <c r="X1750" s="77"/>
      <c r="Y1750" s="77"/>
      <c r="Z1750" s="76"/>
      <c r="AA1750" s="76"/>
      <c r="AB1750" s="77"/>
      <c r="AC1750" s="77"/>
      <c r="AD1750" s="76"/>
      <c r="AE1750" s="76"/>
      <c r="AF1750" s="77"/>
      <c r="AG1750" s="77"/>
      <c r="AH1750" s="76"/>
      <c r="AI1750" s="76"/>
      <c r="AJ1750" s="77"/>
      <c r="AK1750" s="77"/>
      <c r="AL1750" s="77"/>
      <c r="AM1750" s="77"/>
      <c r="AN1750" s="77"/>
      <c r="AO1750" s="77"/>
      <c r="AP1750" s="77"/>
      <c r="AQ1750" s="77"/>
      <c r="AR1750" s="77"/>
      <c r="AS1750" s="77"/>
      <c r="AT1750" s="82"/>
    </row>
    <row r="1751" spans="1:46" ht="12.5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3"/>
      <c r="Q1751" s="1"/>
      <c r="R1751" s="1"/>
      <c r="S1751" s="1"/>
      <c r="T1751" s="1"/>
      <c r="U1751" s="1"/>
      <c r="V1751" s="76"/>
      <c r="W1751" s="76"/>
      <c r="X1751" s="77"/>
      <c r="Y1751" s="77"/>
      <c r="Z1751" s="76"/>
      <c r="AA1751" s="76"/>
      <c r="AB1751" s="77"/>
      <c r="AC1751" s="77"/>
      <c r="AD1751" s="76"/>
      <c r="AE1751" s="76"/>
      <c r="AF1751" s="77"/>
      <c r="AG1751" s="77"/>
      <c r="AH1751" s="76"/>
      <c r="AI1751" s="76"/>
      <c r="AJ1751" s="77"/>
      <c r="AK1751" s="77"/>
      <c r="AL1751" s="77"/>
      <c r="AM1751" s="77"/>
      <c r="AN1751" s="77"/>
      <c r="AO1751" s="77"/>
      <c r="AP1751" s="77"/>
      <c r="AQ1751" s="77"/>
      <c r="AR1751" s="77"/>
      <c r="AS1751" s="77"/>
      <c r="AT1751" s="82"/>
    </row>
    <row r="1752" spans="1:46" ht="12.5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3"/>
      <c r="Q1752" s="1"/>
      <c r="R1752" s="1"/>
      <c r="S1752" s="1"/>
      <c r="T1752" s="1"/>
      <c r="U1752" s="1"/>
      <c r="V1752" s="76"/>
      <c r="W1752" s="76"/>
      <c r="X1752" s="77"/>
      <c r="Y1752" s="77"/>
      <c r="Z1752" s="76"/>
      <c r="AA1752" s="76"/>
      <c r="AB1752" s="77"/>
      <c r="AC1752" s="77"/>
      <c r="AD1752" s="76"/>
      <c r="AE1752" s="76"/>
      <c r="AF1752" s="77"/>
      <c r="AG1752" s="77"/>
      <c r="AH1752" s="76"/>
      <c r="AI1752" s="76"/>
      <c r="AJ1752" s="77"/>
      <c r="AK1752" s="77"/>
      <c r="AL1752" s="77"/>
      <c r="AM1752" s="77"/>
      <c r="AN1752" s="77"/>
      <c r="AO1752" s="77"/>
      <c r="AP1752" s="77"/>
      <c r="AQ1752" s="77"/>
      <c r="AR1752" s="77"/>
      <c r="AS1752" s="77"/>
      <c r="AT1752" s="82"/>
    </row>
    <row r="1753" spans="1:46" ht="12.5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3"/>
      <c r="Q1753" s="1"/>
      <c r="R1753" s="1"/>
      <c r="S1753" s="1"/>
      <c r="T1753" s="1"/>
      <c r="U1753" s="1"/>
      <c r="V1753" s="76"/>
      <c r="W1753" s="76"/>
      <c r="X1753" s="77"/>
      <c r="Y1753" s="77"/>
      <c r="Z1753" s="76"/>
      <c r="AA1753" s="76"/>
      <c r="AB1753" s="77"/>
      <c r="AC1753" s="77"/>
      <c r="AD1753" s="76"/>
      <c r="AE1753" s="76"/>
      <c r="AF1753" s="77"/>
      <c r="AG1753" s="77"/>
      <c r="AH1753" s="76"/>
      <c r="AI1753" s="76"/>
      <c r="AJ1753" s="77"/>
      <c r="AK1753" s="77"/>
      <c r="AL1753" s="77"/>
      <c r="AM1753" s="77"/>
      <c r="AN1753" s="77"/>
      <c r="AO1753" s="77"/>
      <c r="AP1753" s="77"/>
      <c r="AQ1753" s="77"/>
      <c r="AR1753" s="77"/>
      <c r="AS1753" s="77"/>
      <c r="AT1753" s="82"/>
    </row>
    <row r="1754" spans="1:46" ht="12.5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3"/>
      <c r="Q1754" s="1"/>
      <c r="R1754" s="1"/>
      <c r="S1754" s="1"/>
      <c r="T1754" s="1"/>
      <c r="U1754" s="1"/>
      <c r="V1754" s="76"/>
      <c r="W1754" s="76"/>
      <c r="X1754" s="77"/>
      <c r="Y1754" s="77"/>
      <c r="Z1754" s="76"/>
      <c r="AA1754" s="76"/>
      <c r="AB1754" s="77"/>
      <c r="AC1754" s="77"/>
      <c r="AD1754" s="76"/>
      <c r="AE1754" s="76"/>
      <c r="AF1754" s="77"/>
      <c r="AG1754" s="77"/>
      <c r="AH1754" s="76"/>
      <c r="AI1754" s="76"/>
      <c r="AJ1754" s="77"/>
      <c r="AK1754" s="77"/>
      <c r="AL1754" s="77"/>
      <c r="AM1754" s="77"/>
      <c r="AN1754" s="77"/>
      <c r="AO1754" s="77"/>
      <c r="AP1754" s="77"/>
      <c r="AQ1754" s="77"/>
      <c r="AR1754" s="77"/>
      <c r="AS1754" s="77"/>
      <c r="AT1754" s="82"/>
    </row>
    <row r="1755" spans="1:46" ht="12.5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3"/>
      <c r="Q1755" s="1"/>
      <c r="R1755" s="1"/>
      <c r="S1755" s="1"/>
      <c r="T1755" s="1"/>
      <c r="U1755" s="1"/>
      <c r="V1755" s="76"/>
      <c r="W1755" s="76"/>
      <c r="X1755" s="77"/>
      <c r="Y1755" s="77"/>
      <c r="Z1755" s="76"/>
      <c r="AA1755" s="76"/>
      <c r="AB1755" s="77"/>
      <c r="AC1755" s="77"/>
      <c r="AD1755" s="76"/>
      <c r="AE1755" s="76"/>
      <c r="AF1755" s="77"/>
      <c r="AG1755" s="77"/>
      <c r="AH1755" s="76"/>
      <c r="AI1755" s="76"/>
      <c r="AJ1755" s="77"/>
      <c r="AK1755" s="77"/>
      <c r="AL1755" s="77"/>
      <c r="AM1755" s="77"/>
      <c r="AN1755" s="77"/>
      <c r="AO1755" s="77"/>
      <c r="AP1755" s="77"/>
      <c r="AQ1755" s="77"/>
      <c r="AR1755" s="77"/>
      <c r="AS1755" s="77"/>
      <c r="AT1755" s="82"/>
    </row>
    <row r="1756" spans="1:46" ht="12.5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3"/>
      <c r="Q1756" s="1"/>
      <c r="R1756" s="1"/>
      <c r="S1756" s="1"/>
      <c r="T1756" s="1"/>
      <c r="U1756" s="1"/>
      <c r="V1756" s="76"/>
      <c r="W1756" s="76"/>
      <c r="X1756" s="77"/>
      <c r="Y1756" s="77"/>
      <c r="Z1756" s="76"/>
      <c r="AA1756" s="76"/>
      <c r="AB1756" s="77"/>
      <c r="AC1756" s="77"/>
      <c r="AD1756" s="76"/>
      <c r="AE1756" s="76"/>
      <c r="AF1756" s="77"/>
      <c r="AG1756" s="77"/>
      <c r="AH1756" s="76"/>
      <c r="AI1756" s="76"/>
      <c r="AJ1756" s="77"/>
      <c r="AK1756" s="77"/>
      <c r="AL1756" s="77"/>
      <c r="AM1756" s="77"/>
      <c r="AN1756" s="77"/>
      <c r="AO1756" s="77"/>
      <c r="AP1756" s="77"/>
      <c r="AQ1756" s="77"/>
      <c r="AR1756" s="77"/>
      <c r="AS1756" s="77"/>
      <c r="AT1756" s="82"/>
    </row>
    <row r="1757" spans="1:46" ht="12.5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3"/>
      <c r="Q1757" s="1"/>
      <c r="R1757" s="1"/>
      <c r="S1757" s="1"/>
      <c r="T1757" s="1"/>
      <c r="U1757" s="1"/>
      <c r="V1757" s="76"/>
      <c r="W1757" s="76"/>
      <c r="X1757" s="77"/>
      <c r="Y1757" s="77"/>
      <c r="Z1757" s="76"/>
      <c r="AA1757" s="76"/>
      <c r="AB1757" s="77"/>
      <c r="AC1757" s="77"/>
      <c r="AD1757" s="76"/>
      <c r="AE1757" s="76"/>
      <c r="AF1757" s="77"/>
      <c r="AG1757" s="77"/>
      <c r="AH1757" s="76"/>
      <c r="AI1757" s="76"/>
      <c r="AJ1757" s="77"/>
      <c r="AK1757" s="77"/>
      <c r="AL1757" s="77"/>
      <c r="AM1757" s="77"/>
      <c r="AN1757" s="77"/>
      <c r="AO1757" s="77"/>
      <c r="AP1757" s="77"/>
      <c r="AQ1757" s="77"/>
      <c r="AR1757" s="77"/>
      <c r="AS1757" s="77"/>
      <c r="AT1757" s="82"/>
    </row>
    <row r="1758" spans="1:46" ht="12.5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3"/>
      <c r="Q1758" s="1"/>
      <c r="R1758" s="1"/>
      <c r="S1758" s="1"/>
      <c r="T1758" s="1"/>
      <c r="U1758" s="1"/>
      <c r="V1758" s="76"/>
      <c r="W1758" s="76"/>
      <c r="X1758" s="77"/>
      <c r="Y1758" s="77"/>
      <c r="Z1758" s="76"/>
      <c r="AA1758" s="76"/>
      <c r="AB1758" s="77"/>
      <c r="AC1758" s="77"/>
      <c r="AD1758" s="76"/>
      <c r="AE1758" s="76"/>
      <c r="AF1758" s="77"/>
      <c r="AG1758" s="77"/>
      <c r="AH1758" s="76"/>
      <c r="AI1758" s="76"/>
      <c r="AJ1758" s="77"/>
      <c r="AK1758" s="77"/>
      <c r="AL1758" s="77"/>
      <c r="AM1758" s="77"/>
      <c r="AN1758" s="77"/>
      <c r="AO1758" s="77"/>
      <c r="AP1758" s="77"/>
      <c r="AQ1758" s="77"/>
      <c r="AR1758" s="77"/>
      <c r="AS1758" s="77"/>
      <c r="AT1758" s="82"/>
    </row>
    <row r="1759" spans="1:46" ht="12.5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3"/>
      <c r="Q1759" s="1"/>
      <c r="R1759" s="1"/>
      <c r="S1759" s="1"/>
      <c r="T1759" s="1"/>
      <c r="U1759" s="1"/>
      <c r="V1759" s="76"/>
      <c r="W1759" s="76"/>
      <c r="X1759" s="77"/>
      <c r="Y1759" s="77"/>
      <c r="Z1759" s="76"/>
      <c r="AA1759" s="76"/>
      <c r="AB1759" s="77"/>
      <c r="AC1759" s="77"/>
      <c r="AD1759" s="76"/>
      <c r="AE1759" s="76"/>
      <c r="AF1759" s="77"/>
      <c r="AG1759" s="77"/>
      <c r="AH1759" s="76"/>
      <c r="AI1759" s="76"/>
      <c r="AJ1759" s="77"/>
      <c r="AK1759" s="77"/>
      <c r="AL1759" s="77"/>
      <c r="AM1759" s="77"/>
      <c r="AN1759" s="77"/>
      <c r="AO1759" s="77"/>
      <c r="AP1759" s="77"/>
      <c r="AQ1759" s="77"/>
      <c r="AR1759" s="77"/>
      <c r="AS1759" s="77"/>
      <c r="AT1759" s="82"/>
    </row>
    <row r="1760" spans="1:46" ht="12.5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3"/>
      <c r="Q1760" s="1"/>
      <c r="R1760" s="1"/>
      <c r="S1760" s="1"/>
      <c r="T1760" s="1"/>
      <c r="U1760" s="1"/>
      <c r="V1760" s="76"/>
      <c r="W1760" s="76"/>
      <c r="X1760" s="77"/>
      <c r="Y1760" s="77"/>
      <c r="Z1760" s="76"/>
      <c r="AA1760" s="76"/>
      <c r="AB1760" s="77"/>
      <c r="AC1760" s="77"/>
      <c r="AD1760" s="76"/>
      <c r="AE1760" s="76"/>
      <c r="AF1760" s="77"/>
      <c r="AG1760" s="77"/>
      <c r="AH1760" s="76"/>
      <c r="AI1760" s="76"/>
      <c r="AJ1760" s="77"/>
      <c r="AK1760" s="77"/>
      <c r="AL1760" s="77"/>
      <c r="AM1760" s="77"/>
      <c r="AN1760" s="77"/>
      <c r="AO1760" s="77"/>
      <c r="AP1760" s="77"/>
      <c r="AQ1760" s="77"/>
      <c r="AR1760" s="77"/>
      <c r="AS1760" s="77"/>
      <c r="AT1760" s="82"/>
    </row>
    <row r="1761" spans="1:46" ht="12.5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3"/>
      <c r="Q1761" s="1"/>
      <c r="R1761" s="1"/>
      <c r="S1761" s="1"/>
      <c r="T1761" s="1"/>
      <c r="U1761" s="1"/>
      <c r="V1761" s="76"/>
      <c r="W1761" s="76"/>
      <c r="X1761" s="77"/>
      <c r="Y1761" s="77"/>
      <c r="Z1761" s="76"/>
      <c r="AA1761" s="76"/>
      <c r="AB1761" s="77"/>
      <c r="AC1761" s="77"/>
      <c r="AD1761" s="76"/>
      <c r="AE1761" s="76"/>
      <c r="AF1761" s="77"/>
      <c r="AG1761" s="77"/>
      <c r="AH1761" s="76"/>
      <c r="AI1761" s="76"/>
      <c r="AJ1761" s="77"/>
      <c r="AK1761" s="77"/>
      <c r="AL1761" s="77"/>
      <c r="AM1761" s="77"/>
      <c r="AN1761" s="77"/>
      <c r="AO1761" s="77"/>
      <c r="AP1761" s="77"/>
      <c r="AQ1761" s="77"/>
      <c r="AR1761" s="77"/>
      <c r="AS1761" s="77"/>
      <c r="AT1761" s="82"/>
    </row>
    <row r="1762" spans="1:46" ht="12.5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3"/>
      <c r="Q1762" s="1"/>
      <c r="R1762" s="1"/>
      <c r="S1762" s="1"/>
      <c r="T1762" s="1"/>
      <c r="U1762" s="1"/>
      <c r="V1762" s="76"/>
      <c r="W1762" s="76"/>
      <c r="X1762" s="77"/>
      <c r="Y1762" s="77"/>
      <c r="Z1762" s="76"/>
      <c r="AA1762" s="76"/>
      <c r="AB1762" s="77"/>
      <c r="AC1762" s="77"/>
      <c r="AD1762" s="76"/>
      <c r="AE1762" s="76"/>
      <c r="AF1762" s="77"/>
      <c r="AG1762" s="77"/>
      <c r="AH1762" s="76"/>
      <c r="AI1762" s="76"/>
      <c r="AJ1762" s="77"/>
      <c r="AK1762" s="77"/>
      <c r="AL1762" s="77"/>
      <c r="AM1762" s="77"/>
      <c r="AN1762" s="77"/>
      <c r="AO1762" s="77"/>
      <c r="AP1762" s="77"/>
      <c r="AQ1762" s="77"/>
      <c r="AR1762" s="77"/>
      <c r="AS1762" s="77"/>
      <c r="AT1762" s="82"/>
    </row>
    <row r="1763" spans="1:46" ht="12.5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3"/>
      <c r="Q1763" s="1"/>
      <c r="R1763" s="1"/>
      <c r="S1763" s="1"/>
      <c r="T1763" s="1"/>
      <c r="U1763" s="1"/>
      <c r="V1763" s="76"/>
      <c r="W1763" s="76"/>
      <c r="X1763" s="77"/>
      <c r="Y1763" s="77"/>
      <c r="Z1763" s="76"/>
      <c r="AA1763" s="76"/>
      <c r="AB1763" s="77"/>
      <c r="AC1763" s="77"/>
      <c r="AD1763" s="76"/>
      <c r="AE1763" s="76"/>
      <c r="AF1763" s="77"/>
      <c r="AG1763" s="77"/>
      <c r="AH1763" s="76"/>
      <c r="AI1763" s="76"/>
      <c r="AJ1763" s="77"/>
      <c r="AK1763" s="77"/>
      <c r="AL1763" s="77"/>
      <c r="AM1763" s="77"/>
      <c r="AN1763" s="77"/>
      <c r="AO1763" s="77"/>
      <c r="AP1763" s="77"/>
      <c r="AQ1763" s="77"/>
      <c r="AR1763" s="77"/>
      <c r="AS1763" s="77"/>
      <c r="AT1763" s="82"/>
    </row>
    <row r="1764" spans="1:46" ht="12.5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3"/>
      <c r="Q1764" s="1"/>
      <c r="R1764" s="1"/>
      <c r="S1764" s="1"/>
      <c r="T1764" s="1"/>
      <c r="U1764" s="1"/>
      <c r="V1764" s="76"/>
      <c r="W1764" s="76"/>
      <c r="X1764" s="77"/>
      <c r="Y1764" s="77"/>
      <c r="Z1764" s="76"/>
      <c r="AA1764" s="76"/>
      <c r="AB1764" s="77"/>
      <c r="AC1764" s="77"/>
      <c r="AD1764" s="76"/>
      <c r="AE1764" s="76"/>
      <c r="AF1764" s="77"/>
      <c r="AG1764" s="77"/>
      <c r="AH1764" s="76"/>
      <c r="AI1764" s="76"/>
      <c r="AJ1764" s="77"/>
      <c r="AK1764" s="77"/>
      <c r="AL1764" s="77"/>
      <c r="AM1764" s="77"/>
      <c r="AN1764" s="77"/>
      <c r="AO1764" s="77"/>
      <c r="AP1764" s="77"/>
      <c r="AQ1764" s="77"/>
      <c r="AR1764" s="77"/>
      <c r="AS1764" s="77"/>
      <c r="AT1764" s="82"/>
    </row>
    <row r="1765" spans="1:46" ht="12.5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3"/>
      <c r="Q1765" s="1"/>
      <c r="R1765" s="1"/>
      <c r="S1765" s="1"/>
      <c r="T1765" s="1"/>
      <c r="U1765" s="1"/>
      <c r="V1765" s="76"/>
      <c r="W1765" s="76"/>
      <c r="X1765" s="77"/>
      <c r="Y1765" s="77"/>
      <c r="Z1765" s="76"/>
      <c r="AA1765" s="76"/>
      <c r="AB1765" s="77"/>
      <c r="AC1765" s="77"/>
      <c r="AD1765" s="76"/>
      <c r="AE1765" s="76"/>
      <c r="AF1765" s="77"/>
      <c r="AG1765" s="77"/>
      <c r="AH1765" s="76"/>
      <c r="AI1765" s="76"/>
      <c r="AJ1765" s="77"/>
      <c r="AK1765" s="77"/>
      <c r="AL1765" s="77"/>
      <c r="AM1765" s="77"/>
      <c r="AN1765" s="77"/>
      <c r="AO1765" s="77"/>
      <c r="AP1765" s="77"/>
      <c r="AQ1765" s="77"/>
      <c r="AR1765" s="77"/>
      <c r="AS1765" s="77"/>
      <c r="AT1765" s="82"/>
    </row>
    <row r="1766" spans="1:46" ht="12.5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3"/>
      <c r="Q1766" s="1"/>
      <c r="R1766" s="1"/>
      <c r="S1766" s="1"/>
      <c r="T1766" s="1"/>
      <c r="U1766" s="1"/>
      <c r="V1766" s="76"/>
      <c r="W1766" s="76"/>
      <c r="X1766" s="77"/>
      <c r="Y1766" s="77"/>
      <c r="Z1766" s="76"/>
      <c r="AA1766" s="76"/>
      <c r="AB1766" s="77"/>
      <c r="AC1766" s="77"/>
      <c r="AD1766" s="76"/>
      <c r="AE1766" s="76"/>
      <c r="AF1766" s="77"/>
      <c r="AG1766" s="77"/>
      <c r="AH1766" s="76"/>
      <c r="AI1766" s="76"/>
      <c r="AJ1766" s="77"/>
      <c r="AK1766" s="77"/>
      <c r="AL1766" s="77"/>
      <c r="AM1766" s="77"/>
      <c r="AN1766" s="77"/>
      <c r="AO1766" s="77"/>
      <c r="AP1766" s="77"/>
      <c r="AQ1766" s="77"/>
      <c r="AR1766" s="77"/>
      <c r="AS1766" s="77"/>
      <c r="AT1766" s="82"/>
    </row>
    <row r="1767" spans="1:46" ht="12.5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3"/>
      <c r="Q1767" s="1"/>
      <c r="R1767" s="1"/>
      <c r="S1767" s="1"/>
      <c r="T1767" s="1"/>
      <c r="U1767" s="1"/>
      <c r="V1767" s="76"/>
      <c r="W1767" s="76"/>
      <c r="X1767" s="77"/>
      <c r="Y1767" s="77"/>
      <c r="Z1767" s="76"/>
      <c r="AA1767" s="76"/>
      <c r="AB1767" s="77"/>
      <c r="AC1767" s="77"/>
      <c r="AD1767" s="76"/>
      <c r="AE1767" s="76"/>
      <c r="AF1767" s="77"/>
      <c r="AG1767" s="77"/>
      <c r="AH1767" s="76"/>
      <c r="AI1767" s="76"/>
      <c r="AJ1767" s="77"/>
      <c r="AK1767" s="77"/>
      <c r="AL1767" s="77"/>
      <c r="AM1767" s="77"/>
      <c r="AN1767" s="77"/>
      <c r="AO1767" s="77"/>
      <c r="AP1767" s="77"/>
      <c r="AQ1767" s="77"/>
      <c r="AR1767" s="77"/>
      <c r="AS1767" s="77"/>
      <c r="AT1767" s="82"/>
    </row>
    <row r="1768" spans="1:46" ht="12.5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3"/>
      <c r="Q1768" s="1"/>
      <c r="R1768" s="1"/>
      <c r="S1768" s="1"/>
      <c r="T1768" s="1"/>
      <c r="U1768" s="1"/>
      <c r="V1768" s="76"/>
      <c r="W1768" s="76"/>
      <c r="X1768" s="77"/>
      <c r="Y1768" s="77"/>
      <c r="Z1768" s="76"/>
      <c r="AA1768" s="76"/>
      <c r="AB1768" s="77"/>
      <c r="AC1768" s="77"/>
      <c r="AD1768" s="76"/>
      <c r="AE1768" s="76"/>
      <c r="AF1768" s="77"/>
      <c r="AG1768" s="77"/>
      <c r="AH1768" s="76"/>
      <c r="AI1768" s="76"/>
      <c r="AJ1768" s="77"/>
      <c r="AK1768" s="77"/>
      <c r="AL1768" s="77"/>
      <c r="AM1768" s="77"/>
      <c r="AN1768" s="77"/>
      <c r="AO1768" s="77"/>
      <c r="AP1768" s="77"/>
      <c r="AQ1768" s="77"/>
      <c r="AR1768" s="77"/>
      <c r="AS1768" s="77"/>
      <c r="AT1768" s="82"/>
    </row>
    <row r="1769" spans="1:46" ht="12.5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3"/>
      <c r="Q1769" s="1"/>
      <c r="R1769" s="1"/>
      <c r="S1769" s="1"/>
      <c r="T1769" s="1"/>
      <c r="U1769" s="1"/>
      <c r="V1769" s="76"/>
      <c r="W1769" s="76"/>
      <c r="X1769" s="77"/>
      <c r="Y1769" s="77"/>
      <c r="Z1769" s="76"/>
      <c r="AA1769" s="76"/>
      <c r="AB1769" s="77"/>
      <c r="AC1769" s="77"/>
      <c r="AD1769" s="76"/>
      <c r="AE1769" s="76"/>
      <c r="AF1769" s="77"/>
      <c r="AG1769" s="77"/>
      <c r="AH1769" s="76"/>
      <c r="AI1769" s="76"/>
      <c r="AJ1769" s="77"/>
      <c r="AK1769" s="77"/>
      <c r="AL1769" s="77"/>
      <c r="AM1769" s="77"/>
      <c r="AN1769" s="77"/>
      <c r="AO1769" s="77"/>
      <c r="AP1769" s="77"/>
      <c r="AQ1769" s="77"/>
      <c r="AR1769" s="77"/>
      <c r="AS1769" s="77"/>
      <c r="AT1769" s="82"/>
    </row>
    <row r="1770" spans="1:46" ht="12.5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3"/>
      <c r="Q1770" s="1"/>
      <c r="R1770" s="1"/>
      <c r="S1770" s="1"/>
      <c r="T1770" s="1"/>
      <c r="U1770" s="1"/>
      <c r="V1770" s="76"/>
      <c r="W1770" s="76"/>
      <c r="X1770" s="77"/>
      <c r="Y1770" s="77"/>
      <c r="Z1770" s="76"/>
      <c r="AA1770" s="76"/>
      <c r="AB1770" s="77"/>
      <c r="AC1770" s="77"/>
      <c r="AD1770" s="76"/>
      <c r="AE1770" s="76"/>
      <c r="AF1770" s="77"/>
      <c r="AG1770" s="77"/>
      <c r="AH1770" s="76"/>
      <c r="AI1770" s="76"/>
      <c r="AJ1770" s="77"/>
      <c r="AK1770" s="77"/>
      <c r="AL1770" s="77"/>
      <c r="AM1770" s="77"/>
      <c r="AN1770" s="77"/>
      <c r="AO1770" s="77"/>
      <c r="AP1770" s="77"/>
      <c r="AQ1770" s="77"/>
      <c r="AR1770" s="77"/>
      <c r="AS1770" s="77"/>
      <c r="AT1770" s="82"/>
    </row>
    <row r="1771" spans="1:46" ht="12.5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3"/>
      <c r="Q1771" s="1"/>
      <c r="R1771" s="1"/>
      <c r="S1771" s="1"/>
      <c r="T1771" s="1"/>
      <c r="U1771" s="1"/>
      <c r="V1771" s="76"/>
      <c r="W1771" s="76"/>
      <c r="X1771" s="77"/>
      <c r="Y1771" s="77"/>
      <c r="Z1771" s="76"/>
      <c r="AA1771" s="76"/>
      <c r="AB1771" s="77"/>
      <c r="AC1771" s="77"/>
      <c r="AD1771" s="76"/>
      <c r="AE1771" s="76"/>
      <c r="AF1771" s="77"/>
      <c r="AG1771" s="77"/>
      <c r="AH1771" s="76"/>
      <c r="AI1771" s="76"/>
      <c r="AJ1771" s="77"/>
      <c r="AK1771" s="77"/>
      <c r="AL1771" s="77"/>
      <c r="AM1771" s="77"/>
      <c r="AN1771" s="77"/>
      <c r="AO1771" s="77"/>
      <c r="AP1771" s="77"/>
      <c r="AQ1771" s="77"/>
      <c r="AR1771" s="77"/>
      <c r="AS1771" s="77"/>
      <c r="AT1771" s="82"/>
    </row>
    <row r="1772" spans="1:46" ht="12.5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3"/>
      <c r="Q1772" s="1"/>
      <c r="R1772" s="1"/>
      <c r="S1772" s="1"/>
      <c r="T1772" s="1"/>
      <c r="U1772" s="1"/>
      <c r="V1772" s="76"/>
      <c r="W1772" s="76"/>
      <c r="X1772" s="77"/>
      <c r="Y1772" s="77"/>
      <c r="Z1772" s="76"/>
      <c r="AA1772" s="76"/>
      <c r="AB1772" s="77"/>
      <c r="AC1772" s="77"/>
      <c r="AD1772" s="76"/>
      <c r="AE1772" s="76"/>
      <c r="AF1772" s="77"/>
      <c r="AG1772" s="77"/>
      <c r="AH1772" s="76"/>
      <c r="AI1772" s="76"/>
      <c r="AJ1772" s="77"/>
      <c r="AK1772" s="77"/>
      <c r="AL1772" s="77"/>
      <c r="AM1772" s="77"/>
      <c r="AN1772" s="77"/>
      <c r="AO1772" s="77"/>
      <c r="AP1772" s="77"/>
      <c r="AQ1772" s="77"/>
      <c r="AR1772" s="77"/>
      <c r="AS1772" s="77"/>
      <c r="AT1772" s="82"/>
    </row>
    <row r="1773" spans="1:46" ht="12.5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3"/>
      <c r="Q1773" s="1"/>
      <c r="R1773" s="1"/>
      <c r="S1773" s="1"/>
      <c r="T1773" s="1"/>
      <c r="U1773" s="1"/>
      <c r="V1773" s="76"/>
      <c r="W1773" s="76"/>
      <c r="X1773" s="77"/>
      <c r="Y1773" s="77"/>
      <c r="Z1773" s="76"/>
      <c r="AA1773" s="76"/>
      <c r="AB1773" s="77"/>
      <c r="AC1773" s="77"/>
      <c r="AD1773" s="76"/>
      <c r="AE1773" s="76"/>
      <c r="AF1773" s="77"/>
      <c r="AG1773" s="77"/>
      <c r="AH1773" s="76"/>
      <c r="AI1773" s="76"/>
      <c r="AJ1773" s="77"/>
      <c r="AK1773" s="77"/>
      <c r="AL1773" s="77"/>
      <c r="AM1773" s="77"/>
      <c r="AN1773" s="77"/>
      <c r="AO1773" s="77"/>
      <c r="AP1773" s="77"/>
      <c r="AQ1773" s="77"/>
      <c r="AR1773" s="77"/>
      <c r="AS1773" s="77"/>
      <c r="AT1773" s="82"/>
    </row>
    <row r="1774" spans="1:46" ht="12.5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3"/>
      <c r="Q1774" s="1"/>
      <c r="R1774" s="1"/>
      <c r="S1774" s="1"/>
      <c r="T1774" s="1"/>
      <c r="U1774" s="1"/>
      <c r="V1774" s="76"/>
      <c r="W1774" s="76"/>
      <c r="X1774" s="77"/>
      <c r="Y1774" s="77"/>
      <c r="Z1774" s="76"/>
      <c r="AA1774" s="76"/>
      <c r="AB1774" s="77"/>
      <c r="AC1774" s="77"/>
      <c r="AD1774" s="76"/>
      <c r="AE1774" s="76"/>
      <c r="AF1774" s="77"/>
      <c r="AG1774" s="77"/>
      <c r="AH1774" s="76"/>
      <c r="AI1774" s="76"/>
      <c r="AJ1774" s="77"/>
      <c r="AK1774" s="77"/>
      <c r="AL1774" s="77"/>
      <c r="AM1774" s="77"/>
      <c r="AN1774" s="77"/>
      <c r="AO1774" s="77"/>
      <c r="AP1774" s="77"/>
      <c r="AQ1774" s="77"/>
      <c r="AR1774" s="77"/>
      <c r="AS1774" s="77"/>
      <c r="AT1774" s="82"/>
    </row>
    <row r="1775" spans="1:46" ht="12.5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3"/>
      <c r="Q1775" s="1"/>
      <c r="R1775" s="1"/>
      <c r="S1775" s="1"/>
      <c r="T1775" s="1"/>
      <c r="U1775" s="1"/>
      <c r="V1775" s="76"/>
      <c r="W1775" s="76"/>
      <c r="X1775" s="77"/>
      <c r="Y1775" s="77"/>
      <c r="Z1775" s="76"/>
      <c r="AA1775" s="76"/>
      <c r="AB1775" s="77"/>
      <c r="AC1775" s="77"/>
      <c r="AD1775" s="76"/>
      <c r="AE1775" s="76"/>
      <c r="AF1775" s="77"/>
      <c r="AG1775" s="77"/>
      <c r="AH1775" s="76"/>
      <c r="AI1775" s="76"/>
      <c r="AJ1775" s="77"/>
      <c r="AK1775" s="77"/>
      <c r="AL1775" s="77"/>
      <c r="AM1775" s="77"/>
      <c r="AN1775" s="77"/>
      <c r="AO1775" s="77"/>
      <c r="AP1775" s="77"/>
      <c r="AQ1775" s="77"/>
      <c r="AR1775" s="77"/>
      <c r="AS1775" s="77"/>
      <c r="AT1775" s="82"/>
    </row>
    <row r="1776" spans="1:46" ht="12.5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3"/>
      <c r="Q1776" s="1"/>
      <c r="R1776" s="1"/>
      <c r="S1776" s="1"/>
      <c r="T1776" s="1"/>
      <c r="U1776" s="1"/>
      <c r="V1776" s="76"/>
      <c r="W1776" s="76"/>
      <c r="X1776" s="77"/>
      <c r="Y1776" s="77"/>
      <c r="Z1776" s="76"/>
      <c r="AA1776" s="76"/>
      <c r="AB1776" s="77"/>
      <c r="AC1776" s="77"/>
      <c r="AD1776" s="76"/>
      <c r="AE1776" s="76"/>
      <c r="AF1776" s="77"/>
      <c r="AG1776" s="77"/>
      <c r="AH1776" s="76"/>
      <c r="AI1776" s="76"/>
      <c r="AJ1776" s="77"/>
      <c r="AK1776" s="77"/>
      <c r="AL1776" s="77"/>
      <c r="AM1776" s="77"/>
      <c r="AN1776" s="77"/>
      <c r="AO1776" s="77"/>
      <c r="AP1776" s="77"/>
      <c r="AQ1776" s="77"/>
      <c r="AR1776" s="77"/>
      <c r="AS1776" s="77"/>
      <c r="AT1776" s="82"/>
    </row>
    <row r="1777" spans="1:46" ht="12.5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3"/>
      <c r="Q1777" s="1"/>
      <c r="R1777" s="1"/>
      <c r="S1777" s="1"/>
      <c r="T1777" s="1"/>
      <c r="U1777" s="1"/>
      <c r="V1777" s="76"/>
      <c r="W1777" s="76"/>
      <c r="X1777" s="77"/>
      <c r="Y1777" s="77"/>
      <c r="Z1777" s="76"/>
      <c r="AA1777" s="76"/>
      <c r="AB1777" s="77"/>
      <c r="AC1777" s="77"/>
      <c r="AD1777" s="76"/>
      <c r="AE1777" s="76"/>
      <c r="AF1777" s="77"/>
      <c r="AG1777" s="77"/>
      <c r="AH1777" s="76"/>
      <c r="AI1777" s="76"/>
      <c r="AJ1777" s="77"/>
      <c r="AK1777" s="77"/>
      <c r="AL1777" s="77"/>
      <c r="AM1777" s="77"/>
      <c r="AN1777" s="77"/>
      <c r="AO1777" s="77"/>
      <c r="AP1777" s="77"/>
      <c r="AQ1777" s="77"/>
      <c r="AR1777" s="77"/>
      <c r="AS1777" s="77"/>
      <c r="AT1777" s="82"/>
    </row>
    <row r="1778" spans="1:46" ht="12.5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3"/>
      <c r="Q1778" s="1"/>
      <c r="R1778" s="1"/>
      <c r="S1778" s="1"/>
      <c r="T1778" s="1"/>
      <c r="U1778" s="1"/>
      <c r="V1778" s="76"/>
      <c r="W1778" s="76"/>
      <c r="X1778" s="77"/>
      <c r="Y1778" s="77"/>
      <c r="Z1778" s="76"/>
      <c r="AA1778" s="76"/>
      <c r="AB1778" s="77"/>
      <c r="AC1778" s="77"/>
      <c r="AD1778" s="76"/>
      <c r="AE1778" s="76"/>
      <c r="AF1778" s="77"/>
      <c r="AG1778" s="77"/>
      <c r="AH1778" s="76"/>
      <c r="AI1778" s="76"/>
      <c r="AJ1778" s="77"/>
      <c r="AK1778" s="77"/>
      <c r="AL1778" s="77"/>
      <c r="AM1778" s="77"/>
      <c r="AN1778" s="77"/>
      <c r="AO1778" s="77"/>
      <c r="AP1778" s="77"/>
      <c r="AQ1778" s="77"/>
      <c r="AR1778" s="77"/>
      <c r="AS1778" s="77"/>
      <c r="AT1778" s="82"/>
    </row>
    <row r="1779" spans="1:46" ht="12.5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3"/>
      <c r="Q1779" s="1"/>
      <c r="R1779" s="1"/>
      <c r="S1779" s="1"/>
      <c r="T1779" s="1"/>
      <c r="U1779" s="1"/>
      <c r="V1779" s="76"/>
      <c r="W1779" s="76"/>
      <c r="X1779" s="77"/>
      <c r="Y1779" s="77"/>
      <c r="Z1779" s="76"/>
      <c r="AA1779" s="76"/>
      <c r="AB1779" s="77"/>
      <c r="AC1779" s="77"/>
      <c r="AD1779" s="76"/>
      <c r="AE1779" s="76"/>
      <c r="AF1779" s="77"/>
      <c r="AG1779" s="77"/>
      <c r="AH1779" s="76"/>
      <c r="AI1779" s="76"/>
      <c r="AJ1779" s="77"/>
      <c r="AK1779" s="77"/>
      <c r="AL1779" s="77"/>
      <c r="AM1779" s="77"/>
      <c r="AN1779" s="77"/>
      <c r="AO1779" s="77"/>
      <c r="AP1779" s="77"/>
      <c r="AQ1779" s="77"/>
      <c r="AR1779" s="77"/>
      <c r="AS1779" s="77"/>
      <c r="AT1779" s="82"/>
    </row>
    <row r="1780" spans="1:46" ht="12.5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3"/>
      <c r="Q1780" s="1"/>
      <c r="R1780" s="1"/>
      <c r="S1780" s="1"/>
      <c r="T1780" s="1"/>
      <c r="U1780" s="1"/>
      <c r="V1780" s="76"/>
      <c r="W1780" s="76"/>
      <c r="X1780" s="77"/>
      <c r="Y1780" s="77"/>
      <c r="Z1780" s="76"/>
      <c r="AA1780" s="76"/>
      <c r="AB1780" s="77"/>
      <c r="AC1780" s="77"/>
      <c r="AD1780" s="76"/>
      <c r="AE1780" s="76"/>
      <c r="AF1780" s="77"/>
      <c r="AG1780" s="77"/>
      <c r="AH1780" s="76"/>
      <c r="AI1780" s="76"/>
      <c r="AJ1780" s="77"/>
      <c r="AK1780" s="77"/>
      <c r="AL1780" s="77"/>
      <c r="AM1780" s="77"/>
      <c r="AN1780" s="77"/>
      <c r="AO1780" s="77"/>
      <c r="AP1780" s="77"/>
      <c r="AQ1780" s="77"/>
      <c r="AR1780" s="77"/>
      <c r="AS1780" s="77"/>
      <c r="AT1780" s="82"/>
    </row>
    <row r="1781" spans="1:46" ht="12.5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3"/>
      <c r="Q1781" s="1"/>
      <c r="R1781" s="1"/>
      <c r="S1781" s="1"/>
      <c r="T1781" s="1"/>
      <c r="U1781" s="1"/>
      <c r="V1781" s="76"/>
      <c r="W1781" s="76"/>
      <c r="X1781" s="77"/>
      <c r="Y1781" s="77"/>
      <c r="Z1781" s="76"/>
      <c r="AA1781" s="76"/>
      <c r="AB1781" s="77"/>
      <c r="AC1781" s="77"/>
      <c r="AD1781" s="76"/>
      <c r="AE1781" s="76"/>
      <c r="AF1781" s="77"/>
      <c r="AG1781" s="77"/>
      <c r="AH1781" s="76"/>
      <c r="AI1781" s="76"/>
      <c r="AJ1781" s="77"/>
      <c r="AK1781" s="77"/>
      <c r="AL1781" s="77"/>
      <c r="AM1781" s="77"/>
      <c r="AN1781" s="77"/>
      <c r="AO1781" s="77"/>
      <c r="AP1781" s="77"/>
      <c r="AQ1781" s="77"/>
      <c r="AR1781" s="77"/>
      <c r="AS1781" s="77"/>
      <c r="AT1781" s="82"/>
    </row>
    <row r="1782" spans="1:46" ht="12.5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3"/>
      <c r="Q1782" s="1"/>
      <c r="R1782" s="1"/>
      <c r="S1782" s="1"/>
      <c r="T1782" s="1"/>
      <c r="U1782" s="1"/>
      <c r="V1782" s="76"/>
      <c r="W1782" s="76"/>
      <c r="X1782" s="77"/>
      <c r="Y1782" s="77"/>
      <c r="Z1782" s="76"/>
      <c r="AA1782" s="76"/>
      <c r="AB1782" s="77"/>
      <c r="AC1782" s="77"/>
      <c r="AD1782" s="76"/>
      <c r="AE1782" s="76"/>
      <c r="AF1782" s="77"/>
      <c r="AG1782" s="77"/>
      <c r="AH1782" s="76"/>
      <c r="AI1782" s="76"/>
      <c r="AJ1782" s="77"/>
      <c r="AK1782" s="77"/>
      <c r="AL1782" s="77"/>
      <c r="AM1782" s="77"/>
      <c r="AN1782" s="77"/>
      <c r="AO1782" s="77"/>
      <c r="AP1782" s="77"/>
      <c r="AQ1782" s="77"/>
      <c r="AR1782" s="77"/>
      <c r="AS1782" s="77"/>
      <c r="AT1782" s="82"/>
    </row>
    <row r="1783" spans="1:46" ht="12.5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3"/>
      <c r="Q1783" s="1"/>
      <c r="R1783" s="1"/>
      <c r="S1783" s="1"/>
      <c r="T1783" s="1"/>
      <c r="U1783" s="1"/>
      <c r="V1783" s="76"/>
      <c r="W1783" s="76"/>
      <c r="X1783" s="77"/>
      <c r="Y1783" s="77"/>
      <c r="Z1783" s="76"/>
      <c r="AA1783" s="76"/>
      <c r="AB1783" s="77"/>
      <c r="AC1783" s="77"/>
      <c r="AD1783" s="76"/>
      <c r="AE1783" s="76"/>
      <c r="AF1783" s="77"/>
      <c r="AG1783" s="77"/>
      <c r="AH1783" s="76"/>
      <c r="AI1783" s="76"/>
      <c r="AJ1783" s="77"/>
      <c r="AK1783" s="77"/>
      <c r="AL1783" s="77"/>
      <c r="AM1783" s="77"/>
      <c r="AN1783" s="77"/>
      <c r="AO1783" s="77"/>
      <c r="AP1783" s="77"/>
      <c r="AQ1783" s="77"/>
      <c r="AR1783" s="77"/>
      <c r="AS1783" s="77"/>
      <c r="AT1783" s="82"/>
    </row>
    <row r="1784" spans="1:46" ht="12.5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3"/>
      <c r="Q1784" s="1"/>
      <c r="R1784" s="1"/>
      <c r="S1784" s="1"/>
      <c r="T1784" s="1"/>
      <c r="U1784" s="1"/>
      <c r="V1784" s="76"/>
      <c r="W1784" s="76"/>
      <c r="X1784" s="77"/>
      <c r="Y1784" s="77"/>
      <c r="Z1784" s="76"/>
      <c r="AA1784" s="76"/>
      <c r="AB1784" s="77"/>
      <c r="AC1784" s="77"/>
      <c r="AD1784" s="76"/>
      <c r="AE1784" s="76"/>
      <c r="AF1784" s="77"/>
      <c r="AG1784" s="77"/>
      <c r="AH1784" s="76"/>
      <c r="AI1784" s="76"/>
      <c r="AJ1784" s="77"/>
      <c r="AK1784" s="77"/>
      <c r="AL1784" s="77"/>
      <c r="AM1784" s="77"/>
      <c r="AN1784" s="77"/>
      <c r="AO1784" s="77"/>
      <c r="AP1784" s="77"/>
      <c r="AQ1784" s="77"/>
      <c r="AR1784" s="77"/>
      <c r="AS1784" s="77"/>
      <c r="AT1784" s="82"/>
    </row>
    <row r="1785" spans="1:46" ht="12.5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3"/>
      <c r="Q1785" s="1"/>
      <c r="R1785" s="1"/>
      <c r="S1785" s="1"/>
      <c r="T1785" s="1"/>
      <c r="U1785" s="1"/>
      <c r="V1785" s="76"/>
      <c r="W1785" s="76"/>
      <c r="X1785" s="77"/>
      <c r="Y1785" s="77"/>
      <c r="Z1785" s="76"/>
      <c r="AA1785" s="76"/>
      <c r="AB1785" s="77"/>
      <c r="AC1785" s="77"/>
      <c r="AD1785" s="76"/>
      <c r="AE1785" s="76"/>
      <c r="AF1785" s="77"/>
      <c r="AG1785" s="77"/>
      <c r="AH1785" s="76"/>
      <c r="AI1785" s="76"/>
      <c r="AJ1785" s="77"/>
      <c r="AK1785" s="77"/>
      <c r="AL1785" s="77"/>
      <c r="AM1785" s="77"/>
      <c r="AN1785" s="77"/>
      <c r="AO1785" s="77"/>
      <c r="AP1785" s="77"/>
      <c r="AQ1785" s="77"/>
      <c r="AR1785" s="77"/>
      <c r="AS1785" s="77"/>
      <c r="AT1785" s="82"/>
    </row>
    <row r="1786" spans="1:46" ht="12.5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3"/>
      <c r="Q1786" s="1"/>
      <c r="R1786" s="1"/>
      <c r="S1786" s="1"/>
      <c r="T1786" s="1"/>
      <c r="U1786" s="1"/>
      <c r="V1786" s="76"/>
      <c r="W1786" s="76"/>
      <c r="X1786" s="77"/>
      <c r="Y1786" s="77"/>
      <c r="Z1786" s="76"/>
      <c r="AA1786" s="76"/>
      <c r="AB1786" s="77"/>
      <c r="AC1786" s="77"/>
      <c r="AD1786" s="76"/>
      <c r="AE1786" s="76"/>
      <c r="AF1786" s="77"/>
      <c r="AG1786" s="77"/>
      <c r="AH1786" s="76"/>
      <c r="AI1786" s="76"/>
      <c r="AJ1786" s="77"/>
      <c r="AK1786" s="77"/>
      <c r="AL1786" s="77"/>
      <c r="AM1786" s="77"/>
      <c r="AN1786" s="77"/>
      <c r="AO1786" s="77"/>
      <c r="AP1786" s="77"/>
      <c r="AQ1786" s="77"/>
      <c r="AR1786" s="77"/>
      <c r="AS1786" s="77"/>
      <c r="AT1786" s="82"/>
    </row>
    <row r="1787" spans="1:46" ht="12.5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3"/>
      <c r="Q1787" s="1"/>
      <c r="R1787" s="1"/>
      <c r="S1787" s="1"/>
      <c r="T1787" s="1"/>
      <c r="U1787" s="1"/>
      <c r="V1787" s="76"/>
      <c r="W1787" s="76"/>
      <c r="X1787" s="77"/>
      <c r="Y1787" s="77"/>
      <c r="Z1787" s="76"/>
      <c r="AA1787" s="76"/>
      <c r="AB1787" s="77"/>
      <c r="AC1787" s="77"/>
      <c r="AD1787" s="76"/>
      <c r="AE1787" s="76"/>
      <c r="AF1787" s="77"/>
      <c r="AG1787" s="77"/>
      <c r="AH1787" s="76"/>
      <c r="AI1787" s="76"/>
      <c r="AJ1787" s="77"/>
      <c r="AK1787" s="77"/>
      <c r="AL1787" s="77"/>
      <c r="AM1787" s="77"/>
      <c r="AN1787" s="77"/>
      <c r="AO1787" s="77"/>
      <c r="AP1787" s="77"/>
      <c r="AQ1787" s="77"/>
      <c r="AR1787" s="77"/>
      <c r="AS1787" s="77"/>
      <c r="AT1787" s="82"/>
    </row>
    <row r="1788" spans="1:46" ht="12.5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3"/>
      <c r="Q1788" s="1"/>
      <c r="R1788" s="1"/>
      <c r="S1788" s="1"/>
      <c r="T1788" s="1"/>
      <c r="U1788" s="1"/>
      <c r="V1788" s="76"/>
      <c r="W1788" s="76"/>
      <c r="X1788" s="77"/>
      <c r="Y1788" s="77"/>
      <c r="Z1788" s="76"/>
      <c r="AA1788" s="76"/>
      <c r="AB1788" s="77"/>
      <c r="AC1788" s="77"/>
      <c r="AD1788" s="76"/>
      <c r="AE1788" s="76"/>
      <c r="AF1788" s="77"/>
      <c r="AG1788" s="77"/>
      <c r="AH1788" s="76"/>
      <c r="AI1788" s="76"/>
      <c r="AJ1788" s="77"/>
      <c r="AK1788" s="77"/>
      <c r="AL1788" s="77"/>
      <c r="AM1788" s="77"/>
      <c r="AN1788" s="77"/>
      <c r="AO1788" s="77"/>
      <c r="AP1788" s="77"/>
      <c r="AQ1788" s="77"/>
      <c r="AR1788" s="77"/>
      <c r="AS1788" s="77"/>
      <c r="AT1788" s="82"/>
    </row>
    <row r="1789" spans="1:46" ht="12.5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3"/>
      <c r="Q1789" s="1"/>
      <c r="R1789" s="1"/>
      <c r="S1789" s="1"/>
      <c r="T1789" s="1"/>
      <c r="U1789" s="1"/>
      <c r="V1789" s="76"/>
      <c r="W1789" s="76"/>
      <c r="X1789" s="77"/>
      <c r="Y1789" s="77"/>
      <c r="Z1789" s="76"/>
      <c r="AA1789" s="76"/>
      <c r="AB1789" s="77"/>
      <c r="AC1789" s="77"/>
      <c r="AD1789" s="76"/>
      <c r="AE1789" s="76"/>
      <c r="AF1789" s="77"/>
      <c r="AG1789" s="77"/>
      <c r="AH1789" s="76"/>
      <c r="AI1789" s="76"/>
      <c r="AJ1789" s="77"/>
      <c r="AK1789" s="77"/>
      <c r="AL1789" s="77"/>
      <c r="AM1789" s="77"/>
      <c r="AN1789" s="77"/>
      <c r="AO1789" s="77"/>
      <c r="AP1789" s="77"/>
      <c r="AQ1789" s="77"/>
      <c r="AR1789" s="77"/>
      <c r="AS1789" s="77"/>
      <c r="AT1789" s="82"/>
    </row>
    <row r="1790" spans="1:46" ht="12.5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3"/>
      <c r="Q1790" s="1"/>
      <c r="R1790" s="1"/>
      <c r="S1790" s="1"/>
      <c r="T1790" s="1"/>
      <c r="U1790" s="1"/>
      <c r="V1790" s="76"/>
      <c r="W1790" s="76"/>
      <c r="X1790" s="77"/>
      <c r="Y1790" s="77"/>
      <c r="Z1790" s="76"/>
      <c r="AA1790" s="76"/>
      <c r="AB1790" s="77"/>
      <c r="AC1790" s="77"/>
      <c r="AD1790" s="76"/>
      <c r="AE1790" s="76"/>
      <c r="AF1790" s="77"/>
      <c r="AG1790" s="77"/>
      <c r="AH1790" s="76"/>
      <c r="AI1790" s="76"/>
      <c r="AJ1790" s="77"/>
      <c r="AK1790" s="77"/>
      <c r="AL1790" s="77"/>
      <c r="AM1790" s="77"/>
      <c r="AN1790" s="77"/>
      <c r="AO1790" s="77"/>
      <c r="AP1790" s="77"/>
      <c r="AQ1790" s="77"/>
      <c r="AR1790" s="77"/>
      <c r="AS1790" s="77"/>
      <c r="AT1790" s="82"/>
    </row>
    <row r="1791" spans="1:46" ht="12.5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3"/>
      <c r="Q1791" s="1"/>
      <c r="R1791" s="1"/>
      <c r="S1791" s="1"/>
      <c r="T1791" s="1"/>
      <c r="U1791" s="1"/>
      <c r="V1791" s="76"/>
      <c r="W1791" s="76"/>
      <c r="X1791" s="77"/>
      <c r="Y1791" s="77"/>
      <c r="Z1791" s="76"/>
      <c r="AA1791" s="76"/>
      <c r="AB1791" s="77"/>
      <c r="AC1791" s="77"/>
      <c r="AD1791" s="76"/>
      <c r="AE1791" s="76"/>
      <c r="AF1791" s="77"/>
      <c r="AG1791" s="77"/>
      <c r="AH1791" s="76"/>
      <c r="AI1791" s="76"/>
      <c r="AJ1791" s="77"/>
      <c r="AK1791" s="77"/>
      <c r="AL1791" s="77"/>
      <c r="AM1791" s="77"/>
      <c r="AN1791" s="77"/>
      <c r="AO1791" s="77"/>
      <c r="AP1791" s="77"/>
      <c r="AQ1791" s="77"/>
      <c r="AR1791" s="77"/>
      <c r="AS1791" s="77"/>
      <c r="AT1791" s="82"/>
    </row>
    <row r="1792" spans="1:46" ht="12.5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3"/>
      <c r="Q1792" s="1"/>
      <c r="R1792" s="1"/>
      <c r="S1792" s="1"/>
      <c r="T1792" s="1"/>
      <c r="U1792" s="1"/>
      <c r="V1792" s="76"/>
      <c r="W1792" s="76"/>
      <c r="X1792" s="77"/>
      <c r="Y1792" s="77"/>
      <c r="Z1792" s="76"/>
      <c r="AA1792" s="76"/>
      <c r="AB1792" s="77"/>
      <c r="AC1792" s="77"/>
      <c r="AD1792" s="76"/>
      <c r="AE1792" s="76"/>
      <c r="AF1792" s="77"/>
      <c r="AG1792" s="77"/>
      <c r="AH1792" s="76"/>
      <c r="AI1792" s="76"/>
      <c r="AJ1792" s="77"/>
      <c r="AK1792" s="77"/>
      <c r="AL1792" s="77"/>
      <c r="AM1792" s="77"/>
      <c r="AN1792" s="77"/>
      <c r="AO1792" s="77"/>
      <c r="AP1792" s="77"/>
      <c r="AQ1792" s="77"/>
      <c r="AR1792" s="77"/>
      <c r="AS1792" s="77"/>
      <c r="AT1792" s="82"/>
    </row>
    <row r="1793" spans="1:46" ht="12.5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3"/>
      <c r="Q1793" s="1"/>
      <c r="R1793" s="1"/>
      <c r="S1793" s="1"/>
      <c r="T1793" s="1"/>
      <c r="U1793" s="1"/>
      <c r="V1793" s="76"/>
      <c r="W1793" s="76"/>
      <c r="X1793" s="77"/>
      <c r="Y1793" s="77"/>
      <c r="Z1793" s="76"/>
      <c r="AA1793" s="76"/>
      <c r="AB1793" s="77"/>
      <c r="AC1793" s="77"/>
      <c r="AD1793" s="76"/>
      <c r="AE1793" s="76"/>
      <c r="AF1793" s="77"/>
      <c r="AG1793" s="77"/>
      <c r="AH1793" s="76"/>
      <c r="AI1793" s="76"/>
      <c r="AJ1793" s="77"/>
      <c r="AK1793" s="77"/>
      <c r="AL1793" s="77"/>
      <c r="AM1793" s="77"/>
      <c r="AN1793" s="77"/>
      <c r="AO1793" s="77"/>
      <c r="AP1793" s="77"/>
      <c r="AQ1793" s="77"/>
      <c r="AR1793" s="77"/>
      <c r="AS1793" s="77"/>
      <c r="AT1793" s="82"/>
    </row>
    <row r="1794" spans="1:46" ht="12.5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3"/>
      <c r="Q1794" s="1"/>
      <c r="R1794" s="1"/>
      <c r="S1794" s="1"/>
      <c r="T1794" s="1"/>
      <c r="U1794" s="1"/>
      <c r="V1794" s="76"/>
      <c r="W1794" s="76"/>
      <c r="X1794" s="77"/>
      <c r="Y1794" s="77"/>
      <c r="Z1794" s="76"/>
      <c r="AA1794" s="76"/>
      <c r="AB1794" s="77"/>
      <c r="AC1794" s="77"/>
      <c r="AD1794" s="76"/>
      <c r="AE1794" s="76"/>
      <c r="AF1794" s="77"/>
      <c r="AG1794" s="77"/>
      <c r="AH1794" s="76"/>
      <c r="AI1794" s="76"/>
      <c r="AJ1794" s="77"/>
      <c r="AK1794" s="77"/>
      <c r="AL1794" s="77"/>
      <c r="AM1794" s="77"/>
      <c r="AN1794" s="77"/>
      <c r="AO1794" s="77"/>
      <c r="AP1794" s="77"/>
      <c r="AQ1794" s="77"/>
      <c r="AR1794" s="77"/>
      <c r="AS1794" s="77"/>
      <c r="AT1794" s="82"/>
    </row>
    <row r="1795" spans="1:46" ht="12.5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3"/>
      <c r="Q1795" s="1"/>
      <c r="R1795" s="1"/>
      <c r="S1795" s="1"/>
      <c r="T1795" s="1"/>
      <c r="U1795" s="1"/>
      <c r="V1795" s="76"/>
      <c r="W1795" s="76"/>
      <c r="X1795" s="77"/>
      <c r="Y1795" s="77"/>
      <c r="Z1795" s="76"/>
      <c r="AA1795" s="76"/>
      <c r="AB1795" s="77"/>
      <c r="AC1795" s="77"/>
      <c r="AD1795" s="76"/>
      <c r="AE1795" s="76"/>
      <c r="AF1795" s="77"/>
      <c r="AG1795" s="77"/>
      <c r="AH1795" s="76"/>
      <c r="AI1795" s="76"/>
      <c r="AJ1795" s="77"/>
      <c r="AK1795" s="77"/>
      <c r="AL1795" s="77"/>
      <c r="AM1795" s="77"/>
      <c r="AN1795" s="77"/>
      <c r="AO1795" s="77"/>
      <c r="AP1795" s="77"/>
      <c r="AQ1795" s="77"/>
      <c r="AR1795" s="77"/>
      <c r="AS1795" s="77"/>
      <c r="AT1795" s="82"/>
    </row>
    <row r="1796" spans="1:46" ht="12.5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3"/>
      <c r="Q1796" s="1"/>
      <c r="R1796" s="1"/>
      <c r="S1796" s="1"/>
      <c r="T1796" s="1"/>
      <c r="U1796" s="1"/>
      <c r="V1796" s="76"/>
      <c r="W1796" s="76"/>
      <c r="X1796" s="77"/>
      <c r="Y1796" s="77"/>
      <c r="Z1796" s="76"/>
      <c r="AA1796" s="76"/>
      <c r="AB1796" s="77"/>
      <c r="AC1796" s="77"/>
      <c r="AD1796" s="76"/>
      <c r="AE1796" s="76"/>
      <c r="AF1796" s="77"/>
      <c r="AG1796" s="77"/>
      <c r="AH1796" s="76"/>
      <c r="AI1796" s="76"/>
      <c r="AJ1796" s="77"/>
      <c r="AK1796" s="77"/>
      <c r="AL1796" s="77"/>
      <c r="AM1796" s="77"/>
      <c r="AN1796" s="77"/>
      <c r="AO1796" s="77"/>
      <c r="AP1796" s="77"/>
      <c r="AQ1796" s="77"/>
      <c r="AR1796" s="77"/>
      <c r="AS1796" s="77"/>
      <c r="AT1796" s="82"/>
    </row>
    <row r="1797" spans="1:46" ht="12.5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3"/>
      <c r="Q1797" s="1"/>
      <c r="R1797" s="1"/>
      <c r="S1797" s="1"/>
      <c r="T1797" s="1"/>
      <c r="U1797" s="1"/>
      <c r="V1797" s="76"/>
      <c r="W1797" s="76"/>
      <c r="X1797" s="77"/>
      <c r="Y1797" s="77"/>
      <c r="Z1797" s="76"/>
      <c r="AA1797" s="76"/>
      <c r="AB1797" s="77"/>
      <c r="AC1797" s="77"/>
      <c r="AD1797" s="76"/>
      <c r="AE1797" s="76"/>
      <c r="AF1797" s="77"/>
      <c r="AG1797" s="77"/>
      <c r="AH1797" s="76"/>
      <c r="AI1797" s="76"/>
      <c r="AJ1797" s="77"/>
      <c r="AK1797" s="77"/>
      <c r="AL1797" s="77"/>
      <c r="AM1797" s="77"/>
      <c r="AN1797" s="77"/>
      <c r="AO1797" s="77"/>
      <c r="AP1797" s="77"/>
      <c r="AQ1797" s="77"/>
      <c r="AR1797" s="77"/>
      <c r="AS1797" s="77"/>
      <c r="AT1797" s="82"/>
    </row>
    <row r="1798" spans="1:46" ht="12.5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3"/>
      <c r="Q1798" s="1"/>
      <c r="R1798" s="1"/>
      <c r="S1798" s="1"/>
      <c r="T1798" s="1"/>
      <c r="U1798" s="1"/>
      <c r="V1798" s="76"/>
      <c r="W1798" s="76"/>
      <c r="X1798" s="77"/>
      <c r="Y1798" s="77"/>
      <c r="Z1798" s="76"/>
      <c r="AA1798" s="76"/>
      <c r="AB1798" s="77"/>
      <c r="AC1798" s="77"/>
      <c r="AD1798" s="76"/>
      <c r="AE1798" s="76"/>
      <c r="AF1798" s="77"/>
      <c r="AG1798" s="77"/>
      <c r="AH1798" s="76"/>
      <c r="AI1798" s="76"/>
      <c r="AJ1798" s="77"/>
      <c r="AK1798" s="77"/>
      <c r="AL1798" s="77"/>
      <c r="AM1798" s="77"/>
      <c r="AN1798" s="77"/>
      <c r="AO1798" s="77"/>
      <c r="AP1798" s="77"/>
      <c r="AQ1798" s="77"/>
      <c r="AR1798" s="77"/>
      <c r="AS1798" s="77"/>
      <c r="AT1798" s="82"/>
    </row>
    <row r="1799" spans="1:46" ht="12.5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3"/>
      <c r="Q1799" s="1"/>
      <c r="R1799" s="1"/>
      <c r="S1799" s="1"/>
      <c r="T1799" s="1"/>
      <c r="U1799" s="1"/>
      <c r="V1799" s="76"/>
      <c r="W1799" s="76"/>
      <c r="X1799" s="77"/>
      <c r="Y1799" s="77"/>
      <c r="Z1799" s="76"/>
      <c r="AA1799" s="76"/>
      <c r="AB1799" s="77"/>
      <c r="AC1799" s="77"/>
      <c r="AD1799" s="76"/>
      <c r="AE1799" s="76"/>
      <c r="AF1799" s="77"/>
      <c r="AG1799" s="77"/>
      <c r="AH1799" s="76"/>
      <c r="AI1799" s="76"/>
      <c r="AJ1799" s="77"/>
      <c r="AK1799" s="77"/>
      <c r="AL1799" s="77"/>
      <c r="AM1799" s="77"/>
      <c r="AN1799" s="77"/>
      <c r="AO1799" s="77"/>
      <c r="AP1799" s="77"/>
      <c r="AQ1799" s="77"/>
      <c r="AR1799" s="77"/>
      <c r="AS1799" s="77"/>
      <c r="AT1799" s="82"/>
    </row>
    <row r="1800" spans="1:46" ht="12.5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3"/>
      <c r="Q1800" s="1"/>
      <c r="R1800" s="1"/>
      <c r="S1800" s="1"/>
      <c r="T1800" s="1"/>
      <c r="U1800" s="1"/>
      <c r="V1800" s="76"/>
      <c r="W1800" s="76"/>
      <c r="X1800" s="77"/>
      <c r="Y1800" s="77"/>
      <c r="Z1800" s="76"/>
      <c r="AA1800" s="76"/>
      <c r="AB1800" s="77"/>
      <c r="AC1800" s="77"/>
      <c r="AD1800" s="76"/>
      <c r="AE1800" s="76"/>
      <c r="AF1800" s="77"/>
      <c r="AG1800" s="77"/>
      <c r="AH1800" s="76"/>
      <c r="AI1800" s="76"/>
      <c r="AJ1800" s="77"/>
      <c r="AK1800" s="77"/>
      <c r="AL1800" s="77"/>
      <c r="AM1800" s="77"/>
      <c r="AN1800" s="77"/>
      <c r="AO1800" s="77"/>
      <c r="AP1800" s="77"/>
      <c r="AQ1800" s="77"/>
      <c r="AR1800" s="77"/>
      <c r="AS1800" s="77"/>
      <c r="AT1800" s="82"/>
    </row>
    <row r="1801" spans="1:46" ht="12.5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3"/>
      <c r="Q1801" s="1"/>
      <c r="R1801" s="1"/>
      <c r="S1801" s="1"/>
      <c r="T1801" s="1"/>
      <c r="U1801" s="1"/>
      <c r="V1801" s="76"/>
      <c r="W1801" s="76"/>
      <c r="X1801" s="77"/>
      <c r="Y1801" s="77"/>
      <c r="Z1801" s="76"/>
      <c r="AA1801" s="76"/>
      <c r="AB1801" s="77"/>
      <c r="AC1801" s="77"/>
      <c r="AD1801" s="76"/>
      <c r="AE1801" s="76"/>
      <c r="AF1801" s="77"/>
      <c r="AG1801" s="77"/>
      <c r="AH1801" s="76"/>
      <c r="AI1801" s="76"/>
      <c r="AJ1801" s="77"/>
      <c r="AK1801" s="77"/>
      <c r="AL1801" s="77"/>
      <c r="AM1801" s="77"/>
      <c r="AN1801" s="77"/>
      <c r="AO1801" s="77"/>
      <c r="AP1801" s="77"/>
      <c r="AQ1801" s="77"/>
      <c r="AR1801" s="77"/>
      <c r="AS1801" s="77"/>
      <c r="AT1801" s="82"/>
    </row>
    <row r="1802" spans="1:46" ht="12.5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3"/>
      <c r="Q1802" s="1"/>
      <c r="R1802" s="1"/>
      <c r="S1802" s="1"/>
      <c r="T1802" s="1"/>
      <c r="U1802" s="1"/>
      <c r="V1802" s="76"/>
      <c r="W1802" s="76"/>
      <c r="X1802" s="77"/>
      <c r="Y1802" s="77"/>
      <c r="Z1802" s="76"/>
      <c r="AA1802" s="76"/>
      <c r="AB1802" s="77"/>
      <c r="AC1802" s="77"/>
      <c r="AD1802" s="76"/>
      <c r="AE1802" s="76"/>
      <c r="AF1802" s="77"/>
      <c r="AG1802" s="77"/>
      <c r="AH1802" s="76"/>
      <c r="AI1802" s="76"/>
      <c r="AJ1802" s="77"/>
      <c r="AK1802" s="77"/>
      <c r="AL1802" s="77"/>
      <c r="AM1802" s="77"/>
      <c r="AN1802" s="77"/>
      <c r="AO1802" s="77"/>
      <c r="AP1802" s="77"/>
      <c r="AQ1802" s="77"/>
      <c r="AR1802" s="77"/>
      <c r="AS1802" s="77"/>
      <c r="AT1802" s="82"/>
    </row>
    <row r="1803" spans="1:46" ht="12.5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3"/>
      <c r="Q1803" s="1"/>
      <c r="R1803" s="1"/>
      <c r="S1803" s="1"/>
      <c r="T1803" s="1"/>
      <c r="U1803" s="1"/>
      <c r="V1803" s="76"/>
      <c r="W1803" s="76"/>
      <c r="X1803" s="77"/>
      <c r="Y1803" s="77"/>
      <c r="Z1803" s="76"/>
      <c r="AA1803" s="76"/>
      <c r="AB1803" s="77"/>
      <c r="AC1803" s="77"/>
      <c r="AD1803" s="76"/>
      <c r="AE1803" s="76"/>
      <c r="AF1803" s="77"/>
      <c r="AG1803" s="77"/>
      <c r="AH1803" s="76"/>
      <c r="AI1803" s="76"/>
      <c r="AJ1803" s="77"/>
      <c r="AK1803" s="77"/>
      <c r="AL1803" s="77"/>
      <c r="AM1803" s="77"/>
      <c r="AN1803" s="77"/>
      <c r="AO1803" s="77"/>
      <c r="AP1803" s="77"/>
      <c r="AQ1803" s="77"/>
      <c r="AR1803" s="77"/>
      <c r="AS1803" s="77"/>
      <c r="AT1803" s="82"/>
    </row>
    <row r="1804" spans="1:46" ht="12.5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3"/>
      <c r="Q1804" s="1"/>
      <c r="R1804" s="1"/>
      <c r="S1804" s="1"/>
      <c r="T1804" s="1"/>
      <c r="U1804" s="1"/>
      <c r="V1804" s="76"/>
      <c r="W1804" s="76"/>
      <c r="X1804" s="77"/>
      <c r="Y1804" s="77"/>
      <c r="Z1804" s="76"/>
      <c r="AA1804" s="76"/>
      <c r="AB1804" s="77"/>
      <c r="AC1804" s="77"/>
      <c r="AD1804" s="76"/>
      <c r="AE1804" s="76"/>
      <c r="AF1804" s="77"/>
      <c r="AG1804" s="77"/>
      <c r="AH1804" s="76"/>
      <c r="AI1804" s="76"/>
      <c r="AJ1804" s="77"/>
      <c r="AK1804" s="77"/>
      <c r="AL1804" s="77"/>
      <c r="AM1804" s="77"/>
      <c r="AN1804" s="77"/>
      <c r="AO1804" s="77"/>
      <c r="AP1804" s="77"/>
      <c r="AQ1804" s="77"/>
      <c r="AR1804" s="77"/>
      <c r="AS1804" s="77"/>
      <c r="AT1804" s="82"/>
    </row>
    <row r="1805" spans="1:46" ht="12.5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3"/>
      <c r="Q1805" s="1"/>
      <c r="R1805" s="1"/>
      <c r="S1805" s="1"/>
      <c r="T1805" s="1"/>
      <c r="U1805" s="1"/>
      <c r="V1805" s="76"/>
      <c r="W1805" s="76"/>
      <c r="X1805" s="77"/>
      <c r="Y1805" s="77"/>
      <c r="Z1805" s="76"/>
      <c r="AA1805" s="76"/>
      <c r="AB1805" s="77"/>
      <c r="AC1805" s="77"/>
      <c r="AD1805" s="76"/>
      <c r="AE1805" s="76"/>
      <c r="AF1805" s="77"/>
      <c r="AG1805" s="77"/>
      <c r="AH1805" s="76"/>
      <c r="AI1805" s="76"/>
      <c r="AJ1805" s="77"/>
      <c r="AK1805" s="77"/>
      <c r="AL1805" s="77"/>
      <c r="AM1805" s="77"/>
      <c r="AN1805" s="77"/>
      <c r="AO1805" s="77"/>
      <c r="AP1805" s="77"/>
      <c r="AQ1805" s="77"/>
      <c r="AR1805" s="77"/>
      <c r="AS1805" s="77"/>
      <c r="AT1805" s="82"/>
    </row>
    <row r="1806" spans="1:46" ht="12.5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3"/>
      <c r="Q1806" s="1"/>
      <c r="R1806" s="1"/>
      <c r="S1806" s="1"/>
      <c r="T1806" s="1"/>
      <c r="U1806" s="1"/>
      <c r="V1806" s="76"/>
      <c r="W1806" s="76"/>
      <c r="X1806" s="77"/>
      <c r="Y1806" s="77"/>
      <c r="Z1806" s="76"/>
      <c r="AA1806" s="76"/>
      <c r="AB1806" s="77"/>
      <c r="AC1806" s="77"/>
      <c r="AD1806" s="76"/>
      <c r="AE1806" s="76"/>
      <c r="AF1806" s="77"/>
      <c r="AG1806" s="77"/>
      <c r="AH1806" s="76"/>
      <c r="AI1806" s="76"/>
      <c r="AJ1806" s="77"/>
      <c r="AK1806" s="77"/>
      <c r="AL1806" s="77"/>
      <c r="AM1806" s="77"/>
      <c r="AN1806" s="77"/>
      <c r="AO1806" s="77"/>
      <c r="AP1806" s="77"/>
      <c r="AQ1806" s="77"/>
      <c r="AR1806" s="77"/>
      <c r="AS1806" s="77"/>
      <c r="AT1806" s="82"/>
    </row>
    <row r="1807" spans="1:46" ht="12.5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3"/>
      <c r="Q1807" s="1"/>
      <c r="R1807" s="1"/>
      <c r="S1807" s="1"/>
      <c r="T1807" s="1"/>
      <c r="U1807" s="1"/>
      <c r="V1807" s="76"/>
      <c r="W1807" s="76"/>
      <c r="X1807" s="77"/>
      <c r="Y1807" s="77"/>
      <c r="Z1807" s="76"/>
      <c r="AA1807" s="76"/>
      <c r="AB1807" s="77"/>
      <c r="AC1807" s="77"/>
      <c r="AD1807" s="76"/>
      <c r="AE1807" s="76"/>
      <c r="AF1807" s="77"/>
      <c r="AG1807" s="77"/>
      <c r="AH1807" s="76"/>
      <c r="AI1807" s="76"/>
      <c r="AJ1807" s="77"/>
      <c r="AK1807" s="77"/>
      <c r="AL1807" s="77"/>
      <c r="AM1807" s="77"/>
      <c r="AN1807" s="77"/>
      <c r="AO1807" s="77"/>
      <c r="AP1807" s="77"/>
      <c r="AQ1807" s="77"/>
      <c r="AR1807" s="77"/>
      <c r="AS1807" s="77"/>
      <c r="AT1807" s="82"/>
    </row>
    <row r="1808" spans="1:46" ht="12.5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3"/>
      <c r="Q1808" s="1"/>
      <c r="R1808" s="1"/>
      <c r="S1808" s="1"/>
      <c r="T1808" s="1"/>
      <c r="U1808" s="1"/>
      <c r="V1808" s="76"/>
      <c r="W1808" s="76"/>
      <c r="X1808" s="77"/>
      <c r="Y1808" s="77"/>
      <c r="Z1808" s="76"/>
      <c r="AA1808" s="76"/>
      <c r="AB1808" s="77"/>
      <c r="AC1808" s="77"/>
      <c r="AD1808" s="76"/>
      <c r="AE1808" s="76"/>
      <c r="AF1808" s="77"/>
      <c r="AG1808" s="77"/>
      <c r="AH1808" s="76"/>
      <c r="AI1808" s="76"/>
      <c r="AJ1808" s="77"/>
      <c r="AK1808" s="77"/>
      <c r="AL1808" s="77"/>
      <c r="AM1808" s="77"/>
      <c r="AN1808" s="77"/>
      <c r="AO1808" s="77"/>
      <c r="AP1808" s="77"/>
      <c r="AQ1808" s="77"/>
      <c r="AR1808" s="77"/>
      <c r="AS1808" s="77"/>
      <c r="AT1808" s="82"/>
    </row>
    <row r="1809" spans="1:46" ht="12.5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3"/>
      <c r="Q1809" s="1"/>
      <c r="R1809" s="1"/>
      <c r="S1809" s="1"/>
      <c r="T1809" s="1"/>
      <c r="U1809" s="1"/>
      <c r="V1809" s="76"/>
      <c r="W1809" s="76"/>
      <c r="X1809" s="77"/>
      <c r="Y1809" s="77"/>
      <c r="Z1809" s="76"/>
      <c r="AA1809" s="76"/>
      <c r="AB1809" s="77"/>
      <c r="AC1809" s="77"/>
      <c r="AD1809" s="76"/>
      <c r="AE1809" s="76"/>
      <c r="AF1809" s="77"/>
      <c r="AG1809" s="77"/>
      <c r="AH1809" s="76"/>
      <c r="AI1809" s="76"/>
      <c r="AJ1809" s="77"/>
      <c r="AK1809" s="77"/>
      <c r="AL1809" s="77"/>
      <c r="AM1809" s="77"/>
      <c r="AN1809" s="77"/>
      <c r="AO1809" s="77"/>
      <c r="AP1809" s="77"/>
      <c r="AQ1809" s="77"/>
      <c r="AR1809" s="77"/>
      <c r="AS1809" s="77"/>
      <c r="AT1809" s="82"/>
    </row>
    <row r="1810" spans="1:46" ht="12.5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3"/>
      <c r="Q1810" s="1"/>
      <c r="R1810" s="1"/>
      <c r="S1810" s="1"/>
      <c r="T1810" s="1"/>
      <c r="U1810" s="1"/>
      <c r="V1810" s="76"/>
      <c r="W1810" s="76"/>
      <c r="X1810" s="77"/>
      <c r="Y1810" s="77"/>
      <c r="Z1810" s="76"/>
      <c r="AA1810" s="76"/>
      <c r="AB1810" s="77"/>
      <c r="AC1810" s="77"/>
      <c r="AD1810" s="76"/>
      <c r="AE1810" s="76"/>
      <c r="AF1810" s="77"/>
      <c r="AG1810" s="77"/>
      <c r="AH1810" s="76"/>
      <c r="AI1810" s="76"/>
      <c r="AJ1810" s="77"/>
      <c r="AK1810" s="77"/>
      <c r="AL1810" s="77"/>
      <c r="AM1810" s="77"/>
      <c r="AN1810" s="77"/>
      <c r="AO1810" s="77"/>
      <c r="AP1810" s="77"/>
      <c r="AQ1810" s="77"/>
      <c r="AR1810" s="77"/>
      <c r="AS1810" s="77"/>
      <c r="AT1810" s="82"/>
    </row>
    <row r="1811" spans="1:46" ht="12.5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3"/>
      <c r="Q1811" s="1"/>
      <c r="R1811" s="1"/>
      <c r="S1811" s="1"/>
      <c r="T1811" s="1"/>
      <c r="U1811" s="1"/>
      <c r="V1811" s="76"/>
      <c r="W1811" s="76"/>
      <c r="X1811" s="77"/>
      <c r="Y1811" s="77"/>
      <c r="Z1811" s="76"/>
      <c r="AA1811" s="76"/>
      <c r="AB1811" s="77"/>
      <c r="AC1811" s="77"/>
      <c r="AD1811" s="76"/>
      <c r="AE1811" s="76"/>
      <c r="AF1811" s="77"/>
      <c r="AG1811" s="77"/>
      <c r="AH1811" s="76"/>
      <c r="AI1811" s="76"/>
      <c r="AJ1811" s="77"/>
      <c r="AK1811" s="77"/>
      <c r="AL1811" s="77"/>
      <c r="AM1811" s="77"/>
      <c r="AN1811" s="77"/>
      <c r="AO1811" s="77"/>
      <c r="AP1811" s="77"/>
      <c r="AQ1811" s="77"/>
      <c r="AR1811" s="77"/>
      <c r="AS1811" s="77"/>
      <c r="AT1811" s="82"/>
    </row>
    <row r="1812" spans="1:46" ht="12.5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3"/>
      <c r="Q1812" s="1"/>
      <c r="R1812" s="1"/>
      <c r="S1812" s="1"/>
      <c r="T1812" s="1"/>
      <c r="U1812" s="1"/>
      <c r="V1812" s="76"/>
      <c r="W1812" s="76"/>
      <c r="X1812" s="77"/>
      <c r="Y1812" s="77"/>
      <c r="Z1812" s="76"/>
      <c r="AA1812" s="76"/>
      <c r="AB1812" s="77"/>
      <c r="AC1812" s="77"/>
      <c r="AD1812" s="76"/>
      <c r="AE1812" s="76"/>
      <c r="AF1812" s="77"/>
      <c r="AG1812" s="77"/>
      <c r="AH1812" s="76"/>
      <c r="AI1812" s="76"/>
      <c r="AJ1812" s="77"/>
      <c r="AK1812" s="77"/>
      <c r="AL1812" s="77"/>
      <c r="AM1812" s="77"/>
      <c r="AN1812" s="77"/>
      <c r="AO1812" s="77"/>
      <c r="AP1812" s="77"/>
      <c r="AQ1812" s="77"/>
      <c r="AR1812" s="77"/>
      <c r="AS1812" s="77"/>
      <c r="AT1812" s="82"/>
    </row>
    <row r="1813" spans="1:46" ht="12.5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3"/>
      <c r="Q1813" s="1"/>
      <c r="R1813" s="1"/>
      <c r="S1813" s="1"/>
      <c r="T1813" s="1"/>
      <c r="U1813" s="1"/>
      <c r="V1813" s="76"/>
      <c r="W1813" s="76"/>
      <c r="X1813" s="77"/>
      <c r="Y1813" s="77"/>
      <c r="Z1813" s="76"/>
      <c r="AA1813" s="76"/>
      <c r="AB1813" s="77"/>
      <c r="AC1813" s="77"/>
      <c r="AD1813" s="76"/>
      <c r="AE1813" s="76"/>
      <c r="AF1813" s="77"/>
      <c r="AG1813" s="77"/>
      <c r="AH1813" s="76"/>
      <c r="AI1813" s="76"/>
      <c r="AJ1813" s="77"/>
      <c r="AK1813" s="77"/>
      <c r="AL1813" s="77"/>
      <c r="AM1813" s="77"/>
      <c r="AN1813" s="77"/>
      <c r="AO1813" s="77"/>
      <c r="AP1813" s="77"/>
      <c r="AQ1813" s="77"/>
      <c r="AR1813" s="77"/>
      <c r="AS1813" s="77"/>
      <c r="AT1813" s="82"/>
    </row>
    <row r="1814" spans="1:46" ht="12.5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3"/>
      <c r="Q1814" s="1"/>
      <c r="R1814" s="1"/>
      <c r="S1814" s="1"/>
      <c r="T1814" s="1"/>
      <c r="U1814" s="1"/>
      <c r="V1814" s="76"/>
      <c r="W1814" s="76"/>
      <c r="X1814" s="77"/>
      <c r="Y1814" s="77"/>
      <c r="Z1814" s="76"/>
      <c r="AA1814" s="76"/>
      <c r="AB1814" s="77"/>
      <c r="AC1814" s="77"/>
      <c r="AD1814" s="76"/>
      <c r="AE1814" s="76"/>
      <c r="AF1814" s="77"/>
      <c r="AG1814" s="77"/>
      <c r="AH1814" s="76"/>
      <c r="AI1814" s="76"/>
      <c r="AJ1814" s="77"/>
      <c r="AK1814" s="77"/>
      <c r="AL1814" s="77"/>
      <c r="AM1814" s="77"/>
      <c r="AN1814" s="77"/>
      <c r="AO1814" s="77"/>
      <c r="AP1814" s="77"/>
      <c r="AQ1814" s="77"/>
      <c r="AR1814" s="77"/>
      <c r="AS1814" s="77"/>
      <c r="AT1814" s="82"/>
    </row>
    <row r="1815" spans="1:46" ht="12.5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3"/>
      <c r="Q1815" s="1"/>
      <c r="R1815" s="1"/>
      <c r="S1815" s="1"/>
      <c r="T1815" s="1"/>
      <c r="U1815" s="1"/>
      <c r="V1815" s="76"/>
      <c r="W1815" s="76"/>
      <c r="X1815" s="77"/>
      <c r="Y1815" s="77"/>
      <c r="Z1815" s="76"/>
      <c r="AA1815" s="76"/>
      <c r="AB1815" s="77"/>
      <c r="AC1815" s="77"/>
      <c r="AD1815" s="76"/>
      <c r="AE1815" s="76"/>
      <c r="AF1815" s="77"/>
      <c r="AG1815" s="77"/>
      <c r="AH1815" s="76"/>
      <c r="AI1815" s="76"/>
      <c r="AJ1815" s="77"/>
      <c r="AK1815" s="77"/>
      <c r="AL1815" s="77"/>
      <c r="AM1815" s="77"/>
      <c r="AN1815" s="77"/>
      <c r="AO1815" s="77"/>
      <c r="AP1815" s="77"/>
      <c r="AQ1815" s="77"/>
      <c r="AR1815" s="77"/>
      <c r="AS1815" s="77"/>
      <c r="AT1815" s="82"/>
    </row>
    <row r="1816" spans="1:46" ht="12.5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3"/>
      <c r="Q1816" s="1"/>
      <c r="R1816" s="1"/>
      <c r="S1816" s="1"/>
      <c r="T1816" s="1"/>
      <c r="U1816" s="1"/>
      <c r="V1816" s="76"/>
      <c r="W1816" s="76"/>
      <c r="X1816" s="77"/>
      <c r="Y1816" s="77"/>
      <c r="Z1816" s="76"/>
      <c r="AA1816" s="76"/>
      <c r="AB1816" s="77"/>
      <c r="AC1816" s="77"/>
      <c r="AD1816" s="76"/>
      <c r="AE1816" s="76"/>
      <c r="AF1816" s="77"/>
      <c r="AG1816" s="77"/>
      <c r="AH1816" s="76"/>
      <c r="AI1816" s="76"/>
      <c r="AJ1816" s="77"/>
      <c r="AK1816" s="77"/>
      <c r="AL1816" s="77"/>
      <c r="AM1816" s="77"/>
      <c r="AN1816" s="77"/>
      <c r="AO1816" s="77"/>
      <c r="AP1816" s="77"/>
      <c r="AQ1816" s="77"/>
      <c r="AR1816" s="77"/>
      <c r="AS1816" s="77"/>
      <c r="AT1816" s="82"/>
    </row>
    <row r="1817" spans="1:46" ht="12.5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3"/>
      <c r="Q1817" s="1"/>
      <c r="R1817" s="1"/>
      <c r="S1817" s="1"/>
      <c r="T1817" s="1"/>
      <c r="U1817" s="1"/>
      <c r="V1817" s="76"/>
      <c r="W1817" s="76"/>
      <c r="X1817" s="77"/>
      <c r="Y1817" s="77"/>
      <c r="Z1817" s="76"/>
      <c r="AA1817" s="76"/>
      <c r="AB1817" s="77"/>
      <c r="AC1817" s="77"/>
      <c r="AD1817" s="76"/>
      <c r="AE1817" s="76"/>
      <c r="AF1817" s="77"/>
      <c r="AG1817" s="77"/>
      <c r="AH1817" s="76"/>
      <c r="AI1817" s="76"/>
      <c r="AJ1817" s="77"/>
      <c r="AK1817" s="77"/>
      <c r="AL1817" s="77"/>
      <c r="AM1817" s="77"/>
      <c r="AN1817" s="77"/>
      <c r="AO1817" s="77"/>
      <c r="AP1817" s="77"/>
      <c r="AQ1817" s="77"/>
      <c r="AR1817" s="77"/>
      <c r="AS1817" s="77"/>
      <c r="AT1817" s="82"/>
    </row>
    <row r="1818" spans="1:46" ht="12.5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3"/>
      <c r="Q1818" s="1"/>
      <c r="R1818" s="1"/>
      <c r="S1818" s="1"/>
      <c r="T1818" s="1"/>
      <c r="U1818" s="1"/>
      <c r="V1818" s="76"/>
      <c r="W1818" s="76"/>
      <c r="X1818" s="77"/>
      <c r="Y1818" s="77"/>
      <c r="Z1818" s="76"/>
      <c r="AA1818" s="76"/>
      <c r="AB1818" s="77"/>
      <c r="AC1818" s="77"/>
      <c r="AD1818" s="76"/>
      <c r="AE1818" s="76"/>
      <c r="AF1818" s="77"/>
      <c r="AG1818" s="77"/>
      <c r="AH1818" s="76"/>
      <c r="AI1818" s="76"/>
      <c r="AJ1818" s="77"/>
      <c r="AK1818" s="77"/>
      <c r="AL1818" s="77"/>
      <c r="AM1818" s="77"/>
      <c r="AN1818" s="77"/>
      <c r="AO1818" s="77"/>
      <c r="AP1818" s="77"/>
      <c r="AQ1818" s="77"/>
      <c r="AR1818" s="77"/>
      <c r="AS1818" s="77"/>
      <c r="AT1818" s="82"/>
    </row>
    <row r="1819" spans="1:46" ht="12.5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3"/>
      <c r="Q1819" s="1"/>
      <c r="R1819" s="1"/>
      <c r="S1819" s="1"/>
      <c r="T1819" s="1"/>
      <c r="U1819" s="1"/>
      <c r="V1819" s="76"/>
      <c r="W1819" s="76"/>
      <c r="X1819" s="77"/>
      <c r="Y1819" s="77"/>
      <c r="Z1819" s="76"/>
      <c r="AA1819" s="76"/>
      <c r="AB1819" s="77"/>
      <c r="AC1819" s="77"/>
      <c r="AD1819" s="76"/>
      <c r="AE1819" s="76"/>
      <c r="AF1819" s="77"/>
      <c r="AG1819" s="77"/>
      <c r="AH1819" s="76"/>
      <c r="AI1819" s="76"/>
      <c r="AJ1819" s="77"/>
      <c r="AK1819" s="77"/>
      <c r="AL1819" s="77"/>
      <c r="AM1819" s="77"/>
      <c r="AN1819" s="77"/>
      <c r="AO1819" s="77"/>
      <c r="AP1819" s="77"/>
      <c r="AQ1819" s="77"/>
      <c r="AR1819" s="77"/>
      <c r="AS1819" s="77"/>
      <c r="AT1819" s="82"/>
    </row>
    <row r="1820" spans="1:46" ht="12.5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3"/>
      <c r="Q1820" s="1"/>
      <c r="R1820" s="1"/>
      <c r="S1820" s="1"/>
      <c r="T1820" s="1"/>
      <c r="U1820" s="1"/>
      <c r="V1820" s="76"/>
      <c r="W1820" s="76"/>
      <c r="X1820" s="77"/>
      <c r="Y1820" s="77"/>
      <c r="Z1820" s="76"/>
      <c r="AA1820" s="76"/>
      <c r="AB1820" s="77"/>
      <c r="AC1820" s="77"/>
      <c r="AD1820" s="76"/>
      <c r="AE1820" s="76"/>
      <c r="AF1820" s="77"/>
      <c r="AG1820" s="77"/>
      <c r="AH1820" s="76"/>
      <c r="AI1820" s="76"/>
      <c r="AJ1820" s="77"/>
      <c r="AK1820" s="77"/>
      <c r="AL1820" s="77"/>
      <c r="AM1820" s="77"/>
      <c r="AN1820" s="77"/>
      <c r="AO1820" s="77"/>
      <c r="AP1820" s="77"/>
      <c r="AQ1820" s="77"/>
      <c r="AR1820" s="77"/>
      <c r="AS1820" s="77"/>
      <c r="AT1820" s="82"/>
    </row>
    <row r="1821" spans="1:46" ht="12.5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3"/>
      <c r="Q1821" s="1"/>
      <c r="R1821" s="1"/>
      <c r="S1821" s="1"/>
      <c r="T1821" s="1"/>
      <c r="U1821" s="1"/>
      <c r="V1821" s="76"/>
      <c r="W1821" s="76"/>
      <c r="X1821" s="77"/>
      <c r="Y1821" s="77"/>
      <c r="Z1821" s="76"/>
      <c r="AA1821" s="76"/>
      <c r="AB1821" s="77"/>
      <c r="AC1821" s="77"/>
      <c r="AD1821" s="76"/>
      <c r="AE1821" s="76"/>
      <c r="AF1821" s="77"/>
      <c r="AG1821" s="77"/>
      <c r="AH1821" s="76"/>
      <c r="AI1821" s="76"/>
      <c r="AJ1821" s="77"/>
      <c r="AK1821" s="77"/>
      <c r="AL1821" s="77"/>
      <c r="AM1821" s="77"/>
      <c r="AN1821" s="77"/>
      <c r="AO1821" s="77"/>
      <c r="AP1821" s="77"/>
      <c r="AQ1821" s="77"/>
      <c r="AR1821" s="77"/>
      <c r="AS1821" s="77"/>
      <c r="AT1821" s="82"/>
    </row>
    <row r="1822" spans="1:46" ht="12.5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3"/>
      <c r="Q1822" s="1"/>
      <c r="R1822" s="1"/>
      <c r="S1822" s="1"/>
      <c r="T1822" s="1"/>
      <c r="U1822" s="1"/>
      <c r="V1822" s="76"/>
      <c r="W1822" s="76"/>
      <c r="X1822" s="77"/>
      <c r="Y1822" s="77"/>
      <c r="Z1822" s="76"/>
      <c r="AA1822" s="76"/>
      <c r="AB1822" s="77"/>
      <c r="AC1822" s="77"/>
      <c r="AD1822" s="76"/>
      <c r="AE1822" s="76"/>
      <c r="AF1822" s="77"/>
      <c r="AG1822" s="77"/>
      <c r="AH1822" s="76"/>
      <c r="AI1822" s="76"/>
      <c r="AJ1822" s="77"/>
      <c r="AK1822" s="77"/>
      <c r="AL1822" s="77"/>
      <c r="AM1822" s="77"/>
      <c r="AN1822" s="77"/>
      <c r="AO1822" s="77"/>
      <c r="AP1822" s="77"/>
      <c r="AQ1822" s="77"/>
      <c r="AR1822" s="77"/>
      <c r="AS1822" s="77"/>
      <c r="AT1822" s="82"/>
    </row>
    <row r="1823" spans="1:46" ht="12.5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3"/>
      <c r="Q1823" s="1"/>
      <c r="R1823" s="1"/>
      <c r="S1823" s="1"/>
      <c r="T1823" s="1"/>
      <c r="U1823" s="1"/>
      <c r="V1823" s="76"/>
      <c r="W1823" s="76"/>
      <c r="X1823" s="77"/>
      <c r="Y1823" s="77"/>
      <c r="Z1823" s="76"/>
      <c r="AA1823" s="76"/>
      <c r="AB1823" s="77"/>
      <c r="AC1823" s="77"/>
      <c r="AD1823" s="76"/>
      <c r="AE1823" s="76"/>
      <c r="AF1823" s="77"/>
      <c r="AG1823" s="77"/>
      <c r="AH1823" s="76"/>
      <c r="AI1823" s="76"/>
      <c r="AJ1823" s="77"/>
      <c r="AK1823" s="77"/>
      <c r="AL1823" s="77"/>
      <c r="AM1823" s="77"/>
      <c r="AN1823" s="77"/>
      <c r="AO1823" s="77"/>
      <c r="AP1823" s="77"/>
      <c r="AQ1823" s="77"/>
      <c r="AR1823" s="77"/>
      <c r="AS1823" s="77"/>
      <c r="AT1823" s="82"/>
    </row>
    <row r="1824" spans="1:46" ht="12.5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3"/>
      <c r="Q1824" s="1"/>
      <c r="R1824" s="1"/>
      <c r="S1824" s="1"/>
      <c r="T1824" s="1"/>
      <c r="U1824" s="1"/>
      <c r="V1824" s="76"/>
      <c r="W1824" s="76"/>
      <c r="X1824" s="77"/>
      <c r="Y1824" s="77"/>
      <c r="Z1824" s="76"/>
      <c r="AA1824" s="76"/>
      <c r="AB1824" s="77"/>
      <c r="AC1824" s="77"/>
      <c r="AD1824" s="76"/>
      <c r="AE1824" s="76"/>
      <c r="AF1824" s="77"/>
      <c r="AG1824" s="77"/>
      <c r="AH1824" s="76"/>
      <c r="AI1824" s="76"/>
      <c r="AJ1824" s="77"/>
      <c r="AK1824" s="77"/>
      <c r="AL1824" s="77"/>
      <c r="AM1824" s="77"/>
      <c r="AN1824" s="77"/>
      <c r="AO1824" s="77"/>
      <c r="AP1824" s="77"/>
      <c r="AQ1824" s="77"/>
      <c r="AR1824" s="77"/>
      <c r="AS1824" s="77"/>
      <c r="AT1824" s="82"/>
    </row>
    <row r="1825" spans="1:46" ht="12.5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3"/>
      <c r="Q1825" s="1"/>
      <c r="R1825" s="1"/>
      <c r="S1825" s="1"/>
      <c r="T1825" s="1"/>
      <c r="U1825" s="1"/>
      <c r="V1825" s="76"/>
      <c r="W1825" s="76"/>
      <c r="X1825" s="77"/>
      <c r="Y1825" s="77"/>
      <c r="Z1825" s="76"/>
      <c r="AA1825" s="76"/>
      <c r="AB1825" s="77"/>
      <c r="AC1825" s="77"/>
      <c r="AD1825" s="76"/>
      <c r="AE1825" s="76"/>
      <c r="AF1825" s="77"/>
      <c r="AG1825" s="77"/>
      <c r="AH1825" s="76"/>
      <c r="AI1825" s="76"/>
      <c r="AJ1825" s="77"/>
      <c r="AK1825" s="77"/>
      <c r="AL1825" s="77"/>
      <c r="AM1825" s="77"/>
      <c r="AN1825" s="77"/>
      <c r="AO1825" s="77"/>
      <c r="AP1825" s="77"/>
      <c r="AQ1825" s="77"/>
      <c r="AR1825" s="77"/>
      <c r="AS1825" s="77"/>
      <c r="AT1825" s="82"/>
    </row>
    <row r="1826" spans="1:46" ht="12.5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3"/>
      <c r="Q1826" s="1"/>
      <c r="R1826" s="1"/>
      <c r="S1826" s="1"/>
      <c r="T1826" s="1"/>
      <c r="U1826" s="1"/>
      <c r="V1826" s="76"/>
      <c r="W1826" s="76"/>
      <c r="X1826" s="77"/>
      <c r="Y1826" s="77"/>
      <c r="Z1826" s="76"/>
      <c r="AA1826" s="76"/>
      <c r="AB1826" s="77"/>
      <c r="AC1826" s="77"/>
      <c r="AD1826" s="76"/>
      <c r="AE1826" s="76"/>
      <c r="AF1826" s="77"/>
      <c r="AG1826" s="77"/>
      <c r="AH1826" s="76"/>
      <c r="AI1826" s="76"/>
      <c r="AJ1826" s="77"/>
      <c r="AK1826" s="77"/>
      <c r="AL1826" s="77"/>
      <c r="AM1826" s="77"/>
      <c r="AN1826" s="77"/>
      <c r="AO1826" s="77"/>
      <c r="AP1826" s="77"/>
      <c r="AQ1826" s="77"/>
      <c r="AR1826" s="77"/>
      <c r="AS1826" s="77"/>
      <c r="AT1826" s="82"/>
    </row>
    <row r="1827" spans="1:46" ht="12.5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3"/>
      <c r="Q1827" s="1"/>
      <c r="R1827" s="1"/>
      <c r="S1827" s="1"/>
      <c r="T1827" s="1"/>
      <c r="U1827" s="1"/>
      <c r="V1827" s="76"/>
      <c r="W1827" s="76"/>
      <c r="X1827" s="77"/>
      <c r="Y1827" s="77"/>
      <c r="Z1827" s="76"/>
      <c r="AA1827" s="76"/>
      <c r="AB1827" s="77"/>
      <c r="AC1827" s="77"/>
      <c r="AD1827" s="76"/>
      <c r="AE1827" s="76"/>
      <c r="AF1827" s="77"/>
      <c r="AG1827" s="77"/>
      <c r="AH1827" s="76"/>
      <c r="AI1827" s="76"/>
      <c r="AJ1827" s="77"/>
      <c r="AK1827" s="77"/>
      <c r="AL1827" s="77"/>
      <c r="AM1827" s="77"/>
      <c r="AN1827" s="77"/>
      <c r="AO1827" s="77"/>
      <c r="AP1827" s="77"/>
      <c r="AQ1827" s="77"/>
      <c r="AR1827" s="77"/>
      <c r="AS1827" s="77"/>
      <c r="AT1827" s="82"/>
    </row>
    <row r="1828" spans="1:46" ht="12.5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3"/>
      <c r="Q1828" s="1"/>
      <c r="R1828" s="1"/>
      <c r="S1828" s="1"/>
      <c r="T1828" s="1"/>
      <c r="U1828" s="1"/>
      <c r="V1828" s="76"/>
      <c r="W1828" s="76"/>
      <c r="X1828" s="77"/>
      <c r="Y1828" s="77"/>
      <c r="Z1828" s="76"/>
      <c r="AA1828" s="76"/>
      <c r="AB1828" s="77"/>
      <c r="AC1828" s="77"/>
      <c r="AD1828" s="76"/>
      <c r="AE1828" s="76"/>
      <c r="AF1828" s="77"/>
      <c r="AG1828" s="77"/>
      <c r="AH1828" s="76"/>
      <c r="AI1828" s="76"/>
      <c r="AJ1828" s="77"/>
      <c r="AK1828" s="77"/>
      <c r="AL1828" s="77"/>
      <c r="AM1828" s="77"/>
      <c r="AN1828" s="77"/>
      <c r="AO1828" s="77"/>
      <c r="AP1828" s="77"/>
      <c r="AQ1828" s="77"/>
      <c r="AR1828" s="77"/>
      <c r="AS1828" s="77"/>
      <c r="AT1828" s="82"/>
    </row>
    <row r="1829" spans="1:46" ht="12.5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3"/>
      <c r="Q1829" s="1"/>
      <c r="R1829" s="1"/>
      <c r="S1829" s="1"/>
      <c r="T1829" s="1"/>
      <c r="U1829" s="1"/>
      <c r="V1829" s="76"/>
      <c r="W1829" s="76"/>
      <c r="X1829" s="77"/>
      <c r="Y1829" s="77"/>
      <c r="Z1829" s="76"/>
      <c r="AA1829" s="76"/>
      <c r="AB1829" s="77"/>
      <c r="AC1829" s="77"/>
      <c r="AD1829" s="76"/>
      <c r="AE1829" s="76"/>
      <c r="AF1829" s="77"/>
      <c r="AG1829" s="77"/>
      <c r="AH1829" s="76"/>
      <c r="AI1829" s="76"/>
      <c r="AJ1829" s="77"/>
      <c r="AK1829" s="77"/>
      <c r="AL1829" s="77"/>
      <c r="AM1829" s="77"/>
      <c r="AN1829" s="77"/>
      <c r="AO1829" s="77"/>
      <c r="AP1829" s="77"/>
      <c r="AQ1829" s="77"/>
      <c r="AR1829" s="77"/>
      <c r="AS1829" s="77"/>
      <c r="AT1829" s="82"/>
    </row>
    <row r="1830" spans="1:46" ht="12.5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3"/>
      <c r="Q1830" s="1"/>
      <c r="R1830" s="1"/>
      <c r="S1830" s="1"/>
      <c r="T1830" s="1"/>
      <c r="U1830" s="1"/>
      <c r="V1830" s="76"/>
      <c r="W1830" s="76"/>
      <c r="X1830" s="77"/>
      <c r="Y1830" s="77"/>
      <c r="Z1830" s="76"/>
      <c r="AA1830" s="76"/>
      <c r="AB1830" s="77"/>
      <c r="AC1830" s="77"/>
      <c r="AD1830" s="76"/>
      <c r="AE1830" s="76"/>
      <c r="AF1830" s="77"/>
      <c r="AG1830" s="77"/>
      <c r="AH1830" s="76"/>
      <c r="AI1830" s="76"/>
      <c r="AJ1830" s="77"/>
      <c r="AK1830" s="77"/>
      <c r="AL1830" s="77"/>
      <c r="AM1830" s="77"/>
      <c r="AN1830" s="77"/>
      <c r="AO1830" s="77"/>
      <c r="AP1830" s="77"/>
      <c r="AQ1830" s="77"/>
      <c r="AR1830" s="77"/>
      <c r="AS1830" s="77"/>
      <c r="AT1830" s="82"/>
    </row>
    <row r="1831" spans="1:46" ht="12.5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3"/>
      <c r="Q1831" s="1"/>
      <c r="R1831" s="1"/>
      <c r="S1831" s="1"/>
      <c r="T1831" s="1"/>
      <c r="U1831" s="1"/>
      <c r="V1831" s="76"/>
      <c r="W1831" s="76"/>
      <c r="X1831" s="77"/>
      <c r="Y1831" s="77"/>
      <c r="Z1831" s="76"/>
      <c r="AA1831" s="76"/>
      <c r="AB1831" s="77"/>
      <c r="AC1831" s="77"/>
      <c r="AD1831" s="76"/>
      <c r="AE1831" s="76"/>
      <c r="AF1831" s="77"/>
      <c r="AG1831" s="77"/>
      <c r="AH1831" s="76"/>
      <c r="AI1831" s="76"/>
      <c r="AJ1831" s="77"/>
      <c r="AK1831" s="77"/>
      <c r="AL1831" s="77"/>
      <c r="AM1831" s="77"/>
      <c r="AN1831" s="77"/>
      <c r="AO1831" s="77"/>
      <c r="AP1831" s="77"/>
      <c r="AQ1831" s="77"/>
      <c r="AR1831" s="77"/>
      <c r="AS1831" s="77"/>
      <c r="AT1831" s="82"/>
    </row>
    <row r="1832" spans="1:46" ht="12.5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3"/>
      <c r="Q1832" s="1"/>
      <c r="R1832" s="1"/>
      <c r="S1832" s="1"/>
      <c r="T1832" s="1"/>
      <c r="U1832" s="1"/>
      <c r="V1832" s="76"/>
      <c r="W1832" s="76"/>
      <c r="X1832" s="77"/>
      <c r="Y1832" s="77"/>
      <c r="Z1832" s="76"/>
      <c r="AA1832" s="76"/>
      <c r="AB1832" s="77"/>
      <c r="AC1832" s="77"/>
      <c r="AD1832" s="76"/>
      <c r="AE1832" s="76"/>
      <c r="AF1832" s="77"/>
      <c r="AG1832" s="77"/>
      <c r="AH1832" s="76"/>
      <c r="AI1832" s="76"/>
      <c r="AJ1832" s="77"/>
      <c r="AK1832" s="77"/>
      <c r="AL1832" s="77"/>
      <c r="AM1832" s="77"/>
      <c r="AN1832" s="77"/>
      <c r="AO1832" s="77"/>
      <c r="AP1832" s="77"/>
      <c r="AQ1832" s="77"/>
      <c r="AR1832" s="77"/>
      <c r="AS1832" s="77"/>
      <c r="AT1832" s="82"/>
    </row>
    <row r="1833" spans="1:46" ht="12.5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3"/>
      <c r="Q1833" s="1"/>
      <c r="R1833" s="1"/>
      <c r="S1833" s="1"/>
      <c r="T1833" s="1"/>
      <c r="U1833" s="1"/>
      <c r="V1833" s="76"/>
      <c r="W1833" s="76"/>
      <c r="X1833" s="77"/>
      <c r="Y1833" s="77"/>
      <c r="Z1833" s="76"/>
      <c r="AA1833" s="76"/>
      <c r="AB1833" s="77"/>
      <c r="AC1833" s="77"/>
      <c r="AD1833" s="76"/>
      <c r="AE1833" s="76"/>
      <c r="AF1833" s="77"/>
      <c r="AG1833" s="77"/>
      <c r="AH1833" s="76"/>
      <c r="AI1833" s="76"/>
      <c r="AJ1833" s="77"/>
      <c r="AK1833" s="77"/>
      <c r="AL1833" s="77"/>
      <c r="AM1833" s="77"/>
      <c r="AN1833" s="77"/>
      <c r="AO1833" s="77"/>
      <c r="AP1833" s="77"/>
      <c r="AQ1833" s="77"/>
      <c r="AR1833" s="77"/>
      <c r="AS1833" s="77"/>
      <c r="AT1833" s="82"/>
    </row>
    <row r="1834" spans="1:46" ht="12.5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3"/>
      <c r="Q1834" s="1"/>
      <c r="R1834" s="1"/>
      <c r="S1834" s="1"/>
      <c r="T1834" s="1"/>
      <c r="U1834" s="1"/>
      <c r="V1834" s="76"/>
      <c r="W1834" s="76"/>
      <c r="X1834" s="77"/>
      <c r="Y1834" s="77"/>
      <c r="Z1834" s="76"/>
      <c r="AA1834" s="76"/>
      <c r="AB1834" s="77"/>
      <c r="AC1834" s="77"/>
      <c r="AD1834" s="76"/>
      <c r="AE1834" s="76"/>
      <c r="AF1834" s="77"/>
      <c r="AG1834" s="77"/>
      <c r="AH1834" s="76"/>
      <c r="AI1834" s="76"/>
      <c r="AJ1834" s="77"/>
      <c r="AK1834" s="77"/>
      <c r="AL1834" s="77"/>
      <c r="AM1834" s="77"/>
      <c r="AN1834" s="77"/>
      <c r="AO1834" s="77"/>
      <c r="AP1834" s="77"/>
      <c r="AQ1834" s="77"/>
      <c r="AR1834" s="77"/>
      <c r="AS1834" s="77"/>
      <c r="AT1834" s="82"/>
    </row>
    <row r="1835" spans="1:46" ht="12.5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3"/>
      <c r="Q1835" s="1"/>
      <c r="R1835" s="1"/>
      <c r="S1835" s="1"/>
      <c r="T1835" s="1"/>
      <c r="U1835" s="1"/>
      <c r="V1835" s="76"/>
      <c r="W1835" s="76"/>
      <c r="X1835" s="77"/>
      <c r="Y1835" s="77"/>
      <c r="Z1835" s="76"/>
      <c r="AA1835" s="76"/>
      <c r="AB1835" s="77"/>
      <c r="AC1835" s="77"/>
      <c r="AD1835" s="76"/>
      <c r="AE1835" s="76"/>
      <c r="AF1835" s="77"/>
      <c r="AG1835" s="77"/>
      <c r="AH1835" s="76"/>
      <c r="AI1835" s="76"/>
      <c r="AJ1835" s="77"/>
      <c r="AK1835" s="77"/>
      <c r="AL1835" s="77"/>
      <c r="AM1835" s="77"/>
      <c r="AN1835" s="77"/>
      <c r="AO1835" s="77"/>
      <c r="AP1835" s="77"/>
      <c r="AQ1835" s="77"/>
      <c r="AR1835" s="77"/>
      <c r="AS1835" s="77"/>
      <c r="AT1835" s="82"/>
    </row>
    <row r="1836" spans="1:46" ht="12.5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3"/>
      <c r="Q1836" s="1"/>
      <c r="R1836" s="1"/>
      <c r="S1836" s="1"/>
      <c r="T1836" s="1"/>
      <c r="U1836" s="1"/>
      <c r="V1836" s="76"/>
      <c r="W1836" s="76"/>
      <c r="X1836" s="77"/>
      <c r="Y1836" s="77"/>
      <c r="Z1836" s="76"/>
      <c r="AA1836" s="76"/>
      <c r="AB1836" s="77"/>
      <c r="AC1836" s="77"/>
      <c r="AD1836" s="76"/>
      <c r="AE1836" s="76"/>
      <c r="AF1836" s="77"/>
      <c r="AG1836" s="77"/>
      <c r="AH1836" s="76"/>
      <c r="AI1836" s="76"/>
      <c r="AJ1836" s="77"/>
      <c r="AK1836" s="77"/>
      <c r="AL1836" s="77"/>
      <c r="AM1836" s="77"/>
      <c r="AN1836" s="77"/>
      <c r="AO1836" s="77"/>
      <c r="AP1836" s="77"/>
      <c r="AQ1836" s="77"/>
      <c r="AR1836" s="77"/>
      <c r="AS1836" s="77"/>
      <c r="AT1836" s="82"/>
    </row>
    <row r="1837" spans="1:46" ht="12.5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3"/>
      <c r="Q1837" s="1"/>
      <c r="R1837" s="1"/>
      <c r="S1837" s="1"/>
      <c r="T1837" s="1"/>
      <c r="U1837" s="1"/>
      <c r="V1837" s="76"/>
      <c r="W1837" s="76"/>
      <c r="X1837" s="77"/>
      <c r="Y1837" s="77"/>
      <c r="Z1837" s="76"/>
      <c r="AA1837" s="76"/>
      <c r="AB1837" s="77"/>
      <c r="AC1837" s="77"/>
      <c r="AD1837" s="76"/>
      <c r="AE1837" s="76"/>
      <c r="AF1837" s="77"/>
      <c r="AG1837" s="77"/>
      <c r="AH1837" s="76"/>
      <c r="AI1837" s="76"/>
      <c r="AJ1837" s="77"/>
      <c r="AK1837" s="77"/>
      <c r="AL1837" s="77"/>
      <c r="AM1837" s="77"/>
      <c r="AN1837" s="77"/>
      <c r="AO1837" s="77"/>
      <c r="AP1837" s="77"/>
      <c r="AQ1837" s="77"/>
      <c r="AR1837" s="77"/>
      <c r="AS1837" s="77"/>
      <c r="AT1837" s="82"/>
    </row>
    <row r="1838" spans="1:46" ht="12.5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3"/>
      <c r="Q1838" s="1"/>
      <c r="R1838" s="1"/>
      <c r="S1838" s="1"/>
      <c r="T1838" s="1"/>
      <c r="U1838" s="1"/>
      <c r="V1838" s="76"/>
      <c r="W1838" s="76"/>
      <c r="X1838" s="77"/>
      <c r="Y1838" s="77"/>
      <c r="Z1838" s="76"/>
      <c r="AA1838" s="76"/>
      <c r="AB1838" s="77"/>
      <c r="AC1838" s="77"/>
      <c r="AD1838" s="76"/>
      <c r="AE1838" s="76"/>
      <c r="AF1838" s="77"/>
      <c r="AG1838" s="77"/>
      <c r="AH1838" s="76"/>
      <c r="AI1838" s="76"/>
      <c r="AJ1838" s="77"/>
      <c r="AK1838" s="77"/>
      <c r="AL1838" s="77"/>
      <c r="AM1838" s="77"/>
      <c r="AN1838" s="77"/>
      <c r="AO1838" s="77"/>
      <c r="AP1838" s="77"/>
      <c r="AQ1838" s="77"/>
      <c r="AR1838" s="77"/>
      <c r="AS1838" s="77"/>
      <c r="AT1838" s="82"/>
    </row>
    <row r="1839" spans="1:46" ht="12.5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3"/>
      <c r="Q1839" s="1"/>
      <c r="R1839" s="1"/>
      <c r="S1839" s="1"/>
      <c r="T1839" s="1"/>
      <c r="U1839" s="1"/>
      <c r="V1839" s="76"/>
      <c r="W1839" s="76"/>
      <c r="X1839" s="77"/>
      <c r="Y1839" s="77"/>
      <c r="Z1839" s="76"/>
      <c r="AA1839" s="76"/>
      <c r="AB1839" s="77"/>
      <c r="AC1839" s="77"/>
      <c r="AD1839" s="76"/>
      <c r="AE1839" s="76"/>
      <c r="AF1839" s="77"/>
      <c r="AG1839" s="77"/>
      <c r="AH1839" s="76"/>
      <c r="AI1839" s="76"/>
      <c r="AJ1839" s="77"/>
      <c r="AK1839" s="77"/>
      <c r="AL1839" s="77"/>
      <c r="AM1839" s="77"/>
      <c r="AN1839" s="77"/>
      <c r="AO1839" s="77"/>
      <c r="AP1839" s="77"/>
      <c r="AQ1839" s="77"/>
      <c r="AR1839" s="77"/>
      <c r="AS1839" s="77"/>
      <c r="AT1839" s="82"/>
    </row>
    <row r="1840" spans="1:46" ht="12.5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3"/>
      <c r="Q1840" s="1"/>
      <c r="R1840" s="1"/>
      <c r="S1840" s="1"/>
      <c r="T1840" s="1"/>
      <c r="U1840" s="1"/>
      <c r="V1840" s="76"/>
      <c r="W1840" s="76"/>
      <c r="X1840" s="77"/>
      <c r="Y1840" s="77"/>
      <c r="Z1840" s="76"/>
      <c r="AA1840" s="76"/>
      <c r="AB1840" s="77"/>
      <c r="AC1840" s="77"/>
      <c r="AD1840" s="76"/>
      <c r="AE1840" s="76"/>
      <c r="AF1840" s="77"/>
      <c r="AG1840" s="77"/>
      <c r="AH1840" s="76"/>
      <c r="AI1840" s="76"/>
      <c r="AJ1840" s="77"/>
      <c r="AK1840" s="77"/>
      <c r="AL1840" s="77"/>
      <c r="AM1840" s="77"/>
      <c r="AN1840" s="77"/>
      <c r="AO1840" s="77"/>
      <c r="AP1840" s="77"/>
      <c r="AQ1840" s="77"/>
      <c r="AR1840" s="77"/>
      <c r="AS1840" s="77"/>
      <c r="AT1840" s="82"/>
    </row>
    <row r="1841" spans="1:46" ht="12.5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3"/>
      <c r="Q1841" s="1"/>
      <c r="R1841" s="1"/>
      <c r="S1841" s="1"/>
      <c r="T1841" s="1"/>
      <c r="U1841" s="1"/>
      <c r="V1841" s="76"/>
      <c r="W1841" s="76"/>
      <c r="X1841" s="77"/>
      <c r="Y1841" s="77"/>
      <c r="Z1841" s="76"/>
      <c r="AA1841" s="76"/>
      <c r="AB1841" s="77"/>
      <c r="AC1841" s="77"/>
      <c r="AD1841" s="76"/>
      <c r="AE1841" s="76"/>
      <c r="AF1841" s="77"/>
      <c r="AG1841" s="77"/>
      <c r="AH1841" s="76"/>
      <c r="AI1841" s="76"/>
      <c r="AJ1841" s="77"/>
      <c r="AK1841" s="77"/>
      <c r="AL1841" s="77"/>
      <c r="AM1841" s="77"/>
      <c r="AN1841" s="77"/>
      <c r="AO1841" s="77"/>
      <c r="AP1841" s="77"/>
      <c r="AQ1841" s="77"/>
      <c r="AR1841" s="77"/>
      <c r="AS1841" s="77"/>
      <c r="AT1841" s="82"/>
    </row>
    <row r="1842" spans="1:46" ht="12.5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3"/>
      <c r="Q1842" s="1"/>
      <c r="R1842" s="1"/>
      <c r="S1842" s="1"/>
      <c r="T1842" s="1"/>
      <c r="U1842" s="1"/>
      <c r="V1842" s="76"/>
      <c r="W1842" s="76"/>
      <c r="X1842" s="77"/>
      <c r="Y1842" s="77"/>
      <c r="Z1842" s="76"/>
      <c r="AA1842" s="76"/>
      <c r="AB1842" s="77"/>
      <c r="AC1842" s="77"/>
      <c r="AD1842" s="76"/>
      <c r="AE1842" s="76"/>
      <c r="AF1842" s="77"/>
      <c r="AG1842" s="77"/>
      <c r="AH1842" s="76"/>
      <c r="AI1842" s="76"/>
      <c r="AJ1842" s="77"/>
      <c r="AK1842" s="77"/>
      <c r="AL1842" s="77"/>
      <c r="AM1842" s="77"/>
      <c r="AN1842" s="77"/>
      <c r="AO1842" s="77"/>
      <c r="AP1842" s="77"/>
      <c r="AQ1842" s="77"/>
      <c r="AR1842" s="77"/>
      <c r="AS1842" s="77"/>
      <c r="AT1842" s="82"/>
    </row>
    <row r="1843" spans="1:46" ht="12.5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3"/>
      <c r="Q1843" s="1"/>
      <c r="R1843" s="1"/>
      <c r="S1843" s="1"/>
      <c r="T1843" s="1"/>
      <c r="U1843" s="1"/>
      <c r="V1843" s="76"/>
      <c r="W1843" s="76"/>
      <c r="X1843" s="77"/>
      <c r="Y1843" s="77"/>
      <c r="Z1843" s="76"/>
      <c r="AA1843" s="76"/>
      <c r="AB1843" s="77"/>
      <c r="AC1843" s="77"/>
      <c r="AD1843" s="76"/>
      <c r="AE1843" s="76"/>
      <c r="AF1843" s="77"/>
      <c r="AG1843" s="77"/>
      <c r="AH1843" s="76"/>
      <c r="AI1843" s="76"/>
      <c r="AJ1843" s="77"/>
      <c r="AK1843" s="77"/>
      <c r="AL1843" s="77"/>
      <c r="AM1843" s="77"/>
      <c r="AN1843" s="77"/>
      <c r="AO1843" s="77"/>
      <c r="AP1843" s="77"/>
      <c r="AQ1843" s="77"/>
      <c r="AR1843" s="77"/>
      <c r="AS1843" s="77"/>
      <c r="AT1843" s="82"/>
    </row>
    <row r="1844" spans="1:46" ht="12.5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3"/>
      <c r="Q1844" s="1"/>
      <c r="R1844" s="1"/>
      <c r="S1844" s="1"/>
      <c r="T1844" s="1"/>
      <c r="U1844" s="1"/>
      <c r="V1844" s="76"/>
      <c r="W1844" s="76"/>
      <c r="X1844" s="77"/>
      <c r="Y1844" s="77"/>
      <c r="Z1844" s="76"/>
      <c r="AA1844" s="76"/>
      <c r="AB1844" s="77"/>
      <c r="AC1844" s="77"/>
      <c r="AD1844" s="76"/>
      <c r="AE1844" s="76"/>
      <c r="AF1844" s="77"/>
      <c r="AG1844" s="77"/>
      <c r="AH1844" s="76"/>
      <c r="AI1844" s="76"/>
      <c r="AJ1844" s="77"/>
      <c r="AK1844" s="77"/>
      <c r="AL1844" s="77"/>
      <c r="AM1844" s="77"/>
      <c r="AN1844" s="77"/>
      <c r="AO1844" s="77"/>
      <c r="AP1844" s="77"/>
      <c r="AQ1844" s="77"/>
      <c r="AR1844" s="77"/>
      <c r="AS1844" s="77"/>
      <c r="AT1844" s="82"/>
    </row>
    <row r="1845" spans="1:46" ht="12.5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3"/>
      <c r="Q1845" s="1"/>
      <c r="R1845" s="1"/>
      <c r="S1845" s="1"/>
      <c r="T1845" s="1"/>
      <c r="U1845" s="1"/>
      <c r="V1845" s="76"/>
      <c r="W1845" s="76"/>
      <c r="X1845" s="77"/>
      <c r="Y1845" s="77"/>
      <c r="Z1845" s="76"/>
      <c r="AA1845" s="76"/>
      <c r="AB1845" s="77"/>
      <c r="AC1845" s="77"/>
      <c r="AD1845" s="76"/>
      <c r="AE1845" s="76"/>
      <c r="AF1845" s="77"/>
      <c r="AG1845" s="77"/>
      <c r="AH1845" s="76"/>
      <c r="AI1845" s="76"/>
      <c r="AJ1845" s="77"/>
      <c r="AK1845" s="77"/>
      <c r="AL1845" s="77"/>
      <c r="AM1845" s="77"/>
      <c r="AN1845" s="77"/>
      <c r="AO1845" s="77"/>
      <c r="AP1845" s="77"/>
      <c r="AQ1845" s="77"/>
      <c r="AR1845" s="77"/>
      <c r="AS1845" s="77"/>
      <c r="AT1845" s="82"/>
    </row>
    <row r="1846" spans="1:46" ht="12.5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3"/>
      <c r="Q1846" s="1"/>
      <c r="R1846" s="1"/>
      <c r="S1846" s="1"/>
      <c r="T1846" s="1"/>
      <c r="U1846" s="1"/>
      <c r="V1846" s="76"/>
      <c r="W1846" s="76"/>
      <c r="X1846" s="77"/>
      <c r="Y1846" s="77"/>
      <c r="Z1846" s="76"/>
      <c r="AA1846" s="76"/>
      <c r="AB1846" s="77"/>
      <c r="AC1846" s="77"/>
      <c r="AD1846" s="76"/>
      <c r="AE1846" s="76"/>
      <c r="AF1846" s="77"/>
      <c r="AG1846" s="77"/>
      <c r="AH1846" s="76"/>
      <c r="AI1846" s="76"/>
      <c r="AJ1846" s="77"/>
      <c r="AK1846" s="77"/>
      <c r="AL1846" s="77"/>
      <c r="AM1846" s="77"/>
      <c r="AN1846" s="77"/>
      <c r="AO1846" s="77"/>
      <c r="AP1846" s="77"/>
      <c r="AQ1846" s="77"/>
      <c r="AR1846" s="77"/>
      <c r="AS1846" s="77"/>
      <c r="AT1846" s="82"/>
    </row>
    <row r="1847" spans="1:46" ht="12.5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3"/>
      <c r="Q1847" s="1"/>
      <c r="R1847" s="1"/>
      <c r="S1847" s="1"/>
      <c r="T1847" s="1"/>
      <c r="U1847" s="1"/>
      <c r="V1847" s="76"/>
      <c r="W1847" s="76"/>
      <c r="X1847" s="77"/>
      <c r="Y1847" s="77"/>
      <c r="Z1847" s="76"/>
      <c r="AA1847" s="76"/>
      <c r="AB1847" s="77"/>
      <c r="AC1847" s="77"/>
      <c r="AD1847" s="76"/>
      <c r="AE1847" s="76"/>
      <c r="AF1847" s="77"/>
      <c r="AG1847" s="77"/>
      <c r="AH1847" s="76"/>
      <c r="AI1847" s="76"/>
      <c r="AJ1847" s="77"/>
      <c r="AK1847" s="77"/>
      <c r="AL1847" s="77"/>
      <c r="AM1847" s="77"/>
      <c r="AN1847" s="77"/>
      <c r="AO1847" s="77"/>
      <c r="AP1847" s="77"/>
      <c r="AQ1847" s="77"/>
      <c r="AR1847" s="77"/>
      <c r="AS1847" s="77"/>
      <c r="AT1847" s="82"/>
    </row>
    <row r="1848" spans="1:46" ht="12.5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3"/>
      <c r="Q1848" s="1"/>
      <c r="R1848" s="1"/>
      <c r="S1848" s="1"/>
      <c r="T1848" s="1"/>
      <c r="U1848" s="1"/>
      <c r="V1848" s="76"/>
      <c r="W1848" s="76"/>
      <c r="X1848" s="77"/>
      <c r="Y1848" s="77"/>
      <c r="Z1848" s="76"/>
      <c r="AA1848" s="76"/>
      <c r="AB1848" s="77"/>
      <c r="AC1848" s="77"/>
      <c r="AD1848" s="76"/>
      <c r="AE1848" s="76"/>
      <c r="AF1848" s="77"/>
      <c r="AG1848" s="77"/>
      <c r="AH1848" s="76"/>
      <c r="AI1848" s="76"/>
      <c r="AJ1848" s="77"/>
      <c r="AK1848" s="77"/>
      <c r="AL1848" s="77"/>
      <c r="AM1848" s="77"/>
      <c r="AN1848" s="77"/>
      <c r="AO1848" s="77"/>
      <c r="AP1848" s="77"/>
      <c r="AQ1848" s="77"/>
      <c r="AR1848" s="77"/>
      <c r="AS1848" s="77"/>
      <c r="AT1848" s="82"/>
    </row>
    <row r="1849" spans="1:46" ht="12.5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3"/>
      <c r="Q1849" s="1"/>
      <c r="R1849" s="1"/>
      <c r="S1849" s="1"/>
      <c r="T1849" s="1"/>
      <c r="U1849" s="1"/>
      <c r="V1849" s="76"/>
      <c r="W1849" s="76"/>
      <c r="X1849" s="77"/>
      <c r="Y1849" s="77"/>
      <c r="Z1849" s="76"/>
      <c r="AA1849" s="76"/>
      <c r="AB1849" s="77"/>
      <c r="AC1849" s="77"/>
      <c r="AD1849" s="76"/>
      <c r="AE1849" s="76"/>
      <c r="AF1849" s="77"/>
      <c r="AG1849" s="77"/>
      <c r="AH1849" s="76"/>
      <c r="AI1849" s="76"/>
      <c r="AJ1849" s="77"/>
      <c r="AK1849" s="77"/>
      <c r="AL1849" s="77"/>
      <c r="AM1849" s="77"/>
      <c r="AN1849" s="77"/>
      <c r="AO1849" s="77"/>
      <c r="AP1849" s="77"/>
      <c r="AQ1849" s="77"/>
      <c r="AR1849" s="77"/>
      <c r="AS1849" s="77"/>
      <c r="AT1849" s="82"/>
    </row>
    <row r="1850" spans="1:46" ht="12.5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3"/>
      <c r="Q1850" s="1"/>
      <c r="R1850" s="1"/>
      <c r="S1850" s="1"/>
      <c r="T1850" s="1"/>
      <c r="U1850" s="1"/>
      <c r="V1850" s="76"/>
      <c r="W1850" s="76"/>
      <c r="X1850" s="77"/>
      <c r="Y1850" s="77"/>
      <c r="Z1850" s="76"/>
      <c r="AA1850" s="76"/>
      <c r="AB1850" s="77"/>
      <c r="AC1850" s="77"/>
      <c r="AD1850" s="76"/>
      <c r="AE1850" s="76"/>
      <c r="AF1850" s="77"/>
      <c r="AG1850" s="77"/>
      <c r="AH1850" s="76"/>
      <c r="AI1850" s="76"/>
      <c r="AJ1850" s="77"/>
      <c r="AK1850" s="77"/>
      <c r="AL1850" s="77"/>
      <c r="AM1850" s="77"/>
      <c r="AN1850" s="77"/>
      <c r="AO1850" s="77"/>
      <c r="AP1850" s="77"/>
      <c r="AQ1850" s="77"/>
      <c r="AR1850" s="77"/>
      <c r="AS1850" s="77"/>
      <c r="AT1850" s="82"/>
    </row>
    <row r="1851" spans="1:46" ht="12.5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3"/>
      <c r="Q1851" s="1"/>
      <c r="R1851" s="1"/>
      <c r="S1851" s="1"/>
      <c r="T1851" s="1"/>
      <c r="U1851" s="1"/>
      <c r="V1851" s="76"/>
      <c r="W1851" s="76"/>
      <c r="X1851" s="77"/>
      <c r="Y1851" s="77"/>
      <c r="Z1851" s="76"/>
      <c r="AA1851" s="76"/>
      <c r="AB1851" s="77"/>
      <c r="AC1851" s="77"/>
      <c r="AD1851" s="76"/>
      <c r="AE1851" s="76"/>
      <c r="AF1851" s="77"/>
      <c r="AG1851" s="77"/>
      <c r="AH1851" s="76"/>
      <c r="AI1851" s="76"/>
      <c r="AJ1851" s="77"/>
      <c r="AK1851" s="77"/>
      <c r="AL1851" s="77"/>
      <c r="AM1851" s="77"/>
      <c r="AN1851" s="77"/>
      <c r="AO1851" s="77"/>
      <c r="AP1851" s="77"/>
      <c r="AQ1851" s="77"/>
      <c r="AR1851" s="77"/>
      <c r="AS1851" s="77"/>
      <c r="AT1851" s="82"/>
    </row>
    <row r="1852" spans="1:46" ht="12.5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3"/>
      <c r="Q1852" s="1"/>
      <c r="R1852" s="1"/>
      <c r="S1852" s="1"/>
      <c r="T1852" s="1"/>
      <c r="U1852" s="1"/>
      <c r="V1852" s="76"/>
      <c r="W1852" s="76"/>
      <c r="X1852" s="77"/>
      <c r="Y1852" s="77"/>
      <c r="Z1852" s="76"/>
      <c r="AA1852" s="76"/>
      <c r="AB1852" s="77"/>
      <c r="AC1852" s="77"/>
      <c r="AD1852" s="76"/>
      <c r="AE1852" s="76"/>
      <c r="AF1852" s="77"/>
      <c r="AG1852" s="77"/>
      <c r="AH1852" s="76"/>
      <c r="AI1852" s="76"/>
      <c r="AJ1852" s="77"/>
      <c r="AK1852" s="77"/>
      <c r="AL1852" s="77"/>
      <c r="AM1852" s="77"/>
      <c r="AN1852" s="77"/>
      <c r="AO1852" s="77"/>
      <c r="AP1852" s="77"/>
      <c r="AQ1852" s="77"/>
      <c r="AR1852" s="77"/>
      <c r="AS1852" s="77"/>
      <c r="AT1852" s="82"/>
    </row>
    <row r="1853" spans="1:46" ht="12.5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3"/>
      <c r="Q1853" s="1"/>
      <c r="R1853" s="1"/>
      <c r="S1853" s="1"/>
      <c r="T1853" s="1"/>
      <c r="U1853" s="1"/>
      <c r="V1853" s="76"/>
      <c r="W1853" s="76"/>
      <c r="X1853" s="77"/>
      <c r="Y1853" s="77"/>
      <c r="Z1853" s="76"/>
      <c r="AA1853" s="76"/>
      <c r="AB1853" s="77"/>
      <c r="AC1853" s="77"/>
      <c r="AD1853" s="76"/>
      <c r="AE1853" s="76"/>
      <c r="AF1853" s="77"/>
      <c r="AG1853" s="77"/>
      <c r="AH1853" s="76"/>
      <c r="AI1853" s="76"/>
      <c r="AJ1853" s="77"/>
      <c r="AK1853" s="77"/>
      <c r="AL1853" s="77"/>
      <c r="AM1853" s="77"/>
      <c r="AN1853" s="77"/>
      <c r="AO1853" s="77"/>
      <c r="AP1853" s="77"/>
      <c r="AQ1853" s="77"/>
      <c r="AR1853" s="77"/>
      <c r="AS1853" s="77"/>
      <c r="AT1853" s="82"/>
    </row>
    <row r="1854" spans="1:46" ht="12.5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3"/>
      <c r="Q1854" s="1"/>
      <c r="R1854" s="1"/>
      <c r="S1854" s="1"/>
      <c r="T1854" s="1"/>
      <c r="U1854" s="1"/>
      <c r="V1854" s="76"/>
      <c r="W1854" s="76"/>
      <c r="X1854" s="77"/>
      <c r="Y1854" s="77"/>
      <c r="Z1854" s="76"/>
      <c r="AA1854" s="76"/>
      <c r="AB1854" s="77"/>
      <c r="AC1854" s="77"/>
      <c r="AD1854" s="76"/>
      <c r="AE1854" s="76"/>
      <c r="AF1854" s="77"/>
      <c r="AG1854" s="77"/>
      <c r="AH1854" s="76"/>
      <c r="AI1854" s="76"/>
      <c r="AJ1854" s="77"/>
      <c r="AK1854" s="77"/>
      <c r="AL1854" s="77"/>
      <c r="AM1854" s="77"/>
      <c r="AN1854" s="77"/>
      <c r="AO1854" s="77"/>
      <c r="AP1854" s="77"/>
      <c r="AQ1854" s="77"/>
      <c r="AR1854" s="77"/>
      <c r="AS1854" s="77"/>
      <c r="AT1854" s="82"/>
    </row>
    <row r="1855" spans="1:46" ht="12.5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3"/>
      <c r="Q1855" s="1"/>
      <c r="R1855" s="1"/>
      <c r="S1855" s="1"/>
      <c r="T1855" s="1"/>
      <c r="U1855" s="1"/>
      <c r="V1855" s="76"/>
      <c r="W1855" s="76"/>
      <c r="X1855" s="77"/>
      <c r="Y1855" s="77"/>
      <c r="Z1855" s="76"/>
      <c r="AA1855" s="76"/>
      <c r="AB1855" s="77"/>
      <c r="AC1855" s="77"/>
      <c r="AD1855" s="76"/>
      <c r="AE1855" s="76"/>
      <c r="AF1855" s="77"/>
      <c r="AG1855" s="77"/>
      <c r="AH1855" s="76"/>
      <c r="AI1855" s="76"/>
      <c r="AJ1855" s="77"/>
      <c r="AK1855" s="77"/>
      <c r="AL1855" s="77"/>
      <c r="AM1855" s="77"/>
      <c r="AN1855" s="77"/>
      <c r="AO1855" s="77"/>
      <c r="AP1855" s="77"/>
      <c r="AQ1855" s="77"/>
      <c r="AR1855" s="77"/>
      <c r="AS1855" s="77"/>
      <c r="AT1855" s="82"/>
    </row>
    <row r="1856" spans="1:46" ht="12.5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3"/>
      <c r="Q1856" s="1"/>
      <c r="R1856" s="1"/>
      <c r="S1856" s="1"/>
      <c r="T1856" s="1"/>
      <c r="U1856" s="1"/>
      <c r="V1856" s="76"/>
      <c r="W1856" s="76"/>
      <c r="X1856" s="77"/>
      <c r="Y1856" s="77"/>
      <c r="Z1856" s="76"/>
      <c r="AA1856" s="76"/>
      <c r="AB1856" s="77"/>
      <c r="AC1856" s="77"/>
      <c r="AD1856" s="76"/>
      <c r="AE1856" s="76"/>
      <c r="AF1856" s="77"/>
      <c r="AG1856" s="77"/>
      <c r="AH1856" s="76"/>
      <c r="AI1856" s="76"/>
      <c r="AJ1856" s="77"/>
      <c r="AK1856" s="77"/>
      <c r="AL1856" s="77"/>
      <c r="AM1856" s="77"/>
      <c r="AN1856" s="77"/>
      <c r="AO1856" s="77"/>
      <c r="AP1856" s="77"/>
      <c r="AQ1856" s="77"/>
      <c r="AR1856" s="77"/>
      <c r="AS1856" s="77"/>
      <c r="AT1856" s="82"/>
    </row>
    <row r="1857" spans="1:46" ht="12.5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3"/>
      <c r="Q1857" s="1"/>
      <c r="R1857" s="1"/>
      <c r="S1857" s="1"/>
      <c r="T1857" s="1"/>
      <c r="U1857" s="1"/>
      <c r="V1857" s="76"/>
      <c r="W1857" s="76"/>
      <c r="X1857" s="77"/>
      <c r="Y1857" s="77"/>
      <c r="Z1857" s="76"/>
      <c r="AA1857" s="76"/>
      <c r="AB1857" s="77"/>
      <c r="AC1857" s="77"/>
      <c r="AD1857" s="76"/>
      <c r="AE1857" s="76"/>
      <c r="AF1857" s="77"/>
      <c r="AG1857" s="77"/>
      <c r="AH1857" s="76"/>
      <c r="AI1857" s="76"/>
      <c r="AJ1857" s="77"/>
      <c r="AK1857" s="77"/>
      <c r="AL1857" s="77"/>
      <c r="AM1857" s="77"/>
      <c r="AN1857" s="77"/>
      <c r="AO1857" s="77"/>
      <c r="AP1857" s="77"/>
      <c r="AQ1857" s="77"/>
      <c r="AR1857" s="77"/>
      <c r="AS1857" s="77"/>
      <c r="AT1857" s="82"/>
    </row>
    <row r="1858" spans="1:46" ht="12.5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3"/>
      <c r="Q1858" s="1"/>
      <c r="R1858" s="1"/>
      <c r="S1858" s="1"/>
      <c r="T1858" s="1"/>
      <c r="U1858" s="1"/>
      <c r="V1858" s="76"/>
      <c r="W1858" s="76"/>
      <c r="X1858" s="77"/>
      <c r="Y1858" s="77"/>
      <c r="Z1858" s="76"/>
      <c r="AA1858" s="76"/>
      <c r="AB1858" s="77"/>
      <c r="AC1858" s="77"/>
      <c r="AD1858" s="76"/>
      <c r="AE1858" s="76"/>
      <c r="AF1858" s="77"/>
      <c r="AG1858" s="77"/>
      <c r="AH1858" s="76"/>
      <c r="AI1858" s="76"/>
      <c r="AJ1858" s="77"/>
      <c r="AK1858" s="77"/>
      <c r="AL1858" s="77"/>
      <c r="AM1858" s="77"/>
      <c r="AN1858" s="77"/>
      <c r="AO1858" s="77"/>
      <c r="AP1858" s="77"/>
      <c r="AQ1858" s="77"/>
      <c r="AR1858" s="77"/>
      <c r="AS1858" s="77"/>
      <c r="AT1858" s="82"/>
    </row>
    <row r="1859" spans="1:46" ht="12.5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3"/>
      <c r="Q1859" s="1"/>
      <c r="R1859" s="1"/>
      <c r="S1859" s="1"/>
      <c r="T1859" s="1"/>
      <c r="U1859" s="1"/>
      <c r="V1859" s="76"/>
      <c r="W1859" s="76"/>
      <c r="X1859" s="77"/>
      <c r="Y1859" s="77"/>
      <c r="Z1859" s="76"/>
      <c r="AA1859" s="76"/>
      <c r="AB1859" s="77"/>
      <c r="AC1859" s="77"/>
      <c r="AD1859" s="76"/>
      <c r="AE1859" s="76"/>
      <c r="AF1859" s="77"/>
      <c r="AG1859" s="77"/>
      <c r="AH1859" s="76"/>
      <c r="AI1859" s="76"/>
      <c r="AJ1859" s="77"/>
      <c r="AK1859" s="77"/>
      <c r="AL1859" s="77"/>
      <c r="AM1859" s="77"/>
      <c r="AN1859" s="77"/>
      <c r="AO1859" s="77"/>
      <c r="AP1859" s="77"/>
      <c r="AQ1859" s="77"/>
      <c r="AR1859" s="77"/>
      <c r="AS1859" s="77"/>
      <c r="AT1859" s="82"/>
    </row>
    <row r="1860" spans="1:46" ht="12.5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3"/>
      <c r="Q1860" s="1"/>
      <c r="R1860" s="1"/>
      <c r="S1860" s="1"/>
      <c r="T1860" s="1"/>
      <c r="U1860" s="1"/>
      <c r="V1860" s="76"/>
      <c r="W1860" s="76"/>
      <c r="X1860" s="77"/>
      <c r="Y1860" s="77"/>
      <c r="Z1860" s="76"/>
      <c r="AA1860" s="76"/>
      <c r="AB1860" s="77"/>
      <c r="AC1860" s="77"/>
      <c r="AD1860" s="76"/>
      <c r="AE1860" s="76"/>
      <c r="AF1860" s="77"/>
      <c r="AG1860" s="77"/>
      <c r="AH1860" s="76"/>
      <c r="AI1860" s="76"/>
      <c r="AJ1860" s="77"/>
      <c r="AK1860" s="77"/>
      <c r="AL1860" s="77"/>
      <c r="AM1860" s="77"/>
      <c r="AN1860" s="77"/>
      <c r="AO1860" s="77"/>
      <c r="AP1860" s="77"/>
      <c r="AQ1860" s="77"/>
      <c r="AR1860" s="77"/>
      <c r="AS1860" s="77"/>
      <c r="AT1860" s="82"/>
    </row>
    <row r="1861" spans="1:46" ht="12.5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3"/>
      <c r="Q1861" s="1"/>
      <c r="R1861" s="1"/>
      <c r="S1861" s="1"/>
      <c r="T1861" s="1"/>
      <c r="U1861" s="1"/>
      <c r="V1861" s="76"/>
      <c r="W1861" s="76"/>
      <c r="X1861" s="77"/>
      <c r="Y1861" s="77"/>
      <c r="Z1861" s="76"/>
      <c r="AA1861" s="76"/>
      <c r="AB1861" s="77"/>
      <c r="AC1861" s="77"/>
      <c r="AD1861" s="76"/>
      <c r="AE1861" s="76"/>
      <c r="AF1861" s="77"/>
      <c r="AG1861" s="77"/>
      <c r="AH1861" s="76"/>
      <c r="AI1861" s="76"/>
      <c r="AJ1861" s="77"/>
      <c r="AK1861" s="77"/>
      <c r="AL1861" s="77"/>
      <c r="AM1861" s="77"/>
      <c r="AN1861" s="77"/>
      <c r="AO1861" s="77"/>
      <c r="AP1861" s="77"/>
      <c r="AQ1861" s="77"/>
      <c r="AR1861" s="77"/>
      <c r="AS1861" s="77"/>
      <c r="AT1861" s="82"/>
    </row>
    <row r="1862" spans="1:46" ht="12.5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3"/>
      <c r="Q1862" s="1"/>
      <c r="R1862" s="1"/>
      <c r="S1862" s="1"/>
      <c r="T1862" s="1"/>
      <c r="U1862" s="1"/>
      <c r="V1862" s="76"/>
      <c r="W1862" s="76"/>
      <c r="X1862" s="77"/>
      <c r="Y1862" s="77"/>
      <c r="Z1862" s="76"/>
      <c r="AA1862" s="76"/>
      <c r="AB1862" s="77"/>
      <c r="AC1862" s="77"/>
      <c r="AD1862" s="76"/>
      <c r="AE1862" s="76"/>
      <c r="AF1862" s="77"/>
      <c r="AG1862" s="77"/>
      <c r="AH1862" s="76"/>
      <c r="AI1862" s="76"/>
      <c r="AJ1862" s="77"/>
      <c r="AK1862" s="77"/>
      <c r="AL1862" s="77"/>
      <c r="AM1862" s="77"/>
      <c r="AN1862" s="77"/>
      <c r="AO1862" s="77"/>
      <c r="AP1862" s="77"/>
      <c r="AQ1862" s="77"/>
      <c r="AR1862" s="77"/>
      <c r="AS1862" s="77"/>
      <c r="AT1862" s="82"/>
    </row>
    <row r="1863" spans="1:46" ht="12.5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3"/>
      <c r="Q1863" s="1"/>
      <c r="R1863" s="1"/>
      <c r="S1863" s="1"/>
      <c r="T1863" s="1"/>
      <c r="U1863" s="1"/>
      <c r="V1863" s="76"/>
      <c r="W1863" s="76"/>
      <c r="X1863" s="77"/>
      <c r="Y1863" s="77"/>
      <c r="Z1863" s="76"/>
      <c r="AA1863" s="76"/>
      <c r="AB1863" s="77"/>
      <c r="AC1863" s="77"/>
      <c r="AD1863" s="76"/>
      <c r="AE1863" s="76"/>
      <c r="AF1863" s="77"/>
      <c r="AG1863" s="77"/>
      <c r="AH1863" s="76"/>
      <c r="AI1863" s="76"/>
      <c r="AJ1863" s="77"/>
      <c r="AK1863" s="77"/>
      <c r="AL1863" s="77"/>
      <c r="AM1863" s="77"/>
      <c r="AN1863" s="77"/>
      <c r="AO1863" s="77"/>
      <c r="AP1863" s="77"/>
      <c r="AQ1863" s="77"/>
      <c r="AR1863" s="77"/>
      <c r="AS1863" s="77"/>
      <c r="AT1863" s="82"/>
    </row>
    <row r="1864" spans="1:46" ht="12.5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3"/>
      <c r="Q1864" s="1"/>
      <c r="R1864" s="1"/>
      <c r="S1864" s="1"/>
      <c r="T1864" s="1"/>
      <c r="U1864" s="1"/>
      <c r="V1864" s="76"/>
      <c r="W1864" s="76"/>
      <c r="X1864" s="77"/>
      <c r="Y1864" s="77"/>
      <c r="Z1864" s="76"/>
      <c r="AA1864" s="76"/>
      <c r="AB1864" s="77"/>
      <c r="AC1864" s="77"/>
      <c r="AD1864" s="76"/>
      <c r="AE1864" s="76"/>
      <c r="AF1864" s="77"/>
      <c r="AG1864" s="77"/>
      <c r="AH1864" s="76"/>
      <c r="AI1864" s="76"/>
      <c r="AJ1864" s="77"/>
      <c r="AK1864" s="77"/>
      <c r="AL1864" s="77"/>
      <c r="AM1864" s="77"/>
      <c r="AN1864" s="77"/>
      <c r="AO1864" s="77"/>
      <c r="AP1864" s="77"/>
      <c r="AQ1864" s="77"/>
      <c r="AR1864" s="77"/>
      <c r="AS1864" s="77"/>
      <c r="AT1864" s="82"/>
    </row>
    <row r="1865" spans="1:46" ht="12.5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3"/>
      <c r="Q1865" s="1"/>
      <c r="R1865" s="1"/>
      <c r="S1865" s="1"/>
      <c r="T1865" s="1"/>
      <c r="U1865" s="1"/>
      <c r="V1865" s="76"/>
      <c r="W1865" s="76"/>
      <c r="X1865" s="77"/>
      <c r="Y1865" s="77"/>
      <c r="Z1865" s="76"/>
      <c r="AA1865" s="76"/>
      <c r="AB1865" s="77"/>
      <c r="AC1865" s="77"/>
      <c r="AD1865" s="76"/>
      <c r="AE1865" s="76"/>
      <c r="AF1865" s="77"/>
      <c r="AG1865" s="77"/>
      <c r="AH1865" s="76"/>
      <c r="AI1865" s="76"/>
      <c r="AJ1865" s="77"/>
      <c r="AK1865" s="77"/>
      <c r="AL1865" s="77"/>
      <c r="AM1865" s="77"/>
      <c r="AN1865" s="77"/>
      <c r="AO1865" s="77"/>
      <c r="AP1865" s="77"/>
      <c r="AQ1865" s="77"/>
      <c r="AR1865" s="77"/>
      <c r="AS1865" s="77"/>
      <c r="AT1865" s="82"/>
    </row>
    <row r="1866" spans="1:46" ht="12.5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3"/>
      <c r="Q1866" s="1"/>
      <c r="R1866" s="1"/>
      <c r="S1866" s="1"/>
      <c r="T1866" s="1"/>
      <c r="U1866" s="1"/>
      <c r="V1866" s="76"/>
      <c r="W1866" s="76"/>
      <c r="X1866" s="77"/>
      <c r="Y1866" s="77"/>
      <c r="Z1866" s="76"/>
      <c r="AA1866" s="76"/>
      <c r="AB1866" s="77"/>
      <c r="AC1866" s="77"/>
      <c r="AD1866" s="76"/>
      <c r="AE1866" s="76"/>
      <c r="AF1866" s="77"/>
      <c r="AG1866" s="77"/>
      <c r="AH1866" s="76"/>
      <c r="AI1866" s="76"/>
      <c r="AJ1866" s="77"/>
      <c r="AK1866" s="77"/>
      <c r="AL1866" s="77"/>
      <c r="AM1866" s="77"/>
      <c r="AN1866" s="77"/>
      <c r="AO1866" s="77"/>
      <c r="AP1866" s="77"/>
      <c r="AQ1866" s="77"/>
      <c r="AR1866" s="77"/>
      <c r="AS1866" s="77"/>
      <c r="AT1866" s="82"/>
    </row>
    <row r="1867" spans="1:46" ht="12.5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3"/>
      <c r="Q1867" s="1"/>
      <c r="R1867" s="1"/>
      <c r="S1867" s="1"/>
      <c r="T1867" s="1"/>
      <c r="U1867" s="1"/>
      <c r="V1867" s="76"/>
      <c r="W1867" s="76"/>
      <c r="X1867" s="77"/>
      <c r="Y1867" s="77"/>
      <c r="Z1867" s="76"/>
      <c r="AA1867" s="76"/>
      <c r="AB1867" s="77"/>
      <c r="AC1867" s="77"/>
      <c r="AD1867" s="76"/>
      <c r="AE1867" s="76"/>
      <c r="AF1867" s="77"/>
      <c r="AG1867" s="77"/>
      <c r="AH1867" s="76"/>
      <c r="AI1867" s="76"/>
      <c r="AJ1867" s="77"/>
      <c r="AK1867" s="77"/>
      <c r="AL1867" s="77"/>
      <c r="AM1867" s="77"/>
      <c r="AN1867" s="77"/>
      <c r="AO1867" s="77"/>
      <c r="AP1867" s="77"/>
      <c r="AQ1867" s="77"/>
      <c r="AR1867" s="77"/>
      <c r="AS1867" s="77"/>
      <c r="AT1867" s="82"/>
    </row>
    <row r="1868" spans="1:46" ht="12.5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3"/>
      <c r="Q1868" s="1"/>
      <c r="R1868" s="1"/>
      <c r="S1868" s="1"/>
      <c r="T1868" s="1"/>
      <c r="U1868" s="1"/>
      <c r="V1868" s="76"/>
      <c r="W1868" s="76"/>
      <c r="X1868" s="77"/>
      <c r="Y1868" s="77"/>
      <c r="Z1868" s="76"/>
      <c r="AA1868" s="76"/>
      <c r="AB1868" s="77"/>
      <c r="AC1868" s="77"/>
      <c r="AD1868" s="76"/>
      <c r="AE1868" s="76"/>
      <c r="AF1868" s="77"/>
      <c r="AG1868" s="77"/>
      <c r="AH1868" s="76"/>
      <c r="AI1868" s="76"/>
      <c r="AJ1868" s="77"/>
      <c r="AK1868" s="77"/>
      <c r="AL1868" s="77"/>
      <c r="AM1868" s="77"/>
      <c r="AN1868" s="77"/>
      <c r="AO1868" s="77"/>
      <c r="AP1868" s="77"/>
      <c r="AQ1868" s="77"/>
      <c r="AR1868" s="77"/>
      <c r="AS1868" s="77"/>
      <c r="AT1868" s="82"/>
    </row>
    <row r="1869" spans="1:46" ht="12.5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3"/>
      <c r="Q1869" s="1"/>
      <c r="R1869" s="1"/>
      <c r="S1869" s="1"/>
      <c r="T1869" s="1"/>
      <c r="U1869" s="1"/>
      <c r="V1869" s="76"/>
      <c r="W1869" s="76"/>
      <c r="X1869" s="77"/>
      <c r="Y1869" s="77"/>
      <c r="Z1869" s="76"/>
      <c r="AA1869" s="76"/>
      <c r="AB1869" s="77"/>
      <c r="AC1869" s="77"/>
      <c r="AD1869" s="76"/>
      <c r="AE1869" s="76"/>
      <c r="AF1869" s="77"/>
      <c r="AG1869" s="77"/>
      <c r="AH1869" s="76"/>
      <c r="AI1869" s="76"/>
      <c r="AJ1869" s="77"/>
      <c r="AK1869" s="77"/>
      <c r="AL1869" s="77"/>
      <c r="AM1869" s="77"/>
      <c r="AN1869" s="77"/>
      <c r="AO1869" s="77"/>
      <c r="AP1869" s="77"/>
      <c r="AQ1869" s="77"/>
      <c r="AR1869" s="77"/>
      <c r="AS1869" s="77"/>
      <c r="AT1869" s="82"/>
    </row>
    <row r="1870" spans="1:46" ht="12.5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3"/>
      <c r="Q1870" s="1"/>
      <c r="R1870" s="1"/>
      <c r="S1870" s="1"/>
      <c r="T1870" s="1"/>
      <c r="U1870" s="1"/>
      <c r="V1870" s="76"/>
      <c r="W1870" s="76"/>
      <c r="X1870" s="77"/>
      <c r="Y1870" s="77"/>
      <c r="Z1870" s="76"/>
      <c r="AA1870" s="76"/>
      <c r="AB1870" s="77"/>
      <c r="AC1870" s="77"/>
      <c r="AD1870" s="76"/>
      <c r="AE1870" s="76"/>
      <c r="AF1870" s="77"/>
      <c r="AG1870" s="77"/>
      <c r="AH1870" s="76"/>
      <c r="AI1870" s="76"/>
      <c r="AJ1870" s="77"/>
      <c r="AK1870" s="77"/>
      <c r="AL1870" s="77"/>
      <c r="AM1870" s="77"/>
      <c r="AN1870" s="77"/>
      <c r="AO1870" s="77"/>
      <c r="AP1870" s="77"/>
      <c r="AQ1870" s="77"/>
      <c r="AR1870" s="77"/>
      <c r="AS1870" s="77"/>
      <c r="AT1870" s="82"/>
    </row>
    <row r="1871" spans="1:46" ht="12.5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3"/>
      <c r="Q1871" s="1"/>
      <c r="R1871" s="1"/>
      <c r="S1871" s="1"/>
      <c r="T1871" s="1"/>
      <c r="U1871" s="1"/>
      <c r="V1871" s="76"/>
      <c r="W1871" s="76"/>
      <c r="X1871" s="77"/>
      <c r="Y1871" s="77"/>
      <c r="Z1871" s="76"/>
      <c r="AA1871" s="76"/>
      <c r="AB1871" s="77"/>
      <c r="AC1871" s="77"/>
      <c r="AD1871" s="76"/>
      <c r="AE1871" s="76"/>
      <c r="AF1871" s="77"/>
      <c r="AG1871" s="77"/>
      <c r="AH1871" s="76"/>
      <c r="AI1871" s="76"/>
      <c r="AJ1871" s="77"/>
      <c r="AK1871" s="77"/>
      <c r="AL1871" s="77"/>
      <c r="AM1871" s="77"/>
      <c r="AN1871" s="77"/>
      <c r="AO1871" s="77"/>
      <c r="AP1871" s="77"/>
      <c r="AQ1871" s="77"/>
      <c r="AR1871" s="77"/>
      <c r="AS1871" s="77"/>
      <c r="AT1871" s="82"/>
    </row>
    <row r="1872" spans="1:46" ht="12.5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3"/>
      <c r="Q1872" s="1"/>
      <c r="R1872" s="1"/>
      <c r="S1872" s="1"/>
      <c r="T1872" s="1"/>
      <c r="U1872" s="1"/>
      <c r="V1872" s="76"/>
      <c r="W1872" s="76"/>
      <c r="X1872" s="77"/>
      <c r="Y1872" s="77"/>
      <c r="Z1872" s="76"/>
      <c r="AA1872" s="76"/>
      <c r="AB1872" s="77"/>
      <c r="AC1872" s="77"/>
      <c r="AD1872" s="76"/>
      <c r="AE1872" s="76"/>
      <c r="AF1872" s="77"/>
      <c r="AG1872" s="77"/>
      <c r="AH1872" s="76"/>
      <c r="AI1872" s="76"/>
      <c r="AJ1872" s="77"/>
      <c r="AK1872" s="77"/>
      <c r="AL1872" s="77"/>
      <c r="AM1872" s="77"/>
      <c r="AN1872" s="77"/>
      <c r="AO1872" s="77"/>
      <c r="AP1872" s="77"/>
      <c r="AQ1872" s="77"/>
      <c r="AR1872" s="77"/>
      <c r="AS1872" s="77"/>
      <c r="AT1872" s="82"/>
    </row>
    <row r="1873" spans="1:46" ht="12.5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3"/>
      <c r="Q1873" s="1"/>
      <c r="R1873" s="1"/>
      <c r="S1873" s="1"/>
      <c r="T1873" s="1"/>
      <c r="U1873" s="1"/>
      <c r="V1873" s="76"/>
      <c r="W1873" s="76"/>
      <c r="X1873" s="77"/>
      <c r="Y1873" s="77"/>
      <c r="Z1873" s="76"/>
      <c r="AA1873" s="76"/>
      <c r="AB1873" s="77"/>
      <c r="AC1873" s="77"/>
      <c r="AD1873" s="76"/>
      <c r="AE1873" s="76"/>
      <c r="AF1873" s="77"/>
      <c r="AG1873" s="77"/>
      <c r="AH1873" s="76"/>
      <c r="AI1873" s="76"/>
      <c r="AJ1873" s="77"/>
      <c r="AK1873" s="77"/>
      <c r="AL1873" s="77"/>
      <c r="AM1873" s="77"/>
      <c r="AN1873" s="77"/>
      <c r="AO1873" s="77"/>
      <c r="AP1873" s="77"/>
      <c r="AQ1873" s="77"/>
      <c r="AR1873" s="77"/>
      <c r="AS1873" s="77"/>
      <c r="AT1873" s="82"/>
    </row>
    <row r="1874" spans="1:46" ht="12.5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3"/>
      <c r="Q1874" s="1"/>
      <c r="R1874" s="1"/>
      <c r="S1874" s="1"/>
      <c r="T1874" s="1"/>
      <c r="U1874" s="1"/>
      <c r="V1874" s="76"/>
      <c r="W1874" s="76"/>
      <c r="X1874" s="77"/>
      <c r="Y1874" s="77"/>
      <c r="Z1874" s="76"/>
      <c r="AA1874" s="76"/>
      <c r="AB1874" s="77"/>
      <c r="AC1874" s="77"/>
      <c r="AD1874" s="76"/>
      <c r="AE1874" s="76"/>
      <c r="AF1874" s="77"/>
      <c r="AG1874" s="77"/>
      <c r="AH1874" s="76"/>
      <c r="AI1874" s="76"/>
      <c r="AJ1874" s="77"/>
      <c r="AK1874" s="77"/>
      <c r="AL1874" s="77"/>
      <c r="AM1874" s="77"/>
      <c r="AN1874" s="77"/>
      <c r="AO1874" s="77"/>
      <c r="AP1874" s="77"/>
      <c r="AQ1874" s="77"/>
      <c r="AR1874" s="77"/>
      <c r="AS1874" s="77"/>
      <c r="AT1874" s="82"/>
    </row>
    <row r="1875" spans="1:46" ht="12.5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3"/>
      <c r="Q1875" s="1"/>
      <c r="R1875" s="1"/>
      <c r="S1875" s="1"/>
      <c r="T1875" s="1"/>
      <c r="U1875" s="1"/>
      <c r="V1875" s="76"/>
      <c r="W1875" s="76"/>
      <c r="X1875" s="77"/>
      <c r="Y1875" s="77"/>
      <c r="Z1875" s="76"/>
      <c r="AA1875" s="76"/>
      <c r="AB1875" s="77"/>
      <c r="AC1875" s="77"/>
      <c r="AD1875" s="76"/>
      <c r="AE1875" s="76"/>
      <c r="AF1875" s="77"/>
      <c r="AG1875" s="77"/>
      <c r="AH1875" s="76"/>
      <c r="AI1875" s="76"/>
      <c r="AJ1875" s="77"/>
      <c r="AK1875" s="77"/>
      <c r="AL1875" s="77"/>
      <c r="AM1875" s="77"/>
      <c r="AN1875" s="77"/>
      <c r="AO1875" s="77"/>
      <c r="AP1875" s="77"/>
      <c r="AQ1875" s="77"/>
      <c r="AR1875" s="77"/>
      <c r="AS1875" s="77"/>
      <c r="AT1875" s="82"/>
    </row>
    <row r="1876" spans="1:46" ht="12.5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3"/>
      <c r="Q1876" s="1"/>
      <c r="R1876" s="1"/>
      <c r="S1876" s="1"/>
      <c r="T1876" s="1"/>
      <c r="U1876" s="1"/>
      <c r="V1876" s="76"/>
      <c r="W1876" s="76"/>
      <c r="X1876" s="77"/>
      <c r="Y1876" s="77"/>
      <c r="Z1876" s="76"/>
      <c r="AA1876" s="76"/>
      <c r="AB1876" s="77"/>
      <c r="AC1876" s="77"/>
      <c r="AD1876" s="76"/>
      <c r="AE1876" s="76"/>
      <c r="AF1876" s="77"/>
      <c r="AG1876" s="77"/>
      <c r="AH1876" s="76"/>
      <c r="AI1876" s="76"/>
      <c r="AJ1876" s="77"/>
      <c r="AK1876" s="77"/>
      <c r="AL1876" s="77"/>
      <c r="AM1876" s="77"/>
      <c r="AN1876" s="77"/>
      <c r="AO1876" s="77"/>
      <c r="AP1876" s="77"/>
      <c r="AQ1876" s="77"/>
      <c r="AR1876" s="77"/>
      <c r="AS1876" s="77"/>
      <c r="AT1876" s="82"/>
    </row>
    <row r="1877" spans="1:46" ht="12.5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3"/>
      <c r="Q1877" s="1"/>
      <c r="R1877" s="1"/>
      <c r="S1877" s="1"/>
      <c r="T1877" s="1"/>
      <c r="U1877" s="1"/>
      <c r="V1877" s="76"/>
      <c r="W1877" s="76"/>
      <c r="X1877" s="77"/>
      <c r="Y1877" s="77"/>
      <c r="Z1877" s="76"/>
      <c r="AA1877" s="76"/>
      <c r="AB1877" s="77"/>
      <c r="AC1877" s="77"/>
      <c r="AD1877" s="76"/>
      <c r="AE1877" s="76"/>
      <c r="AF1877" s="77"/>
      <c r="AG1877" s="77"/>
      <c r="AH1877" s="76"/>
      <c r="AI1877" s="76"/>
      <c r="AJ1877" s="77"/>
      <c r="AK1877" s="77"/>
      <c r="AL1877" s="77"/>
      <c r="AM1877" s="77"/>
      <c r="AN1877" s="77"/>
      <c r="AO1877" s="77"/>
      <c r="AP1877" s="77"/>
      <c r="AQ1877" s="77"/>
      <c r="AR1877" s="77"/>
      <c r="AS1877" s="77"/>
      <c r="AT1877" s="82"/>
    </row>
    <row r="1878" spans="1:46" ht="12.5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3"/>
      <c r="Q1878" s="1"/>
      <c r="R1878" s="1"/>
      <c r="S1878" s="1"/>
      <c r="T1878" s="1"/>
      <c r="U1878" s="1"/>
      <c r="V1878" s="76"/>
      <c r="W1878" s="76"/>
      <c r="X1878" s="77"/>
      <c r="Y1878" s="77"/>
      <c r="Z1878" s="76"/>
      <c r="AA1878" s="76"/>
      <c r="AB1878" s="77"/>
      <c r="AC1878" s="77"/>
      <c r="AD1878" s="76"/>
      <c r="AE1878" s="76"/>
      <c r="AF1878" s="77"/>
      <c r="AG1878" s="77"/>
      <c r="AH1878" s="76"/>
      <c r="AI1878" s="76"/>
      <c r="AJ1878" s="77"/>
      <c r="AK1878" s="77"/>
      <c r="AL1878" s="77"/>
      <c r="AM1878" s="77"/>
      <c r="AN1878" s="77"/>
      <c r="AO1878" s="77"/>
      <c r="AP1878" s="77"/>
      <c r="AQ1878" s="77"/>
      <c r="AR1878" s="77"/>
      <c r="AS1878" s="77"/>
      <c r="AT1878" s="82"/>
    </row>
    <row r="1879" spans="1:46" ht="12.5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3"/>
      <c r="Q1879" s="1"/>
      <c r="R1879" s="1"/>
      <c r="S1879" s="1"/>
      <c r="T1879" s="1"/>
      <c r="U1879" s="1"/>
      <c r="V1879" s="76"/>
      <c r="W1879" s="76"/>
      <c r="X1879" s="77"/>
      <c r="Y1879" s="77"/>
      <c r="Z1879" s="76"/>
      <c r="AA1879" s="76"/>
      <c r="AB1879" s="77"/>
      <c r="AC1879" s="77"/>
      <c r="AD1879" s="76"/>
      <c r="AE1879" s="76"/>
      <c r="AF1879" s="77"/>
      <c r="AG1879" s="77"/>
      <c r="AH1879" s="76"/>
      <c r="AI1879" s="76"/>
      <c r="AJ1879" s="77"/>
      <c r="AK1879" s="77"/>
      <c r="AL1879" s="77"/>
      <c r="AM1879" s="77"/>
      <c r="AN1879" s="77"/>
      <c r="AO1879" s="77"/>
      <c r="AP1879" s="77"/>
      <c r="AQ1879" s="77"/>
      <c r="AR1879" s="77"/>
      <c r="AS1879" s="77"/>
      <c r="AT1879" s="82"/>
    </row>
    <row r="1880" spans="1:46" ht="12.5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3"/>
      <c r="Q1880" s="1"/>
      <c r="R1880" s="1"/>
      <c r="S1880" s="1"/>
      <c r="T1880" s="1"/>
      <c r="U1880" s="1"/>
      <c r="V1880" s="76"/>
      <c r="W1880" s="76"/>
      <c r="X1880" s="77"/>
      <c r="Y1880" s="77"/>
      <c r="Z1880" s="76"/>
      <c r="AA1880" s="76"/>
      <c r="AB1880" s="77"/>
      <c r="AC1880" s="77"/>
      <c r="AD1880" s="76"/>
      <c r="AE1880" s="76"/>
      <c r="AF1880" s="77"/>
      <c r="AG1880" s="77"/>
      <c r="AH1880" s="76"/>
      <c r="AI1880" s="76"/>
      <c r="AJ1880" s="77"/>
      <c r="AK1880" s="77"/>
      <c r="AL1880" s="77"/>
      <c r="AM1880" s="77"/>
      <c r="AN1880" s="77"/>
      <c r="AO1880" s="77"/>
      <c r="AP1880" s="77"/>
      <c r="AQ1880" s="77"/>
      <c r="AR1880" s="77"/>
      <c r="AS1880" s="77"/>
      <c r="AT1880" s="82"/>
    </row>
    <row r="1881" spans="1:46" ht="12.5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3"/>
      <c r="Q1881" s="1"/>
      <c r="R1881" s="1"/>
      <c r="S1881" s="1"/>
      <c r="T1881" s="1"/>
      <c r="U1881" s="1"/>
      <c r="V1881" s="76"/>
      <c r="W1881" s="76"/>
      <c r="X1881" s="77"/>
      <c r="Y1881" s="77"/>
      <c r="Z1881" s="76"/>
      <c r="AA1881" s="76"/>
      <c r="AB1881" s="77"/>
      <c r="AC1881" s="77"/>
      <c r="AD1881" s="76"/>
      <c r="AE1881" s="76"/>
      <c r="AF1881" s="77"/>
      <c r="AG1881" s="77"/>
      <c r="AH1881" s="76"/>
      <c r="AI1881" s="76"/>
      <c r="AJ1881" s="77"/>
      <c r="AK1881" s="77"/>
      <c r="AL1881" s="77"/>
      <c r="AM1881" s="77"/>
      <c r="AN1881" s="77"/>
      <c r="AO1881" s="77"/>
      <c r="AP1881" s="77"/>
      <c r="AQ1881" s="77"/>
      <c r="AR1881" s="77"/>
      <c r="AS1881" s="77"/>
      <c r="AT1881" s="82"/>
    </row>
    <row r="1882" spans="1:46" ht="12.5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3"/>
      <c r="Q1882" s="1"/>
      <c r="R1882" s="1"/>
      <c r="S1882" s="1"/>
      <c r="T1882" s="1"/>
      <c r="U1882" s="1"/>
      <c r="V1882" s="76"/>
      <c r="W1882" s="76"/>
      <c r="X1882" s="77"/>
      <c r="Y1882" s="77"/>
      <c r="Z1882" s="76"/>
      <c r="AA1882" s="76"/>
      <c r="AB1882" s="77"/>
      <c r="AC1882" s="77"/>
      <c r="AD1882" s="76"/>
      <c r="AE1882" s="76"/>
      <c r="AF1882" s="77"/>
      <c r="AG1882" s="77"/>
      <c r="AH1882" s="76"/>
      <c r="AI1882" s="76"/>
      <c r="AJ1882" s="77"/>
      <c r="AK1882" s="77"/>
      <c r="AL1882" s="77"/>
      <c r="AM1882" s="77"/>
      <c r="AN1882" s="77"/>
      <c r="AO1882" s="77"/>
      <c r="AP1882" s="77"/>
      <c r="AQ1882" s="77"/>
      <c r="AR1882" s="77"/>
      <c r="AS1882" s="77"/>
      <c r="AT1882" s="82"/>
    </row>
    <row r="1883" spans="1:46" ht="12.5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3"/>
      <c r="Q1883" s="1"/>
      <c r="R1883" s="1"/>
      <c r="S1883" s="1"/>
      <c r="T1883" s="1"/>
      <c r="U1883" s="1"/>
      <c r="V1883" s="76"/>
      <c r="W1883" s="76"/>
      <c r="X1883" s="77"/>
      <c r="Y1883" s="77"/>
      <c r="Z1883" s="76"/>
      <c r="AA1883" s="76"/>
      <c r="AB1883" s="77"/>
      <c r="AC1883" s="77"/>
      <c r="AD1883" s="76"/>
      <c r="AE1883" s="76"/>
      <c r="AF1883" s="77"/>
      <c r="AG1883" s="77"/>
      <c r="AH1883" s="76"/>
      <c r="AI1883" s="76"/>
      <c r="AJ1883" s="77"/>
      <c r="AK1883" s="77"/>
      <c r="AL1883" s="77"/>
      <c r="AM1883" s="77"/>
      <c r="AN1883" s="77"/>
      <c r="AO1883" s="77"/>
      <c r="AP1883" s="77"/>
      <c r="AQ1883" s="77"/>
      <c r="AR1883" s="77"/>
      <c r="AS1883" s="77"/>
      <c r="AT1883" s="82"/>
    </row>
    <row r="1884" spans="1:46" ht="12.5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3"/>
      <c r="Q1884" s="1"/>
      <c r="R1884" s="1"/>
      <c r="S1884" s="1"/>
      <c r="T1884" s="1"/>
      <c r="U1884" s="1"/>
      <c r="V1884" s="76"/>
      <c r="W1884" s="76"/>
      <c r="X1884" s="77"/>
      <c r="Y1884" s="77"/>
      <c r="Z1884" s="76"/>
      <c r="AA1884" s="76"/>
      <c r="AB1884" s="77"/>
      <c r="AC1884" s="77"/>
      <c r="AD1884" s="76"/>
      <c r="AE1884" s="76"/>
      <c r="AF1884" s="77"/>
      <c r="AG1884" s="77"/>
      <c r="AH1884" s="76"/>
      <c r="AI1884" s="76"/>
      <c r="AJ1884" s="77"/>
      <c r="AK1884" s="77"/>
      <c r="AL1884" s="77"/>
      <c r="AM1884" s="77"/>
      <c r="AN1884" s="77"/>
      <c r="AO1884" s="77"/>
      <c r="AP1884" s="77"/>
      <c r="AQ1884" s="77"/>
      <c r="AR1884" s="77"/>
      <c r="AS1884" s="77"/>
      <c r="AT1884" s="82"/>
    </row>
    <row r="1885" spans="1:46" ht="12.5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3"/>
      <c r="Q1885" s="1"/>
      <c r="R1885" s="1"/>
      <c r="S1885" s="1"/>
      <c r="T1885" s="1"/>
      <c r="U1885" s="1"/>
      <c r="V1885" s="76"/>
      <c r="W1885" s="76"/>
      <c r="X1885" s="77"/>
      <c r="Y1885" s="77"/>
      <c r="Z1885" s="76"/>
      <c r="AA1885" s="76"/>
      <c r="AB1885" s="77"/>
      <c r="AC1885" s="77"/>
      <c r="AD1885" s="76"/>
      <c r="AE1885" s="76"/>
      <c r="AF1885" s="77"/>
      <c r="AG1885" s="77"/>
      <c r="AH1885" s="76"/>
      <c r="AI1885" s="76"/>
      <c r="AJ1885" s="77"/>
      <c r="AK1885" s="77"/>
      <c r="AL1885" s="77"/>
      <c r="AM1885" s="77"/>
      <c r="AN1885" s="77"/>
      <c r="AO1885" s="77"/>
      <c r="AP1885" s="77"/>
      <c r="AQ1885" s="77"/>
      <c r="AR1885" s="77"/>
      <c r="AS1885" s="77"/>
      <c r="AT1885" s="82"/>
    </row>
    <row r="1886" spans="1:46" ht="12.5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3"/>
      <c r="Q1886" s="1"/>
      <c r="R1886" s="1"/>
      <c r="S1886" s="1"/>
      <c r="T1886" s="1"/>
      <c r="U1886" s="1"/>
      <c r="V1886" s="76"/>
      <c r="W1886" s="76"/>
      <c r="X1886" s="77"/>
      <c r="Y1886" s="77"/>
      <c r="Z1886" s="76"/>
      <c r="AA1886" s="76"/>
      <c r="AB1886" s="77"/>
      <c r="AC1886" s="77"/>
      <c r="AD1886" s="76"/>
      <c r="AE1886" s="76"/>
      <c r="AF1886" s="77"/>
      <c r="AG1886" s="77"/>
      <c r="AH1886" s="76"/>
      <c r="AI1886" s="76"/>
      <c r="AJ1886" s="77"/>
      <c r="AK1886" s="77"/>
      <c r="AL1886" s="77"/>
      <c r="AM1886" s="77"/>
      <c r="AN1886" s="77"/>
      <c r="AO1886" s="77"/>
      <c r="AP1886" s="77"/>
      <c r="AQ1886" s="77"/>
      <c r="AR1886" s="77"/>
      <c r="AS1886" s="77"/>
      <c r="AT1886" s="82"/>
    </row>
    <row r="1887" spans="1:46" ht="12.5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3"/>
      <c r="Q1887" s="1"/>
      <c r="R1887" s="1"/>
      <c r="S1887" s="1"/>
      <c r="T1887" s="1"/>
      <c r="U1887" s="1"/>
      <c r="V1887" s="76"/>
      <c r="W1887" s="76"/>
      <c r="X1887" s="77"/>
      <c r="Y1887" s="77"/>
      <c r="Z1887" s="76"/>
      <c r="AA1887" s="76"/>
      <c r="AB1887" s="77"/>
      <c r="AC1887" s="77"/>
      <c r="AD1887" s="76"/>
      <c r="AE1887" s="76"/>
      <c r="AF1887" s="77"/>
      <c r="AG1887" s="77"/>
      <c r="AH1887" s="76"/>
      <c r="AI1887" s="76"/>
      <c r="AJ1887" s="77"/>
      <c r="AK1887" s="77"/>
      <c r="AL1887" s="77"/>
      <c r="AM1887" s="77"/>
      <c r="AN1887" s="77"/>
      <c r="AO1887" s="77"/>
      <c r="AP1887" s="77"/>
      <c r="AQ1887" s="77"/>
      <c r="AR1887" s="77"/>
      <c r="AS1887" s="77"/>
      <c r="AT1887" s="82"/>
    </row>
    <row r="1888" spans="1:46" ht="12.5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3"/>
      <c r="Q1888" s="1"/>
      <c r="R1888" s="1"/>
      <c r="S1888" s="1"/>
      <c r="T1888" s="1"/>
      <c r="U1888" s="1"/>
      <c r="V1888" s="76"/>
      <c r="W1888" s="76"/>
      <c r="X1888" s="77"/>
      <c r="Y1888" s="77"/>
      <c r="Z1888" s="76"/>
      <c r="AA1888" s="76"/>
      <c r="AB1888" s="77"/>
      <c r="AC1888" s="77"/>
      <c r="AD1888" s="76"/>
      <c r="AE1888" s="76"/>
      <c r="AF1888" s="77"/>
      <c r="AG1888" s="77"/>
      <c r="AH1888" s="76"/>
      <c r="AI1888" s="76"/>
      <c r="AJ1888" s="77"/>
      <c r="AK1888" s="77"/>
      <c r="AL1888" s="77"/>
      <c r="AM1888" s="77"/>
      <c r="AN1888" s="77"/>
      <c r="AO1888" s="77"/>
      <c r="AP1888" s="77"/>
      <c r="AQ1888" s="77"/>
      <c r="AR1888" s="77"/>
      <c r="AS1888" s="77"/>
      <c r="AT1888" s="82"/>
    </row>
    <row r="1889" spans="1:46" ht="12.5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3"/>
      <c r="Q1889" s="1"/>
      <c r="R1889" s="1"/>
      <c r="S1889" s="1"/>
      <c r="T1889" s="1"/>
      <c r="U1889" s="1"/>
      <c r="V1889" s="76"/>
      <c r="W1889" s="76"/>
      <c r="X1889" s="77"/>
      <c r="Y1889" s="77"/>
      <c r="Z1889" s="76"/>
      <c r="AA1889" s="76"/>
      <c r="AB1889" s="77"/>
      <c r="AC1889" s="77"/>
      <c r="AD1889" s="76"/>
      <c r="AE1889" s="76"/>
      <c r="AF1889" s="77"/>
      <c r="AG1889" s="77"/>
      <c r="AH1889" s="76"/>
      <c r="AI1889" s="76"/>
      <c r="AJ1889" s="77"/>
      <c r="AK1889" s="77"/>
      <c r="AL1889" s="77"/>
      <c r="AM1889" s="77"/>
      <c r="AN1889" s="77"/>
      <c r="AO1889" s="77"/>
      <c r="AP1889" s="77"/>
      <c r="AQ1889" s="77"/>
      <c r="AR1889" s="77"/>
      <c r="AS1889" s="77"/>
      <c r="AT1889" s="82"/>
    </row>
    <row r="1890" spans="1:46" ht="12.5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3"/>
      <c r="Q1890" s="1"/>
      <c r="R1890" s="1"/>
      <c r="S1890" s="1"/>
      <c r="T1890" s="1"/>
      <c r="U1890" s="1"/>
      <c r="V1890" s="76"/>
      <c r="W1890" s="76"/>
      <c r="X1890" s="77"/>
      <c r="Y1890" s="77"/>
      <c r="Z1890" s="76"/>
      <c r="AA1890" s="76"/>
      <c r="AB1890" s="77"/>
      <c r="AC1890" s="77"/>
      <c r="AD1890" s="76"/>
      <c r="AE1890" s="76"/>
      <c r="AF1890" s="77"/>
      <c r="AG1890" s="77"/>
      <c r="AH1890" s="76"/>
      <c r="AI1890" s="76"/>
      <c r="AJ1890" s="77"/>
      <c r="AK1890" s="77"/>
      <c r="AL1890" s="77"/>
      <c r="AM1890" s="77"/>
      <c r="AN1890" s="77"/>
      <c r="AO1890" s="77"/>
      <c r="AP1890" s="77"/>
      <c r="AQ1890" s="77"/>
      <c r="AR1890" s="77"/>
      <c r="AS1890" s="77"/>
      <c r="AT1890" s="82"/>
    </row>
    <row r="1891" spans="1:46" ht="12.5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3"/>
      <c r="Q1891" s="1"/>
      <c r="R1891" s="1"/>
      <c r="S1891" s="1"/>
      <c r="T1891" s="1"/>
      <c r="U1891" s="1"/>
      <c r="V1891" s="76"/>
      <c r="W1891" s="76"/>
      <c r="X1891" s="77"/>
      <c r="Y1891" s="77"/>
      <c r="Z1891" s="76"/>
      <c r="AA1891" s="76"/>
      <c r="AB1891" s="77"/>
      <c r="AC1891" s="77"/>
      <c r="AD1891" s="76"/>
      <c r="AE1891" s="76"/>
      <c r="AF1891" s="77"/>
      <c r="AG1891" s="77"/>
      <c r="AH1891" s="76"/>
      <c r="AI1891" s="76"/>
      <c r="AJ1891" s="77"/>
      <c r="AK1891" s="77"/>
      <c r="AL1891" s="77"/>
      <c r="AM1891" s="77"/>
      <c r="AN1891" s="77"/>
      <c r="AO1891" s="77"/>
      <c r="AP1891" s="77"/>
      <c r="AQ1891" s="77"/>
      <c r="AR1891" s="77"/>
      <c r="AS1891" s="77"/>
      <c r="AT1891" s="82"/>
    </row>
    <row r="1892" spans="1:46" ht="12.5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3"/>
      <c r="Q1892" s="1"/>
      <c r="R1892" s="1"/>
      <c r="S1892" s="1"/>
      <c r="T1892" s="1"/>
      <c r="U1892" s="1"/>
      <c r="V1892" s="76"/>
      <c r="W1892" s="76"/>
      <c r="X1892" s="77"/>
      <c r="Y1892" s="77"/>
      <c r="Z1892" s="76"/>
      <c r="AA1892" s="76"/>
      <c r="AB1892" s="77"/>
      <c r="AC1892" s="77"/>
      <c r="AD1892" s="76"/>
      <c r="AE1892" s="76"/>
      <c r="AF1892" s="77"/>
      <c r="AG1892" s="77"/>
      <c r="AH1892" s="76"/>
      <c r="AI1892" s="76"/>
      <c r="AJ1892" s="77"/>
      <c r="AK1892" s="77"/>
      <c r="AL1892" s="77"/>
      <c r="AM1892" s="77"/>
      <c r="AN1892" s="77"/>
      <c r="AO1892" s="77"/>
      <c r="AP1892" s="77"/>
      <c r="AQ1892" s="77"/>
      <c r="AR1892" s="77"/>
      <c r="AS1892" s="77"/>
      <c r="AT1892" s="82"/>
    </row>
    <row r="1893" spans="1:46" ht="12.5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3"/>
      <c r="Q1893" s="1"/>
      <c r="R1893" s="1"/>
      <c r="S1893" s="1"/>
      <c r="T1893" s="1"/>
      <c r="U1893" s="1"/>
      <c r="V1893" s="76"/>
      <c r="W1893" s="76"/>
      <c r="X1893" s="77"/>
      <c r="Y1893" s="77"/>
      <c r="Z1893" s="76"/>
      <c r="AA1893" s="76"/>
      <c r="AB1893" s="77"/>
      <c r="AC1893" s="77"/>
      <c r="AD1893" s="76"/>
      <c r="AE1893" s="76"/>
      <c r="AF1893" s="77"/>
      <c r="AG1893" s="77"/>
      <c r="AH1893" s="76"/>
      <c r="AI1893" s="76"/>
      <c r="AJ1893" s="77"/>
      <c r="AK1893" s="77"/>
      <c r="AL1893" s="77"/>
      <c r="AM1893" s="77"/>
      <c r="AN1893" s="77"/>
      <c r="AO1893" s="77"/>
      <c r="AP1893" s="77"/>
      <c r="AQ1893" s="77"/>
      <c r="AR1893" s="77"/>
      <c r="AS1893" s="77"/>
      <c r="AT1893" s="82"/>
    </row>
    <row r="1894" spans="1:46" ht="12.5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3"/>
      <c r="Q1894" s="1"/>
      <c r="R1894" s="1"/>
      <c r="S1894" s="1"/>
      <c r="T1894" s="1"/>
      <c r="U1894" s="1"/>
      <c r="V1894" s="76"/>
      <c r="W1894" s="76"/>
      <c r="X1894" s="77"/>
      <c r="Y1894" s="77"/>
      <c r="Z1894" s="76"/>
      <c r="AA1894" s="76"/>
      <c r="AB1894" s="77"/>
      <c r="AC1894" s="77"/>
      <c r="AD1894" s="76"/>
      <c r="AE1894" s="76"/>
      <c r="AF1894" s="77"/>
      <c r="AG1894" s="77"/>
      <c r="AH1894" s="76"/>
      <c r="AI1894" s="76"/>
      <c r="AJ1894" s="77"/>
      <c r="AK1894" s="77"/>
      <c r="AL1894" s="77"/>
      <c r="AM1894" s="77"/>
      <c r="AN1894" s="77"/>
      <c r="AO1894" s="77"/>
      <c r="AP1894" s="77"/>
      <c r="AQ1894" s="77"/>
      <c r="AR1894" s="77"/>
      <c r="AS1894" s="77"/>
      <c r="AT1894" s="82"/>
    </row>
    <row r="1895" spans="1:46" ht="12.5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3"/>
      <c r="Q1895" s="1"/>
      <c r="R1895" s="1"/>
      <c r="S1895" s="1"/>
      <c r="T1895" s="1"/>
      <c r="U1895" s="1"/>
      <c r="V1895" s="76"/>
      <c r="W1895" s="76"/>
      <c r="X1895" s="77"/>
      <c r="Y1895" s="77"/>
      <c r="Z1895" s="76"/>
      <c r="AA1895" s="76"/>
      <c r="AB1895" s="77"/>
      <c r="AC1895" s="77"/>
      <c r="AD1895" s="76"/>
      <c r="AE1895" s="76"/>
      <c r="AF1895" s="77"/>
      <c r="AG1895" s="77"/>
      <c r="AH1895" s="76"/>
      <c r="AI1895" s="76"/>
      <c r="AJ1895" s="77"/>
      <c r="AK1895" s="77"/>
      <c r="AL1895" s="77"/>
      <c r="AM1895" s="77"/>
      <c r="AN1895" s="77"/>
      <c r="AO1895" s="77"/>
      <c r="AP1895" s="77"/>
      <c r="AQ1895" s="77"/>
      <c r="AR1895" s="77"/>
      <c r="AS1895" s="77"/>
      <c r="AT1895" s="82"/>
    </row>
    <row r="1896" spans="1:46" ht="12.5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3"/>
      <c r="Q1896" s="1"/>
      <c r="R1896" s="1"/>
      <c r="S1896" s="1"/>
      <c r="T1896" s="1"/>
      <c r="U1896" s="1"/>
      <c r="V1896" s="76"/>
      <c r="W1896" s="76"/>
      <c r="X1896" s="77"/>
      <c r="Y1896" s="77"/>
      <c r="Z1896" s="76"/>
      <c r="AA1896" s="76"/>
      <c r="AB1896" s="77"/>
      <c r="AC1896" s="77"/>
      <c r="AD1896" s="76"/>
      <c r="AE1896" s="76"/>
      <c r="AF1896" s="77"/>
      <c r="AG1896" s="77"/>
      <c r="AH1896" s="76"/>
      <c r="AI1896" s="76"/>
      <c r="AJ1896" s="77"/>
      <c r="AK1896" s="77"/>
      <c r="AL1896" s="77"/>
      <c r="AM1896" s="77"/>
      <c r="AN1896" s="77"/>
      <c r="AO1896" s="77"/>
      <c r="AP1896" s="77"/>
      <c r="AQ1896" s="77"/>
      <c r="AR1896" s="77"/>
      <c r="AS1896" s="77"/>
      <c r="AT1896" s="82"/>
    </row>
    <row r="1897" spans="1:46" ht="12.5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3"/>
      <c r="Q1897" s="1"/>
      <c r="R1897" s="1"/>
      <c r="S1897" s="1"/>
      <c r="T1897" s="1"/>
      <c r="U1897" s="1"/>
      <c r="V1897" s="76"/>
      <c r="W1897" s="76"/>
      <c r="X1897" s="77"/>
      <c r="Y1897" s="77"/>
      <c r="Z1897" s="76"/>
      <c r="AA1897" s="76"/>
      <c r="AB1897" s="77"/>
      <c r="AC1897" s="77"/>
      <c r="AD1897" s="76"/>
      <c r="AE1897" s="76"/>
      <c r="AF1897" s="77"/>
      <c r="AG1897" s="77"/>
      <c r="AH1897" s="76"/>
      <c r="AI1897" s="76"/>
      <c r="AJ1897" s="77"/>
      <c r="AK1897" s="77"/>
      <c r="AL1897" s="77"/>
      <c r="AM1897" s="77"/>
      <c r="AN1897" s="77"/>
      <c r="AO1897" s="77"/>
      <c r="AP1897" s="77"/>
      <c r="AQ1897" s="77"/>
      <c r="AR1897" s="77"/>
      <c r="AS1897" s="77"/>
      <c r="AT1897" s="82"/>
    </row>
    <row r="1898" spans="1:46" ht="12.5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3"/>
      <c r="Q1898" s="1"/>
      <c r="R1898" s="1"/>
      <c r="S1898" s="1"/>
      <c r="T1898" s="1"/>
      <c r="U1898" s="1"/>
      <c r="V1898" s="76"/>
      <c r="W1898" s="76"/>
      <c r="X1898" s="77"/>
      <c r="Y1898" s="77"/>
      <c r="Z1898" s="76"/>
      <c r="AA1898" s="76"/>
      <c r="AB1898" s="77"/>
      <c r="AC1898" s="77"/>
      <c r="AD1898" s="76"/>
      <c r="AE1898" s="76"/>
      <c r="AF1898" s="77"/>
      <c r="AG1898" s="77"/>
      <c r="AH1898" s="76"/>
      <c r="AI1898" s="76"/>
      <c r="AJ1898" s="77"/>
      <c r="AK1898" s="77"/>
      <c r="AL1898" s="77"/>
      <c r="AM1898" s="77"/>
      <c r="AN1898" s="77"/>
      <c r="AO1898" s="77"/>
      <c r="AP1898" s="77"/>
      <c r="AQ1898" s="77"/>
      <c r="AR1898" s="77"/>
      <c r="AS1898" s="77"/>
      <c r="AT1898" s="82"/>
    </row>
    <row r="1899" spans="1:46" ht="12.5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3"/>
      <c r="Q1899" s="1"/>
      <c r="R1899" s="1"/>
      <c r="S1899" s="1"/>
      <c r="T1899" s="1"/>
      <c r="U1899" s="1"/>
      <c r="V1899" s="76"/>
      <c r="W1899" s="76"/>
      <c r="X1899" s="77"/>
      <c r="Y1899" s="77"/>
      <c r="Z1899" s="76"/>
      <c r="AA1899" s="76"/>
      <c r="AB1899" s="77"/>
      <c r="AC1899" s="77"/>
      <c r="AD1899" s="76"/>
      <c r="AE1899" s="76"/>
      <c r="AF1899" s="77"/>
      <c r="AG1899" s="77"/>
      <c r="AH1899" s="76"/>
      <c r="AI1899" s="76"/>
      <c r="AJ1899" s="77"/>
      <c r="AK1899" s="77"/>
      <c r="AL1899" s="77"/>
      <c r="AM1899" s="77"/>
      <c r="AN1899" s="77"/>
      <c r="AO1899" s="77"/>
      <c r="AP1899" s="77"/>
      <c r="AQ1899" s="77"/>
      <c r="AR1899" s="77"/>
      <c r="AS1899" s="77"/>
      <c r="AT1899" s="82"/>
    </row>
    <row r="1900" spans="1:46" ht="12.5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3"/>
      <c r="Q1900" s="1"/>
      <c r="R1900" s="1"/>
      <c r="S1900" s="1"/>
      <c r="T1900" s="1"/>
      <c r="U1900" s="1"/>
      <c r="V1900" s="76"/>
      <c r="W1900" s="76"/>
      <c r="X1900" s="77"/>
      <c r="Y1900" s="77"/>
      <c r="Z1900" s="76"/>
      <c r="AA1900" s="76"/>
      <c r="AB1900" s="77"/>
      <c r="AC1900" s="77"/>
      <c r="AD1900" s="76"/>
      <c r="AE1900" s="76"/>
      <c r="AF1900" s="77"/>
      <c r="AG1900" s="77"/>
      <c r="AH1900" s="76"/>
      <c r="AI1900" s="76"/>
      <c r="AJ1900" s="77"/>
      <c r="AK1900" s="77"/>
      <c r="AL1900" s="77"/>
      <c r="AM1900" s="77"/>
      <c r="AN1900" s="77"/>
      <c r="AO1900" s="77"/>
      <c r="AP1900" s="77"/>
      <c r="AQ1900" s="77"/>
      <c r="AR1900" s="77"/>
      <c r="AS1900" s="77"/>
      <c r="AT1900" s="82"/>
    </row>
    <row r="1901" spans="1:46" ht="12.5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3"/>
      <c r="Q1901" s="1"/>
      <c r="R1901" s="1"/>
      <c r="S1901" s="1"/>
      <c r="T1901" s="1"/>
      <c r="U1901" s="1"/>
      <c r="V1901" s="76"/>
      <c r="W1901" s="76"/>
      <c r="X1901" s="77"/>
      <c r="Y1901" s="77"/>
      <c r="Z1901" s="76"/>
      <c r="AA1901" s="76"/>
      <c r="AB1901" s="77"/>
      <c r="AC1901" s="77"/>
      <c r="AD1901" s="76"/>
      <c r="AE1901" s="76"/>
      <c r="AF1901" s="77"/>
      <c r="AG1901" s="77"/>
      <c r="AH1901" s="76"/>
      <c r="AI1901" s="76"/>
      <c r="AJ1901" s="77"/>
      <c r="AK1901" s="77"/>
      <c r="AL1901" s="77"/>
      <c r="AM1901" s="77"/>
      <c r="AN1901" s="77"/>
      <c r="AO1901" s="77"/>
      <c r="AP1901" s="77"/>
      <c r="AQ1901" s="77"/>
      <c r="AR1901" s="77"/>
      <c r="AS1901" s="77"/>
      <c r="AT1901" s="82"/>
    </row>
    <row r="1902" spans="1:46" ht="12.5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3"/>
      <c r="Q1902" s="1"/>
      <c r="R1902" s="1"/>
      <c r="S1902" s="1"/>
      <c r="T1902" s="1"/>
      <c r="U1902" s="1"/>
      <c r="V1902" s="76"/>
      <c r="W1902" s="76"/>
      <c r="X1902" s="77"/>
      <c r="Y1902" s="77"/>
      <c r="Z1902" s="76"/>
      <c r="AA1902" s="76"/>
      <c r="AB1902" s="77"/>
      <c r="AC1902" s="77"/>
      <c r="AD1902" s="76"/>
      <c r="AE1902" s="76"/>
      <c r="AF1902" s="77"/>
      <c r="AG1902" s="77"/>
      <c r="AH1902" s="76"/>
      <c r="AI1902" s="76"/>
      <c r="AJ1902" s="77"/>
      <c r="AK1902" s="77"/>
      <c r="AL1902" s="77"/>
      <c r="AM1902" s="77"/>
      <c r="AN1902" s="77"/>
      <c r="AO1902" s="77"/>
      <c r="AP1902" s="77"/>
      <c r="AQ1902" s="77"/>
      <c r="AR1902" s="77"/>
      <c r="AS1902" s="77"/>
      <c r="AT1902" s="82"/>
    </row>
    <row r="1903" spans="1:46" ht="12.5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3"/>
      <c r="Q1903" s="1"/>
      <c r="R1903" s="1"/>
      <c r="S1903" s="1"/>
      <c r="T1903" s="1"/>
      <c r="U1903" s="1"/>
      <c r="V1903" s="76"/>
      <c r="W1903" s="76"/>
      <c r="X1903" s="77"/>
      <c r="Y1903" s="77"/>
      <c r="Z1903" s="76"/>
      <c r="AA1903" s="76"/>
      <c r="AB1903" s="77"/>
      <c r="AC1903" s="77"/>
      <c r="AD1903" s="76"/>
      <c r="AE1903" s="76"/>
      <c r="AF1903" s="77"/>
      <c r="AG1903" s="77"/>
      <c r="AH1903" s="76"/>
      <c r="AI1903" s="76"/>
      <c r="AJ1903" s="77"/>
      <c r="AK1903" s="77"/>
      <c r="AL1903" s="77"/>
      <c r="AM1903" s="77"/>
      <c r="AN1903" s="77"/>
      <c r="AO1903" s="77"/>
      <c r="AP1903" s="77"/>
      <c r="AQ1903" s="77"/>
      <c r="AR1903" s="77"/>
      <c r="AS1903" s="77"/>
      <c r="AT1903" s="82"/>
    </row>
    <row r="1904" spans="1:46" ht="12.5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3"/>
      <c r="Q1904" s="1"/>
      <c r="R1904" s="1"/>
      <c r="S1904" s="1"/>
      <c r="T1904" s="1"/>
      <c r="U1904" s="1"/>
      <c r="V1904" s="76"/>
      <c r="W1904" s="76"/>
      <c r="X1904" s="77"/>
      <c r="Y1904" s="77"/>
      <c r="Z1904" s="76"/>
      <c r="AA1904" s="76"/>
      <c r="AB1904" s="77"/>
      <c r="AC1904" s="77"/>
      <c r="AD1904" s="76"/>
      <c r="AE1904" s="76"/>
      <c r="AF1904" s="77"/>
      <c r="AG1904" s="77"/>
      <c r="AH1904" s="76"/>
      <c r="AI1904" s="76"/>
      <c r="AJ1904" s="77"/>
      <c r="AK1904" s="77"/>
      <c r="AL1904" s="77"/>
      <c r="AM1904" s="77"/>
      <c r="AN1904" s="77"/>
      <c r="AO1904" s="77"/>
      <c r="AP1904" s="77"/>
      <c r="AQ1904" s="77"/>
      <c r="AR1904" s="77"/>
      <c r="AS1904" s="77"/>
      <c r="AT1904" s="82"/>
    </row>
    <row r="1905" spans="1:46" ht="12.5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3"/>
      <c r="Q1905" s="1"/>
      <c r="R1905" s="1"/>
      <c r="S1905" s="1"/>
      <c r="T1905" s="1"/>
      <c r="U1905" s="1"/>
      <c r="V1905" s="76"/>
      <c r="W1905" s="76"/>
      <c r="X1905" s="77"/>
      <c r="Y1905" s="77"/>
      <c r="Z1905" s="76"/>
      <c r="AA1905" s="76"/>
      <c r="AB1905" s="77"/>
      <c r="AC1905" s="77"/>
      <c r="AD1905" s="76"/>
      <c r="AE1905" s="76"/>
      <c r="AF1905" s="77"/>
      <c r="AG1905" s="77"/>
      <c r="AH1905" s="76"/>
      <c r="AI1905" s="76"/>
      <c r="AJ1905" s="77"/>
      <c r="AK1905" s="77"/>
      <c r="AL1905" s="77"/>
      <c r="AM1905" s="77"/>
      <c r="AN1905" s="77"/>
      <c r="AO1905" s="77"/>
      <c r="AP1905" s="77"/>
      <c r="AQ1905" s="77"/>
      <c r="AR1905" s="77"/>
      <c r="AS1905" s="77"/>
      <c r="AT1905" s="82"/>
    </row>
    <row r="1906" spans="1:46" ht="12.5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3"/>
      <c r="Q1906" s="1"/>
      <c r="R1906" s="1"/>
      <c r="S1906" s="1"/>
      <c r="T1906" s="1"/>
      <c r="U1906" s="1"/>
      <c r="V1906" s="76"/>
      <c r="W1906" s="76"/>
      <c r="X1906" s="77"/>
      <c r="Y1906" s="77"/>
      <c r="Z1906" s="76"/>
      <c r="AA1906" s="76"/>
      <c r="AB1906" s="77"/>
      <c r="AC1906" s="77"/>
      <c r="AD1906" s="76"/>
      <c r="AE1906" s="76"/>
      <c r="AF1906" s="77"/>
      <c r="AG1906" s="77"/>
      <c r="AH1906" s="76"/>
      <c r="AI1906" s="76"/>
      <c r="AJ1906" s="77"/>
      <c r="AK1906" s="77"/>
      <c r="AL1906" s="77"/>
      <c r="AM1906" s="77"/>
      <c r="AN1906" s="77"/>
      <c r="AO1906" s="77"/>
      <c r="AP1906" s="77"/>
      <c r="AQ1906" s="77"/>
      <c r="AR1906" s="77"/>
      <c r="AS1906" s="77"/>
      <c r="AT1906" s="82"/>
    </row>
    <row r="1907" spans="1:46" ht="12.5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3"/>
      <c r="Q1907" s="1"/>
      <c r="R1907" s="1"/>
      <c r="S1907" s="1"/>
      <c r="T1907" s="1"/>
      <c r="U1907" s="1"/>
      <c r="V1907" s="76"/>
      <c r="W1907" s="76"/>
      <c r="X1907" s="77"/>
      <c r="Y1907" s="77"/>
      <c r="Z1907" s="76"/>
      <c r="AA1907" s="76"/>
      <c r="AB1907" s="77"/>
      <c r="AC1907" s="77"/>
      <c r="AD1907" s="76"/>
      <c r="AE1907" s="76"/>
      <c r="AF1907" s="77"/>
      <c r="AG1907" s="77"/>
      <c r="AH1907" s="76"/>
      <c r="AI1907" s="76"/>
      <c r="AJ1907" s="77"/>
      <c r="AK1907" s="77"/>
      <c r="AL1907" s="77"/>
      <c r="AM1907" s="77"/>
      <c r="AN1907" s="77"/>
      <c r="AO1907" s="77"/>
      <c r="AP1907" s="77"/>
      <c r="AQ1907" s="77"/>
      <c r="AR1907" s="77"/>
      <c r="AS1907" s="77"/>
      <c r="AT1907" s="82"/>
    </row>
    <row r="1908" spans="1:46" ht="12.5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3"/>
      <c r="Q1908" s="1"/>
      <c r="R1908" s="1"/>
      <c r="S1908" s="1"/>
      <c r="T1908" s="1"/>
      <c r="U1908" s="1"/>
      <c r="V1908" s="76"/>
      <c r="W1908" s="76"/>
      <c r="X1908" s="77"/>
      <c r="Y1908" s="77"/>
      <c r="Z1908" s="76"/>
      <c r="AA1908" s="76"/>
      <c r="AB1908" s="77"/>
      <c r="AC1908" s="77"/>
      <c r="AD1908" s="76"/>
      <c r="AE1908" s="76"/>
      <c r="AF1908" s="77"/>
      <c r="AG1908" s="77"/>
      <c r="AH1908" s="76"/>
      <c r="AI1908" s="76"/>
      <c r="AJ1908" s="77"/>
      <c r="AK1908" s="77"/>
      <c r="AL1908" s="77"/>
      <c r="AM1908" s="77"/>
      <c r="AN1908" s="77"/>
      <c r="AO1908" s="77"/>
      <c r="AP1908" s="77"/>
      <c r="AQ1908" s="77"/>
      <c r="AR1908" s="77"/>
      <c r="AS1908" s="77"/>
      <c r="AT1908" s="82"/>
    </row>
    <row r="1909" spans="1:46" ht="12.5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3"/>
      <c r="Q1909" s="1"/>
      <c r="R1909" s="1"/>
      <c r="S1909" s="1"/>
      <c r="T1909" s="1"/>
      <c r="U1909" s="1"/>
      <c r="V1909" s="76"/>
      <c r="W1909" s="76"/>
      <c r="X1909" s="77"/>
      <c r="Y1909" s="77"/>
      <c r="Z1909" s="76"/>
      <c r="AA1909" s="76"/>
      <c r="AB1909" s="77"/>
      <c r="AC1909" s="77"/>
      <c r="AD1909" s="76"/>
      <c r="AE1909" s="76"/>
      <c r="AF1909" s="77"/>
      <c r="AG1909" s="77"/>
      <c r="AH1909" s="76"/>
      <c r="AI1909" s="76"/>
      <c r="AJ1909" s="77"/>
      <c r="AK1909" s="77"/>
      <c r="AL1909" s="77"/>
      <c r="AM1909" s="77"/>
      <c r="AN1909" s="77"/>
      <c r="AO1909" s="77"/>
      <c r="AP1909" s="77"/>
      <c r="AQ1909" s="77"/>
      <c r="AR1909" s="77"/>
      <c r="AS1909" s="77"/>
      <c r="AT1909" s="82"/>
    </row>
    <row r="1910" spans="1:46" ht="12.5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3"/>
      <c r="Q1910" s="1"/>
      <c r="R1910" s="1"/>
      <c r="S1910" s="1"/>
      <c r="T1910" s="1"/>
      <c r="U1910" s="1"/>
      <c r="V1910" s="76"/>
      <c r="W1910" s="76"/>
      <c r="X1910" s="77"/>
      <c r="Y1910" s="77"/>
      <c r="Z1910" s="76"/>
      <c r="AA1910" s="76"/>
      <c r="AB1910" s="77"/>
      <c r="AC1910" s="77"/>
      <c r="AD1910" s="76"/>
      <c r="AE1910" s="76"/>
      <c r="AF1910" s="77"/>
      <c r="AG1910" s="77"/>
      <c r="AH1910" s="76"/>
      <c r="AI1910" s="76"/>
      <c r="AJ1910" s="77"/>
      <c r="AK1910" s="77"/>
      <c r="AL1910" s="77"/>
      <c r="AM1910" s="77"/>
      <c r="AN1910" s="77"/>
      <c r="AO1910" s="77"/>
      <c r="AP1910" s="77"/>
      <c r="AQ1910" s="77"/>
      <c r="AR1910" s="77"/>
      <c r="AS1910" s="77"/>
      <c r="AT1910" s="82"/>
    </row>
    <row r="1911" spans="1:46" ht="12.5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3"/>
      <c r="Q1911" s="1"/>
      <c r="R1911" s="1"/>
      <c r="S1911" s="1"/>
      <c r="T1911" s="1"/>
      <c r="U1911" s="1"/>
      <c r="V1911" s="76"/>
      <c r="W1911" s="76"/>
      <c r="X1911" s="77"/>
      <c r="Y1911" s="77"/>
      <c r="Z1911" s="76"/>
      <c r="AA1911" s="76"/>
      <c r="AB1911" s="77"/>
      <c r="AC1911" s="77"/>
      <c r="AD1911" s="76"/>
      <c r="AE1911" s="76"/>
      <c r="AF1911" s="77"/>
      <c r="AG1911" s="77"/>
      <c r="AH1911" s="76"/>
      <c r="AI1911" s="76"/>
      <c r="AJ1911" s="77"/>
      <c r="AK1911" s="77"/>
      <c r="AL1911" s="77"/>
      <c r="AM1911" s="77"/>
      <c r="AN1911" s="77"/>
      <c r="AO1911" s="77"/>
      <c r="AP1911" s="77"/>
      <c r="AQ1911" s="77"/>
      <c r="AR1911" s="77"/>
      <c r="AS1911" s="77"/>
      <c r="AT1911" s="82"/>
    </row>
    <row r="1912" spans="1:46" ht="12.5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3"/>
      <c r="Q1912" s="1"/>
      <c r="R1912" s="1"/>
      <c r="S1912" s="1"/>
      <c r="T1912" s="1"/>
      <c r="U1912" s="1"/>
      <c r="V1912" s="76"/>
      <c r="W1912" s="76"/>
      <c r="X1912" s="77"/>
      <c r="Y1912" s="77"/>
      <c r="Z1912" s="76"/>
      <c r="AA1912" s="76"/>
      <c r="AB1912" s="77"/>
      <c r="AC1912" s="77"/>
      <c r="AD1912" s="76"/>
      <c r="AE1912" s="76"/>
      <c r="AF1912" s="77"/>
      <c r="AG1912" s="77"/>
      <c r="AH1912" s="76"/>
      <c r="AI1912" s="76"/>
      <c r="AJ1912" s="77"/>
      <c r="AK1912" s="77"/>
      <c r="AL1912" s="77"/>
      <c r="AM1912" s="77"/>
      <c r="AN1912" s="77"/>
      <c r="AO1912" s="77"/>
      <c r="AP1912" s="77"/>
      <c r="AQ1912" s="77"/>
      <c r="AR1912" s="77"/>
      <c r="AS1912" s="77"/>
      <c r="AT1912" s="82"/>
    </row>
    <row r="1913" spans="1:46" ht="12.5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3"/>
      <c r="Q1913" s="1"/>
      <c r="R1913" s="1"/>
      <c r="S1913" s="1"/>
      <c r="T1913" s="1"/>
      <c r="U1913" s="1"/>
      <c r="V1913" s="76"/>
      <c r="W1913" s="76"/>
      <c r="X1913" s="77"/>
      <c r="Y1913" s="77"/>
      <c r="Z1913" s="76"/>
      <c r="AA1913" s="76"/>
      <c r="AB1913" s="77"/>
      <c r="AC1913" s="77"/>
      <c r="AD1913" s="76"/>
      <c r="AE1913" s="76"/>
      <c r="AF1913" s="77"/>
      <c r="AG1913" s="77"/>
      <c r="AH1913" s="76"/>
      <c r="AI1913" s="76"/>
      <c r="AJ1913" s="77"/>
      <c r="AK1913" s="77"/>
      <c r="AL1913" s="77"/>
      <c r="AM1913" s="77"/>
      <c r="AN1913" s="77"/>
      <c r="AO1913" s="77"/>
      <c r="AP1913" s="77"/>
      <c r="AQ1913" s="77"/>
      <c r="AR1913" s="77"/>
      <c r="AS1913" s="77"/>
      <c r="AT1913" s="82"/>
    </row>
    <row r="1914" spans="1:46" ht="12.5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3"/>
      <c r="Q1914" s="1"/>
      <c r="R1914" s="1"/>
      <c r="S1914" s="1"/>
      <c r="T1914" s="1"/>
      <c r="U1914" s="1"/>
      <c r="V1914" s="76"/>
      <c r="W1914" s="76"/>
      <c r="X1914" s="77"/>
      <c r="Y1914" s="77"/>
      <c r="Z1914" s="76"/>
      <c r="AA1914" s="76"/>
      <c r="AB1914" s="77"/>
      <c r="AC1914" s="77"/>
      <c r="AD1914" s="76"/>
      <c r="AE1914" s="76"/>
      <c r="AF1914" s="77"/>
      <c r="AG1914" s="77"/>
      <c r="AH1914" s="76"/>
      <c r="AI1914" s="76"/>
      <c r="AJ1914" s="77"/>
      <c r="AK1914" s="77"/>
      <c r="AL1914" s="77"/>
      <c r="AM1914" s="77"/>
      <c r="AN1914" s="77"/>
      <c r="AO1914" s="77"/>
      <c r="AP1914" s="77"/>
      <c r="AQ1914" s="77"/>
      <c r="AR1914" s="77"/>
      <c r="AS1914" s="77"/>
      <c r="AT1914" s="82"/>
    </row>
    <row r="1915" spans="1:46" ht="12.5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3"/>
      <c r="Q1915" s="1"/>
      <c r="R1915" s="1"/>
      <c r="S1915" s="1"/>
      <c r="T1915" s="1"/>
      <c r="U1915" s="1"/>
      <c r="V1915" s="76"/>
      <c r="W1915" s="76"/>
      <c r="X1915" s="77"/>
      <c r="Y1915" s="77"/>
      <c r="Z1915" s="76"/>
      <c r="AA1915" s="76"/>
      <c r="AB1915" s="77"/>
      <c r="AC1915" s="77"/>
      <c r="AD1915" s="76"/>
      <c r="AE1915" s="76"/>
      <c r="AF1915" s="77"/>
      <c r="AG1915" s="77"/>
      <c r="AH1915" s="76"/>
      <c r="AI1915" s="76"/>
      <c r="AJ1915" s="77"/>
      <c r="AK1915" s="77"/>
      <c r="AL1915" s="77"/>
      <c r="AM1915" s="77"/>
      <c r="AN1915" s="77"/>
      <c r="AO1915" s="77"/>
      <c r="AP1915" s="77"/>
      <c r="AQ1915" s="77"/>
      <c r="AR1915" s="77"/>
      <c r="AS1915" s="77"/>
      <c r="AT1915" s="82"/>
    </row>
    <row r="1916" spans="1:46" ht="12.5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3"/>
      <c r="Q1916" s="1"/>
      <c r="R1916" s="1"/>
      <c r="S1916" s="1"/>
      <c r="T1916" s="1"/>
      <c r="U1916" s="1"/>
      <c r="V1916" s="76"/>
      <c r="W1916" s="76"/>
      <c r="X1916" s="77"/>
      <c r="Y1916" s="77"/>
      <c r="Z1916" s="76"/>
      <c r="AA1916" s="76"/>
      <c r="AB1916" s="77"/>
      <c r="AC1916" s="77"/>
      <c r="AD1916" s="76"/>
      <c r="AE1916" s="76"/>
      <c r="AF1916" s="77"/>
      <c r="AG1916" s="77"/>
      <c r="AH1916" s="76"/>
      <c r="AI1916" s="76"/>
      <c r="AJ1916" s="77"/>
      <c r="AK1916" s="77"/>
      <c r="AL1916" s="77"/>
      <c r="AM1916" s="77"/>
      <c r="AN1916" s="77"/>
      <c r="AO1916" s="77"/>
      <c r="AP1916" s="77"/>
      <c r="AQ1916" s="77"/>
      <c r="AR1916" s="77"/>
      <c r="AS1916" s="77"/>
      <c r="AT1916" s="82"/>
    </row>
    <row r="1917" spans="1:46" ht="12.5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3"/>
      <c r="Q1917" s="1"/>
      <c r="R1917" s="1"/>
      <c r="S1917" s="1"/>
      <c r="T1917" s="1"/>
      <c r="U1917" s="1"/>
      <c r="V1917" s="76"/>
      <c r="W1917" s="76"/>
      <c r="X1917" s="77"/>
      <c r="Y1917" s="77"/>
      <c r="Z1917" s="76"/>
      <c r="AA1917" s="76"/>
      <c r="AB1917" s="77"/>
      <c r="AC1917" s="77"/>
      <c r="AD1917" s="76"/>
      <c r="AE1917" s="76"/>
      <c r="AF1917" s="77"/>
      <c r="AG1917" s="77"/>
      <c r="AH1917" s="76"/>
      <c r="AI1917" s="76"/>
      <c r="AJ1917" s="77"/>
      <c r="AK1917" s="77"/>
      <c r="AL1917" s="77"/>
      <c r="AM1917" s="77"/>
      <c r="AN1917" s="77"/>
      <c r="AO1917" s="77"/>
      <c r="AP1917" s="77"/>
      <c r="AQ1917" s="77"/>
      <c r="AR1917" s="77"/>
      <c r="AS1917" s="77"/>
      <c r="AT1917" s="82"/>
    </row>
    <row r="1918" spans="1:46" ht="12.5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3"/>
      <c r="Q1918" s="1"/>
      <c r="R1918" s="1"/>
      <c r="S1918" s="1"/>
      <c r="T1918" s="1"/>
      <c r="U1918" s="1"/>
      <c r="V1918" s="76"/>
      <c r="W1918" s="76"/>
      <c r="X1918" s="77"/>
      <c r="Y1918" s="77"/>
      <c r="Z1918" s="76"/>
      <c r="AA1918" s="76"/>
      <c r="AB1918" s="77"/>
      <c r="AC1918" s="77"/>
      <c r="AD1918" s="76"/>
      <c r="AE1918" s="76"/>
      <c r="AF1918" s="77"/>
      <c r="AG1918" s="77"/>
      <c r="AH1918" s="76"/>
      <c r="AI1918" s="76"/>
      <c r="AJ1918" s="77"/>
      <c r="AK1918" s="77"/>
      <c r="AL1918" s="77"/>
      <c r="AM1918" s="77"/>
      <c r="AN1918" s="77"/>
      <c r="AO1918" s="77"/>
      <c r="AP1918" s="77"/>
      <c r="AQ1918" s="77"/>
      <c r="AR1918" s="77"/>
      <c r="AS1918" s="77"/>
      <c r="AT1918" s="82"/>
    </row>
    <row r="1919" spans="1:46" ht="12.5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3"/>
      <c r="Q1919" s="1"/>
      <c r="R1919" s="1"/>
      <c r="S1919" s="1"/>
      <c r="T1919" s="1"/>
      <c r="U1919" s="1"/>
      <c r="V1919" s="76"/>
      <c r="W1919" s="76"/>
      <c r="X1919" s="77"/>
      <c r="Y1919" s="77"/>
      <c r="Z1919" s="76"/>
      <c r="AA1919" s="76"/>
      <c r="AB1919" s="77"/>
      <c r="AC1919" s="77"/>
      <c r="AD1919" s="76"/>
      <c r="AE1919" s="76"/>
      <c r="AF1919" s="77"/>
      <c r="AG1919" s="77"/>
      <c r="AH1919" s="76"/>
      <c r="AI1919" s="76"/>
      <c r="AJ1919" s="77"/>
      <c r="AK1919" s="77"/>
      <c r="AL1919" s="77"/>
      <c r="AM1919" s="77"/>
      <c r="AN1919" s="77"/>
      <c r="AO1919" s="77"/>
      <c r="AP1919" s="77"/>
      <c r="AQ1919" s="77"/>
      <c r="AR1919" s="77"/>
      <c r="AS1919" s="77"/>
      <c r="AT1919" s="82"/>
    </row>
    <row r="1920" spans="1:46" ht="12.5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3"/>
      <c r="Q1920" s="1"/>
      <c r="R1920" s="1"/>
      <c r="S1920" s="1"/>
      <c r="T1920" s="1"/>
      <c r="U1920" s="1"/>
      <c r="V1920" s="76"/>
      <c r="W1920" s="76"/>
      <c r="X1920" s="77"/>
      <c r="Y1920" s="77"/>
      <c r="Z1920" s="76"/>
      <c r="AA1920" s="76"/>
      <c r="AB1920" s="77"/>
      <c r="AC1920" s="77"/>
      <c r="AD1920" s="76"/>
      <c r="AE1920" s="76"/>
      <c r="AF1920" s="77"/>
      <c r="AG1920" s="77"/>
      <c r="AH1920" s="76"/>
      <c r="AI1920" s="76"/>
      <c r="AJ1920" s="77"/>
      <c r="AK1920" s="77"/>
      <c r="AL1920" s="77"/>
      <c r="AM1920" s="77"/>
      <c r="AN1920" s="77"/>
      <c r="AO1920" s="77"/>
      <c r="AP1920" s="77"/>
      <c r="AQ1920" s="77"/>
      <c r="AR1920" s="77"/>
      <c r="AS1920" s="77"/>
      <c r="AT1920" s="82"/>
    </row>
    <row r="1921" spans="1:46" ht="12.5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3"/>
      <c r="Q1921" s="1"/>
      <c r="R1921" s="1"/>
      <c r="S1921" s="1"/>
      <c r="T1921" s="1"/>
      <c r="U1921" s="1"/>
      <c r="V1921" s="76"/>
      <c r="W1921" s="76"/>
      <c r="X1921" s="77"/>
      <c r="Y1921" s="77"/>
      <c r="Z1921" s="76"/>
      <c r="AA1921" s="76"/>
      <c r="AB1921" s="77"/>
      <c r="AC1921" s="77"/>
      <c r="AD1921" s="76"/>
      <c r="AE1921" s="76"/>
      <c r="AF1921" s="77"/>
      <c r="AG1921" s="77"/>
      <c r="AH1921" s="76"/>
      <c r="AI1921" s="76"/>
      <c r="AJ1921" s="77"/>
      <c r="AK1921" s="77"/>
      <c r="AL1921" s="77"/>
      <c r="AM1921" s="77"/>
      <c r="AN1921" s="77"/>
      <c r="AO1921" s="77"/>
      <c r="AP1921" s="77"/>
      <c r="AQ1921" s="77"/>
      <c r="AR1921" s="77"/>
      <c r="AS1921" s="77"/>
      <c r="AT1921" s="82"/>
    </row>
    <row r="1922" spans="1:46" ht="12.5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3"/>
      <c r="Q1922" s="1"/>
      <c r="R1922" s="1"/>
      <c r="S1922" s="1"/>
      <c r="T1922" s="1"/>
      <c r="U1922" s="1"/>
      <c r="V1922" s="76"/>
      <c r="W1922" s="76"/>
      <c r="X1922" s="77"/>
      <c r="Y1922" s="77"/>
      <c r="Z1922" s="76"/>
      <c r="AA1922" s="76"/>
      <c r="AB1922" s="77"/>
      <c r="AC1922" s="77"/>
      <c r="AD1922" s="76"/>
      <c r="AE1922" s="76"/>
      <c r="AF1922" s="77"/>
      <c r="AG1922" s="77"/>
      <c r="AH1922" s="76"/>
      <c r="AI1922" s="76"/>
      <c r="AJ1922" s="77"/>
      <c r="AK1922" s="77"/>
      <c r="AL1922" s="77"/>
      <c r="AM1922" s="77"/>
      <c r="AN1922" s="77"/>
      <c r="AO1922" s="77"/>
      <c r="AP1922" s="77"/>
      <c r="AQ1922" s="77"/>
      <c r="AR1922" s="77"/>
      <c r="AS1922" s="77"/>
      <c r="AT1922" s="82"/>
    </row>
    <row r="1923" spans="1:46" ht="12.5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3"/>
      <c r="Q1923" s="1"/>
      <c r="R1923" s="1"/>
      <c r="S1923" s="1"/>
      <c r="T1923" s="1"/>
      <c r="U1923" s="1"/>
      <c r="V1923" s="76"/>
      <c r="W1923" s="76"/>
      <c r="X1923" s="77"/>
      <c r="Y1923" s="77"/>
      <c r="Z1923" s="76"/>
      <c r="AA1923" s="76"/>
      <c r="AB1923" s="77"/>
      <c r="AC1923" s="77"/>
      <c r="AD1923" s="76"/>
      <c r="AE1923" s="76"/>
      <c r="AF1923" s="77"/>
      <c r="AG1923" s="77"/>
      <c r="AH1923" s="76"/>
      <c r="AI1923" s="76"/>
      <c r="AJ1923" s="77"/>
      <c r="AK1923" s="77"/>
      <c r="AL1923" s="77"/>
      <c r="AM1923" s="77"/>
      <c r="AN1923" s="77"/>
      <c r="AO1923" s="77"/>
      <c r="AP1923" s="77"/>
      <c r="AQ1923" s="77"/>
      <c r="AR1923" s="77"/>
      <c r="AS1923" s="77"/>
      <c r="AT1923" s="82"/>
    </row>
    <row r="1924" spans="1:46" ht="12.5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3"/>
      <c r="Q1924" s="1"/>
      <c r="R1924" s="1"/>
      <c r="S1924" s="1"/>
      <c r="T1924" s="1"/>
      <c r="U1924" s="1"/>
      <c r="V1924" s="76"/>
      <c r="W1924" s="76"/>
      <c r="X1924" s="77"/>
      <c r="Y1924" s="77"/>
      <c r="Z1924" s="76"/>
      <c r="AA1924" s="76"/>
      <c r="AB1924" s="77"/>
      <c r="AC1924" s="77"/>
      <c r="AD1924" s="76"/>
      <c r="AE1924" s="76"/>
      <c r="AF1924" s="77"/>
      <c r="AG1924" s="77"/>
      <c r="AH1924" s="76"/>
      <c r="AI1924" s="76"/>
      <c r="AJ1924" s="77"/>
      <c r="AK1924" s="77"/>
      <c r="AL1924" s="77"/>
      <c r="AM1924" s="77"/>
      <c r="AN1924" s="77"/>
      <c r="AO1924" s="77"/>
      <c r="AP1924" s="77"/>
      <c r="AQ1924" s="77"/>
      <c r="AR1924" s="77"/>
      <c r="AS1924" s="77"/>
      <c r="AT1924" s="82"/>
    </row>
    <row r="1925" spans="1:46" ht="12.5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3"/>
      <c r="Q1925" s="1"/>
      <c r="R1925" s="1"/>
      <c r="S1925" s="1"/>
      <c r="T1925" s="1"/>
      <c r="U1925" s="1"/>
      <c r="V1925" s="76"/>
      <c r="W1925" s="76"/>
      <c r="X1925" s="77"/>
      <c r="Y1925" s="77"/>
      <c r="Z1925" s="76"/>
      <c r="AA1925" s="76"/>
      <c r="AB1925" s="77"/>
      <c r="AC1925" s="77"/>
      <c r="AD1925" s="76"/>
      <c r="AE1925" s="76"/>
      <c r="AF1925" s="77"/>
      <c r="AG1925" s="77"/>
      <c r="AH1925" s="76"/>
      <c r="AI1925" s="76"/>
      <c r="AJ1925" s="77"/>
      <c r="AK1925" s="77"/>
      <c r="AL1925" s="77"/>
      <c r="AM1925" s="77"/>
      <c r="AN1925" s="77"/>
      <c r="AO1925" s="77"/>
      <c r="AP1925" s="77"/>
      <c r="AQ1925" s="77"/>
      <c r="AR1925" s="77"/>
      <c r="AS1925" s="77"/>
      <c r="AT1925" s="82"/>
    </row>
    <row r="1926" spans="1:46" ht="12.5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3"/>
      <c r="Q1926" s="1"/>
      <c r="R1926" s="1"/>
      <c r="S1926" s="1"/>
      <c r="T1926" s="1"/>
      <c r="U1926" s="1"/>
      <c r="V1926" s="76"/>
      <c r="W1926" s="76"/>
      <c r="X1926" s="77"/>
      <c r="Y1926" s="77"/>
      <c r="Z1926" s="76"/>
      <c r="AA1926" s="76"/>
      <c r="AB1926" s="77"/>
      <c r="AC1926" s="77"/>
      <c r="AD1926" s="76"/>
      <c r="AE1926" s="76"/>
      <c r="AF1926" s="77"/>
      <c r="AG1926" s="77"/>
      <c r="AH1926" s="76"/>
      <c r="AI1926" s="76"/>
      <c r="AJ1926" s="77"/>
      <c r="AK1926" s="77"/>
      <c r="AL1926" s="77"/>
      <c r="AM1926" s="77"/>
      <c r="AN1926" s="77"/>
      <c r="AO1926" s="77"/>
      <c r="AP1926" s="77"/>
      <c r="AQ1926" s="77"/>
      <c r="AR1926" s="77"/>
      <c r="AS1926" s="77"/>
      <c r="AT1926" s="82"/>
    </row>
    <row r="1927" spans="1:46" ht="12.5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3"/>
      <c r="Q1927" s="1"/>
      <c r="R1927" s="1"/>
      <c r="S1927" s="1"/>
      <c r="T1927" s="1"/>
      <c r="U1927" s="1"/>
      <c r="V1927" s="76"/>
      <c r="W1927" s="76"/>
      <c r="X1927" s="77"/>
      <c r="Y1927" s="77"/>
      <c r="Z1927" s="76"/>
      <c r="AA1927" s="76"/>
      <c r="AB1927" s="77"/>
      <c r="AC1927" s="77"/>
      <c r="AD1927" s="76"/>
      <c r="AE1927" s="76"/>
      <c r="AF1927" s="77"/>
      <c r="AG1927" s="77"/>
      <c r="AH1927" s="76"/>
      <c r="AI1927" s="76"/>
      <c r="AJ1927" s="77"/>
      <c r="AK1927" s="77"/>
      <c r="AL1927" s="77"/>
      <c r="AM1927" s="77"/>
      <c r="AN1927" s="77"/>
      <c r="AO1927" s="77"/>
      <c r="AP1927" s="77"/>
      <c r="AQ1927" s="77"/>
      <c r="AR1927" s="77"/>
      <c r="AS1927" s="77"/>
      <c r="AT1927" s="82"/>
    </row>
    <row r="1928" spans="1:46" ht="12.5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3"/>
      <c r="Q1928" s="1"/>
      <c r="R1928" s="1"/>
      <c r="S1928" s="1"/>
      <c r="T1928" s="1"/>
      <c r="U1928" s="1"/>
      <c r="V1928" s="76"/>
      <c r="W1928" s="76"/>
      <c r="X1928" s="77"/>
      <c r="Y1928" s="77"/>
      <c r="Z1928" s="76"/>
      <c r="AA1928" s="76"/>
      <c r="AB1928" s="77"/>
      <c r="AC1928" s="77"/>
      <c r="AD1928" s="76"/>
      <c r="AE1928" s="76"/>
      <c r="AF1928" s="77"/>
      <c r="AG1928" s="77"/>
      <c r="AH1928" s="76"/>
      <c r="AI1928" s="76"/>
      <c r="AJ1928" s="77"/>
      <c r="AK1928" s="77"/>
      <c r="AL1928" s="77"/>
      <c r="AM1928" s="77"/>
      <c r="AN1928" s="77"/>
      <c r="AO1928" s="77"/>
      <c r="AP1928" s="77"/>
      <c r="AQ1928" s="77"/>
      <c r="AR1928" s="77"/>
      <c r="AS1928" s="77"/>
      <c r="AT1928" s="82"/>
    </row>
    <row r="1929" spans="1:46" ht="12.5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3"/>
      <c r="Q1929" s="1"/>
      <c r="R1929" s="1"/>
      <c r="S1929" s="1"/>
      <c r="T1929" s="1"/>
      <c r="U1929" s="1"/>
      <c r="V1929" s="76"/>
      <c r="W1929" s="76"/>
      <c r="X1929" s="77"/>
      <c r="Y1929" s="77"/>
      <c r="Z1929" s="76"/>
      <c r="AA1929" s="76"/>
      <c r="AB1929" s="77"/>
      <c r="AC1929" s="77"/>
      <c r="AD1929" s="76"/>
      <c r="AE1929" s="76"/>
      <c r="AF1929" s="77"/>
      <c r="AG1929" s="77"/>
      <c r="AH1929" s="76"/>
      <c r="AI1929" s="76"/>
      <c r="AJ1929" s="77"/>
      <c r="AK1929" s="77"/>
      <c r="AL1929" s="77"/>
      <c r="AM1929" s="77"/>
      <c r="AN1929" s="77"/>
      <c r="AO1929" s="77"/>
      <c r="AP1929" s="77"/>
      <c r="AQ1929" s="77"/>
      <c r="AR1929" s="77"/>
      <c r="AS1929" s="77"/>
      <c r="AT1929" s="82"/>
    </row>
    <row r="1930" spans="1:46" ht="12.5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3"/>
      <c r="Q1930" s="1"/>
      <c r="R1930" s="1"/>
      <c r="S1930" s="1"/>
      <c r="T1930" s="1"/>
      <c r="U1930" s="1"/>
      <c r="V1930" s="76"/>
      <c r="W1930" s="76"/>
      <c r="X1930" s="77"/>
      <c r="Y1930" s="77"/>
      <c r="Z1930" s="76"/>
      <c r="AA1930" s="76"/>
      <c r="AB1930" s="77"/>
      <c r="AC1930" s="77"/>
      <c r="AD1930" s="76"/>
      <c r="AE1930" s="76"/>
      <c r="AF1930" s="77"/>
      <c r="AG1930" s="77"/>
      <c r="AH1930" s="76"/>
      <c r="AI1930" s="76"/>
      <c r="AJ1930" s="77"/>
      <c r="AK1930" s="77"/>
      <c r="AL1930" s="77"/>
      <c r="AM1930" s="77"/>
      <c r="AN1930" s="77"/>
      <c r="AO1930" s="77"/>
      <c r="AP1930" s="77"/>
      <c r="AQ1930" s="77"/>
      <c r="AR1930" s="77"/>
      <c r="AS1930" s="77"/>
      <c r="AT1930" s="82"/>
    </row>
    <row r="1931" spans="1:46" ht="12.5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3"/>
      <c r="Q1931" s="1"/>
      <c r="R1931" s="1"/>
      <c r="S1931" s="1"/>
      <c r="T1931" s="1"/>
      <c r="U1931" s="1"/>
      <c r="V1931" s="76"/>
      <c r="W1931" s="76"/>
      <c r="X1931" s="77"/>
      <c r="Y1931" s="77"/>
      <c r="Z1931" s="76"/>
      <c r="AA1931" s="76"/>
      <c r="AB1931" s="77"/>
      <c r="AC1931" s="77"/>
      <c r="AD1931" s="76"/>
      <c r="AE1931" s="76"/>
      <c r="AF1931" s="77"/>
      <c r="AG1931" s="77"/>
      <c r="AH1931" s="76"/>
      <c r="AI1931" s="76"/>
      <c r="AJ1931" s="77"/>
      <c r="AK1931" s="77"/>
      <c r="AL1931" s="77"/>
      <c r="AM1931" s="77"/>
      <c r="AN1931" s="77"/>
      <c r="AO1931" s="77"/>
      <c r="AP1931" s="77"/>
      <c r="AQ1931" s="77"/>
      <c r="AR1931" s="77"/>
      <c r="AS1931" s="77"/>
      <c r="AT1931" s="82"/>
    </row>
    <row r="1932" spans="1:46" ht="12.5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3"/>
      <c r="Q1932" s="1"/>
      <c r="R1932" s="1"/>
      <c r="S1932" s="1"/>
      <c r="T1932" s="1"/>
      <c r="U1932" s="1"/>
      <c r="V1932" s="76"/>
      <c r="W1932" s="76"/>
      <c r="X1932" s="77"/>
      <c r="Y1932" s="77"/>
      <c r="Z1932" s="76"/>
      <c r="AA1932" s="76"/>
      <c r="AB1932" s="77"/>
      <c r="AC1932" s="77"/>
      <c r="AD1932" s="76"/>
      <c r="AE1932" s="76"/>
      <c r="AF1932" s="77"/>
      <c r="AG1932" s="77"/>
      <c r="AH1932" s="76"/>
      <c r="AI1932" s="76"/>
      <c r="AJ1932" s="77"/>
      <c r="AK1932" s="77"/>
      <c r="AL1932" s="77"/>
      <c r="AM1932" s="77"/>
      <c r="AN1932" s="77"/>
      <c r="AO1932" s="77"/>
      <c r="AP1932" s="77"/>
      <c r="AQ1932" s="77"/>
      <c r="AR1932" s="77"/>
      <c r="AS1932" s="77"/>
      <c r="AT1932" s="82"/>
    </row>
    <row r="1933" spans="1:46" ht="12.5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3"/>
      <c r="Q1933" s="1"/>
      <c r="R1933" s="1"/>
      <c r="S1933" s="1"/>
      <c r="T1933" s="1"/>
      <c r="U1933" s="1"/>
      <c r="V1933" s="76"/>
      <c r="W1933" s="76"/>
      <c r="X1933" s="77"/>
      <c r="Y1933" s="77"/>
      <c r="Z1933" s="76"/>
      <c r="AA1933" s="76"/>
      <c r="AB1933" s="77"/>
      <c r="AC1933" s="77"/>
      <c r="AD1933" s="76"/>
      <c r="AE1933" s="76"/>
      <c r="AF1933" s="77"/>
      <c r="AG1933" s="77"/>
      <c r="AH1933" s="76"/>
      <c r="AI1933" s="76"/>
      <c r="AJ1933" s="77"/>
      <c r="AK1933" s="77"/>
      <c r="AL1933" s="77"/>
      <c r="AM1933" s="77"/>
      <c r="AN1933" s="77"/>
      <c r="AO1933" s="77"/>
      <c r="AP1933" s="77"/>
      <c r="AQ1933" s="77"/>
      <c r="AR1933" s="77"/>
      <c r="AS1933" s="77"/>
      <c r="AT1933" s="82"/>
    </row>
    <row r="1934" spans="1:46" ht="12.5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3"/>
      <c r="Q1934" s="1"/>
      <c r="R1934" s="1"/>
      <c r="S1934" s="1"/>
      <c r="T1934" s="1"/>
      <c r="U1934" s="1"/>
      <c r="V1934" s="76"/>
      <c r="W1934" s="76"/>
      <c r="X1934" s="77"/>
      <c r="Y1934" s="77"/>
      <c r="Z1934" s="76"/>
      <c r="AA1934" s="76"/>
      <c r="AB1934" s="77"/>
      <c r="AC1934" s="77"/>
      <c r="AD1934" s="76"/>
      <c r="AE1934" s="76"/>
      <c r="AF1934" s="77"/>
      <c r="AG1934" s="77"/>
      <c r="AH1934" s="76"/>
      <c r="AI1934" s="76"/>
      <c r="AJ1934" s="77"/>
      <c r="AK1934" s="77"/>
      <c r="AL1934" s="77"/>
      <c r="AM1934" s="77"/>
      <c r="AN1934" s="77"/>
      <c r="AO1934" s="77"/>
      <c r="AP1934" s="77"/>
      <c r="AQ1934" s="77"/>
      <c r="AR1934" s="77"/>
      <c r="AS1934" s="77"/>
      <c r="AT1934" s="82"/>
    </row>
    <row r="1935" spans="1:46" ht="12.5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3"/>
      <c r="Q1935" s="1"/>
      <c r="R1935" s="1"/>
      <c r="S1935" s="1"/>
      <c r="T1935" s="1"/>
      <c r="U1935" s="1"/>
      <c r="V1935" s="76"/>
      <c r="W1935" s="76"/>
      <c r="X1935" s="77"/>
      <c r="Y1935" s="77"/>
      <c r="Z1935" s="76"/>
      <c r="AA1935" s="76"/>
      <c r="AB1935" s="77"/>
      <c r="AC1935" s="77"/>
      <c r="AD1935" s="76"/>
      <c r="AE1935" s="76"/>
      <c r="AF1935" s="77"/>
      <c r="AG1935" s="77"/>
      <c r="AH1935" s="76"/>
      <c r="AI1935" s="76"/>
      <c r="AJ1935" s="77"/>
      <c r="AK1935" s="77"/>
      <c r="AL1935" s="77"/>
      <c r="AM1935" s="77"/>
      <c r="AN1935" s="77"/>
      <c r="AO1935" s="77"/>
      <c r="AP1935" s="77"/>
      <c r="AQ1935" s="77"/>
      <c r="AR1935" s="77"/>
      <c r="AS1935" s="77"/>
      <c r="AT1935" s="82"/>
    </row>
    <row r="1936" spans="1:46" ht="12.5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3"/>
      <c r="Q1936" s="1"/>
      <c r="R1936" s="1"/>
      <c r="S1936" s="1"/>
      <c r="T1936" s="1"/>
      <c r="U1936" s="1"/>
      <c r="V1936" s="76"/>
      <c r="W1936" s="76"/>
      <c r="X1936" s="77"/>
      <c r="Y1936" s="77"/>
      <c r="Z1936" s="76"/>
      <c r="AA1936" s="76"/>
      <c r="AB1936" s="77"/>
      <c r="AC1936" s="77"/>
      <c r="AD1936" s="76"/>
      <c r="AE1936" s="76"/>
      <c r="AF1936" s="77"/>
      <c r="AG1936" s="77"/>
      <c r="AH1936" s="76"/>
      <c r="AI1936" s="76"/>
      <c r="AJ1936" s="77"/>
      <c r="AK1936" s="77"/>
      <c r="AL1936" s="77"/>
      <c r="AM1936" s="77"/>
      <c r="AN1936" s="77"/>
      <c r="AO1936" s="77"/>
      <c r="AP1936" s="77"/>
      <c r="AQ1936" s="77"/>
      <c r="AR1936" s="77"/>
      <c r="AS1936" s="77"/>
      <c r="AT1936" s="82"/>
    </row>
    <row r="1937" spans="1:46" ht="12.5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3"/>
      <c r="Q1937" s="1"/>
      <c r="R1937" s="1"/>
      <c r="S1937" s="1"/>
      <c r="T1937" s="1"/>
      <c r="U1937" s="1"/>
      <c r="V1937" s="76"/>
      <c r="W1937" s="76"/>
      <c r="X1937" s="77"/>
      <c r="Y1937" s="77"/>
      <c r="Z1937" s="76"/>
      <c r="AA1937" s="76"/>
      <c r="AB1937" s="77"/>
      <c r="AC1937" s="77"/>
      <c r="AD1937" s="76"/>
      <c r="AE1937" s="76"/>
      <c r="AF1937" s="77"/>
      <c r="AG1937" s="77"/>
      <c r="AH1937" s="76"/>
      <c r="AI1937" s="76"/>
      <c r="AJ1937" s="77"/>
      <c r="AK1937" s="77"/>
      <c r="AL1937" s="77"/>
      <c r="AM1937" s="77"/>
      <c r="AN1937" s="77"/>
      <c r="AO1937" s="77"/>
      <c r="AP1937" s="77"/>
      <c r="AQ1937" s="77"/>
      <c r="AR1937" s="77"/>
      <c r="AS1937" s="77"/>
      <c r="AT1937" s="82"/>
    </row>
    <row r="1938" spans="1:46" ht="12.5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3"/>
      <c r="Q1938" s="1"/>
      <c r="R1938" s="1"/>
      <c r="S1938" s="1"/>
      <c r="T1938" s="1"/>
      <c r="U1938" s="1"/>
      <c r="V1938" s="76"/>
      <c r="W1938" s="76"/>
      <c r="X1938" s="77"/>
      <c r="Y1938" s="77"/>
      <c r="Z1938" s="76"/>
      <c r="AA1938" s="76"/>
      <c r="AB1938" s="77"/>
      <c r="AC1938" s="77"/>
      <c r="AD1938" s="76"/>
      <c r="AE1938" s="76"/>
      <c r="AF1938" s="77"/>
      <c r="AG1938" s="77"/>
      <c r="AH1938" s="76"/>
      <c r="AI1938" s="76"/>
      <c r="AJ1938" s="77"/>
      <c r="AK1938" s="77"/>
      <c r="AL1938" s="77"/>
      <c r="AM1938" s="77"/>
      <c r="AN1938" s="77"/>
      <c r="AO1938" s="77"/>
      <c r="AP1938" s="77"/>
      <c r="AQ1938" s="77"/>
      <c r="AR1938" s="77"/>
      <c r="AS1938" s="77"/>
      <c r="AT1938" s="82"/>
    </row>
    <row r="1939" spans="1:46" ht="12.5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3"/>
      <c r="Q1939" s="1"/>
      <c r="R1939" s="1"/>
      <c r="S1939" s="1"/>
      <c r="T1939" s="1"/>
      <c r="U1939" s="1"/>
      <c r="V1939" s="76"/>
      <c r="W1939" s="76"/>
      <c r="X1939" s="77"/>
      <c r="Y1939" s="77"/>
      <c r="Z1939" s="76"/>
      <c r="AA1939" s="76"/>
      <c r="AB1939" s="77"/>
      <c r="AC1939" s="77"/>
      <c r="AD1939" s="76"/>
      <c r="AE1939" s="76"/>
      <c r="AF1939" s="77"/>
      <c r="AG1939" s="77"/>
      <c r="AH1939" s="76"/>
      <c r="AI1939" s="76"/>
      <c r="AJ1939" s="77"/>
      <c r="AK1939" s="77"/>
      <c r="AL1939" s="77"/>
      <c r="AM1939" s="77"/>
      <c r="AN1939" s="77"/>
      <c r="AO1939" s="77"/>
      <c r="AP1939" s="77"/>
      <c r="AQ1939" s="77"/>
      <c r="AR1939" s="77"/>
      <c r="AS1939" s="77"/>
      <c r="AT1939" s="82"/>
    </row>
    <row r="1940" spans="1:46" ht="12.5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3"/>
      <c r="Q1940" s="1"/>
      <c r="R1940" s="1"/>
      <c r="S1940" s="1"/>
      <c r="T1940" s="1"/>
      <c r="U1940" s="1"/>
      <c r="V1940" s="76"/>
      <c r="W1940" s="76"/>
      <c r="X1940" s="77"/>
      <c r="Y1940" s="77"/>
      <c r="Z1940" s="76"/>
      <c r="AA1940" s="76"/>
      <c r="AB1940" s="77"/>
      <c r="AC1940" s="77"/>
      <c r="AD1940" s="76"/>
      <c r="AE1940" s="76"/>
      <c r="AF1940" s="77"/>
      <c r="AG1940" s="77"/>
      <c r="AH1940" s="76"/>
      <c r="AI1940" s="76"/>
      <c r="AJ1940" s="77"/>
      <c r="AK1940" s="77"/>
      <c r="AL1940" s="77"/>
      <c r="AM1940" s="77"/>
      <c r="AN1940" s="77"/>
      <c r="AO1940" s="77"/>
      <c r="AP1940" s="77"/>
      <c r="AQ1940" s="77"/>
      <c r="AR1940" s="77"/>
      <c r="AS1940" s="77"/>
      <c r="AT1940" s="82"/>
    </row>
    <row r="1941" spans="1:46" ht="12.5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3"/>
      <c r="Q1941" s="1"/>
      <c r="R1941" s="1"/>
      <c r="S1941" s="1"/>
      <c r="T1941" s="1"/>
      <c r="U1941" s="1"/>
      <c r="V1941" s="76"/>
      <c r="W1941" s="76"/>
      <c r="X1941" s="77"/>
      <c r="Y1941" s="77"/>
      <c r="Z1941" s="76"/>
      <c r="AA1941" s="76"/>
      <c r="AB1941" s="77"/>
      <c r="AC1941" s="77"/>
      <c r="AD1941" s="76"/>
      <c r="AE1941" s="76"/>
      <c r="AF1941" s="77"/>
      <c r="AG1941" s="77"/>
      <c r="AH1941" s="76"/>
      <c r="AI1941" s="76"/>
      <c r="AJ1941" s="77"/>
      <c r="AK1941" s="77"/>
      <c r="AL1941" s="77"/>
      <c r="AM1941" s="77"/>
      <c r="AN1941" s="77"/>
      <c r="AO1941" s="77"/>
      <c r="AP1941" s="77"/>
      <c r="AQ1941" s="77"/>
      <c r="AR1941" s="77"/>
      <c r="AS1941" s="77"/>
      <c r="AT1941" s="82"/>
    </row>
    <row r="1942" spans="1:46" ht="12.5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3"/>
      <c r="Q1942" s="1"/>
      <c r="R1942" s="1"/>
      <c r="S1942" s="1"/>
      <c r="T1942" s="1"/>
      <c r="U1942" s="1"/>
      <c r="V1942" s="76"/>
      <c r="W1942" s="76"/>
      <c r="X1942" s="77"/>
      <c r="Y1942" s="77"/>
      <c r="Z1942" s="76"/>
      <c r="AA1942" s="76"/>
      <c r="AB1942" s="77"/>
      <c r="AC1942" s="77"/>
      <c r="AD1942" s="76"/>
      <c r="AE1942" s="76"/>
      <c r="AF1942" s="77"/>
      <c r="AG1942" s="77"/>
      <c r="AH1942" s="76"/>
      <c r="AI1942" s="76"/>
      <c r="AJ1942" s="77"/>
      <c r="AK1942" s="77"/>
      <c r="AL1942" s="77"/>
      <c r="AM1942" s="77"/>
      <c r="AN1942" s="77"/>
      <c r="AO1942" s="77"/>
      <c r="AP1942" s="77"/>
      <c r="AQ1942" s="77"/>
      <c r="AR1942" s="77"/>
      <c r="AS1942" s="77"/>
      <c r="AT1942" s="82"/>
    </row>
    <row r="1943" spans="1:46" ht="12.5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3"/>
      <c r="Q1943" s="1"/>
      <c r="R1943" s="1"/>
      <c r="S1943" s="1"/>
      <c r="T1943" s="1"/>
      <c r="U1943" s="1"/>
      <c r="V1943" s="76"/>
      <c r="W1943" s="76"/>
      <c r="X1943" s="77"/>
      <c r="Y1943" s="77"/>
      <c r="Z1943" s="76"/>
      <c r="AA1943" s="76"/>
      <c r="AB1943" s="77"/>
      <c r="AC1943" s="77"/>
      <c r="AD1943" s="76"/>
      <c r="AE1943" s="76"/>
      <c r="AF1943" s="77"/>
      <c r="AG1943" s="77"/>
      <c r="AH1943" s="76"/>
      <c r="AI1943" s="76"/>
      <c r="AJ1943" s="77"/>
      <c r="AK1943" s="77"/>
      <c r="AL1943" s="77"/>
      <c r="AM1943" s="77"/>
      <c r="AN1943" s="77"/>
      <c r="AO1943" s="77"/>
      <c r="AP1943" s="77"/>
      <c r="AQ1943" s="77"/>
      <c r="AR1943" s="77"/>
      <c r="AS1943" s="77"/>
      <c r="AT1943" s="82"/>
    </row>
    <row r="1944" spans="1:46" ht="12.5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3"/>
      <c r="Q1944" s="1"/>
      <c r="R1944" s="1"/>
      <c r="S1944" s="1"/>
      <c r="T1944" s="1"/>
      <c r="U1944" s="1"/>
      <c r="V1944" s="76"/>
      <c r="W1944" s="76"/>
      <c r="X1944" s="77"/>
      <c r="Y1944" s="77"/>
      <c r="Z1944" s="76"/>
      <c r="AA1944" s="76"/>
      <c r="AB1944" s="77"/>
      <c r="AC1944" s="77"/>
      <c r="AD1944" s="76"/>
      <c r="AE1944" s="76"/>
      <c r="AF1944" s="77"/>
      <c r="AG1944" s="77"/>
      <c r="AH1944" s="76"/>
      <c r="AI1944" s="76"/>
      <c r="AJ1944" s="77"/>
      <c r="AK1944" s="77"/>
      <c r="AL1944" s="77"/>
      <c r="AM1944" s="77"/>
      <c r="AN1944" s="77"/>
      <c r="AO1944" s="77"/>
      <c r="AP1944" s="77"/>
      <c r="AQ1944" s="77"/>
      <c r="AR1944" s="77"/>
      <c r="AS1944" s="77"/>
      <c r="AT1944" s="82"/>
    </row>
    <row r="1945" spans="1:46" ht="12.5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3"/>
      <c r="Q1945" s="1"/>
      <c r="R1945" s="1"/>
      <c r="S1945" s="1"/>
      <c r="T1945" s="1"/>
      <c r="U1945" s="1"/>
      <c r="V1945" s="76"/>
      <c r="W1945" s="76"/>
      <c r="X1945" s="77"/>
      <c r="Y1945" s="77"/>
      <c r="Z1945" s="76"/>
      <c r="AA1945" s="76"/>
      <c r="AB1945" s="77"/>
      <c r="AC1945" s="77"/>
      <c r="AD1945" s="76"/>
      <c r="AE1945" s="76"/>
      <c r="AF1945" s="77"/>
      <c r="AG1945" s="77"/>
      <c r="AH1945" s="76"/>
      <c r="AI1945" s="76"/>
      <c r="AJ1945" s="77"/>
      <c r="AK1945" s="77"/>
      <c r="AL1945" s="77"/>
      <c r="AM1945" s="77"/>
      <c r="AN1945" s="77"/>
      <c r="AO1945" s="77"/>
      <c r="AP1945" s="77"/>
      <c r="AQ1945" s="77"/>
      <c r="AR1945" s="77"/>
      <c r="AS1945" s="77"/>
      <c r="AT1945" s="82"/>
    </row>
    <row r="1946" spans="1:46" ht="12.5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3"/>
      <c r="Q1946" s="1"/>
      <c r="R1946" s="1"/>
      <c r="S1946" s="1"/>
      <c r="T1946" s="1"/>
      <c r="U1946" s="1"/>
      <c r="V1946" s="76"/>
      <c r="W1946" s="76"/>
      <c r="X1946" s="77"/>
      <c r="Y1946" s="77"/>
      <c r="Z1946" s="76"/>
      <c r="AA1946" s="76"/>
      <c r="AB1946" s="77"/>
      <c r="AC1946" s="77"/>
      <c r="AD1946" s="76"/>
      <c r="AE1946" s="76"/>
      <c r="AF1946" s="77"/>
      <c r="AG1946" s="77"/>
      <c r="AH1946" s="76"/>
      <c r="AI1946" s="76"/>
      <c r="AJ1946" s="77"/>
      <c r="AK1946" s="77"/>
      <c r="AL1946" s="77"/>
      <c r="AM1946" s="77"/>
      <c r="AN1946" s="77"/>
      <c r="AO1946" s="77"/>
      <c r="AP1946" s="77"/>
      <c r="AQ1946" s="77"/>
      <c r="AR1946" s="77"/>
      <c r="AS1946" s="77"/>
      <c r="AT1946" s="82"/>
    </row>
    <row r="1947" spans="1:46" ht="12.5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3"/>
      <c r="Q1947" s="1"/>
      <c r="R1947" s="1"/>
      <c r="S1947" s="1"/>
      <c r="T1947" s="1"/>
      <c r="U1947" s="1"/>
      <c r="V1947" s="76"/>
      <c r="W1947" s="76"/>
      <c r="X1947" s="77"/>
      <c r="Y1947" s="77"/>
      <c r="Z1947" s="76"/>
      <c r="AA1947" s="76"/>
      <c r="AB1947" s="77"/>
      <c r="AC1947" s="77"/>
      <c r="AD1947" s="76"/>
      <c r="AE1947" s="76"/>
      <c r="AF1947" s="77"/>
      <c r="AG1947" s="77"/>
      <c r="AH1947" s="76"/>
      <c r="AI1947" s="76"/>
      <c r="AJ1947" s="77"/>
      <c r="AK1947" s="77"/>
      <c r="AL1947" s="77"/>
      <c r="AM1947" s="77"/>
      <c r="AN1947" s="77"/>
      <c r="AO1947" s="77"/>
      <c r="AP1947" s="77"/>
      <c r="AQ1947" s="77"/>
      <c r="AR1947" s="77"/>
      <c r="AS1947" s="77"/>
      <c r="AT1947" s="82"/>
    </row>
    <row r="1948" spans="1:46" ht="12.5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3"/>
      <c r="Q1948" s="1"/>
      <c r="R1948" s="1"/>
      <c r="S1948" s="1"/>
      <c r="T1948" s="1"/>
      <c r="U1948" s="1"/>
      <c r="V1948" s="76"/>
      <c r="W1948" s="76"/>
      <c r="X1948" s="77"/>
      <c r="Y1948" s="77"/>
      <c r="Z1948" s="76"/>
      <c r="AA1948" s="76"/>
      <c r="AB1948" s="77"/>
      <c r="AC1948" s="77"/>
      <c r="AD1948" s="76"/>
      <c r="AE1948" s="76"/>
      <c r="AF1948" s="77"/>
      <c r="AG1948" s="77"/>
      <c r="AH1948" s="76"/>
      <c r="AI1948" s="76"/>
      <c r="AJ1948" s="77"/>
      <c r="AK1948" s="77"/>
      <c r="AL1948" s="77"/>
      <c r="AM1948" s="77"/>
      <c r="AN1948" s="77"/>
      <c r="AO1948" s="77"/>
      <c r="AP1948" s="77"/>
      <c r="AQ1948" s="77"/>
      <c r="AR1948" s="77"/>
      <c r="AS1948" s="77"/>
      <c r="AT1948" s="82"/>
    </row>
    <row r="1949" spans="1:46" ht="12.5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3"/>
      <c r="Q1949" s="1"/>
      <c r="R1949" s="1"/>
      <c r="S1949" s="1"/>
      <c r="T1949" s="1"/>
      <c r="U1949" s="1"/>
      <c r="V1949" s="76"/>
      <c r="W1949" s="76"/>
      <c r="X1949" s="77"/>
      <c r="Y1949" s="77"/>
      <c r="Z1949" s="76"/>
      <c r="AA1949" s="76"/>
      <c r="AB1949" s="77"/>
      <c r="AC1949" s="77"/>
      <c r="AD1949" s="76"/>
      <c r="AE1949" s="76"/>
      <c r="AF1949" s="77"/>
      <c r="AG1949" s="77"/>
      <c r="AH1949" s="76"/>
      <c r="AI1949" s="76"/>
      <c r="AJ1949" s="77"/>
      <c r="AK1949" s="77"/>
      <c r="AL1949" s="77"/>
      <c r="AM1949" s="77"/>
      <c r="AN1949" s="77"/>
      <c r="AO1949" s="77"/>
      <c r="AP1949" s="77"/>
      <c r="AQ1949" s="77"/>
      <c r="AR1949" s="77"/>
      <c r="AS1949" s="77"/>
      <c r="AT1949" s="82"/>
    </row>
    <row r="1950" spans="1:46" ht="12.5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3"/>
      <c r="Q1950" s="1"/>
      <c r="R1950" s="1"/>
      <c r="S1950" s="1"/>
      <c r="T1950" s="1"/>
      <c r="U1950" s="1"/>
      <c r="V1950" s="76"/>
      <c r="W1950" s="76"/>
      <c r="X1950" s="77"/>
      <c r="Y1950" s="77"/>
      <c r="Z1950" s="76"/>
      <c r="AA1950" s="76"/>
      <c r="AB1950" s="77"/>
      <c r="AC1950" s="77"/>
      <c r="AD1950" s="76"/>
      <c r="AE1950" s="76"/>
      <c r="AF1950" s="77"/>
      <c r="AG1950" s="77"/>
      <c r="AH1950" s="76"/>
      <c r="AI1950" s="76"/>
      <c r="AJ1950" s="77"/>
      <c r="AK1950" s="77"/>
      <c r="AL1950" s="77"/>
      <c r="AM1950" s="77"/>
      <c r="AN1950" s="77"/>
      <c r="AO1950" s="77"/>
      <c r="AP1950" s="77"/>
      <c r="AQ1950" s="77"/>
      <c r="AR1950" s="77"/>
      <c r="AS1950" s="77"/>
      <c r="AT1950" s="82"/>
    </row>
    <row r="1951" spans="1:46" ht="12.5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3"/>
      <c r="Q1951" s="1"/>
      <c r="R1951" s="1"/>
      <c r="S1951" s="1"/>
      <c r="T1951" s="1"/>
      <c r="U1951" s="1"/>
      <c r="V1951" s="76"/>
      <c r="W1951" s="76"/>
      <c r="X1951" s="77"/>
      <c r="Y1951" s="77"/>
      <c r="Z1951" s="76"/>
      <c r="AA1951" s="76"/>
      <c r="AB1951" s="77"/>
      <c r="AC1951" s="77"/>
      <c r="AD1951" s="76"/>
      <c r="AE1951" s="76"/>
      <c r="AF1951" s="77"/>
      <c r="AG1951" s="77"/>
      <c r="AH1951" s="76"/>
      <c r="AI1951" s="76"/>
      <c r="AJ1951" s="77"/>
      <c r="AK1951" s="77"/>
      <c r="AL1951" s="77"/>
      <c r="AM1951" s="77"/>
      <c r="AN1951" s="77"/>
      <c r="AO1951" s="77"/>
      <c r="AP1951" s="77"/>
      <c r="AQ1951" s="77"/>
      <c r="AR1951" s="77"/>
      <c r="AS1951" s="77"/>
      <c r="AT1951" s="82"/>
    </row>
    <row r="1952" spans="1:46" ht="12.5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3"/>
      <c r="Q1952" s="1"/>
      <c r="R1952" s="1"/>
      <c r="S1952" s="1"/>
      <c r="T1952" s="1"/>
      <c r="U1952" s="1"/>
      <c r="V1952" s="76"/>
      <c r="W1952" s="76"/>
      <c r="X1952" s="77"/>
      <c r="Y1952" s="77"/>
      <c r="Z1952" s="76"/>
      <c r="AA1952" s="76"/>
      <c r="AB1952" s="77"/>
      <c r="AC1952" s="77"/>
      <c r="AD1952" s="76"/>
      <c r="AE1952" s="76"/>
      <c r="AF1952" s="77"/>
      <c r="AG1952" s="77"/>
      <c r="AH1952" s="76"/>
      <c r="AI1952" s="76"/>
      <c r="AJ1952" s="77"/>
      <c r="AK1952" s="77"/>
      <c r="AL1952" s="77"/>
      <c r="AM1952" s="77"/>
      <c r="AN1952" s="77"/>
      <c r="AO1952" s="77"/>
      <c r="AP1952" s="77"/>
      <c r="AQ1952" s="77"/>
      <c r="AR1952" s="77"/>
      <c r="AS1952" s="77"/>
      <c r="AT1952" s="82"/>
    </row>
    <row r="1953" spans="1:46" ht="12.5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3"/>
      <c r="Q1953" s="1"/>
      <c r="R1953" s="1"/>
      <c r="S1953" s="1"/>
      <c r="T1953" s="1"/>
      <c r="U1953" s="1"/>
      <c r="V1953" s="76"/>
      <c r="W1953" s="76"/>
      <c r="X1953" s="77"/>
      <c r="Y1953" s="77"/>
      <c r="Z1953" s="76"/>
      <c r="AA1953" s="76"/>
      <c r="AB1953" s="77"/>
      <c r="AC1953" s="77"/>
      <c r="AD1953" s="76"/>
      <c r="AE1953" s="76"/>
      <c r="AF1953" s="77"/>
      <c r="AG1953" s="77"/>
      <c r="AH1953" s="76"/>
      <c r="AI1953" s="76"/>
      <c r="AJ1953" s="77"/>
      <c r="AK1953" s="77"/>
      <c r="AL1953" s="77"/>
      <c r="AM1953" s="77"/>
      <c r="AN1953" s="77"/>
      <c r="AO1953" s="77"/>
      <c r="AP1953" s="77"/>
      <c r="AQ1953" s="77"/>
      <c r="AR1953" s="77"/>
      <c r="AS1953" s="77"/>
      <c r="AT1953" s="82"/>
    </row>
    <row r="1954" spans="1:46" ht="12.5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3"/>
      <c r="Q1954" s="1"/>
      <c r="R1954" s="1"/>
      <c r="S1954" s="1"/>
      <c r="T1954" s="1"/>
      <c r="U1954" s="1"/>
      <c r="V1954" s="76"/>
      <c r="W1954" s="76"/>
      <c r="X1954" s="77"/>
      <c r="Y1954" s="77"/>
      <c r="Z1954" s="76"/>
      <c r="AA1954" s="76"/>
      <c r="AB1954" s="77"/>
      <c r="AC1954" s="77"/>
      <c r="AD1954" s="76"/>
      <c r="AE1954" s="76"/>
      <c r="AF1954" s="77"/>
      <c r="AG1954" s="77"/>
      <c r="AH1954" s="76"/>
      <c r="AI1954" s="76"/>
      <c r="AJ1954" s="77"/>
      <c r="AK1954" s="77"/>
      <c r="AL1954" s="77"/>
      <c r="AM1954" s="77"/>
      <c r="AN1954" s="77"/>
      <c r="AO1954" s="77"/>
      <c r="AP1954" s="77"/>
      <c r="AQ1954" s="77"/>
      <c r="AR1954" s="77"/>
      <c r="AS1954" s="77"/>
      <c r="AT1954" s="82"/>
    </row>
    <row r="1955" spans="1:46" ht="12.5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3"/>
      <c r="Q1955" s="1"/>
      <c r="R1955" s="1"/>
      <c r="S1955" s="1"/>
      <c r="T1955" s="1"/>
      <c r="U1955" s="1"/>
      <c r="V1955" s="76"/>
      <c r="W1955" s="76"/>
      <c r="X1955" s="77"/>
      <c r="Y1955" s="77"/>
      <c r="Z1955" s="76"/>
      <c r="AA1955" s="76"/>
      <c r="AB1955" s="77"/>
      <c r="AC1955" s="77"/>
      <c r="AD1955" s="76"/>
      <c r="AE1955" s="76"/>
      <c r="AF1955" s="77"/>
      <c r="AG1955" s="77"/>
      <c r="AH1955" s="76"/>
      <c r="AI1955" s="76"/>
      <c r="AJ1955" s="77"/>
      <c r="AK1955" s="77"/>
      <c r="AL1955" s="77"/>
      <c r="AM1955" s="77"/>
      <c r="AN1955" s="77"/>
      <c r="AO1955" s="77"/>
      <c r="AP1955" s="77"/>
      <c r="AQ1955" s="77"/>
      <c r="AR1955" s="77"/>
      <c r="AS1955" s="77"/>
      <c r="AT1955" s="82"/>
    </row>
    <row r="1956" spans="1:46" ht="12.5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3"/>
      <c r="Q1956" s="1"/>
      <c r="R1956" s="1"/>
      <c r="S1956" s="1"/>
      <c r="T1956" s="1"/>
      <c r="U1956" s="1"/>
      <c r="V1956" s="76"/>
      <c r="W1956" s="76"/>
      <c r="X1956" s="77"/>
      <c r="Y1956" s="77"/>
      <c r="Z1956" s="76"/>
      <c r="AA1956" s="76"/>
      <c r="AB1956" s="77"/>
      <c r="AC1956" s="77"/>
      <c r="AD1956" s="76"/>
      <c r="AE1956" s="76"/>
      <c r="AF1956" s="77"/>
      <c r="AG1956" s="77"/>
      <c r="AH1956" s="76"/>
      <c r="AI1956" s="76"/>
      <c r="AJ1956" s="77"/>
      <c r="AK1956" s="77"/>
      <c r="AL1956" s="77"/>
      <c r="AM1956" s="77"/>
      <c r="AN1956" s="77"/>
      <c r="AO1956" s="77"/>
      <c r="AP1956" s="77"/>
      <c r="AQ1956" s="77"/>
      <c r="AR1956" s="77"/>
      <c r="AS1956" s="77"/>
      <c r="AT1956" s="82"/>
    </row>
    <row r="1957" spans="1:46" ht="12.5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3"/>
      <c r="Q1957" s="1"/>
      <c r="R1957" s="1"/>
      <c r="S1957" s="1"/>
      <c r="T1957" s="1"/>
      <c r="U1957" s="1"/>
      <c r="V1957" s="76"/>
      <c r="W1957" s="76"/>
      <c r="X1957" s="77"/>
      <c r="Y1957" s="77"/>
      <c r="Z1957" s="76"/>
      <c r="AA1957" s="76"/>
      <c r="AB1957" s="77"/>
      <c r="AC1957" s="77"/>
      <c r="AD1957" s="76"/>
      <c r="AE1957" s="76"/>
      <c r="AF1957" s="77"/>
      <c r="AG1957" s="77"/>
      <c r="AH1957" s="76"/>
      <c r="AI1957" s="76"/>
      <c r="AJ1957" s="77"/>
      <c r="AK1957" s="77"/>
      <c r="AL1957" s="77"/>
      <c r="AM1957" s="77"/>
      <c r="AN1957" s="77"/>
      <c r="AO1957" s="77"/>
      <c r="AP1957" s="77"/>
      <c r="AQ1957" s="77"/>
      <c r="AR1957" s="77"/>
      <c r="AS1957" s="77"/>
      <c r="AT1957" s="82"/>
    </row>
    <row r="1958" spans="1:46" ht="12.5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3"/>
      <c r="Q1958" s="1"/>
      <c r="R1958" s="1"/>
      <c r="S1958" s="1"/>
      <c r="T1958" s="1"/>
      <c r="U1958" s="1"/>
      <c r="V1958" s="76"/>
      <c r="W1958" s="76"/>
      <c r="X1958" s="77"/>
      <c r="Y1958" s="77"/>
      <c r="Z1958" s="76"/>
      <c r="AA1958" s="76"/>
      <c r="AB1958" s="77"/>
      <c r="AC1958" s="77"/>
      <c r="AD1958" s="76"/>
      <c r="AE1958" s="76"/>
      <c r="AF1958" s="77"/>
      <c r="AG1958" s="77"/>
      <c r="AH1958" s="76"/>
      <c r="AI1958" s="76"/>
      <c r="AJ1958" s="77"/>
      <c r="AK1958" s="77"/>
      <c r="AL1958" s="77"/>
      <c r="AM1958" s="77"/>
      <c r="AN1958" s="77"/>
      <c r="AO1958" s="77"/>
      <c r="AP1958" s="77"/>
      <c r="AQ1958" s="77"/>
      <c r="AR1958" s="77"/>
      <c r="AS1958" s="77"/>
      <c r="AT1958" s="82"/>
    </row>
    <row r="1959" spans="1:46" ht="12.5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3"/>
      <c r="Q1959" s="1"/>
      <c r="R1959" s="1"/>
      <c r="S1959" s="1"/>
      <c r="T1959" s="1"/>
      <c r="U1959" s="1"/>
      <c r="V1959" s="76"/>
      <c r="W1959" s="76"/>
      <c r="X1959" s="77"/>
      <c r="Y1959" s="77"/>
      <c r="Z1959" s="76"/>
      <c r="AA1959" s="76"/>
      <c r="AB1959" s="77"/>
      <c r="AC1959" s="77"/>
      <c r="AD1959" s="76"/>
      <c r="AE1959" s="76"/>
      <c r="AF1959" s="77"/>
      <c r="AG1959" s="77"/>
      <c r="AH1959" s="76"/>
      <c r="AI1959" s="76"/>
      <c r="AJ1959" s="77"/>
      <c r="AK1959" s="77"/>
      <c r="AL1959" s="77"/>
      <c r="AM1959" s="77"/>
      <c r="AN1959" s="77"/>
      <c r="AO1959" s="77"/>
      <c r="AP1959" s="77"/>
      <c r="AQ1959" s="77"/>
      <c r="AR1959" s="77"/>
      <c r="AS1959" s="77"/>
      <c r="AT1959" s="82"/>
    </row>
    <row r="1960" spans="1:46" ht="12.5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3"/>
      <c r="Q1960" s="1"/>
      <c r="R1960" s="1"/>
      <c r="S1960" s="1"/>
      <c r="T1960" s="1"/>
      <c r="U1960" s="1"/>
      <c r="V1960" s="76"/>
      <c r="W1960" s="76"/>
      <c r="X1960" s="77"/>
      <c r="Y1960" s="77"/>
      <c r="Z1960" s="76"/>
      <c r="AA1960" s="76"/>
      <c r="AB1960" s="77"/>
      <c r="AC1960" s="77"/>
      <c r="AD1960" s="76"/>
      <c r="AE1960" s="76"/>
      <c r="AF1960" s="77"/>
      <c r="AG1960" s="77"/>
      <c r="AH1960" s="76"/>
      <c r="AI1960" s="76"/>
      <c r="AJ1960" s="77"/>
      <c r="AK1960" s="77"/>
      <c r="AL1960" s="77"/>
      <c r="AM1960" s="77"/>
      <c r="AN1960" s="77"/>
      <c r="AO1960" s="77"/>
      <c r="AP1960" s="77"/>
      <c r="AQ1960" s="77"/>
      <c r="AR1960" s="77"/>
      <c r="AS1960" s="77"/>
      <c r="AT1960" s="82"/>
    </row>
    <row r="1961" spans="1:46" ht="12.5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3"/>
      <c r="Q1961" s="1"/>
      <c r="R1961" s="1"/>
      <c r="S1961" s="1"/>
      <c r="T1961" s="1"/>
      <c r="U1961" s="1"/>
      <c r="V1961" s="76"/>
      <c r="W1961" s="76"/>
      <c r="X1961" s="77"/>
      <c r="Y1961" s="77"/>
      <c r="Z1961" s="76"/>
      <c r="AA1961" s="76"/>
      <c r="AB1961" s="77"/>
      <c r="AC1961" s="77"/>
      <c r="AD1961" s="76"/>
      <c r="AE1961" s="76"/>
      <c r="AF1961" s="77"/>
      <c r="AG1961" s="77"/>
      <c r="AH1961" s="76"/>
      <c r="AI1961" s="76"/>
      <c r="AJ1961" s="77"/>
      <c r="AK1961" s="77"/>
      <c r="AL1961" s="77"/>
      <c r="AM1961" s="77"/>
      <c r="AN1961" s="77"/>
      <c r="AO1961" s="77"/>
      <c r="AP1961" s="77"/>
      <c r="AQ1961" s="77"/>
      <c r="AR1961" s="77"/>
      <c r="AS1961" s="77"/>
      <c r="AT1961" s="82"/>
    </row>
    <row r="1962" spans="1:46" ht="12.5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3"/>
      <c r="Q1962" s="1"/>
      <c r="R1962" s="1"/>
      <c r="S1962" s="1"/>
      <c r="T1962" s="1"/>
      <c r="U1962" s="1"/>
      <c r="V1962" s="76"/>
      <c r="W1962" s="76"/>
      <c r="X1962" s="77"/>
      <c r="Y1962" s="77"/>
      <c r="Z1962" s="76"/>
      <c r="AA1962" s="76"/>
      <c r="AB1962" s="77"/>
      <c r="AC1962" s="77"/>
      <c r="AD1962" s="76"/>
      <c r="AE1962" s="76"/>
      <c r="AF1962" s="77"/>
      <c r="AG1962" s="77"/>
      <c r="AH1962" s="76"/>
      <c r="AI1962" s="76"/>
      <c r="AJ1962" s="77"/>
      <c r="AK1962" s="77"/>
      <c r="AL1962" s="77"/>
      <c r="AM1962" s="77"/>
      <c r="AN1962" s="77"/>
      <c r="AO1962" s="77"/>
      <c r="AP1962" s="77"/>
      <c r="AQ1962" s="77"/>
      <c r="AR1962" s="77"/>
      <c r="AS1962" s="77"/>
      <c r="AT1962" s="82"/>
    </row>
    <row r="1963" spans="1:46" ht="12.5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3"/>
      <c r="Q1963" s="1"/>
      <c r="R1963" s="1"/>
      <c r="S1963" s="1"/>
      <c r="T1963" s="1"/>
      <c r="U1963" s="1"/>
      <c r="V1963" s="76"/>
      <c r="W1963" s="76"/>
      <c r="X1963" s="77"/>
      <c r="Y1963" s="77"/>
      <c r="Z1963" s="76"/>
      <c r="AA1963" s="76"/>
      <c r="AB1963" s="77"/>
      <c r="AC1963" s="77"/>
      <c r="AD1963" s="76"/>
      <c r="AE1963" s="76"/>
      <c r="AF1963" s="77"/>
      <c r="AG1963" s="77"/>
      <c r="AH1963" s="76"/>
      <c r="AI1963" s="76"/>
      <c r="AJ1963" s="77"/>
      <c r="AK1963" s="77"/>
      <c r="AL1963" s="77"/>
      <c r="AM1963" s="77"/>
      <c r="AN1963" s="77"/>
      <c r="AO1963" s="77"/>
      <c r="AP1963" s="77"/>
      <c r="AQ1963" s="77"/>
      <c r="AR1963" s="77"/>
      <c r="AS1963" s="77"/>
      <c r="AT1963" s="82"/>
    </row>
    <row r="1964" spans="1:46" ht="12.5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3"/>
      <c r="Q1964" s="1"/>
      <c r="R1964" s="1"/>
      <c r="S1964" s="1"/>
      <c r="T1964" s="1"/>
      <c r="U1964" s="1"/>
      <c r="V1964" s="76"/>
      <c r="W1964" s="76"/>
      <c r="X1964" s="77"/>
      <c r="Y1964" s="77"/>
      <c r="Z1964" s="76"/>
      <c r="AA1964" s="76"/>
      <c r="AB1964" s="77"/>
      <c r="AC1964" s="77"/>
      <c r="AD1964" s="76"/>
      <c r="AE1964" s="76"/>
      <c r="AF1964" s="77"/>
      <c r="AG1964" s="77"/>
      <c r="AH1964" s="76"/>
      <c r="AI1964" s="76"/>
      <c r="AJ1964" s="77"/>
      <c r="AK1964" s="77"/>
      <c r="AL1964" s="77"/>
      <c r="AM1964" s="77"/>
      <c r="AN1964" s="77"/>
      <c r="AO1964" s="77"/>
      <c r="AP1964" s="77"/>
      <c r="AQ1964" s="77"/>
      <c r="AR1964" s="77"/>
      <c r="AS1964" s="77"/>
      <c r="AT1964" s="82"/>
    </row>
    <row r="1965" spans="1:46" ht="12.5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3"/>
      <c r="Q1965" s="1"/>
      <c r="R1965" s="1"/>
      <c r="S1965" s="1"/>
      <c r="T1965" s="1"/>
      <c r="U1965" s="1"/>
      <c r="V1965" s="76"/>
      <c r="W1965" s="76"/>
      <c r="X1965" s="77"/>
      <c r="Y1965" s="77"/>
      <c r="Z1965" s="76"/>
      <c r="AA1965" s="76"/>
      <c r="AB1965" s="77"/>
      <c r="AC1965" s="77"/>
      <c r="AD1965" s="76"/>
      <c r="AE1965" s="76"/>
      <c r="AF1965" s="77"/>
      <c r="AG1965" s="77"/>
      <c r="AH1965" s="76"/>
      <c r="AI1965" s="76"/>
      <c r="AJ1965" s="77"/>
      <c r="AK1965" s="77"/>
      <c r="AL1965" s="77"/>
      <c r="AM1965" s="77"/>
      <c r="AN1965" s="77"/>
      <c r="AO1965" s="77"/>
      <c r="AP1965" s="77"/>
      <c r="AQ1965" s="77"/>
      <c r="AR1965" s="77"/>
      <c r="AS1965" s="77"/>
      <c r="AT1965" s="82"/>
    </row>
    <row r="1966" spans="1:46" ht="12.5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3"/>
      <c r="Q1966" s="1"/>
      <c r="R1966" s="1"/>
      <c r="S1966" s="1"/>
      <c r="T1966" s="1"/>
      <c r="U1966" s="1"/>
      <c r="V1966" s="76"/>
      <c r="W1966" s="76"/>
      <c r="X1966" s="77"/>
      <c r="Y1966" s="77"/>
      <c r="Z1966" s="76"/>
      <c r="AA1966" s="76"/>
      <c r="AB1966" s="77"/>
      <c r="AC1966" s="77"/>
      <c r="AD1966" s="76"/>
      <c r="AE1966" s="76"/>
      <c r="AF1966" s="77"/>
      <c r="AG1966" s="77"/>
      <c r="AH1966" s="76"/>
      <c r="AI1966" s="76"/>
      <c r="AJ1966" s="77"/>
      <c r="AK1966" s="77"/>
      <c r="AL1966" s="77"/>
      <c r="AM1966" s="77"/>
      <c r="AN1966" s="77"/>
      <c r="AO1966" s="77"/>
      <c r="AP1966" s="77"/>
      <c r="AQ1966" s="77"/>
      <c r="AR1966" s="77"/>
      <c r="AS1966" s="77"/>
      <c r="AT1966" s="82"/>
    </row>
    <row r="1967" spans="1:46" ht="12.5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3"/>
      <c r="Q1967" s="1"/>
      <c r="R1967" s="1"/>
      <c r="S1967" s="1"/>
      <c r="T1967" s="1"/>
      <c r="U1967" s="1"/>
      <c r="V1967" s="76"/>
      <c r="W1967" s="76"/>
      <c r="X1967" s="77"/>
      <c r="Y1967" s="77"/>
      <c r="Z1967" s="76"/>
      <c r="AA1967" s="76"/>
      <c r="AB1967" s="77"/>
      <c r="AC1967" s="77"/>
      <c r="AD1967" s="76"/>
      <c r="AE1967" s="76"/>
      <c r="AF1967" s="77"/>
      <c r="AG1967" s="77"/>
      <c r="AH1967" s="76"/>
      <c r="AI1967" s="76"/>
      <c r="AJ1967" s="77"/>
      <c r="AK1967" s="77"/>
      <c r="AL1967" s="77"/>
      <c r="AM1967" s="77"/>
      <c r="AN1967" s="77"/>
      <c r="AO1967" s="77"/>
      <c r="AP1967" s="77"/>
      <c r="AQ1967" s="77"/>
      <c r="AR1967" s="77"/>
      <c r="AS1967" s="77"/>
      <c r="AT1967" s="82"/>
    </row>
    <row r="1968" spans="1:46" ht="12.5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3"/>
      <c r="Q1968" s="1"/>
      <c r="R1968" s="1"/>
      <c r="S1968" s="1"/>
      <c r="T1968" s="1"/>
      <c r="U1968" s="1"/>
      <c r="V1968" s="76"/>
      <c r="W1968" s="76"/>
      <c r="X1968" s="77"/>
      <c r="Y1968" s="77"/>
      <c r="Z1968" s="76"/>
      <c r="AA1968" s="76"/>
      <c r="AB1968" s="77"/>
      <c r="AC1968" s="77"/>
      <c r="AD1968" s="76"/>
      <c r="AE1968" s="76"/>
      <c r="AF1968" s="77"/>
      <c r="AG1968" s="77"/>
      <c r="AH1968" s="76"/>
      <c r="AI1968" s="76"/>
      <c r="AJ1968" s="77"/>
      <c r="AK1968" s="77"/>
      <c r="AL1968" s="77"/>
      <c r="AM1968" s="77"/>
      <c r="AN1968" s="77"/>
      <c r="AO1968" s="77"/>
      <c r="AP1968" s="77"/>
      <c r="AQ1968" s="77"/>
      <c r="AR1968" s="77"/>
      <c r="AS1968" s="77"/>
      <c r="AT1968" s="82"/>
    </row>
    <row r="1969" spans="1:46" ht="12.5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3"/>
      <c r="Q1969" s="1"/>
      <c r="R1969" s="1"/>
      <c r="S1969" s="1"/>
      <c r="T1969" s="1"/>
      <c r="U1969" s="1"/>
      <c r="V1969" s="76"/>
      <c r="W1969" s="76"/>
      <c r="X1969" s="77"/>
      <c r="Y1969" s="77"/>
      <c r="Z1969" s="76"/>
      <c r="AA1969" s="76"/>
      <c r="AB1969" s="77"/>
      <c r="AC1969" s="77"/>
      <c r="AD1969" s="76"/>
      <c r="AE1969" s="76"/>
      <c r="AF1969" s="77"/>
      <c r="AG1969" s="77"/>
      <c r="AH1969" s="76"/>
      <c r="AI1969" s="76"/>
      <c r="AJ1969" s="77"/>
      <c r="AK1969" s="77"/>
      <c r="AL1969" s="77"/>
      <c r="AM1969" s="77"/>
      <c r="AN1969" s="77"/>
      <c r="AO1969" s="77"/>
      <c r="AP1969" s="77"/>
      <c r="AQ1969" s="77"/>
      <c r="AR1969" s="77"/>
      <c r="AS1969" s="77"/>
      <c r="AT1969" s="82"/>
    </row>
    <row r="1970" spans="1:46" ht="12.5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3"/>
      <c r="Q1970" s="1"/>
      <c r="R1970" s="1"/>
      <c r="S1970" s="1"/>
      <c r="T1970" s="1"/>
      <c r="U1970" s="1"/>
      <c r="V1970" s="76"/>
      <c r="W1970" s="76"/>
      <c r="X1970" s="77"/>
      <c r="Y1970" s="77"/>
      <c r="Z1970" s="76"/>
      <c r="AA1970" s="76"/>
      <c r="AB1970" s="77"/>
      <c r="AC1970" s="77"/>
      <c r="AD1970" s="76"/>
      <c r="AE1970" s="76"/>
      <c r="AF1970" s="77"/>
      <c r="AG1970" s="77"/>
      <c r="AH1970" s="76"/>
      <c r="AI1970" s="76"/>
      <c r="AJ1970" s="77"/>
      <c r="AK1970" s="77"/>
      <c r="AL1970" s="77"/>
      <c r="AM1970" s="77"/>
      <c r="AN1970" s="77"/>
      <c r="AO1970" s="77"/>
      <c r="AP1970" s="77"/>
      <c r="AQ1970" s="77"/>
      <c r="AR1970" s="77"/>
      <c r="AS1970" s="77"/>
      <c r="AT1970" s="82"/>
    </row>
    <row r="1971" spans="1:46" ht="12.5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3"/>
      <c r="Q1971" s="1"/>
      <c r="R1971" s="1"/>
      <c r="S1971" s="1"/>
      <c r="T1971" s="1"/>
      <c r="U1971" s="1"/>
      <c r="V1971" s="76"/>
      <c r="W1971" s="76"/>
      <c r="X1971" s="77"/>
      <c r="Y1971" s="77"/>
      <c r="Z1971" s="76"/>
      <c r="AA1971" s="76"/>
      <c r="AB1971" s="77"/>
      <c r="AC1971" s="77"/>
      <c r="AD1971" s="76"/>
      <c r="AE1971" s="76"/>
      <c r="AF1971" s="77"/>
      <c r="AG1971" s="77"/>
      <c r="AH1971" s="76"/>
      <c r="AI1971" s="76"/>
      <c r="AJ1971" s="77"/>
      <c r="AK1971" s="77"/>
      <c r="AL1971" s="77"/>
      <c r="AM1971" s="77"/>
      <c r="AN1971" s="77"/>
      <c r="AO1971" s="77"/>
      <c r="AP1971" s="77"/>
      <c r="AQ1971" s="77"/>
      <c r="AR1971" s="77"/>
      <c r="AS1971" s="77"/>
      <c r="AT1971" s="82"/>
    </row>
    <row r="1972" spans="1:46" ht="12.5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3"/>
      <c r="Q1972" s="1"/>
      <c r="R1972" s="1"/>
      <c r="S1972" s="1"/>
      <c r="T1972" s="1"/>
      <c r="U1972" s="1"/>
      <c r="V1972" s="76"/>
      <c r="W1972" s="76"/>
      <c r="X1972" s="77"/>
      <c r="Y1972" s="77"/>
      <c r="Z1972" s="76"/>
      <c r="AA1972" s="76"/>
      <c r="AB1972" s="77"/>
      <c r="AC1972" s="77"/>
      <c r="AD1972" s="76"/>
      <c r="AE1972" s="76"/>
      <c r="AF1972" s="77"/>
      <c r="AG1972" s="77"/>
      <c r="AH1972" s="76"/>
      <c r="AI1972" s="76"/>
      <c r="AJ1972" s="77"/>
      <c r="AK1972" s="77"/>
      <c r="AL1972" s="77"/>
      <c r="AM1972" s="77"/>
      <c r="AN1972" s="77"/>
      <c r="AO1972" s="77"/>
      <c r="AP1972" s="77"/>
      <c r="AQ1972" s="77"/>
      <c r="AR1972" s="77"/>
      <c r="AS1972" s="77"/>
      <c r="AT1972" s="82"/>
    </row>
    <row r="1973" spans="1:46" ht="12.5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3"/>
      <c r="Q1973" s="1"/>
      <c r="R1973" s="1"/>
      <c r="S1973" s="1"/>
      <c r="T1973" s="1"/>
      <c r="U1973" s="1"/>
      <c r="V1973" s="76"/>
      <c r="W1973" s="76"/>
      <c r="X1973" s="77"/>
      <c r="Y1973" s="77"/>
      <c r="Z1973" s="76"/>
      <c r="AA1973" s="76"/>
      <c r="AB1973" s="77"/>
      <c r="AC1973" s="77"/>
      <c r="AD1973" s="76"/>
      <c r="AE1973" s="76"/>
      <c r="AF1973" s="77"/>
      <c r="AG1973" s="77"/>
      <c r="AH1973" s="76"/>
      <c r="AI1973" s="76"/>
      <c r="AJ1973" s="77"/>
      <c r="AK1973" s="77"/>
      <c r="AL1973" s="77"/>
      <c r="AM1973" s="77"/>
      <c r="AN1973" s="77"/>
      <c r="AO1973" s="77"/>
      <c r="AP1973" s="77"/>
      <c r="AQ1973" s="77"/>
      <c r="AR1973" s="77"/>
      <c r="AS1973" s="77"/>
      <c r="AT1973" s="82"/>
    </row>
    <row r="1974" spans="1:46" ht="12.5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3"/>
      <c r="Q1974" s="1"/>
      <c r="R1974" s="1"/>
      <c r="S1974" s="1"/>
      <c r="T1974" s="1"/>
      <c r="U1974" s="1"/>
      <c r="V1974" s="76"/>
      <c r="W1974" s="76"/>
      <c r="X1974" s="77"/>
      <c r="Y1974" s="77"/>
      <c r="Z1974" s="76"/>
      <c r="AA1974" s="76"/>
      <c r="AB1974" s="77"/>
      <c r="AC1974" s="77"/>
      <c r="AD1974" s="76"/>
      <c r="AE1974" s="76"/>
      <c r="AF1974" s="77"/>
      <c r="AG1974" s="77"/>
      <c r="AH1974" s="76"/>
      <c r="AI1974" s="76"/>
      <c r="AJ1974" s="77"/>
      <c r="AK1974" s="77"/>
      <c r="AL1974" s="77"/>
      <c r="AM1974" s="77"/>
      <c r="AN1974" s="77"/>
      <c r="AO1974" s="77"/>
      <c r="AP1974" s="77"/>
      <c r="AQ1974" s="77"/>
      <c r="AR1974" s="77"/>
      <c r="AS1974" s="77"/>
      <c r="AT1974" s="82"/>
    </row>
    <row r="1975" spans="1:46" ht="12.5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3"/>
      <c r="Q1975" s="1"/>
      <c r="R1975" s="1"/>
      <c r="S1975" s="1"/>
      <c r="T1975" s="1"/>
      <c r="U1975" s="1"/>
      <c r="V1975" s="76"/>
      <c r="W1975" s="76"/>
      <c r="X1975" s="77"/>
      <c r="Y1975" s="77"/>
      <c r="Z1975" s="76"/>
      <c r="AA1975" s="76"/>
      <c r="AB1975" s="77"/>
      <c r="AC1975" s="77"/>
      <c r="AD1975" s="76"/>
      <c r="AE1975" s="76"/>
      <c r="AF1975" s="77"/>
      <c r="AG1975" s="77"/>
      <c r="AH1975" s="76"/>
      <c r="AI1975" s="76"/>
      <c r="AJ1975" s="77"/>
      <c r="AK1975" s="77"/>
      <c r="AL1975" s="77"/>
      <c r="AM1975" s="77"/>
      <c r="AN1975" s="77"/>
      <c r="AO1975" s="77"/>
      <c r="AP1975" s="77"/>
      <c r="AQ1975" s="77"/>
      <c r="AR1975" s="77"/>
      <c r="AS1975" s="77"/>
      <c r="AT1975" s="82"/>
    </row>
    <row r="1976" spans="1:46" ht="12.5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3"/>
      <c r="Q1976" s="1"/>
      <c r="R1976" s="1"/>
      <c r="S1976" s="1"/>
      <c r="T1976" s="1"/>
      <c r="U1976" s="1"/>
      <c r="V1976" s="76"/>
      <c r="W1976" s="76"/>
      <c r="X1976" s="77"/>
      <c r="Y1976" s="77"/>
      <c r="Z1976" s="76"/>
      <c r="AA1976" s="76"/>
      <c r="AB1976" s="77"/>
      <c r="AC1976" s="77"/>
      <c r="AD1976" s="76"/>
      <c r="AE1976" s="76"/>
      <c r="AF1976" s="77"/>
      <c r="AG1976" s="77"/>
      <c r="AH1976" s="76"/>
      <c r="AI1976" s="76"/>
      <c r="AJ1976" s="77"/>
      <c r="AK1976" s="77"/>
      <c r="AL1976" s="77"/>
      <c r="AM1976" s="77"/>
      <c r="AN1976" s="77"/>
      <c r="AO1976" s="77"/>
      <c r="AP1976" s="77"/>
      <c r="AQ1976" s="77"/>
      <c r="AR1976" s="77"/>
      <c r="AS1976" s="77"/>
      <c r="AT1976" s="82"/>
    </row>
    <row r="1977" spans="1:46" ht="12.5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3"/>
      <c r="Q1977" s="1"/>
      <c r="R1977" s="1"/>
      <c r="S1977" s="1"/>
      <c r="T1977" s="1"/>
      <c r="U1977" s="1"/>
      <c r="V1977" s="76"/>
      <c r="W1977" s="76"/>
      <c r="X1977" s="77"/>
      <c r="Y1977" s="77"/>
      <c r="Z1977" s="76"/>
      <c r="AA1977" s="76"/>
      <c r="AB1977" s="77"/>
      <c r="AC1977" s="77"/>
      <c r="AD1977" s="76"/>
      <c r="AE1977" s="76"/>
      <c r="AF1977" s="77"/>
      <c r="AG1977" s="77"/>
      <c r="AH1977" s="76"/>
      <c r="AI1977" s="76"/>
      <c r="AJ1977" s="77"/>
      <c r="AK1977" s="77"/>
      <c r="AL1977" s="77"/>
      <c r="AM1977" s="77"/>
      <c r="AN1977" s="77"/>
      <c r="AO1977" s="77"/>
      <c r="AP1977" s="77"/>
      <c r="AQ1977" s="77"/>
      <c r="AR1977" s="77"/>
      <c r="AS1977" s="77"/>
      <c r="AT1977" s="82"/>
    </row>
    <row r="1978" spans="1:46" ht="12.5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3"/>
      <c r="Q1978" s="1"/>
      <c r="R1978" s="1"/>
      <c r="S1978" s="1"/>
      <c r="T1978" s="1"/>
      <c r="U1978" s="1"/>
      <c r="V1978" s="76"/>
      <c r="W1978" s="76"/>
      <c r="X1978" s="77"/>
      <c r="Y1978" s="77"/>
      <c r="Z1978" s="76"/>
      <c r="AA1978" s="76"/>
      <c r="AB1978" s="77"/>
      <c r="AC1978" s="77"/>
      <c r="AD1978" s="76"/>
      <c r="AE1978" s="76"/>
      <c r="AF1978" s="77"/>
      <c r="AG1978" s="77"/>
      <c r="AH1978" s="76"/>
      <c r="AI1978" s="76"/>
      <c r="AJ1978" s="77"/>
      <c r="AK1978" s="77"/>
      <c r="AL1978" s="77"/>
      <c r="AM1978" s="77"/>
      <c r="AN1978" s="77"/>
      <c r="AO1978" s="77"/>
      <c r="AP1978" s="77"/>
      <c r="AQ1978" s="77"/>
      <c r="AR1978" s="77"/>
      <c r="AS1978" s="77"/>
      <c r="AT1978" s="82"/>
    </row>
    <row r="1979" spans="1:46" ht="12.5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3"/>
      <c r="Q1979" s="1"/>
      <c r="R1979" s="1"/>
      <c r="S1979" s="1"/>
      <c r="T1979" s="1"/>
      <c r="U1979" s="1"/>
      <c r="V1979" s="76"/>
      <c r="W1979" s="76"/>
      <c r="X1979" s="77"/>
      <c r="Y1979" s="77"/>
      <c r="Z1979" s="76"/>
      <c r="AA1979" s="76"/>
      <c r="AB1979" s="77"/>
      <c r="AC1979" s="77"/>
      <c r="AD1979" s="76"/>
      <c r="AE1979" s="76"/>
      <c r="AF1979" s="77"/>
      <c r="AG1979" s="77"/>
      <c r="AH1979" s="76"/>
      <c r="AI1979" s="76"/>
      <c r="AJ1979" s="77"/>
      <c r="AK1979" s="77"/>
      <c r="AL1979" s="77"/>
      <c r="AM1979" s="77"/>
      <c r="AN1979" s="77"/>
      <c r="AO1979" s="77"/>
      <c r="AP1979" s="77"/>
      <c r="AQ1979" s="77"/>
      <c r="AR1979" s="77"/>
      <c r="AS1979" s="77"/>
      <c r="AT1979" s="82"/>
    </row>
    <row r="1980" spans="1:46" ht="12.5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3"/>
      <c r="Q1980" s="1"/>
      <c r="R1980" s="1"/>
      <c r="S1980" s="1"/>
      <c r="T1980" s="1"/>
      <c r="U1980" s="1"/>
      <c r="V1980" s="76"/>
      <c r="W1980" s="76"/>
      <c r="X1980" s="77"/>
      <c r="Y1980" s="77"/>
      <c r="Z1980" s="76"/>
      <c r="AA1980" s="76"/>
      <c r="AB1980" s="77"/>
      <c r="AC1980" s="77"/>
      <c r="AD1980" s="76"/>
      <c r="AE1980" s="76"/>
      <c r="AF1980" s="77"/>
      <c r="AG1980" s="77"/>
      <c r="AH1980" s="76"/>
      <c r="AI1980" s="76"/>
      <c r="AJ1980" s="77"/>
      <c r="AK1980" s="77"/>
      <c r="AL1980" s="77"/>
      <c r="AM1980" s="77"/>
      <c r="AN1980" s="77"/>
      <c r="AO1980" s="77"/>
      <c r="AP1980" s="77"/>
      <c r="AQ1980" s="77"/>
      <c r="AR1980" s="77"/>
      <c r="AS1980" s="77"/>
      <c r="AT1980" s="82"/>
    </row>
    <row r="1981" spans="1:46" ht="12.5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3"/>
      <c r="Q1981" s="1"/>
      <c r="R1981" s="1"/>
      <c r="S1981" s="1"/>
      <c r="T1981" s="1"/>
      <c r="U1981" s="1"/>
      <c r="V1981" s="76"/>
      <c r="W1981" s="76"/>
      <c r="X1981" s="77"/>
      <c r="Y1981" s="77"/>
      <c r="Z1981" s="76"/>
      <c r="AA1981" s="76"/>
      <c r="AB1981" s="77"/>
      <c r="AC1981" s="77"/>
      <c r="AD1981" s="76"/>
      <c r="AE1981" s="76"/>
      <c r="AF1981" s="77"/>
      <c r="AG1981" s="77"/>
      <c r="AH1981" s="76"/>
      <c r="AI1981" s="76"/>
      <c r="AJ1981" s="77"/>
      <c r="AK1981" s="77"/>
      <c r="AL1981" s="77"/>
      <c r="AM1981" s="77"/>
      <c r="AN1981" s="77"/>
      <c r="AO1981" s="77"/>
      <c r="AP1981" s="77"/>
      <c r="AQ1981" s="77"/>
      <c r="AR1981" s="77"/>
      <c r="AS1981" s="77"/>
      <c r="AT1981" s="82"/>
    </row>
    <row r="1982" spans="1:46" ht="12.5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3"/>
      <c r="Q1982" s="1"/>
      <c r="R1982" s="1"/>
      <c r="S1982" s="1"/>
      <c r="T1982" s="1"/>
      <c r="U1982" s="1"/>
      <c r="V1982" s="76"/>
      <c r="W1982" s="76"/>
      <c r="X1982" s="77"/>
      <c r="Y1982" s="77"/>
      <c r="Z1982" s="76"/>
      <c r="AA1982" s="76"/>
      <c r="AB1982" s="77"/>
      <c r="AC1982" s="77"/>
      <c r="AD1982" s="76"/>
      <c r="AE1982" s="76"/>
      <c r="AF1982" s="77"/>
      <c r="AG1982" s="77"/>
      <c r="AH1982" s="76"/>
      <c r="AI1982" s="76"/>
      <c r="AJ1982" s="77"/>
      <c r="AK1982" s="77"/>
      <c r="AL1982" s="77"/>
      <c r="AM1982" s="77"/>
      <c r="AN1982" s="77"/>
      <c r="AO1982" s="77"/>
      <c r="AP1982" s="77"/>
      <c r="AQ1982" s="77"/>
      <c r="AR1982" s="77"/>
      <c r="AS1982" s="77"/>
      <c r="AT1982" s="82"/>
    </row>
    <row r="1983" spans="1:46" ht="12.5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3"/>
      <c r="Q1983" s="1"/>
      <c r="R1983" s="1"/>
      <c r="S1983" s="1"/>
      <c r="T1983" s="1"/>
      <c r="U1983" s="1"/>
      <c r="V1983" s="76"/>
      <c r="W1983" s="76"/>
      <c r="X1983" s="77"/>
      <c r="Y1983" s="77"/>
      <c r="Z1983" s="76"/>
      <c r="AA1983" s="76"/>
      <c r="AB1983" s="77"/>
      <c r="AC1983" s="77"/>
      <c r="AD1983" s="76"/>
      <c r="AE1983" s="76"/>
      <c r="AF1983" s="77"/>
      <c r="AG1983" s="77"/>
      <c r="AH1983" s="76"/>
      <c r="AI1983" s="76"/>
      <c r="AJ1983" s="77"/>
      <c r="AK1983" s="77"/>
      <c r="AL1983" s="77"/>
      <c r="AM1983" s="77"/>
      <c r="AN1983" s="77"/>
      <c r="AO1983" s="77"/>
      <c r="AP1983" s="77"/>
      <c r="AQ1983" s="77"/>
      <c r="AR1983" s="77"/>
      <c r="AS1983" s="77"/>
      <c r="AT1983" s="82"/>
    </row>
    <row r="1984" spans="1:46" ht="12.5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3"/>
      <c r="Q1984" s="1"/>
      <c r="R1984" s="1"/>
      <c r="S1984" s="1"/>
      <c r="T1984" s="1"/>
      <c r="U1984" s="1"/>
      <c r="V1984" s="76"/>
      <c r="W1984" s="76"/>
      <c r="X1984" s="77"/>
      <c r="Y1984" s="77"/>
      <c r="Z1984" s="76"/>
      <c r="AA1984" s="76"/>
      <c r="AB1984" s="77"/>
      <c r="AC1984" s="77"/>
      <c r="AD1984" s="76"/>
      <c r="AE1984" s="76"/>
      <c r="AF1984" s="77"/>
      <c r="AG1984" s="77"/>
      <c r="AH1984" s="76"/>
      <c r="AI1984" s="76"/>
      <c r="AJ1984" s="77"/>
      <c r="AK1984" s="77"/>
      <c r="AL1984" s="77"/>
      <c r="AM1984" s="77"/>
      <c r="AN1984" s="77"/>
      <c r="AO1984" s="77"/>
      <c r="AP1984" s="77"/>
      <c r="AQ1984" s="77"/>
      <c r="AR1984" s="77"/>
      <c r="AS1984" s="77"/>
      <c r="AT1984" s="82"/>
    </row>
    <row r="1985" spans="1:46" ht="12.5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3"/>
      <c r="Q1985" s="1"/>
      <c r="R1985" s="1"/>
      <c r="S1985" s="1"/>
      <c r="T1985" s="1"/>
      <c r="U1985" s="1"/>
      <c r="V1985" s="76"/>
      <c r="W1985" s="76"/>
      <c r="X1985" s="77"/>
      <c r="Y1985" s="77"/>
      <c r="Z1985" s="76"/>
      <c r="AA1985" s="76"/>
      <c r="AB1985" s="77"/>
      <c r="AC1985" s="77"/>
      <c r="AD1985" s="76"/>
      <c r="AE1985" s="76"/>
      <c r="AF1985" s="77"/>
      <c r="AG1985" s="77"/>
      <c r="AH1985" s="76"/>
      <c r="AI1985" s="76"/>
      <c r="AJ1985" s="77"/>
      <c r="AK1985" s="77"/>
      <c r="AL1985" s="77"/>
      <c r="AM1985" s="77"/>
      <c r="AN1985" s="77"/>
      <c r="AO1985" s="77"/>
      <c r="AP1985" s="77"/>
      <c r="AQ1985" s="77"/>
      <c r="AR1985" s="77"/>
      <c r="AS1985" s="77"/>
      <c r="AT1985" s="82"/>
    </row>
    <row r="1986" spans="1:46" ht="12.5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3"/>
      <c r="Q1986" s="1"/>
      <c r="R1986" s="1"/>
      <c r="S1986" s="1"/>
      <c r="T1986" s="1"/>
      <c r="U1986" s="1"/>
      <c r="V1986" s="76"/>
      <c r="W1986" s="76"/>
      <c r="X1986" s="77"/>
      <c r="Y1986" s="77"/>
      <c r="Z1986" s="76"/>
      <c r="AA1986" s="76"/>
      <c r="AB1986" s="77"/>
      <c r="AC1986" s="77"/>
      <c r="AD1986" s="76"/>
      <c r="AE1986" s="76"/>
      <c r="AF1986" s="77"/>
      <c r="AG1986" s="77"/>
      <c r="AH1986" s="76"/>
      <c r="AI1986" s="76"/>
      <c r="AJ1986" s="77"/>
      <c r="AK1986" s="77"/>
      <c r="AL1986" s="77"/>
      <c r="AM1986" s="77"/>
      <c r="AN1986" s="77"/>
      <c r="AO1986" s="77"/>
      <c r="AP1986" s="77"/>
      <c r="AQ1986" s="77"/>
      <c r="AR1986" s="77"/>
      <c r="AS1986" s="77"/>
      <c r="AT1986" s="82"/>
    </row>
    <row r="1987" spans="1:46" ht="12.5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3"/>
      <c r="Q1987" s="1"/>
      <c r="R1987" s="1"/>
      <c r="S1987" s="1"/>
      <c r="T1987" s="1"/>
      <c r="U1987" s="1"/>
      <c r="V1987" s="76"/>
      <c r="W1987" s="76"/>
      <c r="X1987" s="77"/>
      <c r="Y1987" s="77"/>
      <c r="Z1987" s="76"/>
      <c r="AA1987" s="76"/>
      <c r="AB1987" s="77"/>
      <c r="AC1987" s="77"/>
      <c r="AD1987" s="76"/>
      <c r="AE1987" s="76"/>
      <c r="AF1987" s="77"/>
      <c r="AG1987" s="77"/>
      <c r="AH1987" s="76"/>
      <c r="AI1987" s="76"/>
      <c r="AJ1987" s="77"/>
      <c r="AK1987" s="77"/>
      <c r="AL1987" s="77"/>
      <c r="AM1987" s="77"/>
      <c r="AN1987" s="77"/>
      <c r="AO1987" s="77"/>
      <c r="AP1987" s="77"/>
      <c r="AQ1987" s="77"/>
      <c r="AR1987" s="77"/>
      <c r="AS1987" s="77"/>
      <c r="AT1987" s="82"/>
    </row>
    <row r="1988" spans="1:46" ht="12.5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3"/>
      <c r="Q1988" s="1"/>
      <c r="R1988" s="1"/>
      <c r="S1988" s="1"/>
      <c r="T1988" s="1"/>
      <c r="U1988" s="1"/>
      <c r="V1988" s="76"/>
      <c r="W1988" s="76"/>
      <c r="X1988" s="77"/>
      <c r="Y1988" s="77"/>
      <c r="Z1988" s="76"/>
      <c r="AA1988" s="76"/>
      <c r="AB1988" s="77"/>
      <c r="AC1988" s="77"/>
      <c r="AD1988" s="76"/>
      <c r="AE1988" s="76"/>
      <c r="AF1988" s="77"/>
      <c r="AG1988" s="77"/>
      <c r="AH1988" s="76"/>
      <c r="AI1988" s="76"/>
      <c r="AJ1988" s="77"/>
      <c r="AK1988" s="77"/>
      <c r="AL1988" s="77"/>
      <c r="AM1988" s="77"/>
      <c r="AN1988" s="77"/>
      <c r="AO1988" s="77"/>
      <c r="AP1988" s="77"/>
      <c r="AQ1988" s="77"/>
      <c r="AR1988" s="77"/>
      <c r="AS1988" s="77"/>
      <c r="AT1988" s="82"/>
    </row>
    <row r="1989" spans="1:46" ht="12.5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3"/>
      <c r="Q1989" s="1"/>
      <c r="R1989" s="1"/>
      <c r="S1989" s="1"/>
      <c r="T1989" s="1"/>
      <c r="U1989" s="1"/>
      <c r="V1989" s="76"/>
      <c r="W1989" s="76"/>
      <c r="X1989" s="77"/>
      <c r="Y1989" s="77"/>
      <c r="Z1989" s="76"/>
      <c r="AA1989" s="76"/>
      <c r="AB1989" s="77"/>
      <c r="AC1989" s="77"/>
      <c r="AD1989" s="76"/>
      <c r="AE1989" s="76"/>
      <c r="AF1989" s="77"/>
      <c r="AG1989" s="77"/>
      <c r="AH1989" s="76"/>
      <c r="AI1989" s="76"/>
      <c r="AJ1989" s="77"/>
      <c r="AK1989" s="77"/>
      <c r="AL1989" s="77"/>
      <c r="AM1989" s="77"/>
      <c r="AN1989" s="77"/>
      <c r="AO1989" s="77"/>
      <c r="AP1989" s="77"/>
      <c r="AQ1989" s="77"/>
      <c r="AR1989" s="77"/>
      <c r="AS1989" s="77"/>
      <c r="AT1989" s="82"/>
    </row>
    <row r="1990" spans="1:46" ht="12.5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3"/>
      <c r="Q1990" s="1"/>
      <c r="R1990" s="1"/>
      <c r="S1990" s="1"/>
      <c r="T1990" s="1"/>
      <c r="U1990" s="1"/>
      <c r="V1990" s="76"/>
      <c r="W1990" s="76"/>
      <c r="X1990" s="77"/>
      <c r="Y1990" s="77"/>
      <c r="Z1990" s="76"/>
      <c r="AA1990" s="76"/>
      <c r="AB1990" s="77"/>
      <c r="AC1990" s="77"/>
      <c r="AD1990" s="76"/>
      <c r="AE1990" s="76"/>
      <c r="AF1990" s="77"/>
      <c r="AG1990" s="77"/>
      <c r="AH1990" s="76"/>
      <c r="AI1990" s="76"/>
      <c r="AJ1990" s="77"/>
      <c r="AK1990" s="77"/>
      <c r="AL1990" s="77"/>
      <c r="AM1990" s="77"/>
      <c r="AN1990" s="77"/>
      <c r="AO1990" s="77"/>
      <c r="AP1990" s="77"/>
      <c r="AQ1990" s="77"/>
      <c r="AR1990" s="77"/>
      <c r="AS1990" s="77"/>
      <c r="AT1990" s="82"/>
    </row>
    <row r="1991" spans="1:46" ht="12.5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3"/>
      <c r="Q1991" s="1"/>
      <c r="R1991" s="1"/>
      <c r="S1991" s="1"/>
      <c r="T1991" s="1"/>
      <c r="U1991" s="1"/>
      <c r="V1991" s="76"/>
      <c r="W1991" s="76"/>
      <c r="X1991" s="77"/>
      <c r="Y1991" s="77"/>
      <c r="Z1991" s="76"/>
      <c r="AA1991" s="76"/>
      <c r="AB1991" s="77"/>
      <c r="AC1991" s="77"/>
      <c r="AD1991" s="76"/>
      <c r="AE1991" s="76"/>
      <c r="AF1991" s="77"/>
      <c r="AG1991" s="77"/>
      <c r="AH1991" s="76"/>
      <c r="AI1991" s="76"/>
      <c r="AJ1991" s="77"/>
      <c r="AK1991" s="77"/>
      <c r="AL1991" s="77"/>
      <c r="AM1991" s="77"/>
      <c r="AN1991" s="77"/>
      <c r="AO1991" s="77"/>
      <c r="AP1991" s="77"/>
      <c r="AQ1991" s="77"/>
      <c r="AR1991" s="77"/>
      <c r="AS1991" s="77"/>
      <c r="AT1991" s="82"/>
    </row>
    <row r="1992" spans="1:46" ht="12.5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3"/>
      <c r="Q1992" s="1"/>
      <c r="R1992" s="1"/>
      <c r="S1992" s="1"/>
      <c r="T1992" s="1"/>
      <c r="U1992" s="1"/>
      <c r="V1992" s="76"/>
      <c r="W1992" s="76"/>
      <c r="X1992" s="77"/>
      <c r="Y1992" s="77"/>
      <c r="Z1992" s="76"/>
      <c r="AA1992" s="76"/>
      <c r="AB1992" s="77"/>
      <c r="AC1992" s="77"/>
      <c r="AD1992" s="76"/>
      <c r="AE1992" s="76"/>
      <c r="AF1992" s="77"/>
      <c r="AG1992" s="77"/>
      <c r="AH1992" s="76"/>
      <c r="AI1992" s="76"/>
      <c r="AJ1992" s="77"/>
      <c r="AK1992" s="77"/>
      <c r="AL1992" s="77"/>
      <c r="AM1992" s="77"/>
      <c r="AN1992" s="77"/>
      <c r="AO1992" s="77"/>
      <c r="AP1992" s="77"/>
      <c r="AQ1992" s="77"/>
      <c r="AR1992" s="77"/>
      <c r="AS1992" s="77"/>
      <c r="AT1992" s="82"/>
    </row>
    <row r="1993" spans="1:46" ht="12.5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3"/>
      <c r="Q1993" s="1"/>
      <c r="R1993" s="1"/>
      <c r="S1993" s="1"/>
      <c r="T1993" s="1"/>
      <c r="U1993" s="1"/>
      <c r="V1993" s="76"/>
      <c r="W1993" s="76"/>
      <c r="X1993" s="77"/>
      <c r="Y1993" s="77"/>
      <c r="Z1993" s="76"/>
      <c r="AA1993" s="76"/>
      <c r="AB1993" s="77"/>
      <c r="AC1993" s="77"/>
      <c r="AD1993" s="76"/>
      <c r="AE1993" s="76"/>
      <c r="AF1993" s="77"/>
      <c r="AG1993" s="77"/>
      <c r="AH1993" s="76"/>
      <c r="AI1993" s="76"/>
      <c r="AJ1993" s="77"/>
      <c r="AK1993" s="77"/>
      <c r="AL1993" s="77"/>
      <c r="AM1993" s="77"/>
      <c r="AN1993" s="77"/>
      <c r="AO1993" s="77"/>
      <c r="AP1993" s="77"/>
      <c r="AQ1993" s="77"/>
      <c r="AR1993" s="77"/>
      <c r="AS1993" s="77"/>
      <c r="AT1993" s="82"/>
    </row>
    <row r="1994" spans="1:46" ht="12.5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3"/>
      <c r="Q1994" s="1"/>
      <c r="R1994" s="1"/>
      <c r="S1994" s="1"/>
      <c r="T1994" s="1"/>
      <c r="U1994" s="1"/>
      <c r="V1994" s="76"/>
      <c r="W1994" s="76"/>
      <c r="X1994" s="77"/>
      <c r="Y1994" s="77"/>
      <c r="Z1994" s="76"/>
      <c r="AA1994" s="76"/>
      <c r="AB1994" s="77"/>
      <c r="AC1994" s="77"/>
      <c r="AD1994" s="76"/>
      <c r="AE1994" s="76"/>
      <c r="AF1994" s="77"/>
      <c r="AG1994" s="77"/>
      <c r="AH1994" s="76"/>
      <c r="AI1994" s="76"/>
      <c r="AJ1994" s="77"/>
      <c r="AK1994" s="77"/>
      <c r="AL1994" s="77"/>
      <c r="AM1994" s="77"/>
      <c r="AN1994" s="77"/>
      <c r="AO1994" s="77"/>
      <c r="AP1994" s="77"/>
      <c r="AQ1994" s="77"/>
      <c r="AR1994" s="77"/>
      <c r="AS1994" s="77"/>
      <c r="AT1994" s="82"/>
    </row>
    <row r="1995" spans="1:46" ht="12.5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3"/>
      <c r="Q1995" s="1"/>
      <c r="R1995" s="1"/>
      <c r="S1995" s="1"/>
      <c r="T1995" s="1"/>
      <c r="U1995" s="1"/>
      <c r="V1995" s="76"/>
      <c r="W1995" s="76"/>
      <c r="X1995" s="77"/>
      <c r="Y1995" s="77"/>
      <c r="Z1995" s="76"/>
      <c r="AA1995" s="76"/>
      <c r="AB1995" s="77"/>
      <c r="AC1995" s="77"/>
      <c r="AD1995" s="76"/>
      <c r="AE1995" s="76"/>
      <c r="AF1995" s="77"/>
      <c r="AG1995" s="77"/>
      <c r="AH1995" s="76"/>
      <c r="AI1995" s="76"/>
      <c r="AJ1995" s="77"/>
      <c r="AK1995" s="77"/>
      <c r="AL1995" s="77"/>
      <c r="AM1995" s="77"/>
      <c r="AN1995" s="77"/>
      <c r="AO1995" s="77"/>
      <c r="AP1995" s="77"/>
      <c r="AQ1995" s="77"/>
      <c r="AR1995" s="77"/>
      <c r="AS1995" s="77"/>
      <c r="AT1995" s="82"/>
    </row>
    <row r="1996" spans="1:46" ht="12.5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3"/>
      <c r="Q1996" s="1"/>
      <c r="R1996" s="1"/>
      <c r="S1996" s="1"/>
      <c r="T1996" s="1"/>
      <c r="U1996" s="1"/>
      <c r="V1996" s="76"/>
      <c r="W1996" s="76"/>
      <c r="X1996" s="77"/>
      <c r="Y1996" s="77"/>
      <c r="Z1996" s="76"/>
      <c r="AA1996" s="76"/>
      <c r="AB1996" s="77"/>
      <c r="AC1996" s="77"/>
      <c r="AD1996" s="76"/>
      <c r="AE1996" s="76"/>
      <c r="AF1996" s="77"/>
      <c r="AG1996" s="77"/>
      <c r="AH1996" s="76"/>
      <c r="AI1996" s="76"/>
      <c r="AJ1996" s="77"/>
      <c r="AK1996" s="77"/>
      <c r="AL1996" s="77"/>
      <c r="AM1996" s="77"/>
      <c r="AN1996" s="77"/>
      <c r="AO1996" s="77"/>
      <c r="AP1996" s="77"/>
      <c r="AQ1996" s="77"/>
      <c r="AR1996" s="77"/>
      <c r="AS1996" s="77"/>
      <c r="AT1996" s="82"/>
    </row>
    <row r="1997" spans="1:46" ht="12.5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3"/>
      <c r="Q1997" s="1"/>
      <c r="R1997" s="1"/>
      <c r="S1997" s="1"/>
      <c r="T1997" s="1"/>
      <c r="U1997" s="1"/>
      <c r="V1997" s="76"/>
      <c r="W1997" s="76"/>
      <c r="X1997" s="77"/>
      <c r="Y1997" s="77"/>
      <c r="Z1997" s="76"/>
      <c r="AA1997" s="76"/>
      <c r="AB1997" s="77"/>
      <c r="AC1997" s="77"/>
      <c r="AD1997" s="76"/>
      <c r="AE1997" s="76"/>
      <c r="AF1997" s="77"/>
      <c r="AG1997" s="77"/>
      <c r="AH1997" s="76"/>
      <c r="AI1997" s="76"/>
      <c r="AJ1997" s="77"/>
      <c r="AK1997" s="77"/>
      <c r="AL1997" s="77"/>
      <c r="AM1997" s="77"/>
      <c r="AN1997" s="77"/>
      <c r="AO1997" s="77"/>
      <c r="AP1997" s="77"/>
      <c r="AQ1997" s="77"/>
      <c r="AR1997" s="77"/>
      <c r="AS1997" s="77"/>
      <c r="AT1997" s="82"/>
    </row>
    <row r="1998" spans="1:46" ht="12.5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3"/>
      <c r="Q1998" s="1"/>
      <c r="R1998" s="1"/>
      <c r="S1998" s="1"/>
      <c r="T1998" s="1"/>
      <c r="U1998" s="1"/>
      <c r="V1998" s="76"/>
      <c r="W1998" s="76"/>
      <c r="X1998" s="77"/>
      <c r="Y1998" s="77"/>
      <c r="Z1998" s="76"/>
      <c r="AA1998" s="76"/>
      <c r="AB1998" s="77"/>
      <c r="AC1998" s="77"/>
      <c r="AD1998" s="76"/>
      <c r="AE1998" s="76"/>
      <c r="AF1998" s="77"/>
      <c r="AG1998" s="77"/>
      <c r="AH1998" s="76"/>
      <c r="AI1998" s="76"/>
      <c r="AJ1998" s="77"/>
      <c r="AK1998" s="77"/>
      <c r="AL1998" s="77"/>
      <c r="AM1998" s="77"/>
      <c r="AN1998" s="77"/>
      <c r="AO1998" s="77"/>
      <c r="AP1998" s="77"/>
      <c r="AQ1998" s="77"/>
      <c r="AR1998" s="77"/>
      <c r="AS1998" s="77"/>
      <c r="AT1998" s="82"/>
    </row>
    <row r="1999" spans="1:46" ht="12.5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3"/>
      <c r="Q1999" s="1"/>
      <c r="R1999" s="1"/>
      <c r="S1999" s="1"/>
      <c r="T1999" s="1"/>
      <c r="U1999" s="1"/>
      <c r="V1999" s="76"/>
      <c r="W1999" s="76"/>
      <c r="X1999" s="77"/>
      <c r="Y1999" s="77"/>
      <c r="Z1999" s="76"/>
      <c r="AA1999" s="76"/>
      <c r="AB1999" s="77"/>
      <c r="AC1999" s="77"/>
      <c r="AD1999" s="76"/>
      <c r="AE1999" s="76"/>
      <c r="AF1999" s="77"/>
      <c r="AG1999" s="77"/>
      <c r="AH1999" s="76"/>
      <c r="AI1999" s="76"/>
      <c r="AJ1999" s="77"/>
      <c r="AK1999" s="77"/>
      <c r="AL1999" s="77"/>
      <c r="AM1999" s="77"/>
      <c r="AN1999" s="77"/>
      <c r="AO1999" s="77"/>
      <c r="AP1999" s="77"/>
      <c r="AQ1999" s="77"/>
      <c r="AR1999" s="77"/>
      <c r="AS1999" s="77"/>
      <c r="AT1999" s="82"/>
    </row>
    <row r="2000" spans="1:46" ht="12.5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3"/>
      <c r="Q2000" s="1"/>
      <c r="R2000" s="1"/>
      <c r="S2000" s="1"/>
      <c r="T2000" s="1"/>
      <c r="U2000" s="1"/>
      <c r="V2000" s="76"/>
      <c r="W2000" s="76"/>
      <c r="X2000" s="77"/>
      <c r="Y2000" s="77"/>
      <c r="Z2000" s="76"/>
      <c r="AA2000" s="76"/>
      <c r="AB2000" s="77"/>
      <c r="AC2000" s="77"/>
      <c r="AD2000" s="76"/>
      <c r="AE2000" s="76"/>
      <c r="AF2000" s="77"/>
      <c r="AG2000" s="77"/>
      <c r="AH2000" s="76"/>
      <c r="AI2000" s="76"/>
      <c r="AJ2000" s="77"/>
      <c r="AK2000" s="77"/>
      <c r="AL2000" s="77"/>
      <c r="AM2000" s="77"/>
      <c r="AN2000" s="77"/>
      <c r="AO2000" s="77"/>
      <c r="AP2000" s="77"/>
      <c r="AQ2000" s="77"/>
      <c r="AR2000" s="77"/>
      <c r="AS2000" s="77"/>
      <c r="AT2000" s="82"/>
    </row>
    <row r="2001" spans="1:46" ht="12.5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3"/>
      <c r="Q2001" s="1"/>
      <c r="R2001" s="1"/>
      <c r="S2001" s="1"/>
      <c r="T2001" s="1"/>
      <c r="U2001" s="1"/>
      <c r="V2001" s="76"/>
      <c r="W2001" s="76"/>
      <c r="X2001" s="77"/>
      <c r="Y2001" s="77"/>
      <c r="Z2001" s="76"/>
      <c r="AA2001" s="76"/>
      <c r="AB2001" s="77"/>
      <c r="AC2001" s="77"/>
      <c r="AD2001" s="76"/>
      <c r="AE2001" s="76"/>
      <c r="AF2001" s="77"/>
      <c r="AG2001" s="77"/>
      <c r="AH2001" s="76"/>
      <c r="AI2001" s="76"/>
      <c r="AJ2001" s="77"/>
      <c r="AK2001" s="77"/>
      <c r="AL2001" s="77"/>
      <c r="AM2001" s="77"/>
      <c r="AN2001" s="77"/>
      <c r="AO2001" s="77"/>
      <c r="AP2001" s="77"/>
      <c r="AQ2001" s="77"/>
      <c r="AR2001" s="77"/>
      <c r="AS2001" s="77"/>
      <c r="AT2001" s="82"/>
    </row>
    <row r="2002" spans="1:46" ht="12.5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3"/>
      <c r="Q2002" s="1"/>
      <c r="R2002" s="1"/>
      <c r="S2002" s="1"/>
      <c r="T2002" s="1"/>
      <c r="U2002" s="1"/>
      <c r="V2002" s="76"/>
      <c r="W2002" s="76"/>
      <c r="X2002" s="77"/>
      <c r="Y2002" s="77"/>
      <c r="Z2002" s="76"/>
      <c r="AA2002" s="76"/>
      <c r="AB2002" s="77"/>
      <c r="AC2002" s="77"/>
      <c r="AD2002" s="76"/>
      <c r="AE2002" s="76"/>
      <c r="AF2002" s="77"/>
      <c r="AG2002" s="77"/>
      <c r="AH2002" s="76"/>
      <c r="AI2002" s="76"/>
      <c r="AJ2002" s="77"/>
      <c r="AK2002" s="77"/>
      <c r="AL2002" s="77"/>
      <c r="AM2002" s="77"/>
      <c r="AN2002" s="77"/>
      <c r="AO2002" s="77"/>
      <c r="AP2002" s="77"/>
      <c r="AQ2002" s="77"/>
      <c r="AR2002" s="77"/>
      <c r="AS2002" s="77"/>
      <c r="AT2002" s="82"/>
    </row>
    <row r="2003" spans="1:46" ht="12.5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3"/>
      <c r="Q2003" s="1"/>
      <c r="R2003" s="1"/>
      <c r="S2003" s="1"/>
      <c r="T2003" s="1"/>
      <c r="U2003" s="1"/>
      <c r="V2003" s="76"/>
      <c r="W2003" s="76"/>
      <c r="X2003" s="77"/>
      <c r="Y2003" s="77"/>
      <c r="Z2003" s="76"/>
      <c r="AA2003" s="76"/>
      <c r="AB2003" s="77"/>
      <c r="AC2003" s="77"/>
      <c r="AD2003" s="76"/>
      <c r="AE2003" s="76"/>
      <c r="AF2003" s="77"/>
      <c r="AG2003" s="77"/>
      <c r="AH2003" s="76"/>
      <c r="AI2003" s="76"/>
      <c r="AJ2003" s="77"/>
      <c r="AK2003" s="77"/>
      <c r="AL2003" s="77"/>
      <c r="AM2003" s="77"/>
      <c r="AN2003" s="77"/>
      <c r="AO2003" s="77"/>
      <c r="AP2003" s="77"/>
      <c r="AQ2003" s="77"/>
      <c r="AR2003" s="77"/>
      <c r="AS2003" s="77"/>
      <c r="AT2003" s="82"/>
    </row>
    <row r="2004" spans="1:46" ht="12.5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3"/>
      <c r="Q2004" s="1"/>
      <c r="R2004" s="1"/>
      <c r="S2004" s="1"/>
      <c r="T2004" s="1"/>
      <c r="U2004" s="1"/>
      <c r="V2004" s="76"/>
      <c r="W2004" s="76"/>
      <c r="X2004" s="77"/>
      <c r="Y2004" s="77"/>
      <c r="Z2004" s="76"/>
      <c r="AA2004" s="76"/>
      <c r="AB2004" s="77"/>
      <c r="AC2004" s="77"/>
      <c r="AD2004" s="76"/>
      <c r="AE2004" s="76"/>
      <c r="AF2004" s="77"/>
      <c r="AG2004" s="77"/>
      <c r="AH2004" s="76"/>
      <c r="AI2004" s="76"/>
      <c r="AJ2004" s="77"/>
      <c r="AK2004" s="77"/>
      <c r="AL2004" s="77"/>
      <c r="AM2004" s="77"/>
      <c r="AN2004" s="77"/>
      <c r="AO2004" s="77"/>
      <c r="AP2004" s="77"/>
      <c r="AQ2004" s="77"/>
      <c r="AR2004" s="77"/>
      <c r="AS2004" s="77"/>
      <c r="AT2004" s="82"/>
    </row>
    <row r="2005" spans="1:46" ht="12.5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3"/>
      <c r="Q2005" s="1"/>
      <c r="R2005" s="1"/>
      <c r="S2005" s="1"/>
      <c r="T2005" s="1"/>
      <c r="U2005" s="1"/>
      <c r="V2005" s="76"/>
      <c r="W2005" s="76"/>
      <c r="X2005" s="77"/>
      <c r="Y2005" s="77"/>
      <c r="Z2005" s="76"/>
      <c r="AA2005" s="76"/>
      <c r="AB2005" s="77"/>
      <c r="AC2005" s="77"/>
      <c r="AD2005" s="76"/>
      <c r="AE2005" s="76"/>
      <c r="AF2005" s="77"/>
      <c r="AG2005" s="77"/>
      <c r="AH2005" s="76"/>
      <c r="AI2005" s="76"/>
      <c r="AJ2005" s="77"/>
      <c r="AK2005" s="77"/>
      <c r="AL2005" s="77"/>
      <c r="AM2005" s="77"/>
      <c r="AN2005" s="77"/>
      <c r="AO2005" s="77"/>
      <c r="AP2005" s="77"/>
      <c r="AQ2005" s="77"/>
      <c r="AR2005" s="77"/>
      <c r="AS2005" s="77"/>
      <c r="AT2005" s="82"/>
    </row>
    <row r="2006" spans="1:46" ht="12.5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3"/>
      <c r="Q2006" s="1"/>
      <c r="R2006" s="1"/>
      <c r="S2006" s="1"/>
      <c r="T2006" s="1"/>
      <c r="U2006" s="1"/>
      <c r="V2006" s="76"/>
      <c r="W2006" s="76"/>
      <c r="X2006" s="77"/>
      <c r="Y2006" s="77"/>
      <c r="Z2006" s="76"/>
      <c r="AA2006" s="76"/>
      <c r="AB2006" s="77"/>
      <c r="AC2006" s="77"/>
      <c r="AD2006" s="76"/>
      <c r="AE2006" s="76"/>
      <c r="AF2006" s="77"/>
      <c r="AG2006" s="77"/>
      <c r="AH2006" s="76"/>
      <c r="AI2006" s="76"/>
      <c r="AJ2006" s="77"/>
      <c r="AK2006" s="77"/>
      <c r="AL2006" s="77"/>
      <c r="AM2006" s="77"/>
      <c r="AN2006" s="77"/>
      <c r="AO2006" s="77"/>
      <c r="AP2006" s="77"/>
      <c r="AQ2006" s="77"/>
      <c r="AR2006" s="77"/>
      <c r="AS2006" s="77"/>
      <c r="AT2006" s="82"/>
    </row>
    <row r="2007" spans="1:46" ht="12.5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3"/>
      <c r="Q2007" s="1"/>
      <c r="R2007" s="1"/>
      <c r="S2007" s="1"/>
      <c r="T2007" s="1"/>
      <c r="U2007" s="1"/>
      <c r="V2007" s="76"/>
      <c r="W2007" s="76"/>
      <c r="X2007" s="77"/>
      <c r="Y2007" s="77"/>
      <c r="Z2007" s="76"/>
      <c r="AA2007" s="76"/>
      <c r="AB2007" s="77"/>
      <c r="AC2007" s="77"/>
      <c r="AD2007" s="76"/>
      <c r="AE2007" s="76"/>
      <c r="AF2007" s="77"/>
      <c r="AG2007" s="77"/>
      <c r="AH2007" s="76"/>
      <c r="AI2007" s="76"/>
      <c r="AJ2007" s="77"/>
      <c r="AK2007" s="77"/>
      <c r="AL2007" s="77"/>
      <c r="AM2007" s="77"/>
      <c r="AN2007" s="77"/>
      <c r="AO2007" s="77"/>
      <c r="AP2007" s="77"/>
      <c r="AQ2007" s="77"/>
      <c r="AR2007" s="77"/>
      <c r="AS2007" s="77"/>
      <c r="AT2007" s="82"/>
    </row>
    <row r="2008" spans="1:46" ht="12.5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3"/>
      <c r="Q2008" s="1"/>
      <c r="R2008" s="1"/>
      <c r="S2008" s="1"/>
      <c r="T2008" s="1"/>
      <c r="U2008" s="1"/>
      <c r="V2008" s="76"/>
      <c r="W2008" s="76"/>
      <c r="X2008" s="77"/>
      <c r="Y2008" s="77"/>
      <c r="Z2008" s="76"/>
      <c r="AA2008" s="76"/>
      <c r="AB2008" s="77"/>
      <c r="AC2008" s="77"/>
      <c r="AD2008" s="76"/>
      <c r="AE2008" s="76"/>
      <c r="AF2008" s="77"/>
      <c r="AG2008" s="77"/>
      <c r="AH2008" s="76"/>
      <c r="AI2008" s="76"/>
      <c r="AJ2008" s="77"/>
      <c r="AK2008" s="77"/>
      <c r="AL2008" s="77"/>
      <c r="AM2008" s="77"/>
      <c r="AN2008" s="77"/>
      <c r="AO2008" s="77"/>
      <c r="AP2008" s="77"/>
      <c r="AQ2008" s="77"/>
      <c r="AR2008" s="77"/>
      <c r="AS2008" s="77"/>
      <c r="AT2008" s="82"/>
    </row>
    <row r="2009" spans="1:46" ht="12.5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3"/>
      <c r="Q2009" s="1"/>
      <c r="R2009" s="1"/>
      <c r="S2009" s="1"/>
      <c r="T2009" s="1"/>
      <c r="U2009" s="1"/>
      <c r="V2009" s="76"/>
      <c r="W2009" s="76"/>
      <c r="X2009" s="77"/>
      <c r="Y2009" s="77"/>
      <c r="Z2009" s="76"/>
      <c r="AA2009" s="76"/>
      <c r="AB2009" s="77"/>
      <c r="AC2009" s="77"/>
      <c r="AD2009" s="76"/>
      <c r="AE2009" s="76"/>
      <c r="AF2009" s="77"/>
      <c r="AG2009" s="77"/>
      <c r="AH2009" s="76"/>
      <c r="AI2009" s="76"/>
      <c r="AJ2009" s="77"/>
      <c r="AK2009" s="77"/>
      <c r="AL2009" s="77"/>
      <c r="AM2009" s="77"/>
      <c r="AN2009" s="77"/>
      <c r="AO2009" s="77"/>
      <c r="AP2009" s="77"/>
      <c r="AQ2009" s="77"/>
      <c r="AR2009" s="77"/>
      <c r="AS2009" s="77"/>
      <c r="AT2009" s="82"/>
    </row>
    <row r="2010" spans="1:46" ht="12.5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3"/>
      <c r="Q2010" s="1"/>
      <c r="R2010" s="1"/>
      <c r="S2010" s="1"/>
      <c r="T2010" s="1"/>
      <c r="U2010" s="1"/>
      <c r="V2010" s="76"/>
      <c r="W2010" s="76"/>
      <c r="X2010" s="77"/>
      <c r="Y2010" s="77"/>
      <c r="Z2010" s="76"/>
      <c r="AA2010" s="76"/>
      <c r="AB2010" s="77"/>
      <c r="AC2010" s="77"/>
      <c r="AD2010" s="76"/>
      <c r="AE2010" s="76"/>
      <c r="AF2010" s="77"/>
      <c r="AG2010" s="77"/>
      <c r="AH2010" s="76"/>
      <c r="AI2010" s="76"/>
      <c r="AJ2010" s="77"/>
      <c r="AK2010" s="77"/>
      <c r="AL2010" s="77"/>
      <c r="AM2010" s="77"/>
      <c r="AN2010" s="77"/>
      <c r="AO2010" s="77"/>
      <c r="AP2010" s="77"/>
      <c r="AQ2010" s="77"/>
      <c r="AR2010" s="77"/>
      <c r="AS2010" s="77"/>
      <c r="AT2010" s="82"/>
    </row>
    <row r="2011" spans="1:46" ht="12.5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3"/>
      <c r="Q2011" s="1"/>
      <c r="R2011" s="1"/>
      <c r="S2011" s="1"/>
      <c r="T2011" s="1"/>
      <c r="U2011" s="1"/>
      <c r="V2011" s="76"/>
      <c r="W2011" s="76"/>
      <c r="X2011" s="77"/>
      <c r="Y2011" s="77"/>
      <c r="Z2011" s="76"/>
      <c r="AA2011" s="76"/>
      <c r="AB2011" s="77"/>
      <c r="AC2011" s="77"/>
      <c r="AD2011" s="76"/>
      <c r="AE2011" s="76"/>
      <c r="AF2011" s="77"/>
      <c r="AG2011" s="77"/>
      <c r="AH2011" s="76"/>
      <c r="AI2011" s="76"/>
      <c r="AJ2011" s="77"/>
      <c r="AK2011" s="77"/>
      <c r="AL2011" s="77"/>
      <c r="AM2011" s="77"/>
      <c r="AN2011" s="77"/>
      <c r="AO2011" s="77"/>
      <c r="AP2011" s="77"/>
      <c r="AQ2011" s="77"/>
      <c r="AR2011" s="77"/>
      <c r="AS2011" s="77"/>
      <c r="AT2011" s="82"/>
    </row>
    <row r="2012" spans="1:46" ht="12.5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3"/>
      <c r="Q2012" s="1"/>
      <c r="R2012" s="1"/>
      <c r="S2012" s="1"/>
      <c r="T2012" s="1"/>
      <c r="U2012" s="1"/>
      <c r="V2012" s="76"/>
      <c r="W2012" s="76"/>
      <c r="X2012" s="77"/>
      <c r="Y2012" s="77"/>
      <c r="Z2012" s="76"/>
      <c r="AA2012" s="76"/>
      <c r="AB2012" s="77"/>
      <c r="AC2012" s="77"/>
      <c r="AD2012" s="76"/>
      <c r="AE2012" s="76"/>
      <c r="AF2012" s="77"/>
      <c r="AG2012" s="77"/>
      <c r="AH2012" s="76"/>
      <c r="AI2012" s="76"/>
      <c r="AJ2012" s="77"/>
      <c r="AK2012" s="77"/>
      <c r="AL2012" s="77"/>
      <c r="AM2012" s="77"/>
      <c r="AN2012" s="77"/>
      <c r="AO2012" s="77"/>
      <c r="AP2012" s="77"/>
      <c r="AQ2012" s="77"/>
      <c r="AR2012" s="77"/>
      <c r="AS2012" s="77"/>
      <c r="AT2012" s="82"/>
    </row>
    <row r="2013" spans="1:46" ht="12.5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3"/>
      <c r="Q2013" s="1"/>
      <c r="R2013" s="1"/>
      <c r="S2013" s="1"/>
      <c r="T2013" s="1"/>
      <c r="U2013" s="1"/>
      <c r="V2013" s="76"/>
      <c r="W2013" s="76"/>
      <c r="X2013" s="77"/>
      <c r="Y2013" s="77"/>
      <c r="Z2013" s="76"/>
      <c r="AA2013" s="76"/>
      <c r="AB2013" s="77"/>
      <c r="AC2013" s="77"/>
      <c r="AD2013" s="76"/>
      <c r="AE2013" s="76"/>
      <c r="AF2013" s="77"/>
      <c r="AG2013" s="77"/>
      <c r="AH2013" s="76"/>
      <c r="AI2013" s="76"/>
      <c r="AJ2013" s="77"/>
      <c r="AK2013" s="77"/>
      <c r="AL2013" s="77"/>
      <c r="AM2013" s="77"/>
      <c r="AN2013" s="77"/>
      <c r="AO2013" s="77"/>
      <c r="AP2013" s="77"/>
      <c r="AQ2013" s="77"/>
      <c r="AR2013" s="77"/>
      <c r="AS2013" s="77"/>
      <c r="AT2013" s="82"/>
    </row>
    <row r="2014" spans="1:46" ht="12.5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3"/>
      <c r="Q2014" s="1"/>
      <c r="R2014" s="1"/>
      <c r="S2014" s="1"/>
      <c r="T2014" s="1"/>
      <c r="U2014" s="1"/>
      <c r="V2014" s="76"/>
      <c r="W2014" s="76"/>
      <c r="X2014" s="77"/>
      <c r="Y2014" s="77"/>
      <c r="Z2014" s="76"/>
      <c r="AA2014" s="76"/>
      <c r="AB2014" s="77"/>
      <c r="AC2014" s="77"/>
      <c r="AD2014" s="76"/>
      <c r="AE2014" s="76"/>
      <c r="AF2014" s="77"/>
      <c r="AG2014" s="77"/>
      <c r="AH2014" s="76"/>
      <c r="AI2014" s="76"/>
      <c r="AJ2014" s="77"/>
      <c r="AK2014" s="77"/>
      <c r="AL2014" s="77"/>
      <c r="AM2014" s="77"/>
      <c r="AN2014" s="77"/>
      <c r="AO2014" s="77"/>
      <c r="AP2014" s="77"/>
      <c r="AQ2014" s="77"/>
      <c r="AR2014" s="77"/>
      <c r="AS2014" s="77"/>
      <c r="AT2014" s="82"/>
    </row>
    <row r="2015" spans="1:46" ht="12.5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3"/>
      <c r="Q2015" s="1"/>
      <c r="R2015" s="1"/>
      <c r="S2015" s="1"/>
      <c r="T2015" s="1"/>
      <c r="U2015" s="1"/>
      <c r="V2015" s="76"/>
      <c r="W2015" s="76"/>
      <c r="X2015" s="77"/>
      <c r="Y2015" s="77"/>
      <c r="Z2015" s="76"/>
      <c r="AA2015" s="76"/>
      <c r="AB2015" s="77"/>
      <c r="AC2015" s="77"/>
      <c r="AD2015" s="76"/>
      <c r="AE2015" s="76"/>
      <c r="AF2015" s="77"/>
      <c r="AG2015" s="77"/>
      <c r="AH2015" s="76"/>
      <c r="AI2015" s="76"/>
      <c r="AJ2015" s="77"/>
      <c r="AK2015" s="77"/>
      <c r="AL2015" s="77"/>
      <c r="AM2015" s="77"/>
      <c r="AN2015" s="77"/>
      <c r="AO2015" s="77"/>
      <c r="AP2015" s="77"/>
      <c r="AQ2015" s="77"/>
      <c r="AR2015" s="77"/>
      <c r="AS2015" s="77"/>
      <c r="AT2015" s="82"/>
    </row>
    <row r="2016" spans="1:46" ht="12.5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3"/>
      <c r="Q2016" s="1"/>
      <c r="R2016" s="1"/>
      <c r="S2016" s="1"/>
      <c r="T2016" s="1"/>
      <c r="U2016" s="1"/>
      <c r="V2016" s="76"/>
      <c r="W2016" s="76"/>
      <c r="X2016" s="77"/>
      <c r="Y2016" s="77"/>
      <c r="Z2016" s="76"/>
      <c r="AA2016" s="76"/>
      <c r="AB2016" s="77"/>
      <c r="AC2016" s="77"/>
      <c r="AD2016" s="76"/>
      <c r="AE2016" s="76"/>
      <c r="AF2016" s="77"/>
      <c r="AG2016" s="77"/>
      <c r="AH2016" s="76"/>
      <c r="AI2016" s="76"/>
      <c r="AJ2016" s="77"/>
      <c r="AK2016" s="77"/>
      <c r="AL2016" s="77"/>
      <c r="AM2016" s="77"/>
      <c r="AN2016" s="77"/>
      <c r="AO2016" s="77"/>
      <c r="AP2016" s="77"/>
      <c r="AQ2016" s="77"/>
      <c r="AR2016" s="77"/>
      <c r="AS2016" s="77"/>
      <c r="AT2016" s="82"/>
    </row>
    <row r="2017" spans="1:46" ht="12.5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3"/>
      <c r="Q2017" s="1"/>
      <c r="R2017" s="1"/>
      <c r="S2017" s="1"/>
      <c r="T2017" s="1"/>
      <c r="U2017" s="1"/>
      <c r="V2017" s="76"/>
      <c r="W2017" s="76"/>
      <c r="X2017" s="77"/>
      <c r="Y2017" s="77"/>
      <c r="Z2017" s="76"/>
      <c r="AA2017" s="76"/>
      <c r="AB2017" s="77"/>
      <c r="AC2017" s="77"/>
      <c r="AD2017" s="76"/>
      <c r="AE2017" s="76"/>
      <c r="AF2017" s="77"/>
      <c r="AG2017" s="77"/>
      <c r="AH2017" s="76"/>
      <c r="AI2017" s="76"/>
      <c r="AJ2017" s="77"/>
      <c r="AK2017" s="77"/>
      <c r="AL2017" s="77"/>
      <c r="AM2017" s="77"/>
      <c r="AN2017" s="77"/>
      <c r="AO2017" s="77"/>
      <c r="AP2017" s="77"/>
      <c r="AQ2017" s="77"/>
      <c r="AR2017" s="77"/>
      <c r="AS2017" s="77"/>
      <c r="AT2017" s="82"/>
    </row>
    <row r="2018" spans="1:46" ht="12.5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3"/>
      <c r="Q2018" s="1"/>
      <c r="R2018" s="1"/>
      <c r="S2018" s="1"/>
      <c r="T2018" s="1"/>
      <c r="U2018" s="1"/>
      <c r="V2018" s="76"/>
      <c r="W2018" s="76"/>
      <c r="X2018" s="77"/>
      <c r="Y2018" s="77"/>
      <c r="Z2018" s="76"/>
      <c r="AA2018" s="76"/>
      <c r="AB2018" s="77"/>
      <c r="AC2018" s="77"/>
      <c r="AD2018" s="76"/>
      <c r="AE2018" s="76"/>
      <c r="AF2018" s="77"/>
      <c r="AG2018" s="77"/>
      <c r="AH2018" s="76"/>
      <c r="AI2018" s="76"/>
      <c r="AJ2018" s="77"/>
      <c r="AK2018" s="77"/>
      <c r="AL2018" s="77"/>
      <c r="AM2018" s="77"/>
      <c r="AN2018" s="77"/>
      <c r="AO2018" s="77"/>
      <c r="AP2018" s="77"/>
      <c r="AQ2018" s="77"/>
      <c r="AR2018" s="77"/>
      <c r="AS2018" s="77"/>
      <c r="AT2018" s="82"/>
    </row>
    <row r="2019" spans="1:46" ht="12.5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3"/>
      <c r="Q2019" s="1"/>
      <c r="R2019" s="1"/>
      <c r="S2019" s="1"/>
      <c r="T2019" s="1"/>
      <c r="U2019" s="1"/>
      <c r="V2019" s="76"/>
      <c r="W2019" s="76"/>
      <c r="X2019" s="77"/>
      <c r="Y2019" s="77"/>
      <c r="Z2019" s="76"/>
      <c r="AA2019" s="76"/>
      <c r="AB2019" s="77"/>
      <c r="AC2019" s="77"/>
      <c r="AD2019" s="76"/>
      <c r="AE2019" s="76"/>
      <c r="AF2019" s="77"/>
      <c r="AG2019" s="77"/>
      <c r="AH2019" s="76"/>
      <c r="AI2019" s="76"/>
      <c r="AJ2019" s="77"/>
      <c r="AK2019" s="77"/>
      <c r="AL2019" s="77"/>
      <c r="AM2019" s="77"/>
      <c r="AN2019" s="77"/>
      <c r="AO2019" s="77"/>
      <c r="AP2019" s="77"/>
      <c r="AQ2019" s="77"/>
      <c r="AR2019" s="77"/>
      <c r="AS2019" s="77"/>
      <c r="AT2019" s="82"/>
    </row>
    <row r="2020" spans="1:46" ht="12.5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3"/>
      <c r="Q2020" s="1"/>
      <c r="R2020" s="1"/>
      <c r="S2020" s="1"/>
      <c r="T2020" s="1"/>
      <c r="U2020" s="1"/>
      <c r="V2020" s="76"/>
      <c r="W2020" s="76"/>
      <c r="X2020" s="77"/>
      <c r="Y2020" s="77"/>
      <c r="Z2020" s="76"/>
      <c r="AA2020" s="76"/>
      <c r="AB2020" s="77"/>
      <c r="AC2020" s="77"/>
      <c r="AD2020" s="76"/>
      <c r="AE2020" s="76"/>
      <c r="AF2020" s="77"/>
      <c r="AG2020" s="77"/>
      <c r="AH2020" s="76"/>
      <c r="AI2020" s="76"/>
      <c r="AJ2020" s="77"/>
      <c r="AK2020" s="77"/>
      <c r="AL2020" s="77"/>
      <c r="AM2020" s="77"/>
      <c r="AN2020" s="77"/>
      <c r="AO2020" s="77"/>
      <c r="AP2020" s="77"/>
      <c r="AQ2020" s="77"/>
      <c r="AR2020" s="77"/>
      <c r="AS2020" s="77"/>
      <c r="AT2020" s="82"/>
    </row>
    <row r="2021" spans="1:46" ht="12.5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3"/>
      <c r="Q2021" s="1"/>
      <c r="R2021" s="1"/>
      <c r="S2021" s="1"/>
      <c r="T2021" s="1"/>
      <c r="U2021" s="1"/>
      <c r="V2021" s="76"/>
      <c r="W2021" s="76"/>
      <c r="X2021" s="77"/>
      <c r="Y2021" s="77"/>
      <c r="Z2021" s="76"/>
      <c r="AA2021" s="76"/>
      <c r="AB2021" s="77"/>
      <c r="AC2021" s="77"/>
      <c r="AD2021" s="76"/>
      <c r="AE2021" s="76"/>
      <c r="AF2021" s="77"/>
      <c r="AG2021" s="77"/>
      <c r="AH2021" s="76"/>
      <c r="AI2021" s="76"/>
      <c r="AJ2021" s="77"/>
      <c r="AK2021" s="77"/>
      <c r="AL2021" s="77"/>
      <c r="AM2021" s="77"/>
      <c r="AN2021" s="77"/>
      <c r="AO2021" s="77"/>
      <c r="AP2021" s="77"/>
      <c r="AQ2021" s="77"/>
      <c r="AR2021" s="77"/>
      <c r="AS2021" s="77"/>
      <c r="AT2021" s="82"/>
    </row>
    <row r="2022" spans="1:46" ht="12.5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3"/>
      <c r="Q2022" s="1"/>
      <c r="R2022" s="1"/>
      <c r="S2022" s="1"/>
      <c r="T2022" s="1"/>
      <c r="U2022" s="1"/>
      <c r="V2022" s="76"/>
      <c r="W2022" s="76"/>
      <c r="X2022" s="77"/>
      <c r="Y2022" s="77"/>
      <c r="Z2022" s="76"/>
      <c r="AA2022" s="76"/>
      <c r="AB2022" s="77"/>
      <c r="AC2022" s="77"/>
      <c r="AD2022" s="76"/>
      <c r="AE2022" s="76"/>
      <c r="AF2022" s="77"/>
      <c r="AG2022" s="77"/>
      <c r="AH2022" s="76"/>
      <c r="AI2022" s="76"/>
      <c r="AJ2022" s="77"/>
      <c r="AK2022" s="77"/>
      <c r="AL2022" s="77"/>
      <c r="AM2022" s="77"/>
      <c r="AN2022" s="77"/>
      <c r="AO2022" s="77"/>
      <c r="AP2022" s="77"/>
      <c r="AQ2022" s="77"/>
      <c r="AR2022" s="77"/>
      <c r="AS2022" s="77"/>
      <c r="AT2022" s="82"/>
    </row>
    <row r="2023" spans="1:46" ht="12.5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3"/>
      <c r="Q2023" s="1"/>
      <c r="R2023" s="1"/>
      <c r="S2023" s="1"/>
      <c r="T2023" s="1"/>
      <c r="U2023" s="1"/>
      <c r="V2023" s="76"/>
      <c r="W2023" s="76"/>
      <c r="X2023" s="77"/>
      <c r="Y2023" s="77"/>
      <c r="Z2023" s="76"/>
      <c r="AA2023" s="76"/>
      <c r="AB2023" s="77"/>
      <c r="AC2023" s="77"/>
      <c r="AD2023" s="76"/>
      <c r="AE2023" s="76"/>
      <c r="AF2023" s="77"/>
      <c r="AG2023" s="77"/>
      <c r="AH2023" s="76"/>
      <c r="AI2023" s="76"/>
      <c r="AJ2023" s="77"/>
      <c r="AK2023" s="77"/>
      <c r="AL2023" s="77"/>
      <c r="AM2023" s="77"/>
      <c r="AN2023" s="77"/>
      <c r="AO2023" s="77"/>
      <c r="AP2023" s="77"/>
      <c r="AQ2023" s="77"/>
      <c r="AR2023" s="77"/>
      <c r="AS2023" s="77"/>
      <c r="AT2023" s="82"/>
    </row>
    <row r="2024" spans="1:46" ht="12.5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3"/>
      <c r="Q2024" s="1"/>
      <c r="R2024" s="1"/>
      <c r="S2024" s="1"/>
      <c r="T2024" s="1"/>
      <c r="U2024" s="1"/>
      <c r="V2024" s="76"/>
      <c r="W2024" s="76"/>
      <c r="X2024" s="77"/>
      <c r="Y2024" s="77"/>
      <c r="Z2024" s="76"/>
      <c r="AA2024" s="76"/>
      <c r="AB2024" s="77"/>
      <c r="AC2024" s="77"/>
      <c r="AD2024" s="76"/>
      <c r="AE2024" s="76"/>
      <c r="AF2024" s="77"/>
      <c r="AG2024" s="77"/>
      <c r="AH2024" s="76"/>
      <c r="AI2024" s="76"/>
      <c r="AJ2024" s="77"/>
      <c r="AK2024" s="77"/>
      <c r="AL2024" s="77"/>
      <c r="AM2024" s="77"/>
      <c r="AN2024" s="77"/>
      <c r="AO2024" s="77"/>
      <c r="AP2024" s="77"/>
      <c r="AQ2024" s="77"/>
      <c r="AR2024" s="77"/>
      <c r="AS2024" s="77"/>
      <c r="AT2024" s="82"/>
    </row>
    <row r="2025" spans="1:46" ht="12.5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3"/>
      <c r="Q2025" s="1"/>
      <c r="R2025" s="1"/>
      <c r="S2025" s="1"/>
      <c r="T2025" s="1"/>
      <c r="U2025" s="1"/>
      <c r="V2025" s="76"/>
      <c r="W2025" s="76"/>
      <c r="X2025" s="77"/>
      <c r="Y2025" s="77"/>
      <c r="Z2025" s="76"/>
      <c r="AA2025" s="76"/>
      <c r="AB2025" s="77"/>
      <c r="AC2025" s="77"/>
      <c r="AD2025" s="76"/>
      <c r="AE2025" s="76"/>
      <c r="AF2025" s="77"/>
      <c r="AG2025" s="77"/>
      <c r="AH2025" s="76"/>
      <c r="AI2025" s="76"/>
      <c r="AJ2025" s="77"/>
      <c r="AK2025" s="77"/>
      <c r="AL2025" s="77"/>
      <c r="AM2025" s="77"/>
      <c r="AN2025" s="77"/>
      <c r="AO2025" s="77"/>
      <c r="AP2025" s="77"/>
      <c r="AQ2025" s="77"/>
      <c r="AR2025" s="77"/>
      <c r="AS2025" s="77"/>
      <c r="AT2025" s="82"/>
    </row>
    <row r="2026" spans="1:46" ht="12.5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3"/>
      <c r="Q2026" s="1"/>
      <c r="R2026" s="1"/>
      <c r="S2026" s="1"/>
      <c r="T2026" s="1"/>
      <c r="U2026" s="1"/>
      <c r="V2026" s="76"/>
      <c r="W2026" s="76"/>
      <c r="X2026" s="77"/>
      <c r="Y2026" s="77"/>
      <c r="Z2026" s="76"/>
      <c r="AA2026" s="76"/>
      <c r="AB2026" s="77"/>
      <c r="AC2026" s="77"/>
      <c r="AD2026" s="76"/>
      <c r="AE2026" s="76"/>
      <c r="AF2026" s="77"/>
      <c r="AG2026" s="77"/>
      <c r="AH2026" s="76"/>
      <c r="AI2026" s="76"/>
      <c r="AJ2026" s="77"/>
      <c r="AK2026" s="77"/>
      <c r="AL2026" s="77"/>
      <c r="AM2026" s="77"/>
      <c r="AN2026" s="77"/>
      <c r="AO2026" s="77"/>
      <c r="AP2026" s="77"/>
      <c r="AQ2026" s="77"/>
      <c r="AR2026" s="77"/>
      <c r="AS2026" s="77"/>
      <c r="AT2026" s="82"/>
    </row>
    <row r="2027" spans="1:46" ht="12.5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3"/>
      <c r="Q2027" s="1"/>
      <c r="R2027" s="1"/>
      <c r="S2027" s="1"/>
      <c r="T2027" s="1"/>
      <c r="U2027" s="1"/>
      <c r="V2027" s="76"/>
      <c r="W2027" s="76"/>
      <c r="X2027" s="77"/>
      <c r="Y2027" s="77"/>
      <c r="Z2027" s="76"/>
      <c r="AA2027" s="76"/>
      <c r="AB2027" s="77"/>
      <c r="AC2027" s="77"/>
      <c r="AD2027" s="76"/>
      <c r="AE2027" s="76"/>
      <c r="AF2027" s="77"/>
      <c r="AG2027" s="77"/>
      <c r="AH2027" s="76"/>
      <c r="AI2027" s="76"/>
      <c r="AJ2027" s="77"/>
      <c r="AK2027" s="77"/>
      <c r="AL2027" s="77"/>
      <c r="AM2027" s="77"/>
      <c r="AN2027" s="77"/>
      <c r="AO2027" s="77"/>
      <c r="AP2027" s="77"/>
      <c r="AQ2027" s="77"/>
      <c r="AR2027" s="77"/>
      <c r="AS2027" s="77"/>
      <c r="AT2027" s="82"/>
    </row>
    <row r="2028" spans="1:46" ht="12.5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3"/>
      <c r="Q2028" s="1"/>
      <c r="R2028" s="1"/>
      <c r="S2028" s="1"/>
      <c r="T2028" s="1"/>
      <c r="U2028" s="1"/>
      <c r="V2028" s="76"/>
      <c r="W2028" s="76"/>
      <c r="X2028" s="77"/>
      <c r="Y2028" s="77"/>
      <c r="Z2028" s="76"/>
      <c r="AA2028" s="76"/>
      <c r="AB2028" s="77"/>
      <c r="AC2028" s="77"/>
      <c r="AD2028" s="76"/>
      <c r="AE2028" s="76"/>
      <c r="AF2028" s="77"/>
      <c r="AG2028" s="77"/>
      <c r="AH2028" s="76"/>
      <c r="AI2028" s="76"/>
      <c r="AJ2028" s="77"/>
      <c r="AK2028" s="77"/>
      <c r="AL2028" s="77"/>
      <c r="AM2028" s="77"/>
      <c r="AN2028" s="77"/>
      <c r="AO2028" s="77"/>
      <c r="AP2028" s="77"/>
      <c r="AQ2028" s="77"/>
      <c r="AR2028" s="77"/>
      <c r="AS2028" s="77"/>
      <c r="AT2028" s="82"/>
    </row>
    <row r="2029" spans="1:46" ht="12.5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3"/>
      <c r="Q2029" s="1"/>
      <c r="R2029" s="1"/>
      <c r="S2029" s="1"/>
      <c r="T2029" s="1"/>
      <c r="U2029" s="1"/>
      <c r="V2029" s="76"/>
      <c r="W2029" s="76"/>
      <c r="X2029" s="77"/>
      <c r="Y2029" s="77"/>
      <c r="Z2029" s="76"/>
      <c r="AA2029" s="76"/>
      <c r="AB2029" s="77"/>
      <c r="AC2029" s="77"/>
      <c r="AD2029" s="76"/>
      <c r="AE2029" s="76"/>
      <c r="AF2029" s="77"/>
      <c r="AG2029" s="77"/>
      <c r="AH2029" s="76"/>
      <c r="AI2029" s="76"/>
      <c r="AJ2029" s="77"/>
      <c r="AK2029" s="77"/>
      <c r="AL2029" s="77"/>
      <c r="AM2029" s="77"/>
      <c r="AN2029" s="77"/>
      <c r="AO2029" s="77"/>
      <c r="AP2029" s="77"/>
      <c r="AQ2029" s="77"/>
      <c r="AR2029" s="77"/>
      <c r="AS2029" s="77"/>
      <c r="AT2029" s="82"/>
    </row>
    <row r="2030" spans="1:46" ht="12.5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3"/>
      <c r="Q2030" s="1"/>
      <c r="R2030" s="1"/>
      <c r="S2030" s="1"/>
      <c r="T2030" s="1"/>
      <c r="U2030" s="1"/>
      <c r="V2030" s="76"/>
      <c r="W2030" s="76"/>
      <c r="X2030" s="77"/>
      <c r="Y2030" s="77"/>
      <c r="Z2030" s="76"/>
      <c r="AA2030" s="76"/>
      <c r="AB2030" s="77"/>
      <c r="AC2030" s="77"/>
      <c r="AD2030" s="76"/>
      <c r="AE2030" s="76"/>
      <c r="AF2030" s="77"/>
      <c r="AG2030" s="77"/>
      <c r="AH2030" s="76"/>
      <c r="AI2030" s="76"/>
      <c r="AJ2030" s="77"/>
      <c r="AK2030" s="77"/>
      <c r="AL2030" s="77"/>
      <c r="AM2030" s="77"/>
      <c r="AN2030" s="77"/>
      <c r="AO2030" s="77"/>
      <c r="AP2030" s="77"/>
      <c r="AQ2030" s="77"/>
      <c r="AR2030" s="77"/>
      <c r="AS2030" s="77"/>
      <c r="AT2030" s="82"/>
    </row>
    <row r="2031" spans="1:46" ht="12.5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3"/>
      <c r="Q2031" s="1"/>
      <c r="R2031" s="1"/>
      <c r="S2031" s="1"/>
      <c r="T2031" s="1"/>
      <c r="U2031" s="1"/>
      <c r="V2031" s="76"/>
      <c r="W2031" s="76"/>
      <c r="X2031" s="77"/>
      <c r="Y2031" s="77"/>
      <c r="Z2031" s="76"/>
      <c r="AA2031" s="76"/>
      <c r="AB2031" s="77"/>
      <c r="AC2031" s="77"/>
      <c r="AD2031" s="76"/>
      <c r="AE2031" s="76"/>
      <c r="AF2031" s="77"/>
      <c r="AG2031" s="77"/>
      <c r="AH2031" s="76"/>
      <c r="AI2031" s="76"/>
      <c r="AJ2031" s="77"/>
      <c r="AK2031" s="77"/>
      <c r="AL2031" s="77"/>
      <c r="AM2031" s="77"/>
      <c r="AN2031" s="77"/>
      <c r="AO2031" s="77"/>
      <c r="AP2031" s="77"/>
      <c r="AQ2031" s="77"/>
      <c r="AR2031" s="77"/>
      <c r="AS2031" s="77"/>
      <c r="AT2031" s="82"/>
    </row>
    <row r="2032" spans="1:46" ht="12.5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3"/>
      <c r="Q2032" s="1"/>
      <c r="R2032" s="1"/>
      <c r="S2032" s="1"/>
      <c r="T2032" s="1"/>
      <c r="U2032" s="1"/>
      <c r="V2032" s="76"/>
      <c r="W2032" s="76"/>
      <c r="X2032" s="77"/>
      <c r="Y2032" s="77"/>
      <c r="Z2032" s="76"/>
      <c r="AA2032" s="76"/>
      <c r="AB2032" s="77"/>
      <c r="AC2032" s="77"/>
      <c r="AD2032" s="76"/>
      <c r="AE2032" s="76"/>
      <c r="AF2032" s="77"/>
      <c r="AG2032" s="77"/>
      <c r="AH2032" s="76"/>
      <c r="AI2032" s="76"/>
      <c r="AJ2032" s="77"/>
      <c r="AK2032" s="77"/>
      <c r="AL2032" s="77"/>
      <c r="AM2032" s="77"/>
      <c r="AN2032" s="77"/>
      <c r="AO2032" s="77"/>
      <c r="AP2032" s="77"/>
      <c r="AQ2032" s="77"/>
      <c r="AR2032" s="77"/>
      <c r="AS2032" s="77"/>
      <c r="AT2032" s="82"/>
    </row>
    <row r="2033" spans="1:46" ht="12.5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3"/>
      <c r="Q2033" s="1"/>
      <c r="R2033" s="1"/>
      <c r="S2033" s="1"/>
      <c r="T2033" s="1"/>
      <c r="U2033" s="1"/>
      <c r="V2033" s="76"/>
      <c r="W2033" s="76"/>
      <c r="X2033" s="77"/>
      <c r="Y2033" s="77"/>
      <c r="Z2033" s="76"/>
      <c r="AA2033" s="76"/>
      <c r="AB2033" s="77"/>
      <c r="AC2033" s="77"/>
      <c r="AD2033" s="76"/>
      <c r="AE2033" s="76"/>
      <c r="AF2033" s="77"/>
      <c r="AG2033" s="77"/>
      <c r="AH2033" s="76"/>
      <c r="AI2033" s="76"/>
      <c r="AJ2033" s="77"/>
      <c r="AK2033" s="77"/>
      <c r="AL2033" s="77"/>
      <c r="AM2033" s="77"/>
      <c r="AN2033" s="77"/>
      <c r="AO2033" s="77"/>
      <c r="AP2033" s="77"/>
      <c r="AQ2033" s="77"/>
      <c r="AR2033" s="77"/>
      <c r="AS2033" s="77"/>
      <c r="AT2033" s="82"/>
    </row>
    <row r="2034" spans="1:46" ht="12.5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3"/>
      <c r="Q2034" s="1"/>
      <c r="R2034" s="1"/>
      <c r="S2034" s="1"/>
      <c r="T2034" s="1"/>
      <c r="U2034" s="1"/>
      <c r="V2034" s="76"/>
      <c r="W2034" s="76"/>
      <c r="X2034" s="77"/>
      <c r="Y2034" s="77"/>
      <c r="Z2034" s="76"/>
      <c r="AA2034" s="76"/>
      <c r="AB2034" s="77"/>
      <c r="AC2034" s="77"/>
      <c r="AD2034" s="76"/>
      <c r="AE2034" s="76"/>
      <c r="AF2034" s="77"/>
      <c r="AG2034" s="77"/>
      <c r="AH2034" s="76"/>
      <c r="AI2034" s="76"/>
      <c r="AJ2034" s="77"/>
      <c r="AK2034" s="77"/>
      <c r="AL2034" s="77"/>
      <c r="AM2034" s="77"/>
      <c r="AN2034" s="77"/>
      <c r="AO2034" s="77"/>
      <c r="AP2034" s="77"/>
      <c r="AQ2034" s="77"/>
      <c r="AR2034" s="77"/>
      <c r="AS2034" s="77"/>
      <c r="AT2034" s="82"/>
    </row>
    <row r="2035" spans="1:46" ht="12.5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3"/>
      <c r="Q2035" s="1"/>
      <c r="R2035" s="1"/>
      <c r="S2035" s="1"/>
      <c r="T2035" s="1"/>
      <c r="U2035" s="1"/>
      <c r="V2035" s="76"/>
      <c r="W2035" s="76"/>
      <c r="X2035" s="77"/>
      <c r="Y2035" s="77"/>
      <c r="Z2035" s="76"/>
      <c r="AA2035" s="76"/>
      <c r="AB2035" s="77"/>
      <c r="AC2035" s="77"/>
      <c r="AD2035" s="76"/>
      <c r="AE2035" s="76"/>
      <c r="AF2035" s="77"/>
      <c r="AG2035" s="77"/>
      <c r="AH2035" s="76"/>
      <c r="AI2035" s="76"/>
      <c r="AJ2035" s="77"/>
      <c r="AK2035" s="77"/>
      <c r="AL2035" s="77"/>
      <c r="AM2035" s="77"/>
      <c r="AN2035" s="77"/>
      <c r="AO2035" s="77"/>
      <c r="AP2035" s="77"/>
      <c r="AQ2035" s="77"/>
      <c r="AR2035" s="77"/>
      <c r="AS2035" s="77"/>
      <c r="AT2035" s="82"/>
    </row>
    <row r="2036" spans="1:46" ht="12.5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3"/>
      <c r="Q2036" s="1"/>
      <c r="R2036" s="1"/>
      <c r="S2036" s="1"/>
      <c r="T2036" s="1"/>
      <c r="U2036" s="1"/>
      <c r="V2036" s="76"/>
      <c r="W2036" s="76"/>
      <c r="X2036" s="77"/>
      <c r="Y2036" s="77"/>
      <c r="Z2036" s="76"/>
      <c r="AA2036" s="76"/>
      <c r="AB2036" s="77"/>
      <c r="AC2036" s="77"/>
      <c r="AD2036" s="76"/>
      <c r="AE2036" s="76"/>
      <c r="AF2036" s="77"/>
      <c r="AG2036" s="77"/>
      <c r="AH2036" s="76"/>
      <c r="AI2036" s="76"/>
      <c r="AJ2036" s="77"/>
      <c r="AK2036" s="77"/>
      <c r="AL2036" s="77"/>
      <c r="AM2036" s="77"/>
      <c r="AN2036" s="77"/>
      <c r="AO2036" s="77"/>
      <c r="AP2036" s="77"/>
      <c r="AQ2036" s="77"/>
      <c r="AR2036" s="77"/>
      <c r="AS2036" s="77"/>
      <c r="AT2036" s="82"/>
    </row>
    <row r="2037" spans="1:46" ht="12.5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3"/>
      <c r="Q2037" s="1"/>
      <c r="R2037" s="1"/>
      <c r="S2037" s="1"/>
      <c r="T2037" s="1"/>
      <c r="U2037" s="1"/>
      <c r="V2037" s="76"/>
      <c r="W2037" s="76"/>
      <c r="X2037" s="77"/>
      <c r="Y2037" s="77"/>
      <c r="Z2037" s="76"/>
      <c r="AA2037" s="76"/>
      <c r="AB2037" s="77"/>
      <c r="AC2037" s="77"/>
      <c r="AD2037" s="76"/>
      <c r="AE2037" s="76"/>
      <c r="AF2037" s="77"/>
      <c r="AG2037" s="77"/>
      <c r="AH2037" s="76"/>
      <c r="AI2037" s="76"/>
      <c r="AJ2037" s="77"/>
      <c r="AK2037" s="77"/>
      <c r="AL2037" s="77"/>
      <c r="AM2037" s="77"/>
      <c r="AN2037" s="77"/>
      <c r="AO2037" s="77"/>
      <c r="AP2037" s="77"/>
      <c r="AQ2037" s="77"/>
      <c r="AR2037" s="77"/>
      <c r="AS2037" s="77"/>
      <c r="AT2037" s="82"/>
    </row>
    <row r="2038" spans="1:46" ht="12.5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3"/>
      <c r="Q2038" s="1"/>
      <c r="R2038" s="1"/>
      <c r="S2038" s="1"/>
      <c r="T2038" s="1"/>
      <c r="U2038" s="1"/>
      <c r="V2038" s="76"/>
      <c r="W2038" s="76"/>
      <c r="X2038" s="77"/>
      <c r="Y2038" s="77"/>
      <c r="Z2038" s="76"/>
      <c r="AA2038" s="76"/>
      <c r="AB2038" s="77"/>
      <c r="AC2038" s="77"/>
      <c r="AD2038" s="76"/>
      <c r="AE2038" s="76"/>
      <c r="AF2038" s="77"/>
      <c r="AG2038" s="77"/>
      <c r="AH2038" s="76"/>
      <c r="AI2038" s="76"/>
      <c r="AJ2038" s="77"/>
      <c r="AK2038" s="77"/>
      <c r="AL2038" s="77"/>
      <c r="AM2038" s="77"/>
      <c r="AN2038" s="77"/>
      <c r="AO2038" s="77"/>
      <c r="AP2038" s="77"/>
      <c r="AQ2038" s="77"/>
      <c r="AR2038" s="77"/>
      <c r="AS2038" s="77"/>
      <c r="AT2038" s="82"/>
    </row>
    <row r="2039" spans="1:46" ht="12.5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3"/>
      <c r="Q2039" s="1"/>
      <c r="R2039" s="1"/>
      <c r="S2039" s="1"/>
      <c r="T2039" s="1"/>
      <c r="U2039" s="1"/>
      <c r="V2039" s="76"/>
      <c r="W2039" s="76"/>
      <c r="X2039" s="77"/>
      <c r="Y2039" s="77"/>
      <c r="Z2039" s="76"/>
      <c r="AA2039" s="76"/>
      <c r="AB2039" s="77"/>
      <c r="AC2039" s="77"/>
      <c r="AD2039" s="76"/>
      <c r="AE2039" s="76"/>
      <c r="AF2039" s="77"/>
      <c r="AG2039" s="77"/>
      <c r="AH2039" s="76"/>
      <c r="AI2039" s="76"/>
      <c r="AJ2039" s="77"/>
      <c r="AK2039" s="77"/>
      <c r="AL2039" s="77"/>
      <c r="AM2039" s="77"/>
      <c r="AN2039" s="77"/>
      <c r="AO2039" s="77"/>
      <c r="AP2039" s="77"/>
      <c r="AQ2039" s="77"/>
      <c r="AR2039" s="77"/>
      <c r="AS2039" s="77"/>
      <c r="AT2039" s="82"/>
    </row>
    <row r="2040" spans="1:46" ht="12.5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3"/>
      <c r="Q2040" s="1"/>
      <c r="R2040" s="1"/>
      <c r="S2040" s="1"/>
      <c r="T2040" s="1"/>
      <c r="U2040" s="1"/>
      <c r="V2040" s="76"/>
      <c r="W2040" s="76"/>
      <c r="X2040" s="77"/>
      <c r="Y2040" s="77"/>
      <c r="Z2040" s="76"/>
      <c r="AA2040" s="76"/>
      <c r="AB2040" s="77"/>
      <c r="AC2040" s="77"/>
      <c r="AD2040" s="76"/>
      <c r="AE2040" s="76"/>
      <c r="AF2040" s="77"/>
      <c r="AG2040" s="77"/>
      <c r="AH2040" s="76"/>
      <c r="AI2040" s="76"/>
      <c r="AJ2040" s="77"/>
      <c r="AK2040" s="77"/>
      <c r="AL2040" s="77"/>
      <c r="AM2040" s="77"/>
      <c r="AN2040" s="77"/>
      <c r="AO2040" s="77"/>
      <c r="AP2040" s="77"/>
      <c r="AQ2040" s="77"/>
      <c r="AR2040" s="77"/>
      <c r="AS2040" s="77"/>
      <c r="AT2040" s="82"/>
    </row>
    <row r="2041" spans="1:46" ht="12.5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3"/>
      <c r="Q2041" s="1"/>
      <c r="R2041" s="1"/>
      <c r="S2041" s="1"/>
      <c r="T2041" s="1"/>
      <c r="U2041" s="1"/>
      <c r="V2041" s="76"/>
      <c r="W2041" s="76"/>
      <c r="X2041" s="77"/>
      <c r="Y2041" s="77"/>
      <c r="Z2041" s="76"/>
      <c r="AA2041" s="76"/>
      <c r="AB2041" s="77"/>
      <c r="AC2041" s="77"/>
      <c r="AD2041" s="76"/>
      <c r="AE2041" s="76"/>
      <c r="AF2041" s="77"/>
      <c r="AG2041" s="77"/>
      <c r="AH2041" s="76"/>
      <c r="AI2041" s="76"/>
      <c r="AJ2041" s="77"/>
      <c r="AK2041" s="77"/>
      <c r="AL2041" s="77"/>
      <c r="AM2041" s="77"/>
      <c r="AN2041" s="77"/>
      <c r="AO2041" s="77"/>
      <c r="AP2041" s="77"/>
      <c r="AQ2041" s="77"/>
      <c r="AR2041" s="77"/>
      <c r="AS2041" s="77"/>
      <c r="AT2041" s="82"/>
    </row>
    <row r="2042" spans="1:46" ht="12.5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3"/>
      <c r="Q2042" s="1"/>
      <c r="R2042" s="1"/>
      <c r="S2042" s="1"/>
      <c r="T2042" s="1"/>
      <c r="U2042" s="1"/>
      <c r="V2042" s="76"/>
      <c r="W2042" s="76"/>
      <c r="X2042" s="77"/>
      <c r="Y2042" s="77"/>
      <c r="Z2042" s="76"/>
      <c r="AA2042" s="76"/>
      <c r="AB2042" s="77"/>
      <c r="AC2042" s="77"/>
      <c r="AD2042" s="76"/>
      <c r="AE2042" s="76"/>
      <c r="AF2042" s="77"/>
      <c r="AG2042" s="77"/>
      <c r="AH2042" s="76"/>
      <c r="AI2042" s="76"/>
      <c r="AJ2042" s="77"/>
      <c r="AK2042" s="77"/>
      <c r="AL2042" s="77"/>
      <c r="AM2042" s="77"/>
      <c r="AN2042" s="77"/>
      <c r="AO2042" s="77"/>
      <c r="AP2042" s="77"/>
      <c r="AQ2042" s="77"/>
      <c r="AR2042" s="77"/>
      <c r="AS2042" s="77"/>
      <c r="AT2042" s="82"/>
    </row>
    <row r="2043" spans="1:46" ht="12.5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3"/>
      <c r="Q2043" s="1"/>
      <c r="R2043" s="1"/>
      <c r="S2043" s="1"/>
      <c r="T2043" s="1"/>
      <c r="U2043" s="1"/>
      <c r="V2043" s="76"/>
      <c r="W2043" s="76"/>
      <c r="X2043" s="77"/>
      <c r="Y2043" s="77"/>
      <c r="Z2043" s="76"/>
      <c r="AA2043" s="76"/>
      <c r="AB2043" s="77"/>
      <c r="AC2043" s="77"/>
      <c r="AD2043" s="76"/>
      <c r="AE2043" s="76"/>
      <c r="AF2043" s="77"/>
      <c r="AG2043" s="77"/>
      <c r="AH2043" s="76"/>
      <c r="AI2043" s="76"/>
      <c r="AJ2043" s="77"/>
      <c r="AK2043" s="77"/>
      <c r="AL2043" s="77"/>
      <c r="AM2043" s="77"/>
      <c r="AN2043" s="77"/>
      <c r="AO2043" s="77"/>
      <c r="AP2043" s="77"/>
      <c r="AQ2043" s="77"/>
      <c r="AR2043" s="77"/>
      <c r="AS2043" s="77"/>
      <c r="AT2043" s="82"/>
    </row>
    <row r="2044" spans="1:46" ht="12.5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3"/>
      <c r="Q2044" s="1"/>
      <c r="R2044" s="1"/>
      <c r="S2044" s="1"/>
      <c r="T2044" s="1"/>
      <c r="U2044" s="1"/>
      <c r="V2044" s="76"/>
      <c r="W2044" s="76"/>
      <c r="X2044" s="77"/>
      <c r="Y2044" s="77"/>
      <c r="Z2044" s="76"/>
      <c r="AA2044" s="76"/>
      <c r="AB2044" s="77"/>
      <c r="AC2044" s="77"/>
      <c r="AD2044" s="76"/>
      <c r="AE2044" s="76"/>
      <c r="AF2044" s="77"/>
      <c r="AG2044" s="77"/>
      <c r="AH2044" s="76"/>
      <c r="AI2044" s="76"/>
      <c r="AJ2044" s="77"/>
      <c r="AK2044" s="77"/>
      <c r="AL2044" s="77"/>
      <c r="AM2044" s="77"/>
      <c r="AN2044" s="77"/>
      <c r="AO2044" s="77"/>
      <c r="AP2044" s="77"/>
      <c r="AQ2044" s="77"/>
      <c r="AR2044" s="77"/>
      <c r="AS2044" s="77"/>
      <c r="AT2044" s="82"/>
    </row>
    <row r="2045" spans="1:46" ht="12.5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3"/>
      <c r="Q2045" s="1"/>
      <c r="R2045" s="1"/>
      <c r="S2045" s="1"/>
      <c r="T2045" s="1"/>
      <c r="U2045" s="1"/>
      <c r="V2045" s="76"/>
      <c r="W2045" s="76"/>
      <c r="X2045" s="77"/>
      <c r="Y2045" s="77"/>
      <c r="Z2045" s="76"/>
      <c r="AA2045" s="76"/>
      <c r="AB2045" s="77"/>
      <c r="AC2045" s="77"/>
      <c r="AD2045" s="76"/>
      <c r="AE2045" s="76"/>
      <c r="AF2045" s="77"/>
      <c r="AG2045" s="77"/>
      <c r="AH2045" s="76"/>
      <c r="AI2045" s="76"/>
      <c r="AJ2045" s="77"/>
      <c r="AK2045" s="77"/>
      <c r="AL2045" s="77"/>
      <c r="AM2045" s="77"/>
      <c r="AN2045" s="77"/>
      <c r="AO2045" s="77"/>
      <c r="AP2045" s="77"/>
      <c r="AQ2045" s="77"/>
      <c r="AR2045" s="77"/>
      <c r="AS2045" s="77"/>
      <c r="AT2045" s="82"/>
    </row>
    <row r="2046" spans="1:46" ht="12.5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3"/>
      <c r="Q2046" s="1"/>
      <c r="R2046" s="1"/>
      <c r="S2046" s="1"/>
      <c r="T2046" s="1"/>
      <c r="U2046" s="1"/>
      <c r="V2046" s="76"/>
      <c r="W2046" s="76"/>
      <c r="X2046" s="77"/>
      <c r="Y2046" s="77"/>
      <c r="Z2046" s="76"/>
      <c r="AA2046" s="76"/>
      <c r="AB2046" s="77"/>
      <c r="AC2046" s="77"/>
      <c r="AD2046" s="76"/>
      <c r="AE2046" s="76"/>
      <c r="AF2046" s="77"/>
      <c r="AG2046" s="77"/>
      <c r="AH2046" s="76"/>
      <c r="AI2046" s="76"/>
      <c r="AJ2046" s="77"/>
      <c r="AK2046" s="77"/>
      <c r="AL2046" s="77"/>
      <c r="AM2046" s="77"/>
      <c r="AN2046" s="77"/>
      <c r="AO2046" s="77"/>
      <c r="AP2046" s="77"/>
      <c r="AQ2046" s="77"/>
      <c r="AR2046" s="77"/>
      <c r="AS2046" s="77"/>
      <c r="AT2046" s="82"/>
    </row>
    <row r="2047" spans="1:46" ht="12.5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3"/>
      <c r="Q2047" s="1"/>
      <c r="R2047" s="1"/>
      <c r="S2047" s="1"/>
      <c r="T2047" s="1"/>
      <c r="U2047" s="1"/>
      <c r="V2047" s="76"/>
      <c r="W2047" s="76"/>
      <c r="X2047" s="77"/>
      <c r="Y2047" s="77"/>
      <c r="Z2047" s="76"/>
      <c r="AA2047" s="76"/>
      <c r="AB2047" s="77"/>
      <c r="AC2047" s="77"/>
      <c r="AD2047" s="76"/>
      <c r="AE2047" s="76"/>
      <c r="AF2047" s="77"/>
      <c r="AG2047" s="77"/>
      <c r="AH2047" s="76"/>
      <c r="AI2047" s="76"/>
      <c r="AJ2047" s="77"/>
      <c r="AK2047" s="77"/>
      <c r="AL2047" s="77"/>
      <c r="AM2047" s="77"/>
      <c r="AN2047" s="77"/>
      <c r="AO2047" s="77"/>
      <c r="AP2047" s="77"/>
      <c r="AQ2047" s="77"/>
      <c r="AR2047" s="77"/>
      <c r="AS2047" s="77"/>
      <c r="AT2047" s="82"/>
    </row>
    <row r="2048" spans="1:46" ht="12.5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3"/>
      <c r="Q2048" s="1"/>
      <c r="R2048" s="1"/>
      <c r="S2048" s="1"/>
      <c r="T2048" s="1"/>
      <c r="U2048" s="1"/>
      <c r="V2048" s="76"/>
      <c r="W2048" s="76"/>
      <c r="X2048" s="77"/>
      <c r="Y2048" s="77"/>
      <c r="Z2048" s="76"/>
      <c r="AA2048" s="76"/>
      <c r="AB2048" s="77"/>
      <c r="AC2048" s="77"/>
      <c r="AD2048" s="76"/>
      <c r="AE2048" s="76"/>
      <c r="AF2048" s="77"/>
      <c r="AG2048" s="77"/>
      <c r="AH2048" s="76"/>
      <c r="AI2048" s="76"/>
      <c r="AJ2048" s="77"/>
      <c r="AK2048" s="77"/>
      <c r="AL2048" s="77"/>
      <c r="AM2048" s="77"/>
      <c r="AN2048" s="77"/>
      <c r="AO2048" s="77"/>
      <c r="AP2048" s="77"/>
      <c r="AQ2048" s="77"/>
      <c r="AR2048" s="77"/>
      <c r="AS2048" s="77"/>
      <c r="AT2048" s="82"/>
    </row>
    <row r="2049" spans="1:46" ht="12.5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3"/>
      <c r="Q2049" s="1"/>
      <c r="R2049" s="1"/>
      <c r="S2049" s="1"/>
      <c r="T2049" s="1"/>
      <c r="U2049" s="1"/>
      <c r="V2049" s="76"/>
      <c r="W2049" s="76"/>
      <c r="X2049" s="77"/>
      <c r="Y2049" s="77"/>
      <c r="Z2049" s="76"/>
      <c r="AA2049" s="76"/>
      <c r="AB2049" s="77"/>
      <c r="AC2049" s="77"/>
      <c r="AD2049" s="76"/>
      <c r="AE2049" s="76"/>
      <c r="AF2049" s="77"/>
      <c r="AG2049" s="77"/>
      <c r="AH2049" s="76"/>
      <c r="AI2049" s="76"/>
      <c r="AJ2049" s="77"/>
      <c r="AK2049" s="77"/>
      <c r="AL2049" s="77"/>
      <c r="AM2049" s="77"/>
      <c r="AN2049" s="77"/>
      <c r="AO2049" s="77"/>
      <c r="AP2049" s="77"/>
      <c r="AQ2049" s="77"/>
      <c r="AR2049" s="77"/>
      <c r="AS2049" s="77"/>
      <c r="AT2049" s="82"/>
    </row>
    <row r="2050" spans="1:46" ht="12.5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3"/>
      <c r="Q2050" s="1"/>
      <c r="R2050" s="1"/>
      <c r="S2050" s="1"/>
      <c r="T2050" s="1"/>
      <c r="U2050" s="1"/>
      <c r="V2050" s="76"/>
      <c r="W2050" s="76"/>
      <c r="X2050" s="77"/>
      <c r="Y2050" s="77"/>
      <c r="Z2050" s="76"/>
      <c r="AA2050" s="76"/>
      <c r="AB2050" s="77"/>
      <c r="AC2050" s="77"/>
      <c r="AD2050" s="76"/>
      <c r="AE2050" s="76"/>
      <c r="AF2050" s="77"/>
      <c r="AG2050" s="77"/>
      <c r="AH2050" s="76"/>
      <c r="AI2050" s="76"/>
      <c r="AJ2050" s="77"/>
      <c r="AK2050" s="77"/>
      <c r="AL2050" s="77"/>
      <c r="AM2050" s="77"/>
      <c r="AN2050" s="77"/>
      <c r="AO2050" s="77"/>
      <c r="AP2050" s="77"/>
      <c r="AQ2050" s="77"/>
      <c r="AR2050" s="77"/>
      <c r="AS2050" s="77"/>
      <c r="AT2050" s="82"/>
    </row>
    <row r="2051" spans="1:46" ht="12.5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3"/>
      <c r="Q2051" s="1"/>
      <c r="R2051" s="1"/>
      <c r="S2051" s="1"/>
      <c r="T2051" s="1"/>
      <c r="U2051" s="1"/>
      <c r="V2051" s="76"/>
      <c r="W2051" s="76"/>
      <c r="X2051" s="77"/>
      <c r="Y2051" s="77"/>
      <c r="Z2051" s="76"/>
      <c r="AA2051" s="76"/>
      <c r="AB2051" s="77"/>
      <c r="AC2051" s="77"/>
      <c r="AD2051" s="76"/>
      <c r="AE2051" s="76"/>
      <c r="AF2051" s="77"/>
      <c r="AG2051" s="77"/>
      <c r="AH2051" s="76"/>
      <c r="AI2051" s="76"/>
      <c r="AJ2051" s="77"/>
      <c r="AK2051" s="77"/>
      <c r="AL2051" s="77"/>
      <c r="AM2051" s="77"/>
      <c r="AN2051" s="77"/>
      <c r="AO2051" s="77"/>
      <c r="AP2051" s="77"/>
      <c r="AQ2051" s="77"/>
      <c r="AR2051" s="77"/>
      <c r="AS2051" s="77"/>
      <c r="AT2051" s="82"/>
    </row>
    <row r="2052" spans="1:46" ht="12.5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3"/>
      <c r="Q2052" s="1"/>
      <c r="R2052" s="1"/>
      <c r="S2052" s="1"/>
      <c r="T2052" s="1"/>
      <c r="U2052" s="1"/>
      <c r="V2052" s="76"/>
      <c r="W2052" s="76"/>
      <c r="X2052" s="77"/>
      <c r="Y2052" s="77"/>
      <c r="Z2052" s="76"/>
      <c r="AA2052" s="76"/>
      <c r="AB2052" s="77"/>
      <c r="AC2052" s="77"/>
      <c r="AD2052" s="76"/>
      <c r="AE2052" s="76"/>
      <c r="AF2052" s="77"/>
      <c r="AG2052" s="77"/>
      <c r="AH2052" s="76"/>
      <c r="AI2052" s="76"/>
      <c r="AJ2052" s="77"/>
      <c r="AK2052" s="77"/>
      <c r="AL2052" s="77"/>
      <c r="AM2052" s="77"/>
      <c r="AN2052" s="77"/>
      <c r="AO2052" s="77"/>
      <c r="AP2052" s="77"/>
      <c r="AQ2052" s="77"/>
      <c r="AR2052" s="77"/>
      <c r="AS2052" s="77"/>
      <c r="AT2052" s="82"/>
    </row>
    <row r="2053" spans="1:46" ht="12.5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3"/>
      <c r="Q2053" s="1"/>
      <c r="R2053" s="1"/>
      <c r="S2053" s="1"/>
      <c r="T2053" s="1"/>
      <c r="U2053" s="1"/>
      <c r="V2053" s="76"/>
      <c r="W2053" s="76"/>
      <c r="X2053" s="77"/>
      <c r="Y2053" s="77"/>
      <c r="Z2053" s="76"/>
      <c r="AA2053" s="76"/>
      <c r="AB2053" s="77"/>
      <c r="AC2053" s="77"/>
      <c r="AD2053" s="76"/>
      <c r="AE2053" s="76"/>
      <c r="AF2053" s="77"/>
      <c r="AG2053" s="77"/>
      <c r="AH2053" s="76"/>
      <c r="AI2053" s="76"/>
      <c r="AJ2053" s="77"/>
      <c r="AK2053" s="77"/>
      <c r="AL2053" s="77"/>
      <c r="AM2053" s="77"/>
      <c r="AN2053" s="77"/>
      <c r="AO2053" s="77"/>
      <c r="AP2053" s="77"/>
      <c r="AQ2053" s="77"/>
      <c r="AR2053" s="77"/>
      <c r="AS2053" s="77"/>
      <c r="AT2053" s="82"/>
    </row>
    <row r="2054" spans="1:46" ht="12.5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3"/>
      <c r="Q2054" s="1"/>
      <c r="R2054" s="1"/>
      <c r="S2054" s="1"/>
      <c r="T2054" s="1"/>
      <c r="U2054" s="1"/>
      <c r="V2054" s="76"/>
      <c r="W2054" s="76"/>
      <c r="X2054" s="77"/>
      <c r="Y2054" s="77"/>
      <c r="Z2054" s="76"/>
      <c r="AA2054" s="76"/>
      <c r="AB2054" s="77"/>
      <c r="AC2054" s="77"/>
      <c r="AD2054" s="76"/>
      <c r="AE2054" s="76"/>
      <c r="AF2054" s="77"/>
      <c r="AG2054" s="77"/>
      <c r="AH2054" s="76"/>
      <c r="AI2054" s="76"/>
      <c r="AJ2054" s="77"/>
      <c r="AK2054" s="77"/>
      <c r="AL2054" s="77"/>
      <c r="AM2054" s="77"/>
      <c r="AN2054" s="77"/>
      <c r="AO2054" s="77"/>
      <c r="AP2054" s="77"/>
      <c r="AQ2054" s="77"/>
      <c r="AR2054" s="77"/>
      <c r="AS2054" s="77"/>
      <c r="AT2054" s="82"/>
    </row>
    <row r="2055" spans="1:46" ht="12.5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3"/>
      <c r="Q2055" s="1"/>
      <c r="R2055" s="1"/>
      <c r="S2055" s="1"/>
      <c r="T2055" s="1"/>
      <c r="U2055" s="1"/>
      <c r="V2055" s="76"/>
      <c r="W2055" s="76"/>
      <c r="X2055" s="77"/>
      <c r="Y2055" s="77"/>
      <c r="Z2055" s="76"/>
      <c r="AA2055" s="76"/>
      <c r="AB2055" s="77"/>
      <c r="AC2055" s="77"/>
      <c r="AD2055" s="76"/>
      <c r="AE2055" s="76"/>
      <c r="AF2055" s="77"/>
      <c r="AG2055" s="77"/>
      <c r="AH2055" s="76"/>
      <c r="AI2055" s="76"/>
      <c r="AJ2055" s="77"/>
      <c r="AK2055" s="77"/>
      <c r="AL2055" s="77"/>
      <c r="AM2055" s="77"/>
      <c r="AN2055" s="77"/>
      <c r="AO2055" s="77"/>
      <c r="AP2055" s="77"/>
      <c r="AQ2055" s="77"/>
      <c r="AR2055" s="77"/>
      <c r="AS2055" s="77"/>
      <c r="AT2055" s="82"/>
    </row>
    <row r="2056" spans="1:46" ht="12.5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3"/>
      <c r="Q2056" s="1"/>
      <c r="R2056" s="1"/>
      <c r="S2056" s="1"/>
      <c r="T2056" s="1"/>
      <c r="U2056" s="1"/>
      <c r="V2056" s="76"/>
      <c r="W2056" s="76"/>
      <c r="X2056" s="77"/>
      <c r="Y2056" s="77"/>
      <c r="Z2056" s="76"/>
      <c r="AA2056" s="76"/>
      <c r="AB2056" s="77"/>
      <c r="AC2056" s="77"/>
      <c r="AD2056" s="76"/>
      <c r="AE2056" s="76"/>
      <c r="AF2056" s="77"/>
      <c r="AG2056" s="77"/>
      <c r="AH2056" s="76"/>
      <c r="AI2056" s="76"/>
      <c r="AJ2056" s="77"/>
      <c r="AK2056" s="77"/>
      <c r="AL2056" s="77"/>
      <c r="AM2056" s="77"/>
      <c r="AN2056" s="77"/>
      <c r="AO2056" s="77"/>
      <c r="AP2056" s="77"/>
      <c r="AQ2056" s="77"/>
      <c r="AR2056" s="77"/>
      <c r="AS2056" s="77"/>
      <c r="AT2056" s="82"/>
    </row>
    <row r="2057" spans="1:46" ht="12.5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3"/>
      <c r="Q2057" s="1"/>
      <c r="R2057" s="1"/>
      <c r="S2057" s="1"/>
      <c r="T2057" s="1"/>
      <c r="U2057" s="1"/>
      <c r="V2057" s="76"/>
      <c r="W2057" s="76"/>
      <c r="X2057" s="77"/>
      <c r="Y2057" s="77"/>
      <c r="Z2057" s="76"/>
      <c r="AA2057" s="76"/>
      <c r="AB2057" s="77"/>
      <c r="AC2057" s="77"/>
      <c r="AD2057" s="76"/>
      <c r="AE2057" s="76"/>
      <c r="AF2057" s="77"/>
      <c r="AG2057" s="77"/>
      <c r="AH2057" s="76"/>
      <c r="AI2057" s="76"/>
      <c r="AJ2057" s="77"/>
      <c r="AK2057" s="77"/>
      <c r="AL2057" s="77"/>
      <c r="AM2057" s="77"/>
      <c r="AN2057" s="77"/>
      <c r="AO2057" s="77"/>
      <c r="AP2057" s="77"/>
      <c r="AQ2057" s="77"/>
      <c r="AR2057" s="77"/>
      <c r="AS2057" s="77"/>
      <c r="AT2057" s="82"/>
    </row>
    <row r="2058" spans="1:46" ht="12.5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3"/>
      <c r="Q2058" s="1"/>
      <c r="R2058" s="1"/>
      <c r="S2058" s="1"/>
      <c r="T2058" s="1"/>
      <c r="U2058" s="1"/>
      <c r="V2058" s="76"/>
      <c r="W2058" s="76"/>
      <c r="X2058" s="77"/>
      <c r="Y2058" s="77"/>
      <c r="Z2058" s="76"/>
      <c r="AA2058" s="76"/>
      <c r="AB2058" s="77"/>
      <c r="AC2058" s="77"/>
      <c r="AD2058" s="76"/>
      <c r="AE2058" s="76"/>
      <c r="AF2058" s="77"/>
      <c r="AG2058" s="77"/>
      <c r="AH2058" s="76"/>
      <c r="AI2058" s="76"/>
      <c r="AJ2058" s="77"/>
      <c r="AK2058" s="77"/>
      <c r="AL2058" s="77"/>
      <c r="AM2058" s="77"/>
      <c r="AN2058" s="77"/>
      <c r="AO2058" s="77"/>
      <c r="AP2058" s="77"/>
      <c r="AQ2058" s="77"/>
      <c r="AR2058" s="77"/>
      <c r="AS2058" s="77"/>
      <c r="AT2058" s="82"/>
    </row>
    <row r="2059" spans="1:46" ht="12.5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3"/>
      <c r="Q2059" s="1"/>
      <c r="R2059" s="1"/>
      <c r="S2059" s="1"/>
      <c r="T2059" s="1"/>
      <c r="U2059" s="1"/>
      <c r="V2059" s="76"/>
      <c r="W2059" s="76"/>
      <c r="X2059" s="77"/>
      <c r="Y2059" s="77"/>
      <c r="Z2059" s="76"/>
      <c r="AA2059" s="76"/>
      <c r="AB2059" s="77"/>
      <c r="AC2059" s="77"/>
      <c r="AD2059" s="76"/>
      <c r="AE2059" s="76"/>
      <c r="AF2059" s="77"/>
      <c r="AG2059" s="77"/>
      <c r="AH2059" s="76"/>
      <c r="AI2059" s="76"/>
      <c r="AJ2059" s="77"/>
      <c r="AK2059" s="77"/>
      <c r="AL2059" s="77"/>
      <c r="AM2059" s="77"/>
      <c r="AN2059" s="77"/>
      <c r="AO2059" s="77"/>
      <c r="AP2059" s="77"/>
      <c r="AQ2059" s="77"/>
      <c r="AR2059" s="77"/>
      <c r="AS2059" s="77"/>
      <c r="AT2059" s="82"/>
    </row>
    <row r="2060" spans="1:46" ht="12.5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3"/>
      <c r="Q2060" s="1"/>
      <c r="R2060" s="1"/>
      <c r="S2060" s="1"/>
      <c r="T2060" s="1"/>
      <c r="U2060" s="1"/>
      <c r="V2060" s="76"/>
      <c r="W2060" s="76"/>
      <c r="X2060" s="77"/>
      <c r="Y2060" s="77"/>
      <c r="Z2060" s="76"/>
      <c r="AA2060" s="76"/>
      <c r="AB2060" s="77"/>
      <c r="AC2060" s="77"/>
      <c r="AD2060" s="76"/>
      <c r="AE2060" s="76"/>
      <c r="AF2060" s="77"/>
      <c r="AG2060" s="77"/>
      <c r="AH2060" s="76"/>
      <c r="AI2060" s="76"/>
      <c r="AJ2060" s="77"/>
      <c r="AK2060" s="77"/>
      <c r="AL2060" s="77"/>
      <c r="AM2060" s="77"/>
      <c r="AN2060" s="77"/>
      <c r="AO2060" s="77"/>
      <c r="AP2060" s="77"/>
      <c r="AQ2060" s="77"/>
      <c r="AR2060" s="77"/>
      <c r="AS2060" s="77"/>
      <c r="AT2060" s="82"/>
    </row>
    <row r="2061" spans="1:46" ht="12.5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3"/>
      <c r="Q2061" s="1"/>
      <c r="R2061" s="1"/>
      <c r="S2061" s="1"/>
      <c r="T2061" s="1"/>
      <c r="U2061" s="1"/>
      <c r="V2061" s="76"/>
      <c r="W2061" s="76"/>
      <c r="X2061" s="77"/>
      <c r="Y2061" s="77"/>
      <c r="Z2061" s="76"/>
      <c r="AA2061" s="76"/>
      <c r="AB2061" s="77"/>
      <c r="AC2061" s="77"/>
      <c r="AD2061" s="76"/>
      <c r="AE2061" s="76"/>
      <c r="AF2061" s="77"/>
      <c r="AG2061" s="77"/>
      <c r="AH2061" s="76"/>
      <c r="AI2061" s="76"/>
      <c r="AJ2061" s="77"/>
      <c r="AK2061" s="77"/>
      <c r="AL2061" s="77"/>
      <c r="AM2061" s="77"/>
      <c r="AN2061" s="77"/>
      <c r="AO2061" s="77"/>
      <c r="AP2061" s="77"/>
      <c r="AQ2061" s="77"/>
      <c r="AR2061" s="77"/>
      <c r="AS2061" s="77"/>
      <c r="AT2061" s="82"/>
    </row>
    <row r="2062" spans="1:46" ht="12.5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3"/>
      <c r="Q2062" s="1"/>
      <c r="R2062" s="1"/>
      <c r="S2062" s="1"/>
      <c r="T2062" s="1"/>
      <c r="U2062" s="1"/>
      <c r="V2062" s="76"/>
      <c r="W2062" s="76"/>
      <c r="X2062" s="77"/>
      <c r="Y2062" s="77"/>
      <c r="Z2062" s="76"/>
      <c r="AA2062" s="76"/>
      <c r="AB2062" s="77"/>
      <c r="AC2062" s="77"/>
      <c r="AD2062" s="76"/>
      <c r="AE2062" s="76"/>
      <c r="AF2062" s="77"/>
      <c r="AG2062" s="77"/>
      <c r="AH2062" s="76"/>
      <c r="AI2062" s="76"/>
      <c r="AJ2062" s="77"/>
      <c r="AK2062" s="77"/>
      <c r="AL2062" s="77"/>
      <c r="AM2062" s="77"/>
      <c r="AN2062" s="77"/>
      <c r="AO2062" s="77"/>
      <c r="AP2062" s="77"/>
      <c r="AQ2062" s="77"/>
      <c r="AR2062" s="77"/>
      <c r="AS2062" s="77"/>
      <c r="AT2062" s="82"/>
    </row>
    <row r="2063" spans="1:46" ht="12.5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3"/>
      <c r="Q2063" s="1"/>
      <c r="R2063" s="1"/>
      <c r="S2063" s="1"/>
      <c r="T2063" s="1"/>
      <c r="U2063" s="1"/>
      <c r="V2063" s="76"/>
      <c r="W2063" s="76"/>
      <c r="X2063" s="77"/>
      <c r="Y2063" s="77"/>
      <c r="Z2063" s="76"/>
      <c r="AA2063" s="76"/>
      <c r="AB2063" s="77"/>
      <c r="AC2063" s="77"/>
      <c r="AD2063" s="76"/>
      <c r="AE2063" s="76"/>
      <c r="AF2063" s="77"/>
      <c r="AG2063" s="77"/>
      <c r="AH2063" s="76"/>
      <c r="AI2063" s="76"/>
      <c r="AJ2063" s="77"/>
      <c r="AK2063" s="77"/>
      <c r="AL2063" s="77"/>
      <c r="AM2063" s="77"/>
      <c r="AN2063" s="77"/>
      <c r="AO2063" s="77"/>
      <c r="AP2063" s="77"/>
      <c r="AQ2063" s="77"/>
      <c r="AR2063" s="77"/>
      <c r="AS2063" s="77"/>
      <c r="AT2063" s="82"/>
    </row>
    <row r="2064" spans="1:46" ht="12.5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3"/>
      <c r="Q2064" s="1"/>
      <c r="R2064" s="1"/>
      <c r="S2064" s="1"/>
      <c r="T2064" s="1"/>
      <c r="U2064" s="1"/>
      <c r="V2064" s="76"/>
      <c r="W2064" s="76"/>
      <c r="X2064" s="77"/>
      <c r="Y2064" s="77"/>
      <c r="Z2064" s="76"/>
      <c r="AA2064" s="76"/>
      <c r="AB2064" s="77"/>
      <c r="AC2064" s="77"/>
      <c r="AD2064" s="76"/>
      <c r="AE2064" s="76"/>
      <c r="AF2064" s="77"/>
      <c r="AG2064" s="77"/>
      <c r="AH2064" s="76"/>
      <c r="AI2064" s="76"/>
      <c r="AJ2064" s="77"/>
      <c r="AK2064" s="77"/>
      <c r="AL2064" s="77"/>
      <c r="AM2064" s="77"/>
      <c r="AN2064" s="77"/>
      <c r="AO2064" s="77"/>
      <c r="AP2064" s="77"/>
      <c r="AQ2064" s="77"/>
      <c r="AR2064" s="77"/>
      <c r="AS2064" s="77"/>
      <c r="AT2064" s="82"/>
    </row>
    <row r="2065" spans="1:46" ht="12.5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3"/>
      <c r="Q2065" s="1"/>
      <c r="R2065" s="1"/>
      <c r="S2065" s="1"/>
      <c r="T2065" s="1"/>
      <c r="U2065" s="1"/>
      <c r="V2065" s="76"/>
      <c r="W2065" s="76"/>
      <c r="X2065" s="77"/>
      <c r="Y2065" s="77"/>
      <c r="Z2065" s="76"/>
      <c r="AA2065" s="76"/>
      <c r="AB2065" s="77"/>
      <c r="AC2065" s="77"/>
      <c r="AD2065" s="76"/>
      <c r="AE2065" s="76"/>
      <c r="AF2065" s="77"/>
      <c r="AG2065" s="77"/>
      <c r="AH2065" s="76"/>
      <c r="AI2065" s="76"/>
      <c r="AJ2065" s="77"/>
      <c r="AK2065" s="77"/>
      <c r="AL2065" s="77"/>
      <c r="AM2065" s="77"/>
      <c r="AN2065" s="77"/>
      <c r="AO2065" s="77"/>
      <c r="AP2065" s="77"/>
      <c r="AQ2065" s="77"/>
      <c r="AR2065" s="77"/>
      <c r="AS2065" s="77"/>
      <c r="AT2065" s="82"/>
    </row>
    <row r="2066" spans="1:46" ht="12.5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3"/>
      <c r="Q2066" s="1"/>
      <c r="R2066" s="1"/>
      <c r="S2066" s="1"/>
      <c r="T2066" s="1"/>
      <c r="U2066" s="1"/>
      <c r="V2066" s="76"/>
      <c r="W2066" s="76"/>
      <c r="X2066" s="77"/>
      <c r="Y2066" s="77"/>
      <c r="Z2066" s="76"/>
      <c r="AA2066" s="76"/>
      <c r="AB2066" s="77"/>
      <c r="AC2066" s="77"/>
      <c r="AD2066" s="76"/>
      <c r="AE2066" s="76"/>
      <c r="AF2066" s="77"/>
      <c r="AG2066" s="77"/>
      <c r="AH2066" s="76"/>
      <c r="AI2066" s="76"/>
      <c r="AJ2066" s="77"/>
      <c r="AK2066" s="77"/>
      <c r="AL2066" s="77"/>
      <c r="AM2066" s="77"/>
      <c r="AN2066" s="77"/>
      <c r="AO2066" s="77"/>
      <c r="AP2066" s="77"/>
      <c r="AQ2066" s="77"/>
      <c r="AR2066" s="77"/>
      <c r="AS2066" s="77"/>
      <c r="AT2066" s="82"/>
    </row>
    <row r="2067" spans="1:46" ht="12.5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3"/>
      <c r="Q2067" s="1"/>
      <c r="R2067" s="1"/>
      <c r="S2067" s="1"/>
      <c r="T2067" s="1"/>
      <c r="U2067" s="1"/>
      <c r="V2067" s="76"/>
      <c r="W2067" s="76"/>
      <c r="X2067" s="77"/>
      <c r="Y2067" s="77"/>
      <c r="Z2067" s="76"/>
      <c r="AA2067" s="76"/>
      <c r="AB2067" s="77"/>
      <c r="AC2067" s="77"/>
      <c r="AD2067" s="76"/>
      <c r="AE2067" s="76"/>
      <c r="AF2067" s="77"/>
      <c r="AG2067" s="77"/>
      <c r="AH2067" s="76"/>
      <c r="AI2067" s="76"/>
      <c r="AJ2067" s="77"/>
      <c r="AK2067" s="77"/>
      <c r="AL2067" s="77"/>
      <c r="AM2067" s="77"/>
      <c r="AN2067" s="77"/>
      <c r="AO2067" s="77"/>
      <c r="AP2067" s="77"/>
      <c r="AQ2067" s="77"/>
      <c r="AR2067" s="77"/>
      <c r="AS2067" s="77"/>
      <c r="AT2067" s="82"/>
    </row>
    <row r="2068" spans="1:46" ht="12.5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3"/>
      <c r="Q2068" s="1"/>
      <c r="R2068" s="1"/>
      <c r="S2068" s="1"/>
      <c r="T2068" s="1"/>
      <c r="U2068" s="1"/>
      <c r="V2068" s="76"/>
      <c r="W2068" s="76"/>
      <c r="X2068" s="77"/>
      <c r="Y2068" s="77"/>
      <c r="Z2068" s="76"/>
      <c r="AA2068" s="76"/>
      <c r="AB2068" s="77"/>
      <c r="AC2068" s="77"/>
      <c r="AD2068" s="76"/>
      <c r="AE2068" s="76"/>
      <c r="AF2068" s="77"/>
      <c r="AG2068" s="77"/>
      <c r="AH2068" s="76"/>
      <c r="AI2068" s="76"/>
      <c r="AJ2068" s="77"/>
      <c r="AK2068" s="77"/>
      <c r="AL2068" s="77"/>
      <c r="AM2068" s="77"/>
      <c r="AN2068" s="77"/>
      <c r="AO2068" s="77"/>
      <c r="AP2068" s="77"/>
      <c r="AQ2068" s="77"/>
      <c r="AR2068" s="77"/>
      <c r="AS2068" s="77"/>
      <c r="AT2068" s="82"/>
    </row>
    <row r="2069" spans="1:46" ht="12.5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3"/>
      <c r="Q2069" s="1"/>
      <c r="R2069" s="1"/>
      <c r="S2069" s="1"/>
      <c r="T2069" s="1"/>
      <c r="U2069" s="1"/>
      <c r="V2069" s="76"/>
      <c r="W2069" s="76"/>
      <c r="X2069" s="77"/>
      <c r="Y2069" s="77"/>
      <c r="Z2069" s="76"/>
      <c r="AA2069" s="76"/>
      <c r="AB2069" s="77"/>
      <c r="AC2069" s="77"/>
      <c r="AD2069" s="76"/>
      <c r="AE2069" s="76"/>
      <c r="AF2069" s="77"/>
      <c r="AG2069" s="77"/>
      <c r="AH2069" s="76"/>
      <c r="AI2069" s="76"/>
      <c r="AJ2069" s="77"/>
      <c r="AK2069" s="77"/>
      <c r="AL2069" s="77"/>
      <c r="AM2069" s="77"/>
      <c r="AN2069" s="77"/>
      <c r="AO2069" s="77"/>
      <c r="AP2069" s="77"/>
      <c r="AQ2069" s="77"/>
      <c r="AR2069" s="77"/>
      <c r="AS2069" s="77"/>
      <c r="AT2069" s="82"/>
    </row>
    <row r="2070" spans="1:46" ht="12.5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3"/>
      <c r="Q2070" s="1"/>
      <c r="R2070" s="1"/>
      <c r="S2070" s="1"/>
      <c r="T2070" s="1"/>
      <c r="U2070" s="1"/>
      <c r="V2070" s="76"/>
      <c r="W2070" s="76"/>
      <c r="X2070" s="77"/>
      <c r="Y2070" s="77"/>
      <c r="Z2070" s="76"/>
      <c r="AA2070" s="76"/>
      <c r="AB2070" s="77"/>
      <c r="AC2070" s="77"/>
      <c r="AD2070" s="76"/>
      <c r="AE2070" s="76"/>
      <c r="AF2070" s="77"/>
      <c r="AG2070" s="77"/>
      <c r="AH2070" s="76"/>
      <c r="AI2070" s="76"/>
      <c r="AJ2070" s="77"/>
      <c r="AK2070" s="77"/>
      <c r="AL2070" s="77"/>
      <c r="AM2070" s="77"/>
      <c r="AN2070" s="77"/>
      <c r="AO2070" s="77"/>
      <c r="AP2070" s="77"/>
      <c r="AQ2070" s="77"/>
      <c r="AR2070" s="77"/>
      <c r="AS2070" s="77"/>
      <c r="AT2070" s="82"/>
    </row>
    <row r="2071" spans="1:46" ht="12.5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3"/>
      <c r="Q2071" s="1"/>
      <c r="R2071" s="1"/>
      <c r="S2071" s="1"/>
      <c r="T2071" s="1"/>
      <c r="U2071" s="1"/>
      <c r="V2071" s="76"/>
      <c r="W2071" s="76"/>
      <c r="X2071" s="77"/>
      <c r="Y2071" s="77"/>
      <c r="Z2071" s="76"/>
      <c r="AA2071" s="76"/>
      <c r="AB2071" s="77"/>
      <c r="AC2071" s="77"/>
      <c r="AD2071" s="76"/>
      <c r="AE2071" s="76"/>
      <c r="AF2071" s="77"/>
      <c r="AG2071" s="77"/>
      <c r="AH2071" s="76"/>
      <c r="AI2071" s="76"/>
      <c r="AJ2071" s="77"/>
      <c r="AK2071" s="77"/>
      <c r="AL2071" s="77"/>
      <c r="AM2071" s="77"/>
      <c r="AN2071" s="77"/>
      <c r="AO2071" s="77"/>
      <c r="AP2071" s="77"/>
      <c r="AQ2071" s="77"/>
      <c r="AR2071" s="77"/>
      <c r="AS2071" s="77"/>
      <c r="AT2071" s="82"/>
    </row>
    <row r="2072" spans="1:46" ht="12.5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3"/>
      <c r="Q2072" s="1"/>
      <c r="R2072" s="1"/>
      <c r="S2072" s="1"/>
      <c r="T2072" s="1"/>
      <c r="U2072" s="1"/>
      <c r="V2072" s="76"/>
      <c r="W2072" s="76"/>
      <c r="X2072" s="77"/>
      <c r="Y2072" s="77"/>
      <c r="Z2072" s="76"/>
      <c r="AA2072" s="76"/>
      <c r="AB2072" s="77"/>
      <c r="AC2072" s="77"/>
      <c r="AD2072" s="76"/>
      <c r="AE2072" s="76"/>
      <c r="AF2072" s="77"/>
      <c r="AG2072" s="77"/>
      <c r="AH2072" s="76"/>
      <c r="AI2072" s="76"/>
      <c r="AJ2072" s="77"/>
      <c r="AK2072" s="77"/>
      <c r="AL2072" s="77"/>
      <c r="AM2072" s="77"/>
      <c r="AN2072" s="77"/>
      <c r="AO2072" s="77"/>
      <c r="AP2072" s="77"/>
      <c r="AQ2072" s="77"/>
      <c r="AR2072" s="77"/>
      <c r="AS2072" s="77"/>
      <c r="AT2072" s="82"/>
    </row>
    <row r="2073" spans="1:46" ht="12.5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3"/>
      <c r="Q2073" s="1"/>
      <c r="R2073" s="1"/>
      <c r="S2073" s="1"/>
      <c r="T2073" s="1"/>
      <c r="U2073" s="1"/>
      <c r="V2073" s="76"/>
      <c r="W2073" s="76"/>
      <c r="X2073" s="77"/>
      <c r="Y2073" s="77"/>
      <c r="Z2073" s="76"/>
      <c r="AA2073" s="76"/>
      <c r="AB2073" s="77"/>
      <c r="AC2073" s="77"/>
      <c r="AD2073" s="76"/>
      <c r="AE2073" s="76"/>
      <c r="AF2073" s="77"/>
      <c r="AG2073" s="77"/>
      <c r="AH2073" s="76"/>
      <c r="AI2073" s="76"/>
      <c r="AJ2073" s="77"/>
      <c r="AK2073" s="77"/>
      <c r="AL2073" s="77"/>
      <c r="AM2073" s="77"/>
      <c r="AN2073" s="77"/>
      <c r="AO2073" s="77"/>
      <c r="AP2073" s="77"/>
      <c r="AQ2073" s="77"/>
      <c r="AR2073" s="77"/>
      <c r="AS2073" s="77"/>
      <c r="AT2073" s="82"/>
    </row>
    <row r="2074" spans="1:46" ht="12.5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3"/>
      <c r="Q2074" s="1"/>
      <c r="R2074" s="1"/>
      <c r="S2074" s="1"/>
      <c r="T2074" s="1"/>
      <c r="U2074" s="1"/>
      <c r="V2074" s="76"/>
      <c r="W2074" s="76"/>
      <c r="X2074" s="77"/>
      <c r="Y2074" s="77"/>
      <c r="Z2074" s="76"/>
      <c r="AA2074" s="76"/>
      <c r="AB2074" s="77"/>
      <c r="AC2074" s="77"/>
      <c r="AD2074" s="76"/>
      <c r="AE2074" s="76"/>
      <c r="AF2074" s="77"/>
      <c r="AG2074" s="77"/>
      <c r="AH2074" s="76"/>
      <c r="AI2074" s="76"/>
      <c r="AJ2074" s="77"/>
      <c r="AK2074" s="77"/>
      <c r="AL2074" s="77"/>
      <c r="AM2074" s="77"/>
      <c r="AN2074" s="77"/>
      <c r="AO2074" s="77"/>
      <c r="AP2074" s="77"/>
      <c r="AQ2074" s="77"/>
      <c r="AR2074" s="77"/>
      <c r="AS2074" s="77"/>
      <c r="AT2074" s="82"/>
    </row>
    <row r="2075" spans="1:46" ht="12.5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3"/>
      <c r="Q2075" s="1"/>
      <c r="R2075" s="1"/>
      <c r="S2075" s="1"/>
      <c r="T2075" s="1"/>
      <c r="U2075" s="1"/>
      <c r="V2075" s="76"/>
      <c r="W2075" s="76"/>
      <c r="X2075" s="77"/>
      <c r="Y2075" s="77"/>
      <c r="Z2075" s="76"/>
      <c r="AA2075" s="76"/>
      <c r="AB2075" s="77"/>
      <c r="AC2075" s="77"/>
      <c r="AD2075" s="76"/>
      <c r="AE2075" s="76"/>
      <c r="AF2075" s="77"/>
      <c r="AG2075" s="77"/>
      <c r="AH2075" s="76"/>
      <c r="AI2075" s="76"/>
      <c r="AJ2075" s="77"/>
      <c r="AK2075" s="77"/>
      <c r="AL2075" s="77"/>
      <c r="AM2075" s="77"/>
      <c r="AN2075" s="77"/>
      <c r="AO2075" s="77"/>
      <c r="AP2075" s="77"/>
      <c r="AQ2075" s="77"/>
      <c r="AR2075" s="77"/>
      <c r="AS2075" s="77"/>
      <c r="AT2075" s="82"/>
    </row>
    <row r="2076" spans="1:46" ht="12.5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3"/>
      <c r="Q2076" s="1"/>
      <c r="R2076" s="1"/>
      <c r="S2076" s="1"/>
      <c r="T2076" s="1"/>
      <c r="U2076" s="1"/>
      <c r="V2076" s="76"/>
      <c r="W2076" s="76"/>
      <c r="X2076" s="77"/>
      <c r="Y2076" s="77"/>
      <c r="Z2076" s="76"/>
      <c r="AA2076" s="76"/>
      <c r="AB2076" s="77"/>
      <c r="AC2076" s="77"/>
      <c r="AD2076" s="76"/>
      <c r="AE2076" s="76"/>
      <c r="AF2076" s="77"/>
      <c r="AG2076" s="77"/>
      <c r="AH2076" s="76"/>
      <c r="AI2076" s="76"/>
      <c r="AJ2076" s="77"/>
      <c r="AK2076" s="77"/>
      <c r="AL2076" s="77"/>
      <c r="AM2076" s="77"/>
      <c r="AN2076" s="77"/>
      <c r="AO2076" s="77"/>
      <c r="AP2076" s="77"/>
      <c r="AQ2076" s="77"/>
      <c r="AR2076" s="77"/>
      <c r="AS2076" s="77"/>
      <c r="AT2076" s="82"/>
    </row>
    <row r="2077" spans="1:46" ht="12.5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3"/>
      <c r="Q2077" s="1"/>
      <c r="R2077" s="1"/>
      <c r="S2077" s="1"/>
      <c r="T2077" s="1"/>
      <c r="U2077" s="1"/>
      <c r="V2077" s="76"/>
      <c r="W2077" s="76"/>
      <c r="X2077" s="77"/>
      <c r="Y2077" s="77"/>
      <c r="Z2077" s="76"/>
      <c r="AA2077" s="76"/>
      <c r="AB2077" s="77"/>
      <c r="AC2077" s="77"/>
      <c r="AD2077" s="76"/>
      <c r="AE2077" s="76"/>
      <c r="AF2077" s="77"/>
      <c r="AG2077" s="77"/>
      <c r="AH2077" s="76"/>
      <c r="AI2077" s="76"/>
      <c r="AJ2077" s="77"/>
      <c r="AK2077" s="77"/>
      <c r="AL2077" s="77"/>
      <c r="AM2077" s="77"/>
      <c r="AN2077" s="77"/>
      <c r="AO2077" s="77"/>
      <c r="AP2077" s="77"/>
      <c r="AQ2077" s="77"/>
      <c r="AR2077" s="77"/>
      <c r="AS2077" s="77"/>
      <c r="AT2077" s="82"/>
    </row>
    <row r="2078" spans="1:46" ht="12.5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3"/>
      <c r="Q2078" s="1"/>
      <c r="R2078" s="1"/>
      <c r="S2078" s="1"/>
      <c r="T2078" s="1"/>
      <c r="U2078" s="1"/>
      <c r="V2078" s="76"/>
      <c r="W2078" s="76"/>
      <c r="X2078" s="77"/>
      <c r="Y2078" s="77"/>
      <c r="Z2078" s="76"/>
      <c r="AA2078" s="76"/>
      <c r="AB2078" s="77"/>
      <c r="AC2078" s="77"/>
      <c r="AD2078" s="76"/>
      <c r="AE2078" s="76"/>
      <c r="AF2078" s="77"/>
      <c r="AG2078" s="77"/>
      <c r="AH2078" s="76"/>
      <c r="AI2078" s="76"/>
      <c r="AJ2078" s="77"/>
      <c r="AK2078" s="77"/>
      <c r="AL2078" s="77"/>
      <c r="AM2078" s="77"/>
      <c r="AN2078" s="77"/>
      <c r="AO2078" s="77"/>
      <c r="AP2078" s="77"/>
      <c r="AQ2078" s="77"/>
      <c r="AR2078" s="77"/>
      <c r="AS2078" s="77"/>
      <c r="AT2078" s="82"/>
    </row>
    <row r="2079" spans="1:46" ht="12.5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3"/>
      <c r="Q2079" s="1"/>
      <c r="R2079" s="1"/>
      <c r="S2079" s="1"/>
      <c r="T2079" s="1"/>
      <c r="U2079" s="1"/>
      <c r="V2079" s="76"/>
      <c r="W2079" s="76"/>
      <c r="X2079" s="77"/>
      <c r="Y2079" s="77"/>
      <c r="Z2079" s="76"/>
      <c r="AA2079" s="76"/>
      <c r="AB2079" s="77"/>
      <c r="AC2079" s="77"/>
      <c r="AD2079" s="76"/>
      <c r="AE2079" s="76"/>
      <c r="AF2079" s="77"/>
      <c r="AG2079" s="77"/>
      <c r="AH2079" s="76"/>
      <c r="AI2079" s="76"/>
      <c r="AJ2079" s="77"/>
      <c r="AK2079" s="77"/>
      <c r="AL2079" s="77"/>
      <c r="AM2079" s="77"/>
      <c r="AN2079" s="77"/>
      <c r="AO2079" s="77"/>
      <c r="AP2079" s="77"/>
      <c r="AQ2079" s="77"/>
      <c r="AR2079" s="77"/>
      <c r="AS2079" s="77"/>
      <c r="AT2079" s="82"/>
    </row>
    <row r="2080" spans="1:46" ht="12.5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3"/>
      <c r="Q2080" s="1"/>
      <c r="R2080" s="1"/>
      <c r="S2080" s="1"/>
      <c r="T2080" s="1"/>
      <c r="U2080" s="1"/>
      <c r="V2080" s="76"/>
      <c r="W2080" s="76"/>
      <c r="X2080" s="77"/>
      <c r="Y2080" s="77"/>
      <c r="Z2080" s="76"/>
      <c r="AA2080" s="76"/>
      <c r="AB2080" s="77"/>
      <c r="AC2080" s="77"/>
      <c r="AD2080" s="76"/>
      <c r="AE2080" s="76"/>
      <c r="AF2080" s="77"/>
      <c r="AG2080" s="77"/>
      <c r="AH2080" s="76"/>
      <c r="AI2080" s="76"/>
      <c r="AJ2080" s="77"/>
      <c r="AK2080" s="77"/>
      <c r="AL2080" s="77"/>
      <c r="AM2080" s="77"/>
      <c r="AN2080" s="77"/>
      <c r="AO2080" s="77"/>
      <c r="AP2080" s="77"/>
      <c r="AQ2080" s="77"/>
      <c r="AR2080" s="77"/>
      <c r="AS2080" s="77"/>
      <c r="AT2080" s="82"/>
    </row>
    <row r="2081" spans="1:46" ht="12.5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3"/>
      <c r="Q2081" s="1"/>
      <c r="R2081" s="1"/>
      <c r="S2081" s="1"/>
      <c r="T2081" s="1"/>
      <c r="U2081" s="1"/>
      <c r="V2081" s="76"/>
      <c r="W2081" s="76"/>
      <c r="X2081" s="77"/>
      <c r="Y2081" s="77"/>
      <c r="Z2081" s="76"/>
      <c r="AA2081" s="76"/>
      <c r="AB2081" s="77"/>
      <c r="AC2081" s="77"/>
      <c r="AD2081" s="76"/>
      <c r="AE2081" s="76"/>
      <c r="AF2081" s="77"/>
      <c r="AG2081" s="77"/>
      <c r="AH2081" s="76"/>
      <c r="AI2081" s="76"/>
      <c r="AJ2081" s="77"/>
      <c r="AK2081" s="77"/>
      <c r="AL2081" s="77"/>
      <c r="AM2081" s="77"/>
      <c r="AN2081" s="77"/>
      <c r="AO2081" s="77"/>
      <c r="AP2081" s="77"/>
      <c r="AQ2081" s="77"/>
      <c r="AR2081" s="77"/>
      <c r="AS2081" s="77"/>
      <c r="AT2081" s="82"/>
    </row>
    <row r="2082" spans="1:46" ht="12.5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3"/>
      <c r="Q2082" s="1"/>
      <c r="R2082" s="1"/>
      <c r="S2082" s="1"/>
      <c r="T2082" s="1"/>
      <c r="U2082" s="1"/>
      <c r="V2082" s="76"/>
      <c r="W2082" s="76"/>
      <c r="X2082" s="77"/>
      <c r="Y2082" s="77"/>
      <c r="Z2082" s="76"/>
      <c r="AA2082" s="76"/>
      <c r="AB2082" s="77"/>
      <c r="AC2082" s="77"/>
      <c r="AD2082" s="76"/>
      <c r="AE2082" s="76"/>
      <c r="AF2082" s="77"/>
      <c r="AG2082" s="77"/>
      <c r="AH2082" s="76"/>
      <c r="AI2082" s="76"/>
      <c r="AJ2082" s="77"/>
      <c r="AK2082" s="77"/>
      <c r="AL2082" s="77"/>
      <c r="AM2082" s="77"/>
      <c r="AN2082" s="77"/>
      <c r="AO2082" s="77"/>
      <c r="AP2082" s="77"/>
      <c r="AQ2082" s="77"/>
      <c r="AR2082" s="77"/>
      <c r="AS2082" s="77"/>
      <c r="AT2082" s="82"/>
    </row>
    <row r="2083" spans="1:46" ht="12.5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3"/>
      <c r="Q2083" s="1"/>
      <c r="R2083" s="1"/>
      <c r="S2083" s="1"/>
      <c r="T2083" s="1"/>
      <c r="U2083" s="1"/>
      <c r="V2083" s="76"/>
      <c r="W2083" s="76"/>
      <c r="X2083" s="77"/>
      <c r="Y2083" s="77"/>
      <c r="Z2083" s="76"/>
      <c r="AA2083" s="76"/>
      <c r="AB2083" s="77"/>
      <c r="AC2083" s="77"/>
      <c r="AD2083" s="76"/>
      <c r="AE2083" s="76"/>
      <c r="AF2083" s="77"/>
      <c r="AG2083" s="77"/>
      <c r="AH2083" s="76"/>
      <c r="AI2083" s="76"/>
      <c r="AJ2083" s="77"/>
      <c r="AK2083" s="77"/>
      <c r="AL2083" s="77"/>
      <c r="AM2083" s="77"/>
      <c r="AN2083" s="77"/>
      <c r="AO2083" s="77"/>
      <c r="AP2083" s="77"/>
      <c r="AQ2083" s="77"/>
      <c r="AR2083" s="77"/>
      <c r="AS2083" s="77"/>
      <c r="AT2083" s="82"/>
    </row>
    <row r="2084" spans="1:46" ht="12.5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3"/>
      <c r="Q2084" s="1"/>
      <c r="R2084" s="1"/>
      <c r="S2084" s="1"/>
      <c r="T2084" s="1"/>
      <c r="U2084" s="1"/>
      <c r="V2084" s="76"/>
      <c r="W2084" s="76"/>
      <c r="X2084" s="77"/>
      <c r="Y2084" s="77"/>
      <c r="Z2084" s="76"/>
      <c r="AA2084" s="76"/>
      <c r="AB2084" s="77"/>
      <c r="AC2084" s="77"/>
      <c r="AD2084" s="76"/>
      <c r="AE2084" s="76"/>
      <c r="AF2084" s="77"/>
      <c r="AG2084" s="77"/>
      <c r="AH2084" s="76"/>
      <c r="AI2084" s="76"/>
      <c r="AJ2084" s="77"/>
      <c r="AK2084" s="77"/>
      <c r="AL2084" s="77"/>
      <c r="AM2084" s="77"/>
      <c r="AN2084" s="77"/>
      <c r="AO2084" s="77"/>
      <c r="AP2084" s="77"/>
      <c r="AQ2084" s="77"/>
      <c r="AR2084" s="77"/>
      <c r="AS2084" s="77"/>
      <c r="AT2084" s="82"/>
    </row>
    <row r="2085" spans="1:46" ht="12.5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3"/>
      <c r="Q2085" s="1"/>
      <c r="R2085" s="1"/>
      <c r="S2085" s="1"/>
      <c r="T2085" s="1"/>
      <c r="U2085" s="1"/>
      <c r="V2085" s="76"/>
      <c r="W2085" s="76"/>
      <c r="X2085" s="77"/>
      <c r="Y2085" s="77"/>
      <c r="Z2085" s="76"/>
      <c r="AA2085" s="76"/>
      <c r="AB2085" s="77"/>
      <c r="AC2085" s="77"/>
      <c r="AD2085" s="76"/>
      <c r="AE2085" s="76"/>
      <c r="AF2085" s="77"/>
      <c r="AG2085" s="77"/>
      <c r="AH2085" s="76"/>
      <c r="AI2085" s="76"/>
      <c r="AJ2085" s="77"/>
      <c r="AK2085" s="77"/>
      <c r="AL2085" s="77"/>
      <c r="AM2085" s="77"/>
      <c r="AN2085" s="77"/>
      <c r="AO2085" s="77"/>
      <c r="AP2085" s="77"/>
      <c r="AQ2085" s="77"/>
      <c r="AR2085" s="77"/>
      <c r="AS2085" s="77"/>
      <c r="AT2085" s="82"/>
    </row>
    <row r="2086" spans="1:46" ht="12.5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3"/>
      <c r="Q2086" s="1"/>
      <c r="R2086" s="1"/>
      <c r="S2086" s="1"/>
      <c r="T2086" s="1"/>
      <c r="U2086" s="1"/>
      <c r="V2086" s="76"/>
      <c r="W2086" s="76"/>
      <c r="X2086" s="77"/>
      <c r="Y2086" s="77"/>
      <c r="Z2086" s="76"/>
      <c r="AA2086" s="76"/>
      <c r="AB2086" s="77"/>
      <c r="AC2086" s="77"/>
      <c r="AD2086" s="76"/>
      <c r="AE2086" s="76"/>
      <c r="AF2086" s="77"/>
      <c r="AG2086" s="77"/>
      <c r="AH2086" s="76"/>
      <c r="AI2086" s="76"/>
      <c r="AJ2086" s="77"/>
      <c r="AK2086" s="77"/>
      <c r="AL2086" s="77"/>
      <c r="AM2086" s="77"/>
      <c r="AN2086" s="77"/>
      <c r="AO2086" s="77"/>
      <c r="AP2086" s="77"/>
      <c r="AQ2086" s="77"/>
      <c r="AR2086" s="77"/>
      <c r="AS2086" s="77"/>
      <c r="AT2086" s="82"/>
    </row>
    <row r="2087" spans="1:46" ht="12.5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3"/>
      <c r="Q2087" s="1"/>
      <c r="R2087" s="1"/>
      <c r="S2087" s="1"/>
      <c r="T2087" s="1"/>
      <c r="U2087" s="1"/>
      <c r="V2087" s="76"/>
      <c r="W2087" s="76"/>
      <c r="X2087" s="77"/>
      <c r="Y2087" s="77"/>
      <c r="Z2087" s="76"/>
      <c r="AA2087" s="76"/>
      <c r="AB2087" s="77"/>
      <c r="AC2087" s="77"/>
      <c r="AD2087" s="76"/>
      <c r="AE2087" s="76"/>
      <c r="AF2087" s="77"/>
      <c r="AG2087" s="77"/>
      <c r="AH2087" s="76"/>
      <c r="AI2087" s="76"/>
      <c r="AJ2087" s="77"/>
      <c r="AK2087" s="77"/>
      <c r="AL2087" s="77"/>
      <c r="AM2087" s="77"/>
      <c r="AN2087" s="77"/>
      <c r="AO2087" s="77"/>
      <c r="AP2087" s="77"/>
      <c r="AQ2087" s="77"/>
      <c r="AR2087" s="77"/>
      <c r="AS2087" s="77"/>
      <c r="AT2087" s="82"/>
    </row>
    <row r="2088" spans="1:46" ht="12.5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3"/>
      <c r="Q2088" s="1"/>
      <c r="R2088" s="1"/>
      <c r="S2088" s="1"/>
      <c r="T2088" s="1"/>
      <c r="U2088" s="1"/>
      <c r="V2088" s="76"/>
      <c r="W2088" s="76"/>
      <c r="X2088" s="77"/>
      <c r="Y2088" s="77"/>
      <c r="Z2088" s="76"/>
      <c r="AA2088" s="76"/>
      <c r="AB2088" s="77"/>
      <c r="AC2088" s="77"/>
      <c r="AD2088" s="76"/>
      <c r="AE2088" s="76"/>
      <c r="AF2088" s="77"/>
      <c r="AG2088" s="77"/>
      <c r="AH2088" s="76"/>
      <c r="AI2088" s="76"/>
      <c r="AJ2088" s="77"/>
      <c r="AK2088" s="77"/>
      <c r="AL2088" s="77"/>
      <c r="AM2088" s="77"/>
      <c r="AN2088" s="77"/>
      <c r="AO2088" s="77"/>
      <c r="AP2088" s="77"/>
      <c r="AQ2088" s="77"/>
      <c r="AR2088" s="77"/>
      <c r="AS2088" s="77"/>
      <c r="AT2088" s="82"/>
    </row>
    <row r="2089" spans="1:46" ht="12.5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3"/>
      <c r="Q2089" s="1"/>
      <c r="R2089" s="1"/>
      <c r="S2089" s="1"/>
      <c r="T2089" s="1"/>
      <c r="U2089" s="1"/>
      <c r="V2089" s="76"/>
      <c r="W2089" s="76"/>
      <c r="X2089" s="77"/>
      <c r="Y2089" s="77"/>
      <c r="Z2089" s="76"/>
      <c r="AA2089" s="76"/>
      <c r="AB2089" s="77"/>
      <c r="AC2089" s="77"/>
      <c r="AD2089" s="76"/>
      <c r="AE2089" s="76"/>
      <c r="AF2089" s="77"/>
      <c r="AG2089" s="77"/>
      <c r="AH2089" s="76"/>
      <c r="AI2089" s="76"/>
      <c r="AJ2089" s="77"/>
      <c r="AK2089" s="77"/>
      <c r="AL2089" s="77"/>
      <c r="AM2089" s="77"/>
      <c r="AN2089" s="77"/>
      <c r="AO2089" s="77"/>
      <c r="AP2089" s="77"/>
      <c r="AQ2089" s="77"/>
      <c r="AR2089" s="77"/>
      <c r="AS2089" s="77"/>
      <c r="AT2089" s="82"/>
    </row>
    <row r="2090" spans="1:46" ht="12.5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3"/>
      <c r="Q2090" s="1"/>
      <c r="R2090" s="1"/>
      <c r="S2090" s="1"/>
      <c r="T2090" s="1"/>
      <c r="U2090" s="1"/>
      <c r="V2090" s="76"/>
      <c r="W2090" s="76"/>
      <c r="X2090" s="77"/>
      <c r="Y2090" s="77"/>
      <c r="Z2090" s="76"/>
      <c r="AA2090" s="76"/>
      <c r="AB2090" s="77"/>
      <c r="AC2090" s="77"/>
      <c r="AD2090" s="76"/>
      <c r="AE2090" s="76"/>
      <c r="AF2090" s="77"/>
      <c r="AG2090" s="77"/>
      <c r="AH2090" s="76"/>
      <c r="AI2090" s="76"/>
      <c r="AJ2090" s="77"/>
      <c r="AK2090" s="77"/>
      <c r="AL2090" s="77"/>
      <c r="AM2090" s="77"/>
      <c r="AN2090" s="77"/>
      <c r="AO2090" s="77"/>
      <c r="AP2090" s="77"/>
      <c r="AQ2090" s="77"/>
      <c r="AR2090" s="77"/>
      <c r="AS2090" s="77"/>
      <c r="AT2090" s="82"/>
    </row>
    <row r="2091" spans="1:46" ht="12.5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3"/>
      <c r="Q2091" s="1"/>
      <c r="R2091" s="1"/>
      <c r="S2091" s="1"/>
      <c r="T2091" s="1"/>
      <c r="U2091" s="1"/>
      <c r="V2091" s="76"/>
      <c r="W2091" s="76"/>
      <c r="X2091" s="77"/>
      <c r="Y2091" s="77"/>
      <c r="Z2091" s="76"/>
      <c r="AA2091" s="76"/>
      <c r="AB2091" s="77"/>
      <c r="AC2091" s="77"/>
      <c r="AD2091" s="76"/>
      <c r="AE2091" s="76"/>
      <c r="AF2091" s="77"/>
      <c r="AG2091" s="77"/>
      <c r="AH2091" s="76"/>
      <c r="AI2091" s="76"/>
      <c r="AJ2091" s="77"/>
      <c r="AK2091" s="77"/>
      <c r="AL2091" s="77"/>
      <c r="AM2091" s="77"/>
      <c r="AN2091" s="77"/>
      <c r="AO2091" s="77"/>
      <c r="AP2091" s="77"/>
      <c r="AQ2091" s="77"/>
      <c r="AR2091" s="77"/>
      <c r="AS2091" s="77"/>
      <c r="AT2091" s="82"/>
    </row>
    <row r="2092" spans="1:46" ht="12.5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3"/>
      <c r="Q2092" s="1"/>
      <c r="R2092" s="1"/>
      <c r="S2092" s="1"/>
      <c r="T2092" s="1"/>
      <c r="U2092" s="1"/>
      <c r="V2092" s="76"/>
      <c r="W2092" s="76"/>
      <c r="X2092" s="77"/>
      <c r="Y2092" s="77"/>
      <c r="Z2092" s="76"/>
      <c r="AA2092" s="76"/>
      <c r="AB2092" s="77"/>
      <c r="AC2092" s="77"/>
      <c r="AD2092" s="76"/>
      <c r="AE2092" s="76"/>
      <c r="AF2092" s="77"/>
      <c r="AG2092" s="77"/>
      <c r="AH2092" s="76"/>
      <c r="AI2092" s="76"/>
      <c r="AJ2092" s="77"/>
      <c r="AK2092" s="77"/>
      <c r="AL2092" s="77"/>
      <c r="AM2092" s="77"/>
      <c r="AN2092" s="77"/>
      <c r="AO2092" s="77"/>
      <c r="AP2092" s="77"/>
      <c r="AQ2092" s="77"/>
      <c r="AR2092" s="77"/>
      <c r="AS2092" s="77"/>
      <c r="AT2092" s="82"/>
    </row>
    <row r="2093" spans="1:46" ht="12.5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3"/>
      <c r="Q2093" s="1"/>
      <c r="R2093" s="1"/>
      <c r="S2093" s="1"/>
      <c r="T2093" s="1"/>
      <c r="U2093" s="1"/>
      <c r="V2093" s="76"/>
      <c r="W2093" s="76"/>
      <c r="X2093" s="77"/>
      <c r="Y2093" s="77"/>
      <c r="Z2093" s="76"/>
      <c r="AA2093" s="76"/>
      <c r="AB2093" s="77"/>
      <c r="AC2093" s="77"/>
      <c r="AD2093" s="76"/>
      <c r="AE2093" s="76"/>
      <c r="AF2093" s="77"/>
      <c r="AG2093" s="77"/>
      <c r="AH2093" s="76"/>
      <c r="AI2093" s="76"/>
      <c r="AJ2093" s="77"/>
      <c r="AK2093" s="77"/>
      <c r="AL2093" s="77"/>
      <c r="AM2093" s="77"/>
      <c r="AN2093" s="77"/>
      <c r="AO2093" s="77"/>
      <c r="AP2093" s="77"/>
      <c r="AQ2093" s="77"/>
      <c r="AR2093" s="77"/>
      <c r="AS2093" s="77"/>
      <c r="AT2093" s="82"/>
    </row>
    <row r="2094" spans="1:46" ht="12.5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3"/>
      <c r="Q2094" s="1"/>
      <c r="R2094" s="1"/>
      <c r="S2094" s="1"/>
      <c r="T2094" s="1"/>
      <c r="U2094" s="1"/>
      <c r="V2094" s="76"/>
      <c r="W2094" s="76"/>
      <c r="X2094" s="77"/>
      <c r="Y2094" s="77"/>
      <c r="Z2094" s="76"/>
      <c r="AA2094" s="76"/>
      <c r="AB2094" s="77"/>
      <c r="AC2094" s="77"/>
      <c r="AD2094" s="76"/>
      <c r="AE2094" s="76"/>
      <c r="AF2094" s="77"/>
      <c r="AG2094" s="77"/>
      <c r="AH2094" s="76"/>
      <c r="AI2094" s="76"/>
      <c r="AJ2094" s="77"/>
      <c r="AK2094" s="77"/>
      <c r="AL2094" s="77"/>
      <c r="AM2094" s="77"/>
      <c r="AN2094" s="77"/>
      <c r="AO2094" s="77"/>
      <c r="AP2094" s="77"/>
      <c r="AQ2094" s="77"/>
      <c r="AR2094" s="77"/>
      <c r="AS2094" s="77"/>
      <c r="AT2094" s="82"/>
    </row>
    <row r="2095" spans="1:46" ht="12.5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3"/>
      <c r="Q2095" s="1"/>
      <c r="R2095" s="1"/>
      <c r="S2095" s="1"/>
      <c r="T2095" s="1"/>
      <c r="U2095" s="1"/>
      <c r="V2095" s="76"/>
      <c r="W2095" s="76"/>
      <c r="X2095" s="77"/>
      <c r="Y2095" s="77"/>
      <c r="Z2095" s="76"/>
      <c r="AA2095" s="76"/>
      <c r="AB2095" s="77"/>
      <c r="AC2095" s="77"/>
      <c r="AD2095" s="76"/>
      <c r="AE2095" s="76"/>
      <c r="AF2095" s="77"/>
      <c r="AG2095" s="77"/>
      <c r="AH2095" s="76"/>
      <c r="AI2095" s="76"/>
      <c r="AJ2095" s="77"/>
      <c r="AK2095" s="77"/>
      <c r="AL2095" s="77"/>
      <c r="AM2095" s="77"/>
      <c r="AN2095" s="77"/>
      <c r="AO2095" s="77"/>
      <c r="AP2095" s="77"/>
      <c r="AQ2095" s="77"/>
      <c r="AR2095" s="77"/>
      <c r="AS2095" s="77"/>
      <c r="AT2095" s="82"/>
    </row>
    <row r="2096" spans="1:46" ht="12.5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3"/>
      <c r="Q2096" s="1"/>
      <c r="R2096" s="1"/>
      <c r="S2096" s="1"/>
      <c r="T2096" s="1"/>
      <c r="U2096" s="1"/>
      <c r="V2096" s="76"/>
      <c r="W2096" s="76"/>
      <c r="X2096" s="77"/>
      <c r="Y2096" s="77"/>
      <c r="Z2096" s="76"/>
      <c r="AA2096" s="76"/>
      <c r="AB2096" s="77"/>
      <c r="AC2096" s="77"/>
      <c r="AD2096" s="76"/>
      <c r="AE2096" s="76"/>
      <c r="AF2096" s="77"/>
      <c r="AG2096" s="77"/>
      <c r="AH2096" s="76"/>
      <c r="AI2096" s="76"/>
      <c r="AJ2096" s="77"/>
      <c r="AK2096" s="77"/>
      <c r="AL2096" s="77"/>
      <c r="AM2096" s="77"/>
      <c r="AN2096" s="77"/>
      <c r="AO2096" s="77"/>
      <c r="AP2096" s="77"/>
      <c r="AQ2096" s="77"/>
      <c r="AR2096" s="77"/>
      <c r="AS2096" s="77"/>
      <c r="AT2096" s="82"/>
    </row>
    <row r="2097" spans="1:46" ht="12.5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3"/>
      <c r="Q2097" s="1"/>
      <c r="R2097" s="1"/>
      <c r="S2097" s="1"/>
      <c r="T2097" s="1"/>
      <c r="U2097" s="1"/>
      <c r="V2097" s="76"/>
      <c r="W2097" s="76"/>
      <c r="X2097" s="77"/>
      <c r="Y2097" s="77"/>
      <c r="Z2097" s="76"/>
      <c r="AA2097" s="76"/>
      <c r="AB2097" s="77"/>
      <c r="AC2097" s="77"/>
      <c r="AD2097" s="76"/>
      <c r="AE2097" s="76"/>
      <c r="AF2097" s="77"/>
      <c r="AG2097" s="77"/>
      <c r="AH2097" s="76"/>
      <c r="AI2097" s="76"/>
      <c r="AJ2097" s="77"/>
      <c r="AK2097" s="77"/>
      <c r="AL2097" s="77"/>
      <c r="AM2097" s="77"/>
      <c r="AN2097" s="77"/>
      <c r="AO2097" s="77"/>
      <c r="AP2097" s="77"/>
      <c r="AQ2097" s="77"/>
      <c r="AR2097" s="77"/>
      <c r="AS2097" s="77"/>
      <c r="AT2097" s="82"/>
    </row>
    <row r="2098" spans="1:46" ht="12.5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3"/>
      <c r="Q2098" s="1"/>
      <c r="R2098" s="1"/>
      <c r="S2098" s="1"/>
      <c r="T2098" s="1"/>
      <c r="U2098" s="1"/>
      <c r="V2098" s="76"/>
      <c r="W2098" s="76"/>
      <c r="X2098" s="77"/>
      <c r="Y2098" s="77"/>
      <c r="Z2098" s="76"/>
      <c r="AA2098" s="76"/>
      <c r="AB2098" s="77"/>
      <c r="AC2098" s="77"/>
      <c r="AD2098" s="76"/>
      <c r="AE2098" s="76"/>
      <c r="AF2098" s="77"/>
      <c r="AG2098" s="77"/>
      <c r="AH2098" s="76"/>
      <c r="AI2098" s="76"/>
      <c r="AJ2098" s="77"/>
      <c r="AK2098" s="77"/>
      <c r="AL2098" s="77"/>
      <c r="AM2098" s="77"/>
      <c r="AN2098" s="77"/>
      <c r="AO2098" s="77"/>
      <c r="AP2098" s="77"/>
      <c r="AQ2098" s="77"/>
      <c r="AR2098" s="77"/>
      <c r="AS2098" s="77"/>
      <c r="AT2098" s="82"/>
    </row>
    <row r="2099" spans="1:46" ht="12.5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3"/>
      <c r="Q2099" s="1"/>
      <c r="R2099" s="1"/>
      <c r="S2099" s="1"/>
      <c r="T2099" s="1"/>
      <c r="U2099" s="1"/>
      <c r="V2099" s="76"/>
      <c r="W2099" s="76"/>
      <c r="X2099" s="77"/>
      <c r="Y2099" s="77"/>
      <c r="Z2099" s="76"/>
      <c r="AA2099" s="76"/>
      <c r="AB2099" s="77"/>
      <c r="AC2099" s="77"/>
      <c r="AD2099" s="76"/>
      <c r="AE2099" s="76"/>
      <c r="AF2099" s="77"/>
      <c r="AG2099" s="77"/>
      <c r="AH2099" s="76"/>
      <c r="AI2099" s="76"/>
      <c r="AJ2099" s="77"/>
      <c r="AK2099" s="77"/>
      <c r="AL2099" s="77"/>
      <c r="AM2099" s="77"/>
      <c r="AN2099" s="77"/>
      <c r="AO2099" s="77"/>
      <c r="AP2099" s="77"/>
      <c r="AQ2099" s="77"/>
      <c r="AR2099" s="77"/>
      <c r="AS2099" s="77"/>
      <c r="AT2099" s="82"/>
    </row>
    <row r="2100" spans="1:46" ht="12.5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3"/>
      <c r="Q2100" s="1"/>
      <c r="R2100" s="1"/>
      <c r="S2100" s="1"/>
      <c r="T2100" s="1"/>
      <c r="U2100" s="1"/>
      <c r="V2100" s="76"/>
      <c r="W2100" s="76"/>
      <c r="X2100" s="77"/>
      <c r="Y2100" s="77"/>
      <c r="Z2100" s="76"/>
      <c r="AA2100" s="76"/>
      <c r="AB2100" s="77"/>
      <c r="AC2100" s="77"/>
      <c r="AD2100" s="76"/>
      <c r="AE2100" s="76"/>
      <c r="AF2100" s="77"/>
      <c r="AG2100" s="77"/>
      <c r="AH2100" s="76"/>
      <c r="AI2100" s="76"/>
      <c r="AJ2100" s="77"/>
      <c r="AK2100" s="77"/>
      <c r="AL2100" s="77"/>
      <c r="AM2100" s="77"/>
      <c r="AN2100" s="77"/>
      <c r="AO2100" s="77"/>
      <c r="AP2100" s="77"/>
      <c r="AQ2100" s="77"/>
      <c r="AR2100" s="77"/>
      <c r="AS2100" s="77"/>
      <c r="AT2100" s="82"/>
    </row>
    <row r="2101" spans="1:46" ht="12.5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3"/>
      <c r="Q2101" s="1"/>
      <c r="R2101" s="1"/>
      <c r="S2101" s="1"/>
      <c r="T2101" s="1"/>
      <c r="U2101" s="1"/>
      <c r="V2101" s="76"/>
      <c r="W2101" s="76"/>
      <c r="X2101" s="77"/>
      <c r="Y2101" s="77"/>
      <c r="Z2101" s="76"/>
      <c r="AA2101" s="76"/>
      <c r="AB2101" s="77"/>
      <c r="AC2101" s="77"/>
      <c r="AD2101" s="76"/>
      <c r="AE2101" s="76"/>
      <c r="AF2101" s="77"/>
      <c r="AG2101" s="77"/>
      <c r="AH2101" s="76"/>
      <c r="AI2101" s="76"/>
      <c r="AJ2101" s="77"/>
      <c r="AK2101" s="77"/>
      <c r="AL2101" s="77"/>
      <c r="AM2101" s="77"/>
      <c r="AN2101" s="77"/>
      <c r="AO2101" s="77"/>
      <c r="AP2101" s="77"/>
      <c r="AQ2101" s="77"/>
      <c r="AR2101" s="77"/>
      <c r="AS2101" s="77"/>
      <c r="AT2101" s="82"/>
    </row>
    <row r="2102" spans="1:46" ht="12.5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3"/>
      <c r="Q2102" s="1"/>
      <c r="R2102" s="1"/>
      <c r="S2102" s="1"/>
      <c r="T2102" s="1"/>
      <c r="U2102" s="1"/>
      <c r="V2102" s="76"/>
      <c r="W2102" s="76"/>
      <c r="X2102" s="77"/>
      <c r="Y2102" s="77"/>
      <c r="Z2102" s="76"/>
      <c r="AA2102" s="76"/>
      <c r="AB2102" s="77"/>
      <c r="AC2102" s="77"/>
      <c r="AD2102" s="76"/>
      <c r="AE2102" s="76"/>
      <c r="AF2102" s="77"/>
      <c r="AG2102" s="77"/>
      <c r="AH2102" s="76"/>
      <c r="AI2102" s="76"/>
      <c r="AJ2102" s="77"/>
      <c r="AK2102" s="77"/>
      <c r="AL2102" s="77"/>
      <c r="AM2102" s="77"/>
      <c r="AN2102" s="77"/>
      <c r="AO2102" s="77"/>
      <c r="AP2102" s="77"/>
      <c r="AQ2102" s="77"/>
      <c r="AR2102" s="77"/>
      <c r="AS2102" s="77"/>
      <c r="AT2102" s="82"/>
    </row>
    <row r="2103" spans="1:46" ht="12.5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3"/>
      <c r="Q2103" s="1"/>
      <c r="R2103" s="1"/>
      <c r="S2103" s="1"/>
      <c r="T2103" s="1"/>
      <c r="U2103" s="1"/>
      <c r="V2103" s="76"/>
      <c r="W2103" s="76"/>
      <c r="X2103" s="77"/>
      <c r="Y2103" s="77"/>
      <c r="Z2103" s="76"/>
      <c r="AA2103" s="76"/>
      <c r="AB2103" s="77"/>
      <c r="AC2103" s="77"/>
      <c r="AD2103" s="76"/>
      <c r="AE2103" s="76"/>
      <c r="AF2103" s="77"/>
      <c r="AG2103" s="77"/>
      <c r="AH2103" s="76"/>
      <c r="AI2103" s="76"/>
      <c r="AJ2103" s="77"/>
      <c r="AK2103" s="77"/>
      <c r="AL2103" s="77"/>
      <c r="AM2103" s="77"/>
      <c r="AN2103" s="77"/>
      <c r="AO2103" s="77"/>
      <c r="AP2103" s="77"/>
      <c r="AQ2103" s="77"/>
      <c r="AR2103" s="77"/>
      <c r="AS2103" s="77"/>
      <c r="AT2103" s="82"/>
    </row>
    <row r="2104" spans="1:46" ht="12.5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3"/>
      <c r="Q2104" s="1"/>
      <c r="R2104" s="1"/>
      <c r="S2104" s="1"/>
      <c r="T2104" s="1"/>
      <c r="U2104" s="1"/>
      <c r="V2104" s="76"/>
      <c r="W2104" s="76"/>
      <c r="X2104" s="77"/>
      <c r="Y2104" s="77"/>
      <c r="Z2104" s="76"/>
      <c r="AA2104" s="76"/>
      <c r="AB2104" s="77"/>
      <c r="AC2104" s="77"/>
      <c r="AD2104" s="76"/>
      <c r="AE2104" s="76"/>
      <c r="AF2104" s="77"/>
      <c r="AG2104" s="77"/>
      <c r="AH2104" s="76"/>
      <c r="AI2104" s="76"/>
      <c r="AJ2104" s="77"/>
      <c r="AK2104" s="77"/>
      <c r="AL2104" s="77"/>
      <c r="AM2104" s="77"/>
      <c r="AN2104" s="77"/>
      <c r="AO2104" s="77"/>
      <c r="AP2104" s="77"/>
      <c r="AQ2104" s="77"/>
      <c r="AR2104" s="77"/>
      <c r="AS2104" s="77"/>
      <c r="AT2104" s="82"/>
    </row>
    <row r="2105" spans="1:46" ht="12.5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3"/>
      <c r="Q2105" s="1"/>
      <c r="R2105" s="1"/>
      <c r="S2105" s="1"/>
      <c r="T2105" s="1"/>
      <c r="U2105" s="1"/>
      <c r="V2105" s="76"/>
      <c r="W2105" s="76"/>
      <c r="X2105" s="77"/>
      <c r="Y2105" s="77"/>
      <c r="Z2105" s="76"/>
      <c r="AA2105" s="76"/>
      <c r="AB2105" s="77"/>
      <c r="AC2105" s="77"/>
      <c r="AD2105" s="76"/>
      <c r="AE2105" s="76"/>
      <c r="AF2105" s="77"/>
      <c r="AG2105" s="77"/>
      <c r="AH2105" s="76"/>
      <c r="AI2105" s="76"/>
      <c r="AJ2105" s="77"/>
      <c r="AK2105" s="77"/>
      <c r="AL2105" s="77"/>
      <c r="AM2105" s="77"/>
      <c r="AN2105" s="77"/>
      <c r="AO2105" s="77"/>
      <c r="AP2105" s="77"/>
      <c r="AQ2105" s="77"/>
      <c r="AR2105" s="77"/>
      <c r="AS2105" s="77"/>
      <c r="AT2105" s="82"/>
    </row>
    <row r="2106" spans="1:46" ht="12.5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3"/>
      <c r="Q2106" s="1"/>
      <c r="R2106" s="1"/>
      <c r="S2106" s="1"/>
      <c r="T2106" s="1"/>
      <c r="U2106" s="1"/>
      <c r="V2106" s="76"/>
      <c r="W2106" s="76"/>
      <c r="X2106" s="77"/>
      <c r="Y2106" s="77"/>
      <c r="Z2106" s="76"/>
      <c r="AA2106" s="76"/>
      <c r="AB2106" s="77"/>
      <c r="AC2106" s="77"/>
      <c r="AD2106" s="76"/>
      <c r="AE2106" s="76"/>
      <c r="AF2106" s="77"/>
      <c r="AG2106" s="77"/>
      <c r="AH2106" s="76"/>
      <c r="AI2106" s="76"/>
      <c r="AJ2106" s="77"/>
      <c r="AK2106" s="77"/>
      <c r="AL2106" s="77"/>
      <c r="AM2106" s="77"/>
      <c r="AN2106" s="77"/>
      <c r="AO2106" s="77"/>
      <c r="AP2106" s="77"/>
      <c r="AQ2106" s="77"/>
      <c r="AR2106" s="77"/>
      <c r="AS2106" s="77"/>
      <c r="AT2106" s="82"/>
    </row>
    <row r="2107" spans="1:46" ht="12.5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3"/>
      <c r="Q2107" s="1"/>
      <c r="R2107" s="1"/>
      <c r="S2107" s="1"/>
      <c r="T2107" s="1"/>
      <c r="U2107" s="1"/>
      <c r="V2107" s="76"/>
      <c r="W2107" s="76"/>
      <c r="X2107" s="77"/>
      <c r="Y2107" s="77"/>
      <c r="Z2107" s="76"/>
      <c r="AA2107" s="76"/>
      <c r="AB2107" s="77"/>
      <c r="AC2107" s="77"/>
      <c r="AD2107" s="76"/>
      <c r="AE2107" s="76"/>
      <c r="AF2107" s="77"/>
      <c r="AG2107" s="77"/>
      <c r="AH2107" s="76"/>
      <c r="AI2107" s="76"/>
      <c r="AJ2107" s="77"/>
      <c r="AK2107" s="77"/>
      <c r="AL2107" s="77"/>
      <c r="AM2107" s="77"/>
      <c r="AN2107" s="77"/>
      <c r="AO2107" s="77"/>
      <c r="AP2107" s="77"/>
      <c r="AQ2107" s="77"/>
      <c r="AR2107" s="77"/>
      <c r="AS2107" s="77"/>
      <c r="AT2107" s="82"/>
    </row>
    <row r="2108" spans="1:46" ht="12.5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3"/>
      <c r="Q2108" s="1"/>
      <c r="R2108" s="1"/>
      <c r="S2108" s="1"/>
      <c r="T2108" s="1"/>
      <c r="U2108" s="1"/>
      <c r="V2108" s="76"/>
      <c r="W2108" s="76"/>
      <c r="X2108" s="77"/>
      <c r="Y2108" s="77"/>
      <c r="Z2108" s="76"/>
      <c r="AA2108" s="76"/>
      <c r="AB2108" s="77"/>
      <c r="AC2108" s="77"/>
      <c r="AD2108" s="76"/>
      <c r="AE2108" s="76"/>
      <c r="AF2108" s="77"/>
      <c r="AG2108" s="77"/>
      <c r="AH2108" s="76"/>
      <c r="AI2108" s="76"/>
      <c r="AJ2108" s="77"/>
      <c r="AK2108" s="77"/>
      <c r="AL2108" s="77"/>
      <c r="AM2108" s="77"/>
      <c r="AN2108" s="77"/>
      <c r="AO2108" s="77"/>
      <c r="AP2108" s="77"/>
      <c r="AQ2108" s="77"/>
      <c r="AR2108" s="77"/>
      <c r="AS2108" s="77"/>
      <c r="AT2108" s="82"/>
    </row>
    <row r="2109" spans="1:46" ht="12.5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3"/>
      <c r="Q2109" s="1"/>
      <c r="R2109" s="1"/>
      <c r="S2109" s="1"/>
      <c r="T2109" s="1"/>
      <c r="U2109" s="1"/>
      <c r="V2109" s="76"/>
      <c r="W2109" s="76"/>
      <c r="X2109" s="77"/>
      <c r="Y2109" s="77"/>
      <c r="Z2109" s="76"/>
      <c r="AA2109" s="76"/>
      <c r="AB2109" s="77"/>
      <c r="AC2109" s="77"/>
      <c r="AD2109" s="76"/>
      <c r="AE2109" s="76"/>
      <c r="AF2109" s="77"/>
      <c r="AG2109" s="77"/>
      <c r="AH2109" s="76"/>
      <c r="AI2109" s="76"/>
      <c r="AJ2109" s="77"/>
      <c r="AK2109" s="77"/>
      <c r="AL2109" s="77"/>
      <c r="AM2109" s="77"/>
      <c r="AN2109" s="77"/>
      <c r="AO2109" s="77"/>
      <c r="AP2109" s="77"/>
      <c r="AQ2109" s="77"/>
      <c r="AR2109" s="77"/>
      <c r="AS2109" s="77"/>
      <c r="AT2109" s="82"/>
    </row>
    <row r="2110" spans="1:46" ht="12.5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3"/>
      <c r="Q2110" s="1"/>
      <c r="R2110" s="1"/>
      <c r="S2110" s="1"/>
      <c r="T2110" s="1"/>
      <c r="U2110" s="1"/>
      <c r="V2110" s="76"/>
      <c r="W2110" s="76"/>
      <c r="X2110" s="77"/>
      <c r="Y2110" s="77"/>
      <c r="Z2110" s="76"/>
      <c r="AA2110" s="76"/>
      <c r="AB2110" s="77"/>
      <c r="AC2110" s="77"/>
      <c r="AD2110" s="76"/>
      <c r="AE2110" s="76"/>
      <c r="AF2110" s="77"/>
      <c r="AG2110" s="77"/>
      <c r="AH2110" s="76"/>
      <c r="AI2110" s="76"/>
      <c r="AJ2110" s="77"/>
      <c r="AK2110" s="77"/>
      <c r="AL2110" s="77"/>
      <c r="AM2110" s="77"/>
      <c r="AN2110" s="77"/>
      <c r="AO2110" s="77"/>
      <c r="AP2110" s="77"/>
      <c r="AQ2110" s="77"/>
      <c r="AR2110" s="77"/>
      <c r="AS2110" s="77"/>
      <c r="AT2110" s="82"/>
    </row>
    <row r="2111" spans="1:46" ht="12.5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3"/>
      <c r="Q2111" s="1"/>
      <c r="R2111" s="1"/>
      <c r="S2111" s="1"/>
      <c r="T2111" s="1"/>
      <c r="U2111" s="1"/>
      <c r="V2111" s="76"/>
      <c r="W2111" s="76"/>
      <c r="X2111" s="77"/>
      <c r="Y2111" s="77"/>
      <c r="Z2111" s="76"/>
      <c r="AA2111" s="76"/>
      <c r="AB2111" s="77"/>
      <c r="AC2111" s="77"/>
      <c r="AD2111" s="76"/>
      <c r="AE2111" s="76"/>
      <c r="AF2111" s="77"/>
      <c r="AG2111" s="77"/>
      <c r="AH2111" s="76"/>
      <c r="AI2111" s="76"/>
      <c r="AJ2111" s="77"/>
      <c r="AK2111" s="77"/>
      <c r="AL2111" s="77"/>
      <c r="AM2111" s="77"/>
      <c r="AN2111" s="77"/>
      <c r="AO2111" s="77"/>
      <c r="AP2111" s="77"/>
      <c r="AQ2111" s="77"/>
      <c r="AR2111" s="77"/>
      <c r="AS2111" s="77"/>
      <c r="AT2111" s="82"/>
    </row>
    <row r="2112" spans="1:46" ht="12.5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3"/>
      <c r="Q2112" s="1"/>
      <c r="R2112" s="1"/>
      <c r="S2112" s="1"/>
      <c r="T2112" s="1"/>
      <c r="U2112" s="1"/>
      <c r="V2112" s="76"/>
      <c r="W2112" s="76"/>
      <c r="X2112" s="77"/>
      <c r="Y2112" s="77"/>
      <c r="Z2112" s="76"/>
      <c r="AA2112" s="76"/>
      <c r="AB2112" s="77"/>
      <c r="AC2112" s="77"/>
      <c r="AD2112" s="76"/>
      <c r="AE2112" s="76"/>
      <c r="AF2112" s="77"/>
      <c r="AG2112" s="77"/>
      <c r="AH2112" s="76"/>
      <c r="AI2112" s="76"/>
      <c r="AJ2112" s="77"/>
      <c r="AK2112" s="77"/>
      <c r="AL2112" s="77"/>
      <c r="AM2112" s="77"/>
      <c r="AN2112" s="77"/>
      <c r="AO2112" s="77"/>
      <c r="AP2112" s="77"/>
      <c r="AQ2112" s="77"/>
      <c r="AR2112" s="77"/>
      <c r="AS2112" s="77"/>
      <c r="AT2112" s="82"/>
    </row>
    <row r="2113" spans="1:46" ht="12.5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3"/>
      <c r="Q2113" s="1"/>
      <c r="R2113" s="1"/>
      <c r="S2113" s="1"/>
      <c r="T2113" s="1"/>
      <c r="U2113" s="1"/>
      <c r="V2113" s="76"/>
      <c r="W2113" s="76"/>
      <c r="X2113" s="77"/>
      <c r="Y2113" s="77"/>
      <c r="Z2113" s="76"/>
      <c r="AA2113" s="76"/>
      <c r="AB2113" s="77"/>
      <c r="AC2113" s="77"/>
      <c r="AD2113" s="76"/>
      <c r="AE2113" s="76"/>
      <c r="AF2113" s="77"/>
      <c r="AG2113" s="77"/>
      <c r="AH2113" s="76"/>
      <c r="AI2113" s="76"/>
      <c r="AJ2113" s="77"/>
      <c r="AK2113" s="77"/>
      <c r="AL2113" s="77"/>
      <c r="AM2113" s="77"/>
      <c r="AN2113" s="77"/>
      <c r="AO2113" s="77"/>
      <c r="AP2113" s="77"/>
      <c r="AQ2113" s="77"/>
      <c r="AR2113" s="77"/>
      <c r="AS2113" s="77"/>
      <c r="AT2113" s="82"/>
    </row>
    <row r="2114" spans="1:46" ht="12.5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3"/>
      <c r="Q2114" s="1"/>
      <c r="R2114" s="1"/>
      <c r="S2114" s="1"/>
      <c r="T2114" s="1"/>
      <c r="U2114" s="1"/>
      <c r="V2114" s="76"/>
      <c r="W2114" s="76"/>
      <c r="X2114" s="77"/>
      <c r="Y2114" s="77"/>
      <c r="Z2114" s="76"/>
      <c r="AA2114" s="76"/>
      <c r="AB2114" s="77"/>
      <c r="AC2114" s="77"/>
      <c r="AD2114" s="76"/>
      <c r="AE2114" s="76"/>
      <c r="AF2114" s="77"/>
      <c r="AG2114" s="77"/>
      <c r="AH2114" s="76"/>
      <c r="AI2114" s="76"/>
      <c r="AJ2114" s="77"/>
      <c r="AK2114" s="77"/>
      <c r="AL2114" s="77"/>
      <c r="AM2114" s="77"/>
      <c r="AN2114" s="77"/>
      <c r="AO2114" s="77"/>
      <c r="AP2114" s="77"/>
      <c r="AQ2114" s="77"/>
      <c r="AR2114" s="77"/>
      <c r="AS2114" s="77"/>
      <c r="AT2114" s="82"/>
    </row>
    <row r="2115" spans="1:46" ht="12.5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3"/>
      <c r="Q2115" s="1"/>
      <c r="R2115" s="1"/>
      <c r="S2115" s="1"/>
      <c r="T2115" s="1"/>
      <c r="U2115" s="1"/>
      <c r="V2115" s="76"/>
      <c r="W2115" s="76"/>
      <c r="X2115" s="77"/>
      <c r="Y2115" s="77"/>
      <c r="Z2115" s="76"/>
      <c r="AA2115" s="76"/>
      <c r="AB2115" s="77"/>
      <c r="AC2115" s="77"/>
      <c r="AD2115" s="76"/>
      <c r="AE2115" s="76"/>
      <c r="AF2115" s="77"/>
      <c r="AG2115" s="77"/>
      <c r="AH2115" s="76"/>
      <c r="AI2115" s="76"/>
      <c r="AJ2115" s="77"/>
      <c r="AK2115" s="77"/>
      <c r="AL2115" s="77"/>
      <c r="AM2115" s="77"/>
      <c r="AN2115" s="77"/>
      <c r="AO2115" s="77"/>
      <c r="AP2115" s="77"/>
      <c r="AQ2115" s="77"/>
      <c r="AR2115" s="77"/>
      <c r="AS2115" s="77"/>
      <c r="AT2115" s="82"/>
    </row>
    <row r="2116" spans="1:46" ht="12.5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3"/>
      <c r="Q2116" s="1"/>
      <c r="R2116" s="1"/>
      <c r="S2116" s="1"/>
      <c r="T2116" s="1"/>
      <c r="U2116" s="1"/>
      <c r="V2116" s="76"/>
      <c r="W2116" s="76"/>
      <c r="X2116" s="77"/>
      <c r="Y2116" s="77"/>
      <c r="Z2116" s="76"/>
      <c r="AA2116" s="76"/>
      <c r="AB2116" s="77"/>
      <c r="AC2116" s="77"/>
      <c r="AD2116" s="76"/>
      <c r="AE2116" s="76"/>
      <c r="AF2116" s="77"/>
      <c r="AG2116" s="77"/>
      <c r="AH2116" s="76"/>
      <c r="AI2116" s="76"/>
      <c r="AJ2116" s="77"/>
      <c r="AK2116" s="77"/>
      <c r="AL2116" s="77"/>
      <c r="AM2116" s="77"/>
      <c r="AN2116" s="77"/>
      <c r="AO2116" s="77"/>
      <c r="AP2116" s="77"/>
      <c r="AQ2116" s="77"/>
      <c r="AR2116" s="77"/>
      <c r="AS2116" s="77"/>
      <c r="AT2116" s="82"/>
    </row>
    <row r="2117" spans="1:46" ht="12.5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3"/>
      <c r="Q2117" s="1"/>
      <c r="R2117" s="1"/>
      <c r="S2117" s="1"/>
      <c r="T2117" s="1"/>
      <c r="U2117" s="1"/>
      <c r="V2117" s="76"/>
      <c r="W2117" s="76"/>
      <c r="X2117" s="77"/>
      <c r="Y2117" s="77"/>
      <c r="Z2117" s="76"/>
      <c r="AA2117" s="76"/>
      <c r="AB2117" s="77"/>
      <c r="AC2117" s="77"/>
      <c r="AD2117" s="76"/>
      <c r="AE2117" s="76"/>
      <c r="AF2117" s="77"/>
      <c r="AG2117" s="77"/>
      <c r="AH2117" s="76"/>
      <c r="AI2117" s="76"/>
      <c r="AJ2117" s="77"/>
      <c r="AK2117" s="77"/>
      <c r="AL2117" s="77"/>
      <c r="AM2117" s="77"/>
      <c r="AN2117" s="77"/>
      <c r="AO2117" s="77"/>
      <c r="AP2117" s="77"/>
      <c r="AQ2117" s="77"/>
      <c r="AR2117" s="77"/>
      <c r="AS2117" s="77"/>
      <c r="AT2117" s="82"/>
    </row>
    <row r="2118" spans="1:46" ht="12.5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3"/>
      <c r="Q2118" s="1"/>
      <c r="R2118" s="1"/>
      <c r="S2118" s="1"/>
      <c r="T2118" s="1"/>
      <c r="U2118" s="1"/>
      <c r="V2118" s="76"/>
      <c r="W2118" s="76"/>
      <c r="X2118" s="77"/>
      <c r="Y2118" s="77"/>
      <c r="Z2118" s="76"/>
      <c r="AA2118" s="76"/>
      <c r="AB2118" s="77"/>
      <c r="AC2118" s="77"/>
      <c r="AD2118" s="76"/>
      <c r="AE2118" s="76"/>
      <c r="AF2118" s="77"/>
      <c r="AG2118" s="77"/>
      <c r="AH2118" s="76"/>
      <c r="AI2118" s="76"/>
      <c r="AJ2118" s="77"/>
      <c r="AK2118" s="77"/>
      <c r="AL2118" s="77"/>
      <c r="AM2118" s="77"/>
      <c r="AN2118" s="77"/>
      <c r="AO2118" s="77"/>
      <c r="AP2118" s="77"/>
      <c r="AQ2118" s="77"/>
      <c r="AR2118" s="77"/>
      <c r="AS2118" s="77"/>
      <c r="AT2118" s="82"/>
    </row>
    <row r="2119" spans="1:46" ht="12.5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3"/>
      <c r="Q2119" s="1"/>
      <c r="R2119" s="1"/>
      <c r="S2119" s="1"/>
      <c r="T2119" s="1"/>
      <c r="U2119" s="1"/>
      <c r="V2119" s="76"/>
      <c r="W2119" s="76"/>
      <c r="X2119" s="77"/>
      <c r="Y2119" s="77"/>
      <c r="Z2119" s="76"/>
      <c r="AA2119" s="76"/>
      <c r="AB2119" s="77"/>
      <c r="AC2119" s="77"/>
      <c r="AD2119" s="76"/>
      <c r="AE2119" s="76"/>
      <c r="AF2119" s="77"/>
      <c r="AG2119" s="77"/>
      <c r="AH2119" s="76"/>
      <c r="AI2119" s="76"/>
      <c r="AJ2119" s="77"/>
      <c r="AK2119" s="77"/>
      <c r="AL2119" s="77"/>
      <c r="AM2119" s="77"/>
      <c r="AN2119" s="77"/>
      <c r="AO2119" s="77"/>
      <c r="AP2119" s="77"/>
      <c r="AQ2119" s="77"/>
      <c r="AR2119" s="77"/>
      <c r="AS2119" s="77"/>
      <c r="AT2119" s="82"/>
    </row>
    <row r="2120" spans="1:46" ht="12.5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3"/>
      <c r="Q2120" s="1"/>
      <c r="R2120" s="1"/>
      <c r="S2120" s="1"/>
      <c r="T2120" s="1"/>
      <c r="U2120" s="1"/>
      <c r="V2120" s="76"/>
      <c r="W2120" s="76"/>
      <c r="X2120" s="77"/>
      <c r="Y2120" s="77"/>
      <c r="Z2120" s="76"/>
      <c r="AA2120" s="76"/>
      <c r="AB2120" s="77"/>
      <c r="AC2120" s="77"/>
      <c r="AD2120" s="76"/>
      <c r="AE2120" s="76"/>
      <c r="AF2120" s="77"/>
      <c r="AG2120" s="77"/>
      <c r="AH2120" s="76"/>
      <c r="AI2120" s="76"/>
      <c r="AJ2120" s="77"/>
      <c r="AK2120" s="77"/>
      <c r="AL2120" s="77"/>
      <c r="AM2120" s="77"/>
      <c r="AN2120" s="77"/>
      <c r="AO2120" s="77"/>
      <c r="AP2120" s="77"/>
      <c r="AQ2120" s="77"/>
      <c r="AR2120" s="77"/>
      <c r="AS2120" s="77"/>
      <c r="AT2120" s="82"/>
    </row>
    <row r="2121" spans="1:46" ht="12.5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3"/>
      <c r="Q2121" s="1"/>
      <c r="R2121" s="1"/>
      <c r="S2121" s="1"/>
      <c r="T2121" s="1"/>
      <c r="U2121" s="1"/>
      <c r="V2121" s="76"/>
      <c r="W2121" s="76"/>
      <c r="X2121" s="77"/>
      <c r="Y2121" s="77"/>
      <c r="Z2121" s="76"/>
      <c r="AA2121" s="76"/>
      <c r="AB2121" s="77"/>
      <c r="AC2121" s="77"/>
      <c r="AD2121" s="76"/>
      <c r="AE2121" s="76"/>
      <c r="AF2121" s="77"/>
      <c r="AG2121" s="77"/>
      <c r="AH2121" s="76"/>
      <c r="AI2121" s="76"/>
      <c r="AJ2121" s="77"/>
      <c r="AK2121" s="77"/>
      <c r="AL2121" s="77"/>
      <c r="AM2121" s="77"/>
      <c r="AN2121" s="77"/>
      <c r="AO2121" s="77"/>
      <c r="AP2121" s="77"/>
      <c r="AQ2121" s="77"/>
      <c r="AR2121" s="77"/>
      <c r="AS2121" s="77"/>
      <c r="AT2121" s="82"/>
    </row>
    <row r="2122" spans="1:46" ht="12.5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3"/>
      <c r="Q2122" s="1"/>
      <c r="R2122" s="1"/>
      <c r="S2122" s="1"/>
      <c r="T2122" s="1"/>
      <c r="U2122" s="1"/>
      <c r="V2122" s="76"/>
      <c r="W2122" s="76"/>
      <c r="X2122" s="77"/>
      <c r="Y2122" s="77"/>
      <c r="Z2122" s="76"/>
      <c r="AA2122" s="76"/>
      <c r="AB2122" s="77"/>
      <c r="AC2122" s="77"/>
      <c r="AD2122" s="76"/>
      <c r="AE2122" s="76"/>
      <c r="AF2122" s="77"/>
      <c r="AG2122" s="77"/>
      <c r="AH2122" s="76"/>
      <c r="AI2122" s="76"/>
      <c r="AJ2122" s="77"/>
      <c r="AK2122" s="77"/>
      <c r="AL2122" s="77"/>
      <c r="AM2122" s="77"/>
      <c r="AN2122" s="77"/>
      <c r="AO2122" s="77"/>
      <c r="AP2122" s="77"/>
      <c r="AQ2122" s="77"/>
      <c r="AR2122" s="77"/>
      <c r="AS2122" s="77"/>
      <c r="AT2122" s="82"/>
    </row>
    <row r="2123" spans="1:46" ht="12.5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3"/>
      <c r="Q2123" s="1"/>
      <c r="R2123" s="1"/>
      <c r="S2123" s="1"/>
      <c r="T2123" s="1"/>
      <c r="U2123" s="1"/>
      <c r="V2123" s="76"/>
      <c r="W2123" s="76"/>
      <c r="X2123" s="77"/>
      <c r="Y2123" s="77"/>
      <c r="Z2123" s="76"/>
      <c r="AA2123" s="76"/>
      <c r="AB2123" s="77"/>
      <c r="AC2123" s="77"/>
      <c r="AD2123" s="76"/>
      <c r="AE2123" s="76"/>
      <c r="AF2123" s="77"/>
      <c r="AG2123" s="77"/>
      <c r="AH2123" s="76"/>
      <c r="AI2123" s="76"/>
      <c r="AJ2123" s="77"/>
      <c r="AK2123" s="77"/>
      <c r="AL2123" s="77"/>
      <c r="AM2123" s="77"/>
      <c r="AN2123" s="77"/>
      <c r="AO2123" s="77"/>
      <c r="AP2123" s="77"/>
      <c r="AQ2123" s="77"/>
      <c r="AR2123" s="77"/>
      <c r="AS2123" s="77"/>
      <c r="AT2123" s="82"/>
    </row>
    <row r="2124" spans="1:46" ht="12.5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3"/>
      <c r="Q2124" s="1"/>
      <c r="R2124" s="1"/>
      <c r="S2124" s="1"/>
      <c r="T2124" s="1"/>
      <c r="U2124" s="1"/>
      <c r="V2124" s="76"/>
      <c r="W2124" s="76"/>
      <c r="X2124" s="77"/>
      <c r="Y2124" s="77"/>
      <c r="Z2124" s="76"/>
      <c r="AA2124" s="76"/>
      <c r="AB2124" s="77"/>
      <c r="AC2124" s="77"/>
      <c r="AD2124" s="76"/>
      <c r="AE2124" s="76"/>
      <c r="AF2124" s="77"/>
      <c r="AG2124" s="77"/>
      <c r="AH2124" s="76"/>
      <c r="AI2124" s="76"/>
      <c r="AJ2124" s="77"/>
      <c r="AK2124" s="77"/>
      <c r="AL2124" s="77"/>
      <c r="AM2124" s="77"/>
      <c r="AN2124" s="77"/>
      <c r="AO2124" s="77"/>
      <c r="AP2124" s="77"/>
      <c r="AQ2124" s="77"/>
      <c r="AR2124" s="77"/>
      <c r="AS2124" s="77"/>
      <c r="AT2124" s="82"/>
    </row>
    <row r="2125" spans="1:46" ht="12.5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3"/>
      <c r="Q2125" s="1"/>
      <c r="R2125" s="1"/>
      <c r="S2125" s="1"/>
      <c r="T2125" s="1"/>
      <c r="U2125" s="1"/>
      <c r="V2125" s="76"/>
      <c r="W2125" s="76"/>
      <c r="X2125" s="77"/>
      <c r="Y2125" s="77"/>
      <c r="Z2125" s="76"/>
      <c r="AA2125" s="76"/>
      <c r="AB2125" s="77"/>
      <c r="AC2125" s="77"/>
      <c r="AD2125" s="76"/>
      <c r="AE2125" s="76"/>
      <c r="AF2125" s="77"/>
      <c r="AG2125" s="77"/>
      <c r="AH2125" s="76"/>
      <c r="AI2125" s="76"/>
      <c r="AJ2125" s="77"/>
      <c r="AK2125" s="77"/>
      <c r="AL2125" s="77"/>
      <c r="AM2125" s="77"/>
      <c r="AN2125" s="77"/>
      <c r="AO2125" s="77"/>
      <c r="AP2125" s="77"/>
      <c r="AQ2125" s="77"/>
      <c r="AR2125" s="77"/>
      <c r="AS2125" s="77"/>
      <c r="AT2125" s="82"/>
    </row>
    <row r="2126" spans="1:46" ht="12.5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3"/>
      <c r="Q2126" s="1"/>
      <c r="R2126" s="1"/>
      <c r="S2126" s="1"/>
      <c r="T2126" s="1"/>
      <c r="U2126" s="1"/>
      <c r="V2126" s="76"/>
      <c r="W2126" s="76"/>
      <c r="X2126" s="77"/>
      <c r="Y2126" s="77"/>
      <c r="Z2126" s="76"/>
      <c r="AA2126" s="76"/>
      <c r="AB2126" s="77"/>
      <c r="AC2126" s="77"/>
      <c r="AD2126" s="76"/>
      <c r="AE2126" s="76"/>
      <c r="AF2126" s="77"/>
      <c r="AG2126" s="77"/>
      <c r="AH2126" s="76"/>
      <c r="AI2126" s="76"/>
      <c r="AJ2126" s="77"/>
      <c r="AK2126" s="77"/>
      <c r="AL2126" s="77"/>
      <c r="AM2126" s="77"/>
      <c r="AN2126" s="77"/>
      <c r="AO2126" s="77"/>
      <c r="AP2126" s="77"/>
      <c r="AQ2126" s="77"/>
      <c r="AR2126" s="77"/>
      <c r="AS2126" s="77"/>
      <c r="AT2126" s="82"/>
    </row>
    <row r="2127" spans="1:46" ht="12.5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3"/>
      <c r="Q2127" s="1"/>
      <c r="R2127" s="1"/>
      <c r="S2127" s="1"/>
      <c r="T2127" s="1"/>
      <c r="U2127" s="1"/>
      <c r="V2127" s="76"/>
      <c r="W2127" s="76"/>
      <c r="X2127" s="77"/>
      <c r="Y2127" s="77"/>
      <c r="Z2127" s="76"/>
      <c r="AA2127" s="76"/>
      <c r="AB2127" s="77"/>
      <c r="AC2127" s="77"/>
      <c r="AD2127" s="76"/>
      <c r="AE2127" s="76"/>
      <c r="AF2127" s="77"/>
      <c r="AG2127" s="77"/>
      <c r="AH2127" s="76"/>
      <c r="AI2127" s="76"/>
      <c r="AJ2127" s="77"/>
      <c r="AK2127" s="77"/>
      <c r="AL2127" s="77"/>
      <c r="AM2127" s="77"/>
      <c r="AN2127" s="77"/>
      <c r="AO2127" s="77"/>
      <c r="AP2127" s="77"/>
      <c r="AQ2127" s="77"/>
      <c r="AR2127" s="77"/>
      <c r="AS2127" s="77"/>
      <c r="AT2127" s="82"/>
    </row>
    <row r="2128" spans="1:46" ht="12.5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3"/>
      <c r="Q2128" s="1"/>
      <c r="R2128" s="1"/>
      <c r="S2128" s="1"/>
      <c r="T2128" s="1"/>
      <c r="U2128" s="1"/>
      <c r="V2128" s="76"/>
      <c r="W2128" s="76"/>
      <c r="X2128" s="77"/>
      <c r="Y2128" s="77"/>
      <c r="Z2128" s="76"/>
      <c r="AA2128" s="76"/>
      <c r="AB2128" s="77"/>
      <c r="AC2128" s="77"/>
      <c r="AD2128" s="76"/>
      <c r="AE2128" s="76"/>
      <c r="AF2128" s="77"/>
      <c r="AG2128" s="77"/>
      <c r="AH2128" s="76"/>
      <c r="AI2128" s="76"/>
      <c r="AJ2128" s="77"/>
      <c r="AK2128" s="77"/>
      <c r="AL2128" s="77"/>
      <c r="AM2128" s="77"/>
      <c r="AN2128" s="77"/>
      <c r="AO2128" s="77"/>
      <c r="AP2128" s="77"/>
      <c r="AQ2128" s="77"/>
      <c r="AR2128" s="77"/>
      <c r="AS2128" s="77"/>
      <c r="AT2128" s="82"/>
    </row>
    <row r="2129" spans="1:46" ht="12.5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3"/>
      <c r="Q2129" s="1"/>
      <c r="R2129" s="1"/>
      <c r="S2129" s="1"/>
      <c r="T2129" s="1"/>
      <c r="U2129" s="1"/>
      <c r="V2129" s="76"/>
      <c r="W2129" s="76"/>
      <c r="X2129" s="77"/>
      <c r="Y2129" s="77"/>
      <c r="Z2129" s="76"/>
      <c r="AA2129" s="76"/>
      <c r="AB2129" s="77"/>
      <c r="AC2129" s="77"/>
      <c r="AD2129" s="76"/>
      <c r="AE2129" s="76"/>
      <c r="AF2129" s="77"/>
      <c r="AG2129" s="77"/>
      <c r="AH2129" s="76"/>
      <c r="AI2129" s="76"/>
      <c r="AJ2129" s="77"/>
      <c r="AK2129" s="77"/>
      <c r="AL2129" s="77"/>
      <c r="AM2129" s="77"/>
      <c r="AN2129" s="77"/>
      <c r="AO2129" s="77"/>
      <c r="AP2129" s="77"/>
      <c r="AQ2129" s="77"/>
      <c r="AR2129" s="77"/>
      <c r="AS2129" s="77"/>
      <c r="AT2129" s="82"/>
    </row>
    <row r="2130" spans="1:46" ht="12.5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3"/>
      <c r="Q2130" s="1"/>
      <c r="R2130" s="1"/>
      <c r="S2130" s="1"/>
      <c r="T2130" s="1"/>
      <c r="U2130" s="1"/>
      <c r="V2130" s="76"/>
      <c r="W2130" s="76"/>
      <c r="X2130" s="77"/>
      <c r="Y2130" s="77"/>
      <c r="Z2130" s="76"/>
      <c r="AA2130" s="76"/>
      <c r="AB2130" s="77"/>
      <c r="AC2130" s="77"/>
      <c r="AD2130" s="76"/>
      <c r="AE2130" s="76"/>
      <c r="AF2130" s="77"/>
      <c r="AG2130" s="77"/>
      <c r="AH2130" s="76"/>
      <c r="AI2130" s="76"/>
      <c r="AJ2130" s="77"/>
      <c r="AK2130" s="77"/>
      <c r="AL2130" s="77"/>
      <c r="AM2130" s="77"/>
      <c r="AN2130" s="77"/>
      <c r="AO2130" s="77"/>
      <c r="AP2130" s="77"/>
      <c r="AQ2130" s="77"/>
      <c r="AR2130" s="77"/>
      <c r="AS2130" s="77"/>
      <c r="AT2130" s="82"/>
    </row>
    <row r="2131" spans="1:46" ht="12.5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3"/>
      <c r="Q2131" s="1"/>
      <c r="R2131" s="1"/>
      <c r="S2131" s="1"/>
      <c r="T2131" s="1"/>
      <c r="U2131" s="1"/>
      <c r="V2131" s="76"/>
      <c r="W2131" s="76"/>
      <c r="X2131" s="77"/>
      <c r="Y2131" s="77"/>
      <c r="Z2131" s="76"/>
      <c r="AA2131" s="76"/>
      <c r="AB2131" s="77"/>
      <c r="AC2131" s="77"/>
      <c r="AD2131" s="76"/>
      <c r="AE2131" s="76"/>
      <c r="AF2131" s="77"/>
      <c r="AG2131" s="77"/>
      <c r="AH2131" s="76"/>
      <c r="AI2131" s="76"/>
      <c r="AJ2131" s="77"/>
      <c r="AK2131" s="77"/>
      <c r="AL2131" s="77"/>
      <c r="AM2131" s="77"/>
      <c r="AN2131" s="77"/>
      <c r="AO2131" s="77"/>
      <c r="AP2131" s="77"/>
      <c r="AQ2131" s="77"/>
      <c r="AR2131" s="77"/>
      <c r="AS2131" s="77"/>
      <c r="AT2131" s="82"/>
    </row>
    <row r="2132" spans="1:46" ht="12.5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3"/>
      <c r="Q2132" s="1"/>
      <c r="R2132" s="1"/>
      <c r="S2132" s="1"/>
      <c r="T2132" s="1"/>
      <c r="U2132" s="1"/>
      <c r="V2132" s="76"/>
      <c r="W2132" s="76"/>
      <c r="X2132" s="77"/>
      <c r="Y2132" s="77"/>
      <c r="Z2132" s="76"/>
      <c r="AA2132" s="76"/>
      <c r="AB2132" s="77"/>
      <c r="AC2132" s="77"/>
      <c r="AD2132" s="76"/>
      <c r="AE2132" s="76"/>
      <c r="AF2132" s="77"/>
      <c r="AG2132" s="77"/>
      <c r="AH2132" s="76"/>
      <c r="AI2132" s="76"/>
      <c r="AJ2132" s="77"/>
      <c r="AK2132" s="77"/>
      <c r="AL2132" s="77"/>
      <c r="AM2132" s="77"/>
      <c r="AN2132" s="77"/>
      <c r="AO2132" s="77"/>
      <c r="AP2132" s="77"/>
      <c r="AQ2132" s="77"/>
      <c r="AR2132" s="77"/>
      <c r="AS2132" s="77"/>
      <c r="AT2132" s="82"/>
    </row>
    <row r="2133" spans="1:46" ht="12.5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3"/>
      <c r="Q2133" s="1"/>
      <c r="R2133" s="1"/>
      <c r="S2133" s="1"/>
      <c r="T2133" s="1"/>
      <c r="U2133" s="1"/>
      <c r="V2133" s="76"/>
      <c r="W2133" s="76"/>
      <c r="X2133" s="77"/>
      <c r="Y2133" s="77"/>
      <c r="Z2133" s="76"/>
      <c r="AA2133" s="76"/>
      <c r="AB2133" s="77"/>
      <c r="AC2133" s="77"/>
      <c r="AD2133" s="76"/>
      <c r="AE2133" s="76"/>
      <c r="AF2133" s="77"/>
      <c r="AG2133" s="77"/>
      <c r="AH2133" s="76"/>
      <c r="AI2133" s="76"/>
      <c r="AJ2133" s="77"/>
      <c r="AK2133" s="77"/>
      <c r="AL2133" s="77"/>
      <c r="AM2133" s="77"/>
      <c r="AN2133" s="77"/>
      <c r="AO2133" s="77"/>
      <c r="AP2133" s="77"/>
      <c r="AQ2133" s="77"/>
      <c r="AR2133" s="77"/>
      <c r="AS2133" s="77"/>
      <c r="AT2133" s="82"/>
    </row>
    <row r="2134" spans="1:46" ht="12.5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3"/>
      <c r="Q2134" s="1"/>
      <c r="R2134" s="1"/>
      <c r="S2134" s="1"/>
      <c r="T2134" s="1"/>
      <c r="U2134" s="1"/>
      <c r="V2134" s="76"/>
      <c r="W2134" s="76"/>
      <c r="X2134" s="77"/>
      <c r="Y2134" s="77"/>
      <c r="Z2134" s="76"/>
      <c r="AA2134" s="76"/>
      <c r="AB2134" s="77"/>
      <c r="AC2134" s="77"/>
      <c r="AD2134" s="76"/>
      <c r="AE2134" s="76"/>
      <c r="AF2134" s="77"/>
      <c r="AG2134" s="77"/>
      <c r="AH2134" s="76"/>
      <c r="AI2134" s="76"/>
      <c r="AJ2134" s="77"/>
      <c r="AK2134" s="77"/>
      <c r="AL2134" s="77"/>
      <c r="AM2134" s="77"/>
      <c r="AN2134" s="77"/>
      <c r="AO2134" s="77"/>
      <c r="AP2134" s="77"/>
      <c r="AQ2134" s="77"/>
      <c r="AR2134" s="77"/>
      <c r="AS2134" s="77"/>
      <c r="AT2134" s="82"/>
    </row>
    <row r="2135" spans="1:46" ht="12.5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3"/>
      <c r="Q2135" s="1"/>
      <c r="R2135" s="1"/>
      <c r="S2135" s="1"/>
      <c r="T2135" s="1"/>
      <c r="U2135" s="1"/>
      <c r="V2135" s="76"/>
      <c r="W2135" s="76"/>
      <c r="X2135" s="77"/>
      <c r="Y2135" s="77"/>
      <c r="Z2135" s="76"/>
      <c r="AA2135" s="76"/>
      <c r="AB2135" s="77"/>
      <c r="AC2135" s="77"/>
      <c r="AD2135" s="76"/>
      <c r="AE2135" s="76"/>
      <c r="AF2135" s="77"/>
      <c r="AG2135" s="77"/>
      <c r="AH2135" s="76"/>
      <c r="AI2135" s="76"/>
      <c r="AJ2135" s="77"/>
      <c r="AK2135" s="77"/>
      <c r="AL2135" s="77"/>
      <c r="AM2135" s="77"/>
      <c r="AN2135" s="77"/>
      <c r="AO2135" s="77"/>
      <c r="AP2135" s="77"/>
      <c r="AQ2135" s="77"/>
      <c r="AR2135" s="77"/>
      <c r="AS2135" s="77"/>
      <c r="AT2135" s="82"/>
    </row>
    <row r="2136" spans="1:46" ht="12.5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3"/>
      <c r="Q2136" s="1"/>
      <c r="R2136" s="1"/>
      <c r="S2136" s="1"/>
      <c r="T2136" s="1"/>
      <c r="U2136" s="1"/>
      <c r="V2136" s="76"/>
      <c r="W2136" s="76"/>
      <c r="X2136" s="77"/>
      <c r="Y2136" s="77"/>
      <c r="Z2136" s="76"/>
      <c r="AA2136" s="76"/>
      <c r="AB2136" s="77"/>
      <c r="AC2136" s="77"/>
      <c r="AD2136" s="76"/>
      <c r="AE2136" s="76"/>
      <c r="AF2136" s="77"/>
      <c r="AG2136" s="77"/>
      <c r="AH2136" s="76"/>
      <c r="AI2136" s="76"/>
      <c r="AJ2136" s="77"/>
      <c r="AK2136" s="77"/>
      <c r="AL2136" s="77"/>
      <c r="AM2136" s="77"/>
      <c r="AN2136" s="77"/>
      <c r="AO2136" s="77"/>
      <c r="AP2136" s="77"/>
      <c r="AQ2136" s="77"/>
      <c r="AR2136" s="77"/>
      <c r="AS2136" s="77"/>
      <c r="AT2136" s="82"/>
    </row>
    <row r="2137" spans="1:46" ht="12.5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3"/>
      <c r="Q2137" s="1"/>
      <c r="R2137" s="1"/>
      <c r="S2137" s="1"/>
      <c r="T2137" s="1"/>
      <c r="U2137" s="1"/>
      <c r="V2137" s="76"/>
      <c r="W2137" s="76"/>
      <c r="X2137" s="77"/>
      <c r="Y2137" s="77"/>
      <c r="Z2137" s="76"/>
      <c r="AA2137" s="76"/>
      <c r="AB2137" s="77"/>
      <c r="AC2137" s="77"/>
      <c r="AD2137" s="76"/>
      <c r="AE2137" s="76"/>
      <c r="AF2137" s="77"/>
      <c r="AG2137" s="77"/>
      <c r="AH2137" s="76"/>
      <c r="AI2137" s="76"/>
      <c r="AJ2137" s="77"/>
      <c r="AK2137" s="77"/>
      <c r="AL2137" s="77"/>
      <c r="AM2137" s="77"/>
      <c r="AN2137" s="77"/>
      <c r="AO2137" s="77"/>
      <c r="AP2137" s="77"/>
      <c r="AQ2137" s="77"/>
      <c r="AR2137" s="77"/>
      <c r="AS2137" s="77"/>
      <c r="AT2137" s="82"/>
    </row>
    <row r="2138" spans="1:46" ht="12.5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3"/>
      <c r="Q2138" s="1"/>
      <c r="R2138" s="1"/>
      <c r="S2138" s="1"/>
      <c r="T2138" s="1"/>
      <c r="U2138" s="1"/>
      <c r="V2138" s="76"/>
      <c r="W2138" s="76"/>
      <c r="X2138" s="77"/>
      <c r="Y2138" s="77"/>
      <c r="Z2138" s="76"/>
      <c r="AA2138" s="76"/>
      <c r="AB2138" s="77"/>
      <c r="AC2138" s="77"/>
      <c r="AD2138" s="76"/>
      <c r="AE2138" s="76"/>
      <c r="AF2138" s="77"/>
      <c r="AG2138" s="77"/>
      <c r="AH2138" s="76"/>
      <c r="AI2138" s="76"/>
      <c r="AJ2138" s="77"/>
      <c r="AK2138" s="77"/>
      <c r="AL2138" s="77"/>
      <c r="AM2138" s="77"/>
      <c r="AN2138" s="77"/>
      <c r="AO2138" s="77"/>
      <c r="AP2138" s="77"/>
      <c r="AQ2138" s="77"/>
      <c r="AR2138" s="77"/>
      <c r="AS2138" s="77"/>
      <c r="AT2138" s="82"/>
    </row>
    <row r="2139" spans="1:46" ht="12.5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3"/>
      <c r="Q2139" s="1"/>
      <c r="R2139" s="1"/>
      <c r="S2139" s="1"/>
      <c r="T2139" s="1"/>
      <c r="U2139" s="1"/>
      <c r="V2139" s="76"/>
      <c r="W2139" s="76"/>
      <c r="X2139" s="77"/>
      <c r="Y2139" s="77"/>
      <c r="Z2139" s="76"/>
      <c r="AA2139" s="76"/>
      <c r="AB2139" s="77"/>
      <c r="AC2139" s="77"/>
      <c r="AD2139" s="76"/>
      <c r="AE2139" s="76"/>
      <c r="AF2139" s="77"/>
      <c r="AG2139" s="77"/>
      <c r="AH2139" s="76"/>
      <c r="AI2139" s="76"/>
      <c r="AJ2139" s="77"/>
      <c r="AK2139" s="77"/>
      <c r="AL2139" s="77"/>
      <c r="AM2139" s="77"/>
      <c r="AN2139" s="77"/>
      <c r="AO2139" s="77"/>
      <c r="AP2139" s="77"/>
      <c r="AQ2139" s="77"/>
      <c r="AR2139" s="77"/>
      <c r="AS2139" s="77"/>
      <c r="AT2139" s="82"/>
    </row>
    <row r="2140" spans="1:46" ht="12.5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3"/>
      <c r="Q2140" s="1"/>
      <c r="R2140" s="1"/>
      <c r="S2140" s="1"/>
      <c r="T2140" s="1"/>
      <c r="U2140" s="1"/>
      <c r="V2140" s="76"/>
      <c r="W2140" s="76"/>
      <c r="X2140" s="77"/>
      <c r="Y2140" s="77"/>
      <c r="Z2140" s="76"/>
      <c r="AA2140" s="76"/>
      <c r="AB2140" s="77"/>
      <c r="AC2140" s="77"/>
      <c r="AD2140" s="76"/>
      <c r="AE2140" s="76"/>
      <c r="AF2140" s="77"/>
      <c r="AG2140" s="77"/>
      <c r="AH2140" s="76"/>
      <c r="AI2140" s="76"/>
      <c r="AJ2140" s="77"/>
      <c r="AK2140" s="77"/>
      <c r="AL2140" s="77"/>
      <c r="AM2140" s="77"/>
      <c r="AN2140" s="77"/>
      <c r="AO2140" s="77"/>
      <c r="AP2140" s="77"/>
      <c r="AQ2140" s="77"/>
      <c r="AR2140" s="77"/>
      <c r="AS2140" s="77"/>
      <c r="AT2140" s="82"/>
    </row>
    <row r="2141" spans="1:46" ht="12.5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3"/>
      <c r="Q2141" s="1"/>
      <c r="R2141" s="1"/>
      <c r="S2141" s="1"/>
      <c r="T2141" s="1"/>
      <c r="U2141" s="1"/>
      <c r="V2141" s="76"/>
      <c r="W2141" s="76"/>
      <c r="X2141" s="77"/>
      <c r="Y2141" s="77"/>
      <c r="Z2141" s="76"/>
      <c r="AA2141" s="76"/>
      <c r="AB2141" s="77"/>
      <c r="AC2141" s="77"/>
      <c r="AD2141" s="76"/>
      <c r="AE2141" s="76"/>
      <c r="AF2141" s="77"/>
      <c r="AG2141" s="77"/>
      <c r="AH2141" s="76"/>
      <c r="AI2141" s="76"/>
      <c r="AJ2141" s="77"/>
      <c r="AK2141" s="77"/>
      <c r="AL2141" s="77"/>
      <c r="AM2141" s="77"/>
      <c r="AN2141" s="77"/>
      <c r="AO2141" s="77"/>
      <c r="AP2141" s="77"/>
      <c r="AQ2141" s="77"/>
      <c r="AR2141" s="77"/>
      <c r="AS2141" s="77"/>
      <c r="AT2141" s="82"/>
    </row>
    <row r="2142" spans="1:46" ht="12.5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3"/>
      <c r="Q2142" s="1"/>
      <c r="R2142" s="1"/>
      <c r="S2142" s="1"/>
      <c r="T2142" s="1"/>
      <c r="U2142" s="1"/>
      <c r="V2142" s="76"/>
      <c r="W2142" s="76"/>
      <c r="X2142" s="77"/>
      <c r="Y2142" s="77"/>
      <c r="Z2142" s="76"/>
      <c r="AA2142" s="76"/>
      <c r="AB2142" s="77"/>
      <c r="AC2142" s="77"/>
      <c r="AD2142" s="76"/>
      <c r="AE2142" s="76"/>
      <c r="AF2142" s="77"/>
      <c r="AG2142" s="77"/>
      <c r="AH2142" s="76"/>
      <c r="AI2142" s="76"/>
      <c r="AJ2142" s="77"/>
      <c r="AK2142" s="77"/>
      <c r="AL2142" s="77"/>
      <c r="AM2142" s="77"/>
      <c r="AN2142" s="77"/>
      <c r="AO2142" s="77"/>
      <c r="AP2142" s="77"/>
      <c r="AQ2142" s="77"/>
      <c r="AR2142" s="77"/>
      <c r="AS2142" s="77"/>
      <c r="AT2142" s="82"/>
    </row>
    <row r="2143" spans="1:46" ht="12.5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3"/>
      <c r="Q2143" s="1"/>
      <c r="R2143" s="1"/>
      <c r="S2143" s="1"/>
      <c r="T2143" s="1"/>
      <c r="U2143" s="1"/>
      <c r="V2143" s="76"/>
      <c r="W2143" s="76"/>
      <c r="X2143" s="77"/>
      <c r="Y2143" s="77"/>
      <c r="Z2143" s="76"/>
      <c r="AA2143" s="76"/>
      <c r="AB2143" s="77"/>
      <c r="AC2143" s="77"/>
      <c r="AD2143" s="76"/>
      <c r="AE2143" s="76"/>
      <c r="AF2143" s="77"/>
      <c r="AG2143" s="77"/>
      <c r="AH2143" s="76"/>
      <c r="AI2143" s="76"/>
      <c r="AJ2143" s="77"/>
      <c r="AK2143" s="77"/>
      <c r="AL2143" s="77"/>
      <c r="AM2143" s="77"/>
      <c r="AN2143" s="77"/>
      <c r="AO2143" s="77"/>
      <c r="AP2143" s="77"/>
      <c r="AQ2143" s="77"/>
      <c r="AR2143" s="77"/>
      <c r="AS2143" s="77"/>
      <c r="AT2143" s="82"/>
    </row>
    <row r="2144" spans="1:46" ht="12.5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3"/>
      <c r="Q2144" s="1"/>
      <c r="R2144" s="1"/>
      <c r="S2144" s="1"/>
      <c r="T2144" s="1"/>
      <c r="U2144" s="1"/>
      <c r="V2144" s="76"/>
      <c r="W2144" s="76"/>
      <c r="X2144" s="77"/>
      <c r="Y2144" s="77"/>
      <c r="Z2144" s="76"/>
      <c r="AA2144" s="76"/>
      <c r="AB2144" s="77"/>
      <c r="AC2144" s="77"/>
      <c r="AD2144" s="76"/>
      <c r="AE2144" s="76"/>
      <c r="AF2144" s="77"/>
      <c r="AG2144" s="77"/>
      <c r="AH2144" s="76"/>
      <c r="AI2144" s="76"/>
      <c r="AJ2144" s="77"/>
      <c r="AK2144" s="77"/>
      <c r="AL2144" s="77"/>
      <c r="AM2144" s="77"/>
      <c r="AN2144" s="77"/>
      <c r="AO2144" s="77"/>
      <c r="AP2144" s="77"/>
      <c r="AQ2144" s="77"/>
      <c r="AR2144" s="77"/>
      <c r="AS2144" s="77"/>
      <c r="AT2144" s="82"/>
    </row>
    <row r="2145" spans="1:46" ht="12.5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3"/>
      <c r="Q2145" s="1"/>
      <c r="R2145" s="1"/>
      <c r="S2145" s="1"/>
      <c r="T2145" s="1"/>
      <c r="U2145" s="1"/>
      <c r="V2145" s="76"/>
      <c r="W2145" s="76"/>
      <c r="X2145" s="77"/>
      <c r="Y2145" s="77"/>
      <c r="Z2145" s="76"/>
      <c r="AA2145" s="76"/>
      <c r="AB2145" s="77"/>
      <c r="AC2145" s="77"/>
      <c r="AD2145" s="76"/>
      <c r="AE2145" s="76"/>
      <c r="AF2145" s="77"/>
      <c r="AG2145" s="77"/>
      <c r="AH2145" s="76"/>
      <c r="AI2145" s="76"/>
      <c r="AJ2145" s="77"/>
      <c r="AK2145" s="77"/>
      <c r="AL2145" s="77"/>
      <c r="AM2145" s="77"/>
      <c r="AN2145" s="77"/>
      <c r="AO2145" s="77"/>
      <c r="AP2145" s="77"/>
      <c r="AQ2145" s="77"/>
      <c r="AR2145" s="77"/>
      <c r="AS2145" s="77"/>
      <c r="AT2145" s="82"/>
    </row>
    <row r="2146" spans="1:46" ht="12.5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3"/>
      <c r="Q2146" s="1"/>
      <c r="R2146" s="1"/>
      <c r="S2146" s="1"/>
      <c r="T2146" s="1"/>
      <c r="U2146" s="1"/>
      <c r="V2146" s="76"/>
      <c r="W2146" s="76"/>
      <c r="X2146" s="77"/>
      <c r="Y2146" s="77"/>
      <c r="Z2146" s="76"/>
      <c r="AA2146" s="76"/>
      <c r="AB2146" s="77"/>
      <c r="AC2146" s="77"/>
      <c r="AD2146" s="76"/>
      <c r="AE2146" s="76"/>
      <c r="AF2146" s="77"/>
      <c r="AG2146" s="77"/>
      <c r="AH2146" s="76"/>
      <c r="AI2146" s="76"/>
      <c r="AJ2146" s="77"/>
      <c r="AK2146" s="77"/>
      <c r="AL2146" s="77"/>
      <c r="AM2146" s="77"/>
      <c r="AN2146" s="77"/>
      <c r="AO2146" s="77"/>
      <c r="AP2146" s="77"/>
      <c r="AQ2146" s="77"/>
      <c r="AR2146" s="77"/>
      <c r="AS2146" s="77"/>
      <c r="AT2146" s="82"/>
    </row>
    <row r="2147" spans="1:46" ht="12.5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3"/>
      <c r="Q2147" s="1"/>
      <c r="R2147" s="1"/>
      <c r="S2147" s="1"/>
      <c r="T2147" s="1"/>
      <c r="U2147" s="1"/>
      <c r="V2147" s="76"/>
      <c r="W2147" s="76"/>
      <c r="X2147" s="77"/>
      <c r="Y2147" s="77"/>
      <c r="Z2147" s="76"/>
      <c r="AA2147" s="76"/>
      <c r="AB2147" s="77"/>
      <c r="AC2147" s="77"/>
      <c r="AD2147" s="76"/>
      <c r="AE2147" s="76"/>
      <c r="AF2147" s="77"/>
      <c r="AG2147" s="77"/>
      <c r="AH2147" s="76"/>
      <c r="AI2147" s="76"/>
      <c r="AJ2147" s="77"/>
      <c r="AK2147" s="77"/>
      <c r="AL2147" s="77"/>
      <c r="AM2147" s="77"/>
      <c r="AN2147" s="77"/>
      <c r="AO2147" s="77"/>
      <c r="AP2147" s="77"/>
      <c r="AQ2147" s="77"/>
      <c r="AR2147" s="77"/>
      <c r="AS2147" s="77"/>
      <c r="AT2147" s="82"/>
    </row>
    <row r="2148" spans="1:46" ht="12.5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3"/>
      <c r="Q2148" s="1"/>
      <c r="R2148" s="1"/>
      <c r="S2148" s="1"/>
      <c r="T2148" s="1"/>
      <c r="U2148" s="1"/>
      <c r="V2148" s="76"/>
      <c r="W2148" s="76"/>
      <c r="X2148" s="77"/>
      <c r="Y2148" s="77"/>
      <c r="Z2148" s="76"/>
      <c r="AA2148" s="76"/>
      <c r="AB2148" s="77"/>
      <c r="AC2148" s="77"/>
      <c r="AD2148" s="76"/>
      <c r="AE2148" s="76"/>
      <c r="AF2148" s="77"/>
      <c r="AG2148" s="77"/>
      <c r="AH2148" s="76"/>
      <c r="AI2148" s="76"/>
      <c r="AJ2148" s="77"/>
      <c r="AK2148" s="77"/>
      <c r="AL2148" s="77"/>
      <c r="AM2148" s="77"/>
      <c r="AN2148" s="77"/>
      <c r="AO2148" s="77"/>
      <c r="AP2148" s="77"/>
      <c r="AQ2148" s="77"/>
      <c r="AR2148" s="77"/>
      <c r="AS2148" s="77"/>
      <c r="AT2148" s="82"/>
    </row>
    <row r="2149" spans="1:46" ht="12.5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3"/>
      <c r="Q2149" s="1"/>
      <c r="R2149" s="1"/>
      <c r="S2149" s="1"/>
      <c r="T2149" s="1"/>
      <c r="U2149" s="1"/>
      <c r="V2149" s="76"/>
      <c r="W2149" s="76"/>
      <c r="X2149" s="77"/>
      <c r="Y2149" s="77"/>
      <c r="Z2149" s="76"/>
      <c r="AA2149" s="76"/>
      <c r="AB2149" s="77"/>
      <c r="AC2149" s="77"/>
      <c r="AD2149" s="76"/>
      <c r="AE2149" s="76"/>
      <c r="AF2149" s="77"/>
      <c r="AG2149" s="77"/>
      <c r="AH2149" s="76"/>
      <c r="AI2149" s="76"/>
      <c r="AJ2149" s="77"/>
      <c r="AK2149" s="77"/>
      <c r="AL2149" s="77"/>
      <c r="AM2149" s="77"/>
      <c r="AN2149" s="77"/>
      <c r="AO2149" s="77"/>
      <c r="AP2149" s="77"/>
      <c r="AQ2149" s="77"/>
      <c r="AR2149" s="77"/>
      <c r="AS2149" s="77"/>
      <c r="AT2149" s="82"/>
    </row>
    <row r="2150" spans="1:46" ht="12.5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3"/>
      <c r="Q2150" s="1"/>
      <c r="R2150" s="1"/>
      <c r="S2150" s="1"/>
      <c r="T2150" s="1"/>
      <c r="U2150" s="1"/>
      <c r="V2150" s="76"/>
      <c r="W2150" s="76"/>
      <c r="X2150" s="77"/>
      <c r="Y2150" s="77"/>
      <c r="Z2150" s="76"/>
      <c r="AA2150" s="76"/>
      <c r="AB2150" s="77"/>
      <c r="AC2150" s="77"/>
      <c r="AD2150" s="76"/>
      <c r="AE2150" s="76"/>
      <c r="AF2150" s="77"/>
      <c r="AG2150" s="77"/>
      <c r="AH2150" s="76"/>
      <c r="AI2150" s="76"/>
      <c r="AJ2150" s="77"/>
      <c r="AK2150" s="77"/>
      <c r="AL2150" s="77"/>
      <c r="AM2150" s="77"/>
      <c r="AN2150" s="77"/>
      <c r="AO2150" s="77"/>
      <c r="AP2150" s="77"/>
      <c r="AQ2150" s="77"/>
      <c r="AR2150" s="77"/>
      <c r="AS2150" s="77"/>
      <c r="AT2150" s="82"/>
    </row>
    <row r="2151" spans="1:46" ht="12.5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3"/>
      <c r="Q2151" s="1"/>
      <c r="R2151" s="1"/>
      <c r="S2151" s="1"/>
      <c r="T2151" s="1"/>
      <c r="U2151" s="1"/>
      <c r="V2151" s="76"/>
      <c r="W2151" s="76"/>
      <c r="X2151" s="77"/>
      <c r="Y2151" s="77"/>
      <c r="Z2151" s="76"/>
      <c r="AA2151" s="76"/>
      <c r="AB2151" s="77"/>
      <c r="AC2151" s="77"/>
      <c r="AD2151" s="76"/>
      <c r="AE2151" s="76"/>
      <c r="AF2151" s="77"/>
      <c r="AG2151" s="77"/>
      <c r="AH2151" s="76"/>
      <c r="AI2151" s="76"/>
      <c r="AJ2151" s="77"/>
      <c r="AK2151" s="77"/>
      <c r="AL2151" s="77"/>
      <c r="AM2151" s="77"/>
      <c r="AN2151" s="77"/>
      <c r="AO2151" s="77"/>
      <c r="AP2151" s="77"/>
      <c r="AQ2151" s="77"/>
      <c r="AR2151" s="77"/>
      <c r="AS2151" s="77"/>
      <c r="AT2151" s="82"/>
    </row>
    <row r="2152" spans="1:46" ht="12.5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3"/>
      <c r="Q2152" s="1"/>
      <c r="R2152" s="1"/>
      <c r="S2152" s="1"/>
      <c r="T2152" s="1"/>
      <c r="U2152" s="1"/>
      <c r="V2152" s="76"/>
      <c r="W2152" s="76"/>
      <c r="X2152" s="77"/>
      <c r="Y2152" s="77"/>
      <c r="Z2152" s="76"/>
      <c r="AA2152" s="76"/>
      <c r="AB2152" s="77"/>
      <c r="AC2152" s="77"/>
      <c r="AD2152" s="76"/>
      <c r="AE2152" s="76"/>
      <c r="AF2152" s="77"/>
      <c r="AG2152" s="77"/>
      <c r="AH2152" s="76"/>
      <c r="AI2152" s="76"/>
      <c r="AJ2152" s="77"/>
      <c r="AK2152" s="77"/>
      <c r="AL2152" s="77"/>
      <c r="AM2152" s="77"/>
      <c r="AN2152" s="77"/>
      <c r="AO2152" s="77"/>
      <c r="AP2152" s="77"/>
      <c r="AQ2152" s="77"/>
      <c r="AR2152" s="77"/>
      <c r="AS2152" s="77"/>
      <c r="AT2152" s="82"/>
    </row>
    <row r="2153" spans="1:46" ht="12.5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3"/>
      <c r="Q2153" s="1"/>
      <c r="R2153" s="1"/>
      <c r="S2153" s="1"/>
      <c r="T2153" s="1"/>
      <c r="U2153" s="1"/>
      <c r="V2153" s="76"/>
      <c r="W2153" s="76"/>
      <c r="X2153" s="77"/>
      <c r="Y2153" s="77"/>
      <c r="Z2153" s="76"/>
      <c r="AA2153" s="76"/>
      <c r="AB2153" s="77"/>
      <c r="AC2153" s="77"/>
      <c r="AD2153" s="76"/>
      <c r="AE2153" s="76"/>
      <c r="AF2153" s="77"/>
      <c r="AG2153" s="77"/>
      <c r="AH2153" s="76"/>
      <c r="AI2153" s="76"/>
      <c r="AJ2153" s="77"/>
      <c r="AK2153" s="77"/>
      <c r="AL2153" s="77"/>
      <c r="AM2153" s="77"/>
      <c r="AN2153" s="77"/>
      <c r="AO2153" s="77"/>
      <c r="AP2153" s="77"/>
      <c r="AQ2153" s="77"/>
      <c r="AR2153" s="77"/>
      <c r="AS2153" s="77"/>
      <c r="AT2153" s="82"/>
    </row>
    <row r="2154" spans="1:46" ht="12.5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3"/>
      <c r="Q2154" s="1"/>
      <c r="R2154" s="1"/>
      <c r="S2154" s="1"/>
      <c r="T2154" s="1"/>
      <c r="U2154" s="1"/>
      <c r="V2154" s="76"/>
      <c r="W2154" s="76"/>
      <c r="X2154" s="77"/>
      <c r="Y2154" s="77"/>
      <c r="Z2154" s="76"/>
      <c r="AA2154" s="76"/>
      <c r="AB2154" s="77"/>
      <c r="AC2154" s="77"/>
      <c r="AD2154" s="76"/>
      <c r="AE2154" s="76"/>
      <c r="AF2154" s="77"/>
      <c r="AG2154" s="77"/>
      <c r="AH2154" s="76"/>
      <c r="AI2154" s="76"/>
      <c r="AJ2154" s="77"/>
      <c r="AK2154" s="77"/>
      <c r="AL2154" s="77"/>
      <c r="AM2154" s="77"/>
      <c r="AN2154" s="77"/>
      <c r="AO2154" s="77"/>
      <c r="AP2154" s="77"/>
      <c r="AQ2154" s="77"/>
      <c r="AR2154" s="77"/>
      <c r="AS2154" s="77"/>
      <c r="AT2154" s="82"/>
    </row>
    <row r="2155" spans="1:46" ht="12.5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3"/>
      <c r="Q2155" s="1"/>
      <c r="R2155" s="1"/>
      <c r="S2155" s="1"/>
      <c r="T2155" s="1"/>
      <c r="U2155" s="1"/>
      <c r="V2155" s="76"/>
      <c r="W2155" s="76"/>
      <c r="X2155" s="77"/>
      <c r="Y2155" s="77"/>
      <c r="Z2155" s="76"/>
      <c r="AA2155" s="76"/>
      <c r="AB2155" s="77"/>
      <c r="AC2155" s="77"/>
      <c r="AD2155" s="76"/>
      <c r="AE2155" s="76"/>
      <c r="AF2155" s="77"/>
      <c r="AG2155" s="77"/>
      <c r="AH2155" s="76"/>
      <c r="AI2155" s="76"/>
      <c r="AJ2155" s="77"/>
      <c r="AK2155" s="77"/>
      <c r="AL2155" s="77"/>
      <c r="AM2155" s="77"/>
      <c r="AN2155" s="77"/>
      <c r="AO2155" s="77"/>
      <c r="AP2155" s="77"/>
      <c r="AQ2155" s="77"/>
      <c r="AR2155" s="77"/>
      <c r="AS2155" s="77"/>
      <c r="AT2155" s="82"/>
    </row>
    <row r="2156" spans="1:46" ht="12.5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3"/>
      <c r="Q2156" s="1"/>
      <c r="R2156" s="1"/>
      <c r="S2156" s="1"/>
      <c r="T2156" s="1"/>
      <c r="U2156" s="1"/>
      <c r="V2156" s="76"/>
      <c r="W2156" s="76"/>
      <c r="X2156" s="77"/>
      <c r="Y2156" s="77"/>
      <c r="Z2156" s="76"/>
      <c r="AA2156" s="76"/>
      <c r="AB2156" s="77"/>
      <c r="AC2156" s="77"/>
      <c r="AD2156" s="76"/>
      <c r="AE2156" s="76"/>
      <c r="AF2156" s="77"/>
      <c r="AG2156" s="77"/>
      <c r="AH2156" s="76"/>
      <c r="AI2156" s="76"/>
      <c r="AJ2156" s="77"/>
      <c r="AK2156" s="77"/>
      <c r="AL2156" s="77"/>
      <c r="AM2156" s="77"/>
      <c r="AN2156" s="77"/>
      <c r="AO2156" s="77"/>
      <c r="AP2156" s="77"/>
      <c r="AQ2156" s="77"/>
      <c r="AR2156" s="77"/>
      <c r="AS2156" s="77"/>
      <c r="AT2156" s="82"/>
    </row>
    <row r="2157" spans="1:46" ht="12.5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3"/>
      <c r="Q2157" s="1"/>
      <c r="R2157" s="1"/>
      <c r="S2157" s="1"/>
      <c r="T2157" s="1"/>
      <c r="U2157" s="1"/>
      <c r="V2157" s="76"/>
      <c r="W2157" s="76"/>
      <c r="X2157" s="77"/>
      <c r="Y2157" s="77"/>
      <c r="Z2157" s="76"/>
      <c r="AA2157" s="76"/>
      <c r="AB2157" s="77"/>
      <c r="AC2157" s="77"/>
      <c r="AD2157" s="76"/>
      <c r="AE2157" s="76"/>
      <c r="AF2157" s="77"/>
      <c r="AG2157" s="77"/>
      <c r="AH2157" s="76"/>
      <c r="AI2157" s="76"/>
      <c r="AJ2157" s="77"/>
      <c r="AK2157" s="77"/>
      <c r="AL2157" s="77"/>
      <c r="AM2157" s="77"/>
      <c r="AN2157" s="77"/>
      <c r="AO2157" s="77"/>
      <c r="AP2157" s="77"/>
      <c r="AQ2157" s="77"/>
      <c r="AR2157" s="77"/>
      <c r="AS2157" s="77"/>
      <c r="AT2157" s="82"/>
    </row>
    <row r="2158" spans="1:46" ht="12.5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3"/>
      <c r="Q2158" s="1"/>
      <c r="R2158" s="1"/>
      <c r="S2158" s="1"/>
      <c r="T2158" s="1"/>
      <c r="U2158" s="1"/>
      <c r="V2158" s="76"/>
      <c r="W2158" s="76"/>
      <c r="X2158" s="77"/>
      <c r="Y2158" s="77"/>
      <c r="Z2158" s="76"/>
      <c r="AA2158" s="76"/>
      <c r="AB2158" s="77"/>
      <c r="AC2158" s="77"/>
      <c r="AD2158" s="76"/>
      <c r="AE2158" s="76"/>
      <c r="AF2158" s="77"/>
      <c r="AG2158" s="77"/>
      <c r="AH2158" s="76"/>
      <c r="AI2158" s="76"/>
      <c r="AJ2158" s="77"/>
      <c r="AK2158" s="77"/>
      <c r="AL2158" s="77"/>
      <c r="AM2158" s="77"/>
      <c r="AN2158" s="77"/>
      <c r="AO2158" s="77"/>
      <c r="AP2158" s="77"/>
      <c r="AQ2158" s="77"/>
      <c r="AR2158" s="77"/>
      <c r="AS2158" s="77"/>
      <c r="AT2158" s="82"/>
    </row>
    <row r="2159" spans="1:46" ht="12.5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3"/>
      <c r="Q2159" s="1"/>
      <c r="R2159" s="1"/>
      <c r="S2159" s="1"/>
      <c r="T2159" s="1"/>
      <c r="U2159" s="1"/>
      <c r="V2159" s="76"/>
      <c r="W2159" s="76"/>
      <c r="X2159" s="77"/>
      <c r="Y2159" s="77"/>
      <c r="Z2159" s="76"/>
      <c r="AA2159" s="76"/>
      <c r="AB2159" s="77"/>
      <c r="AC2159" s="77"/>
      <c r="AD2159" s="76"/>
      <c r="AE2159" s="76"/>
      <c r="AF2159" s="77"/>
      <c r="AG2159" s="77"/>
      <c r="AH2159" s="76"/>
      <c r="AI2159" s="76"/>
      <c r="AJ2159" s="77"/>
      <c r="AK2159" s="77"/>
      <c r="AL2159" s="77"/>
      <c r="AM2159" s="77"/>
      <c r="AN2159" s="77"/>
      <c r="AO2159" s="77"/>
      <c r="AP2159" s="77"/>
      <c r="AQ2159" s="77"/>
      <c r="AR2159" s="77"/>
      <c r="AS2159" s="77"/>
      <c r="AT2159" s="82"/>
    </row>
    <row r="2160" spans="1:46" ht="12.5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3"/>
      <c r="Q2160" s="1"/>
      <c r="R2160" s="1"/>
      <c r="S2160" s="1"/>
      <c r="T2160" s="1"/>
      <c r="U2160" s="1"/>
      <c r="V2160" s="76"/>
      <c r="W2160" s="76"/>
      <c r="X2160" s="77"/>
      <c r="Y2160" s="77"/>
      <c r="Z2160" s="76"/>
      <c r="AA2160" s="76"/>
      <c r="AB2160" s="77"/>
      <c r="AC2160" s="77"/>
      <c r="AD2160" s="76"/>
      <c r="AE2160" s="76"/>
      <c r="AF2160" s="77"/>
      <c r="AG2160" s="77"/>
      <c r="AH2160" s="76"/>
      <c r="AI2160" s="76"/>
      <c r="AJ2160" s="77"/>
      <c r="AK2160" s="77"/>
      <c r="AL2160" s="77"/>
      <c r="AM2160" s="77"/>
      <c r="AN2160" s="77"/>
      <c r="AO2160" s="77"/>
      <c r="AP2160" s="77"/>
      <c r="AQ2160" s="77"/>
      <c r="AR2160" s="77"/>
      <c r="AS2160" s="77"/>
      <c r="AT2160" s="82"/>
    </row>
    <row r="2161" spans="1:46" ht="12.5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3"/>
      <c r="Q2161" s="1"/>
      <c r="R2161" s="1"/>
      <c r="S2161" s="1"/>
      <c r="T2161" s="1"/>
      <c r="U2161" s="1"/>
      <c r="V2161" s="76"/>
      <c r="W2161" s="76"/>
      <c r="X2161" s="77"/>
      <c r="Y2161" s="77"/>
      <c r="Z2161" s="76"/>
      <c r="AA2161" s="76"/>
      <c r="AB2161" s="77"/>
      <c r="AC2161" s="77"/>
      <c r="AD2161" s="76"/>
      <c r="AE2161" s="76"/>
      <c r="AF2161" s="77"/>
      <c r="AG2161" s="77"/>
      <c r="AH2161" s="76"/>
      <c r="AI2161" s="76"/>
      <c r="AJ2161" s="77"/>
      <c r="AK2161" s="77"/>
      <c r="AL2161" s="77"/>
      <c r="AM2161" s="77"/>
      <c r="AN2161" s="77"/>
      <c r="AO2161" s="77"/>
      <c r="AP2161" s="77"/>
      <c r="AQ2161" s="77"/>
      <c r="AR2161" s="77"/>
      <c r="AS2161" s="77"/>
      <c r="AT2161" s="82"/>
    </row>
    <row r="2162" spans="1:46" ht="12.5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3"/>
      <c r="Q2162" s="1"/>
      <c r="R2162" s="1"/>
      <c r="S2162" s="1"/>
      <c r="T2162" s="1"/>
      <c r="U2162" s="1"/>
      <c r="V2162" s="76"/>
      <c r="W2162" s="76"/>
      <c r="X2162" s="77"/>
      <c r="Y2162" s="77"/>
      <c r="Z2162" s="76"/>
      <c r="AA2162" s="76"/>
      <c r="AB2162" s="77"/>
      <c r="AC2162" s="77"/>
      <c r="AD2162" s="76"/>
      <c r="AE2162" s="76"/>
      <c r="AF2162" s="77"/>
      <c r="AG2162" s="77"/>
      <c r="AH2162" s="76"/>
      <c r="AI2162" s="76"/>
      <c r="AJ2162" s="77"/>
      <c r="AK2162" s="77"/>
      <c r="AL2162" s="77"/>
      <c r="AM2162" s="77"/>
      <c r="AN2162" s="77"/>
      <c r="AO2162" s="77"/>
      <c r="AP2162" s="77"/>
      <c r="AQ2162" s="77"/>
      <c r="AR2162" s="77"/>
      <c r="AS2162" s="77"/>
      <c r="AT2162" s="82"/>
    </row>
    <row r="2163" spans="1:46" ht="12.5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3"/>
      <c r="Q2163" s="1"/>
      <c r="R2163" s="1"/>
      <c r="S2163" s="1"/>
      <c r="T2163" s="1"/>
      <c r="U2163" s="1"/>
      <c r="V2163" s="76"/>
      <c r="W2163" s="76"/>
      <c r="X2163" s="77"/>
      <c r="Y2163" s="77"/>
      <c r="Z2163" s="76"/>
      <c r="AA2163" s="76"/>
      <c r="AB2163" s="77"/>
      <c r="AC2163" s="77"/>
      <c r="AD2163" s="76"/>
      <c r="AE2163" s="76"/>
      <c r="AF2163" s="77"/>
      <c r="AG2163" s="77"/>
      <c r="AH2163" s="76"/>
      <c r="AI2163" s="76"/>
      <c r="AJ2163" s="77"/>
      <c r="AK2163" s="77"/>
      <c r="AL2163" s="77"/>
      <c r="AM2163" s="77"/>
      <c r="AN2163" s="77"/>
      <c r="AO2163" s="77"/>
      <c r="AP2163" s="77"/>
      <c r="AQ2163" s="77"/>
      <c r="AR2163" s="77"/>
      <c r="AS2163" s="77"/>
      <c r="AT2163" s="82"/>
    </row>
    <row r="2164" spans="1:46" ht="12.5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3"/>
      <c r="Q2164" s="1"/>
      <c r="R2164" s="1"/>
      <c r="S2164" s="1"/>
      <c r="T2164" s="1"/>
      <c r="U2164" s="1"/>
      <c r="V2164" s="76"/>
      <c r="W2164" s="76"/>
      <c r="X2164" s="77"/>
      <c r="Y2164" s="77"/>
      <c r="Z2164" s="76"/>
      <c r="AA2164" s="76"/>
      <c r="AB2164" s="77"/>
      <c r="AC2164" s="77"/>
      <c r="AD2164" s="76"/>
      <c r="AE2164" s="76"/>
      <c r="AF2164" s="77"/>
      <c r="AG2164" s="77"/>
      <c r="AH2164" s="76"/>
      <c r="AI2164" s="76"/>
      <c r="AJ2164" s="77"/>
      <c r="AK2164" s="77"/>
      <c r="AL2164" s="77"/>
      <c r="AM2164" s="77"/>
      <c r="AN2164" s="77"/>
      <c r="AO2164" s="77"/>
      <c r="AP2164" s="77"/>
      <c r="AQ2164" s="77"/>
      <c r="AR2164" s="77"/>
      <c r="AS2164" s="77"/>
      <c r="AT2164" s="82"/>
    </row>
    <row r="2165" spans="1:46" ht="12.5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3"/>
      <c r="Q2165" s="1"/>
      <c r="R2165" s="1"/>
      <c r="S2165" s="1"/>
      <c r="T2165" s="1"/>
      <c r="U2165" s="1"/>
      <c r="V2165" s="76"/>
      <c r="W2165" s="76"/>
      <c r="X2165" s="77"/>
      <c r="Y2165" s="77"/>
      <c r="Z2165" s="76"/>
      <c r="AA2165" s="76"/>
      <c r="AB2165" s="77"/>
      <c r="AC2165" s="77"/>
      <c r="AD2165" s="76"/>
      <c r="AE2165" s="76"/>
      <c r="AF2165" s="77"/>
      <c r="AG2165" s="77"/>
      <c r="AH2165" s="76"/>
      <c r="AI2165" s="76"/>
      <c r="AJ2165" s="77"/>
      <c r="AK2165" s="77"/>
      <c r="AL2165" s="77"/>
      <c r="AM2165" s="77"/>
      <c r="AN2165" s="77"/>
      <c r="AO2165" s="77"/>
      <c r="AP2165" s="77"/>
      <c r="AQ2165" s="77"/>
      <c r="AR2165" s="77"/>
      <c r="AS2165" s="77"/>
      <c r="AT2165" s="82"/>
    </row>
    <row r="2166" spans="1:46" ht="12.5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3"/>
      <c r="Q2166" s="1"/>
      <c r="R2166" s="1"/>
      <c r="S2166" s="1"/>
      <c r="T2166" s="1"/>
      <c r="U2166" s="1"/>
      <c r="V2166" s="76"/>
      <c r="W2166" s="76"/>
      <c r="X2166" s="77"/>
      <c r="Y2166" s="77"/>
      <c r="Z2166" s="76"/>
      <c r="AA2166" s="76"/>
      <c r="AB2166" s="77"/>
      <c r="AC2166" s="77"/>
      <c r="AD2166" s="76"/>
      <c r="AE2166" s="76"/>
      <c r="AF2166" s="77"/>
      <c r="AG2166" s="77"/>
      <c r="AH2166" s="76"/>
      <c r="AI2166" s="76"/>
      <c r="AJ2166" s="77"/>
      <c r="AK2166" s="77"/>
      <c r="AL2166" s="77"/>
      <c r="AM2166" s="77"/>
      <c r="AN2166" s="77"/>
      <c r="AO2166" s="77"/>
      <c r="AP2166" s="77"/>
      <c r="AQ2166" s="77"/>
      <c r="AR2166" s="77"/>
      <c r="AS2166" s="77"/>
      <c r="AT2166" s="82"/>
    </row>
    <row r="2167" spans="1:46" ht="12.5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3"/>
      <c r="Q2167" s="1"/>
      <c r="R2167" s="1"/>
      <c r="S2167" s="1"/>
      <c r="T2167" s="1"/>
      <c r="U2167" s="1"/>
      <c r="V2167" s="76"/>
      <c r="W2167" s="76"/>
      <c r="X2167" s="77"/>
      <c r="Y2167" s="77"/>
      <c r="Z2167" s="76"/>
      <c r="AA2167" s="76"/>
      <c r="AB2167" s="77"/>
      <c r="AC2167" s="77"/>
      <c r="AD2167" s="76"/>
      <c r="AE2167" s="76"/>
      <c r="AF2167" s="77"/>
      <c r="AG2167" s="77"/>
      <c r="AH2167" s="76"/>
      <c r="AI2167" s="76"/>
      <c r="AJ2167" s="77"/>
      <c r="AK2167" s="77"/>
      <c r="AL2167" s="77"/>
      <c r="AM2167" s="77"/>
      <c r="AN2167" s="77"/>
      <c r="AO2167" s="77"/>
      <c r="AP2167" s="77"/>
      <c r="AQ2167" s="77"/>
      <c r="AR2167" s="77"/>
      <c r="AS2167" s="77"/>
      <c r="AT2167" s="82"/>
    </row>
    <row r="2168" spans="1:46" ht="12.5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3"/>
      <c r="Q2168" s="1"/>
      <c r="R2168" s="1"/>
      <c r="S2168" s="1"/>
      <c r="T2168" s="1"/>
      <c r="U2168" s="1"/>
      <c r="V2168" s="76"/>
      <c r="W2168" s="76"/>
      <c r="X2168" s="77"/>
      <c r="Y2168" s="77"/>
      <c r="Z2168" s="76"/>
      <c r="AA2168" s="76"/>
      <c r="AB2168" s="77"/>
      <c r="AC2168" s="77"/>
      <c r="AD2168" s="76"/>
      <c r="AE2168" s="76"/>
      <c r="AF2168" s="77"/>
      <c r="AG2168" s="77"/>
      <c r="AH2168" s="76"/>
      <c r="AI2168" s="76"/>
      <c r="AJ2168" s="77"/>
      <c r="AK2168" s="77"/>
      <c r="AL2168" s="77"/>
      <c r="AM2168" s="77"/>
      <c r="AN2168" s="77"/>
      <c r="AO2168" s="77"/>
      <c r="AP2168" s="77"/>
      <c r="AQ2168" s="77"/>
      <c r="AR2168" s="77"/>
      <c r="AS2168" s="77"/>
      <c r="AT2168" s="82"/>
    </row>
    <row r="2169" spans="1:46" ht="12.5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3"/>
      <c r="Q2169" s="1"/>
      <c r="R2169" s="1"/>
      <c r="S2169" s="1"/>
      <c r="T2169" s="1"/>
      <c r="U2169" s="1"/>
      <c r="V2169" s="76"/>
      <c r="W2169" s="76"/>
      <c r="X2169" s="77"/>
      <c r="Y2169" s="77"/>
      <c r="Z2169" s="76"/>
      <c r="AA2169" s="76"/>
      <c r="AB2169" s="77"/>
      <c r="AC2169" s="77"/>
      <c r="AD2169" s="76"/>
      <c r="AE2169" s="76"/>
      <c r="AF2169" s="77"/>
      <c r="AG2169" s="77"/>
      <c r="AH2169" s="76"/>
      <c r="AI2169" s="76"/>
      <c r="AJ2169" s="77"/>
      <c r="AK2169" s="77"/>
      <c r="AL2169" s="77"/>
      <c r="AM2169" s="77"/>
      <c r="AN2169" s="77"/>
      <c r="AO2169" s="77"/>
      <c r="AP2169" s="77"/>
      <c r="AQ2169" s="77"/>
      <c r="AR2169" s="77"/>
      <c r="AS2169" s="77"/>
      <c r="AT2169" s="82"/>
    </row>
    <row r="2170" spans="1:46" ht="12.5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3"/>
      <c r="Q2170" s="1"/>
      <c r="R2170" s="1"/>
      <c r="S2170" s="1"/>
      <c r="T2170" s="1"/>
      <c r="U2170" s="1"/>
      <c r="V2170" s="76"/>
      <c r="W2170" s="76"/>
      <c r="X2170" s="77"/>
      <c r="Y2170" s="77"/>
      <c r="Z2170" s="76"/>
      <c r="AA2170" s="76"/>
      <c r="AB2170" s="77"/>
      <c r="AC2170" s="77"/>
      <c r="AD2170" s="76"/>
      <c r="AE2170" s="76"/>
      <c r="AF2170" s="77"/>
      <c r="AG2170" s="77"/>
      <c r="AH2170" s="76"/>
      <c r="AI2170" s="76"/>
      <c r="AJ2170" s="77"/>
      <c r="AK2170" s="77"/>
      <c r="AL2170" s="77"/>
      <c r="AM2170" s="77"/>
      <c r="AN2170" s="77"/>
      <c r="AO2170" s="77"/>
      <c r="AP2170" s="77"/>
      <c r="AQ2170" s="77"/>
      <c r="AR2170" s="77"/>
      <c r="AS2170" s="77"/>
      <c r="AT2170" s="82"/>
    </row>
    <row r="2171" spans="1:46" ht="12.5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3"/>
      <c r="Q2171" s="1"/>
      <c r="R2171" s="1"/>
      <c r="S2171" s="1"/>
      <c r="T2171" s="1"/>
      <c r="U2171" s="1"/>
      <c r="V2171" s="76"/>
      <c r="W2171" s="76"/>
      <c r="X2171" s="77"/>
      <c r="Y2171" s="77"/>
      <c r="Z2171" s="76"/>
      <c r="AA2171" s="76"/>
      <c r="AB2171" s="77"/>
      <c r="AC2171" s="77"/>
      <c r="AD2171" s="76"/>
      <c r="AE2171" s="76"/>
      <c r="AF2171" s="77"/>
      <c r="AG2171" s="77"/>
      <c r="AH2171" s="76"/>
      <c r="AI2171" s="76"/>
      <c r="AJ2171" s="77"/>
      <c r="AK2171" s="77"/>
      <c r="AL2171" s="77"/>
      <c r="AM2171" s="77"/>
      <c r="AN2171" s="77"/>
      <c r="AO2171" s="77"/>
      <c r="AP2171" s="77"/>
      <c r="AQ2171" s="77"/>
      <c r="AR2171" s="77"/>
      <c r="AS2171" s="77"/>
      <c r="AT2171" s="82"/>
    </row>
    <row r="2172" spans="1:46" ht="12.5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3"/>
      <c r="Q2172" s="1"/>
      <c r="R2172" s="1"/>
      <c r="S2172" s="1"/>
      <c r="T2172" s="1"/>
      <c r="U2172" s="1"/>
      <c r="V2172" s="76"/>
      <c r="W2172" s="76"/>
      <c r="X2172" s="77"/>
      <c r="Y2172" s="77"/>
      <c r="Z2172" s="76"/>
      <c r="AA2172" s="76"/>
      <c r="AB2172" s="77"/>
      <c r="AC2172" s="77"/>
      <c r="AD2172" s="76"/>
      <c r="AE2172" s="76"/>
      <c r="AF2172" s="77"/>
      <c r="AG2172" s="77"/>
      <c r="AH2172" s="76"/>
      <c r="AI2172" s="76"/>
      <c r="AJ2172" s="77"/>
      <c r="AK2172" s="77"/>
      <c r="AL2172" s="77"/>
      <c r="AM2172" s="77"/>
      <c r="AN2172" s="77"/>
      <c r="AO2172" s="77"/>
      <c r="AP2172" s="77"/>
      <c r="AQ2172" s="77"/>
      <c r="AR2172" s="77"/>
      <c r="AS2172" s="77"/>
      <c r="AT2172" s="82"/>
    </row>
    <row r="2173" spans="1:46" ht="12.5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3"/>
      <c r="Q2173" s="1"/>
      <c r="R2173" s="1"/>
      <c r="S2173" s="1"/>
      <c r="T2173" s="1"/>
      <c r="U2173" s="1"/>
      <c r="V2173" s="76"/>
      <c r="W2173" s="76"/>
      <c r="X2173" s="77"/>
      <c r="Y2173" s="77"/>
      <c r="Z2173" s="76"/>
      <c r="AA2173" s="76"/>
      <c r="AB2173" s="77"/>
      <c r="AC2173" s="77"/>
      <c r="AD2173" s="76"/>
      <c r="AE2173" s="76"/>
      <c r="AF2173" s="77"/>
      <c r="AG2173" s="77"/>
      <c r="AH2173" s="76"/>
      <c r="AI2173" s="76"/>
      <c r="AJ2173" s="77"/>
      <c r="AK2173" s="77"/>
      <c r="AL2173" s="77"/>
      <c r="AM2173" s="77"/>
      <c r="AN2173" s="77"/>
      <c r="AO2173" s="77"/>
      <c r="AP2173" s="77"/>
      <c r="AQ2173" s="77"/>
      <c r="AR2173" s="77"/>
      <c r="AS2173" s="77"/>
      <c r="AT2173" s="82"/>
    </row>
    <row r="2174" spans="1:46" ht="12.5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3"/>
      <c r="Q2174" s="1"/>
      <c r="R2174" s="1"/>
      <c r="S2174" s="1"/>
      <c r="T2174" s="1"/>
      <c r="U2174" s="1"/>
      <c r="V2174" s="76"/>
      <c r="W2174" s="76"/>
      <c r="X2174" s="77"/>
      <c r="Y2174" s="77"/>
      <c r="Z2174" s="76"/>
      <c r="AA2174" s="76"/>
      <c r="AB2174" s="77"/>
      <c r="AC2174" s="77"/>
      <c r="AD2174" s="76"/>
      <c r="AE2174" s="76"/>
      <c r="AF2174" s="77"/>
      <c r="AG2174" s="77"/>
      <c r="AH2174" s="76"/>
      <c r="AI2174" s="76"/>
      <c r="AJ2174" s="77"/>
      <c r="AK2174" s="77"/>
      <c r="AL2174" s="77"/>
      <c r="AM2174" s="77"/>
      <c r="AN2174" s="77"/>
      <c r="AO2174" s="77"/>
      <c r="AP2174" s="77"/>
      <c r="AQ2174" s="77"/>
      <c r="AR2174" s="77"/>
      <c r="AS2174" s="77"/>
      <c r="AT2174" s="82"/>
    </row>
    <row r="2175" spans="1:46" ht="12.5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3"/>
      <c r="Q2175" s="1"/>
      <c r="R2175" s="1"/>
      <c r="S2175" s="1"/>
      <c r="T2175" s="1"/>
      <c r="U2175" s="1"/>
      <c r="V2175" s="76"/>
      <c r="W2175" s="76"/>
      <c r="X2175" s="77"/>
      <c r="Y2175" s="77"/>
      <c r="Z2175" s="76"/>
      <c r="AA2175" s="76"/>
      <c r="AB2175" s="77"/>
      <c r="AC2175" s="77"/>
      <c r="AD2175" s="76"/>
      <c r="AE2175" s="76"/>
      <c r="AF2175" s="77"/>
      <c r="AG2175" s="77"/>
      <c r="AH2175" s="76"/>
      <c r="AI2175" s="76"/>
      <c r="AJ2175" s="77"/>
      <c r="AK2175" s="77"/>
      <c r="AL2175" s="77"/>
      <c r="AM2175" s="77"/>
      <c r="AN2175" s="77"/>
      <c r="AO2175" s="77"/>
      <c r="AP2175" s="77"/>
      <c r="AQ2175" s="77"/>
      <c r="AR2175" s="77"/>
      <c r="AS2175" s="77"/>
      <c r="AT2175" s="82"/>
    </row>
    <row r="2176" spans="1:46" ht="12.5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3"/>
      <c r="Q2176" s="1"/>
      <c r="R2176" s="1"/>
      <c r="S2176" s="1"/>
      <c r="T2176" s="1"/>
      <c r="U2176" s="1"/>
      <c r="V2176" s="76"/>
      <c r="W2176" s="76"/>
      <c r="X2176" s="77"/>
      <c r="Y2176" s="77"/>
      <c r="Z2176" s="76"/>
      <c r="AA2176" s="76"/>
      <c r="AB2176" s="77"/>
      <c r="AC2176" s="77"/>
      <c r="AD2176" s="76"/>
      <c r="AE2176" s="76"/>
      <c r="AF2176" s="77"/>
      <c r="AG2176" s="77"/>
      <c r="AH2176" s="76"/>
      <c r="AI2176" s="76"/>
      <c r="AJ2176" s="77"/>
      <c r="AK2176" s="77"/>
      <c r="AL2176" s="77"/>
      <c r="AM2176" s="77"/>
      <c r="AN2176" s="77"/>
      <c r="AO2176" s="77"/>
      <c r="AP2176" s="77"/>
      <c r="AQ2176" s="77"/>
      <c r="AR2176" s="77"/>
      <c r="AS2176" s="77"/>
      <c r="AT2176" s="82"/>
    </row>
    <row r="2177" spans="1:46" ht="12.5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3"/>
      <c r="Q2177" s="1"/>
      <c r="R2177" s="1"/>
      <c r="S2177" s="1"/>
      <c r="T2177" s="1"/>
      <c r="U2177" s="1"/>
      <c r="V2177" s="76"/>
      <c r="W2177" s="76"/>
      <c r="X2177" s="77"/>
      <c r="Y2177" s="77"/>
      <c r="Z2177" s="76"/>
      <c r="AA2177" s="76"/>
      <c r="AB2177" s="77"/>
      <c r="AC2177" s="77"/>
      <c r="AD2177" s="76"/>
      <c r="AE2177" s="76"/>
      <c r="AF2177" s="77"/>
      <c r="AG2177" s="77"/>
      <c r="AH2177" s="76"/>
      <c r="AI2177" s="76"/>
      <c r="AJ2177" s="77"/>
      <c r="AK2177" s="77"/>
      <c r="AL2177" s="77"/>
      <c r="AM2177" s="77"/>
      <c r="AN2177" s="77"/>
      <c r="AO2177" s="77"/>
      <c r="AP2177" s="77"/>
      <c r="AQ2177" s="77"/>
      <c r="AR2177" s="77"/>
      <c r="AS2177" s="77"/>
      <c r="AT2177" s="82"/>
    </row>
    <row r="2178" spans="1:46" ht="12.5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3"/>
      <c r="Q2178" s="1"/>
      <c r="R2178" s="1"/>
      <c r="S2178" s="1"/>
      <c r="T2178" s="1"/>
      <c r="U2178" s="1"/>
      <c r="V2178" s="76"/>
      <c r="W2178" s="76"/>
      <c r="X2178" s="77"/>
      <c r="Y2178" s="77"/>
      <c r="Z2178" s="76"/>
      <c r="AA2178" s="76"/>
      <c r="AB2178" s="77"/>
      <c r="AC2178" s="77"/>
      <c r="AD2178" s="76"/>
      <c r="AE2178" s="76"/>
      <c r="AF2178" s="77"/>
      <c r="AG2178" s="77"/>
      <c r="AH2178" s="76"/>
      <c r="AI2178" s="76"/>
      <c r="AJ2178" s="77"/>
      <c r="AK2178" s="77"/>
      <c r="AL2178" s="77"/>
      <c r="AM2178" s="77"/>
      <c r="AN2178" s="77"/>
      <c r="AO2178" s="77"/>
      <c r="AP2178" s="77"/>
      <c r="AQ2178" s="77"/>
      <c r="AR2178" s="77"/>
      <c r="AS2178" s="77"/>
      <c r="AT2178" s="82"/>
    </row>
    <row r="2179" spans="1:46" ht="12.5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3"/>
      <c r="Q2179" s="1"/>
      <c r="R2179" s="1"/>
      <c r="S2179" s="1"/>
      <c r="T2179" s="1"/>
      <c r="U2179" s="1"/>
      <c r="V2179" s="76"/>
      <c r="W2179" s="76"/>
      <c r="X2179" s="77"/>
      <c r="Y2179" s="77"/>
      <c r="Z2179" s="76"/>
      <c r="AA2179" s="76"/>
      <c r="AB2179" s="77"/>
      <c r="AC2179" s="77"/>
      <c r="AD2179" s="76"/>
      <c r="AE2179" s="76"/>
      <c r="AF2179" s="77"/>
      <c r="AG2179" s="77"/>
      <c r="AH2179" s="76"/>
      <c r="AI2179" s="76"/>
      <c r="AJ2179" s="77"/>
      <c r="AK2179" s="77"/>
      <c r="AL2179" s="77"/>
      <c r="AM2179" s="77"/>
      <c r="AN2179" s="77"/>
      <c r="AO2179" s="77"/>
      <c r="AP2179" s="77"/>
      <c r="AQ2179" s="77"/>
      <c r="AR2179" s="77"/>
      <c r="AS2179" s="77"/>
      <c r="AT2179" s="82"/>
    </row>
    <row r="2180" spans="1:46" ht="12.5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3"/>
      <c r="Q2180" s="1"/>
      <c r="R2180" s="1"/>
      <c r="S2180" s="1"/>
      <c r="T2180" s="1"/>
      <c r="U2180" s="1"/>
      <c r="V2180" s="76"/>
      <c r="W2180" s="76"/>
      <c r="X2180" s="77"/>
      <c r="Y2180" s="77"/>
      <c r="Z2180" s="76"/>
      <c r="AA2180" s="76"/>
      <c r="AB2180" s="77"/>
      <c r="AC2180" s="77"/>
      <c r="AD2180" s="76"/>
      <c r="AE2180" s="76"/>
      <c r="AF2180" s="77"/>
      <c r="AG2180" s="77"/>
      <c r="AH2180" s="76"/>
      <c r="AI2180" s="76"/>
      <c r="AJ2180" s="77"/>
      <c r="AK2180" s="77"/>
      <c r="AL2180" s="77"/>
      <c r="AM2180" s="77"/>
      <c r="AN2180" s="77"/>
      <c r="AO2180" s="77"/>
      <c r="AP2180" s="77"/>
      <c r="AQ2180" s="77"/>
      <c r="AR2180" s="77"/>
      <c r="AS2180" s="77"/>
      <c r="AT2180" s="82"/>
    </row>
    <row r="2181" spans="1:46" ht="12.5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3"/>
      <c r="Q2181" s="1"/>
      <c r="R2181" s="1"/>
      <c r="S2181" s="1"/>
      <c r="T2181" s="1"/>
      <c r="U2181" s="1"/>
      <c r="V2181" s="76"/>
      <c r="W2181" s="76"/>
      <c r="X2181" s="77"/>
      <c r="Y2181" s="77"/>
      <c r="Z2181" s="76"/>
      <c r="AA2181" s="76"/>
      <c r="AB2181" s="77"/>
      <c r="AC2181" s="77"/>
      <c r="AD2181" s="76"/>
      <c r="AE2181" s="76"/>
      <c r="AF2181" s="77"/>
      <c r="AG2181" s="77"/>
      <c r="AH2181" s="76"/>
      <c r="AI2181" s="76"/>
      <c r="AJ2181" s="77"/>
      <c r="AK2181" s="77"/>
      <c r="AL2181" s="77"/>
      <c r="AM2181" s="77"/>
      <c r="AN2181" s="77"/>
      <c r="AO2181" s="77"/>
      <c r="AP2181" s="77"/>
      <c r="AQ2181" s="77"/>
      <c r="AR2181" s="77"/>
      <c r="AS2181" s="77"/>
      <c r="AT2181" s="82"/>
    </row>
    <row r="2182" spans="1:46" ht="12.5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3"/>
      <c r="Q2182" s="1"/>
      <c r="R2182" s="1"/>
      <c r="S2182" s="1"/>
      <c r="T2182" s="1"/>
      <c r="U2182" s="1"/>
      <c r="V2182" s="76"/>
      <c r="W2182" s="76"/>
      <c r="X2182" s="77"/>
      <c r="Y2182" s="77"/>
      <c r="Z2182" s="76"/>
      <c r="AA2182" s="76"/>
      <c r="AB2182" s="77"/>
      <c r="AC2182" s="77"/>
      <c r="AD2182" s="76"/>
      <c r="AE2182" s="76"/>
      <c r="AF2182" s="77"/>
      <c r="AG2182" s="77"/>
      <c r="AH2182" s="76"/>
      <c r="AI2182" s="76"/>
      <c r="AJ2182" s="77"/>
      <c r="AK2182" s="77"/>
      <c r="AL2182" s="77"/>
      <c r="AM2182" s="77"/>
      <c r="AN2182" s="77"/>
      <c r="AO2182" s="77"/>
      <c r="AP2182" s="77"/>
      <c r="AQ2182" s="77"/>
      <c r="AR2182" s="77"/>
      <c r="AS2182" s="77"/>
      <c r="AT2182" s="82"/>
    </row>
    <row r="2183" spans="1:46" ht="12.5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3"/>
      <c r="Q2183" s="1"/>
      <c r="R2183" s="1"/>
      <c r="S2183" s="1"/>
      <c r="T2183" s="1"/>
      <c r="U2183" s="1"/>
      <c r="V2183" s="76"/>
      <c r="W2183" s="76"/>
      <c r="X2183" s="77"/>
      <c r="Y2183" s="77"/>
      <c r="Z2183" s="76"/>
      <c r="AA2183" s="76"/>
      <c r="AB2183" s="77"/>
      <c r="AC2183" s="77"/>
      <c r="AD2183" s="76"/>
      <c r="AE2183" s="76"/>
      <c r="AF2183" s="77"/>
      <c r="AG2183" s="77"/>
      <c r="AH2183" s="76"/>
      <c r="AI2183" s="76"/>
      <c r="AJ2183" s="77"/>
      <c r="AK2183" s="77"/>
      <c r="AL2183" s="77"/>
      <c r="AM2183" s="77"/>
      <c r="AN2183" s="77"/>
      <c r="AO2183" s="77"/>
      <c r="AP2183" s="77"/>
      <c r="AQ2183" s="77"/>
      <c r="AR2183" s="77"/>
      <c r="AS2183" s="77"/>
      <c r="AT2183" s="82"/>
    </row>
    <row r="2184" spans="1:46" ht="12.5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3"/>
      <c r="Q2184" s="1"/>
      <c r="R2184" s="1"/>
      <c r="S2184" s="1"/>
      <c r="T2184" s="1"/>
      <c r="U2184" s="1"/>
      <c r="V2184" s="76"/>
      <c r="W2184" s="76"/>
      <c r="X2184" s="77"/>
      <c r="Y2184" s="77"/>
      <c r="Z2184" s="76"/>
      <c r="AA2184" s="76"/>
      <c r="AB2184" s="77"/>
      <c r="AC2184" s="77"/>
      <c r="AD2184" s="76"/>
      <c r="AE2184" s="76"/>
      <c r="AF2184" s="77"/>
      <c r="AG2184" s="77"/>
      <c r="AH2184" s="76"/>
      <c r="AI2184" s="76"/>
      <c r="AJ2184" s="77"/>
      <c r="AK2184" s="77"/>
      <c r="AL2184" s="77"/>
      <c r="AM2184" s="77"/>
      <c r="AN2184" s="77"/>
      <c r="AO2184" s="77"/>
      <c r="AP2184" s="77"/>
      <c r="AQ2184" s="77"/>
      <c r="AR2184" s="77"/>
      <c r="AS2184" s="77"/>
      <c r="AT2184" s="82"/>
    </row>
    <row r="2185" spans="1:46" ht="12.5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3"/>
      <c r="Q2185" s="1"/>
      <c r="R2185" s="1"/>
      <c r="S2185" s="1"/>
      <c r="T2185" s="1"/>
      <c r="U2185" s="1"/>
      <c r="V2185" s="76"/>
      <c r="W2185" s="76"/>
      <c r="X2185" s="77"/>
      <c r="Y2185" s="77"/>
      <c r="Z2185" s="76"/>
      <c r="AA2185" s="76"/>
      <c r="AB2185" s="77"/>
      <c r="AC2185" s="77"/>
      <c r="AD2185" s="76"/>
      <c r="AE2185" s="76"/>
      <c r="AF2185" s="77"/>
      <c r="AG2185" s="77"/>
      <c r="AH2185" s="76"/>
      <c r="AI2185" s="76"/>
      <c r="AJ2185" s="77"/>
      <c r="AK2185" s="77"/>
      <c r="AL2185" s="77"/>
      <c r="AM2185" s="77"/>
      <c r="AN2185" s="77"/>
      <c r="AO2185" s="77"/>
      <c r="AP2185" s="77"/>
      <c r="AQ2185" s="77"/>
      <c r="AR2185" s="77"/>
      <c r="AS2185" s="77"/>
      <c r="AT2185" s="82"/>
    </row>
    <row r="2186" spans="1:46" ht="12.5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3"/>
      <c r="Q2186" s="1"/>
      <c r="R2186" s="1"/>
      <c r="S2186" s="1"/>
      <c r="T2186" s="1"/>
      <c r="U2186" s="1"/>
      <c r="V2186" s="76"/>
      <c r="W2186" s="76"/>
      <c r="X2186" s="77"/>
      <c r="Y2186" s="77"/>
      <c r="Z2186" s="76"/>
      <c r="AA2186" s="76"/>
      <c r="AB2186" s="77"/>
      <c r="AC2186" s="77"/>
      <c r="AD2186" s="76"/>
      <c r="AE2186" s="76"/>
      <c r="AF2186" s="77"/>
      <c r="AG2186" s="77"/>
      <c r="AH2186" s="76"/>
      <c r="AI2186" s="76"/>
      <c r="AJ2186" s="77"/>
      <c r="AK2186" s="77"/>
      <c r="AL2186" s="77"/>
      <c r="AM2186" s="77"/>
      <c r="AN2186" s="77"/>
      <c r="AO2186" s="77"/>
      <c r="AP2186" s="77"/>
      <c r="AQ2186" s="77"/>
      <c r="AR2186" s="77"/>
      <c r="AS2186" s="77"/>
      <c r="AT2186" s="82"/>
    </row>
    <row r="2187" spans="1:46" ht="12.5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3"/>
      <c r="Q2187" s="1"/>
      <c r="R2187" s="1"/>
      <c r="S2187" s="1"/>
      <c r="T2187" s="1"/>
      <c r="U2187" s="1"/>
      <c r="V2187" s="76"/>
      <c r="W2187" s="76"/>
      <c r="X2187" s="77"/>
      <c r="Y2187" s="77"/>
      <c r="Z2187" s="76"/>
      <c r="AA2187" s="76"/>
      <c r="AB2187" s="77"/>
      <c r="AC2187" s="77"/>
      <c r="AD2187" s="76"/>
      <c r="AE2187" s="76"/>
      <c r="AF2187" s="77"/>
      <c r="AG2187" s="77"/>
      <c r="AH2187" s="76"/>
      <c r="AI2187" s="76"/>
      <c r="AJ2187" s="77"/>
      <c r="AK2187" s="77"/>
      <c r="AL2187" s="77"/>
      <c r="AM2187" s="77"/>
      <c r="AN2187" s="77"/>
      <c r="AO2187" s="77"/>
      <c r="AP2187" s="77"/>
      <c r="AQ2187" s="77"/>
      <c r="AR2187" s="77"/>
      <c r="AS2187" s="77"/>
      <c r="AT2187" s="82"/>
    </row>
    <row r="2188" spans="1:46" ht="12.5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3"/>
      <c r="Q2188" s="1"/>
      <c r="R2188" s="1"/>
      <c r="S2188" s="1"/>
      <c r="T2188" s="1"/>
      <c r="U2188" s="1"/>
      <c r="V2188" s="76"/>
      <c r="W2188" s="76"/>
      <c r="X2188" s="77"/>
      <c r="Y2188" s="77"/>
      <c r="Z2188" s="76"/>
      <c r="AA2188" s="76"/>
      <c r="AB2188" s="77"/>
      <c r="AC2188" s="77"/>
      <c r="AD2188" s="76"/>
      <c r="AE2188" s="76"/>
      <c r="AF2188" s="77"/>
      <c r="AG2188" s="77"/>
      <c r="AH2188" s="76"/>
      <c r="AI2188" s="76"/>
      <c r="AJ2188" s="77"/>
      <c r="AK2188" s="77"/>
      <c r="AL2188" s="77"/>
      <c r="AM2188" s="77"/>
      <c r="AN2188" s="77"/>
      <c r="AO2188" s="77"/>
      <c r="AP2188" s="77"/>
      <c r="AQ2188" s="77"/>
      <c r="AR2188" s="77"/>
      <c r="AS2188" s="77"/>
      <c r="AT2188" s="82"/>
    </row>
    <row r="2189" spans="1:46" ht="12.5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3"/>
      <c r="Q2189" s="1"/>
      <c r="R2189" s="1"/>
      <c r="S2189" s="1"/>
      <c r="T2189" s="1"/>
      <c r="U2189" s="1"/>
      <c r="V2189" s="76"/>
      <c r="W2189" s="76"/>
      <c r="X2189" s="77"/>
      <c r="Y2189" s="77"/>
      <c r="Z2189" s="76"/>
      <c r="AA2189" s="76"/>
      <c r="AB2189" s="77"/>
      <c r="AC2189" s="77"/>
      <c r="AD2189" s="76"/>
      <c r="AE2189" s="76"/>
      <c r="AF2189" s="77"/>
      <c r="AG2189" s="77"/>
      <c r="AH2189" s="76"/>
      <c r="AI2189" s="76"/>
      <c r="AJ2189" s="77"/>
      <c r="AK2189" s="77"/>
      <c r="AL2189" s="77"/>
      <c r="AM2189" s="77"/>
      <c r="AN2189" s="77"/>
      <c r="AO2189" s="77"/>
      <c r="AP2189" s="77"/>
      <c r="AQ2189" s="77"/>
      <c r="AR2189" s="77"/>
      <c r="AS2189" s="77"/>
      <c r="AT2189" s="82"/>
    </row>
    <row r="2190" spans="1:46" ht="12.5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3"/>
      <c r="Q2190" s="1"/>
      <c r="R2190" s="1"/>
      <c r="S2190" s="1"/>
      <c r="T2190" s="1"/>
      <c r="U2190" s="1"/>
      <c r="V2190" s="76"/>
      <c r="W2190" s="76"/>
      <c r="X2190" s="77"/>
      <c r="Y2190" s="77"/>
      <c r="Z2190" s="76"/>
      <c r="AA2190" s="76"/>
      <c r="AB2190" s="77"/>
      <c r="AC2190" s="77"/>
      <c r="AD2190" s="76"/>
      <c r="AE2190" s="76"/>
      <c r="AF2190" s="77"/>
      <c r="AG2190" s="77"/>
      <c r="AH2190" s="76"/>
      <c r="AI2190" s="76"/>
      <c r="AJ2190" s="77"/>
      <c r="AK2190" s="77"/>
      <c r="AL2190" s="77"/>
      <c r="AM2190" s="77"/>
      <c r="AN2190" s="77"/>
      <c r="AO2190" s="77"/>
      <c r="AP2190" s="77"/>
      <c r="AQ2190" s="77"/>
      <c r="AR2190" s="77"/>
      <c r="AS2190" s="77"/>
      <c r="AT2190" s="82"/>
    </row>
    <row r="2191" spans="1:46" ht="12.5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3"/>
      <c r="Q2191" s="1"/>
      <c r="R2191" s="1"/>
      <c r="S2191" s="1"/>
      <c r="T2191" s="1"/>
      <c r="U2191" s="1"/>
      <c r="V2191" s="76"/>
      <c r="W2191" s="76"/>
      <c r="X2191" s="77"/>
      <c r="Y2191" s="77"/>
      <c r="Z2191" s="76"/>
      <c r="AA2191" s="76"/>
      <c r="AB2191" s="77"/>
      <c r="AC2191" s="77"/>
      <c r="AD2191" s="76"/>
      <c r="AE2191" s="76"/>
      <c r="AF2191" s="77"/>
      <c r="AG2191" s="77"/>
      <c r="AH2191" s="76"/>
      <c r="AI2191" s="76"/>
      <c r="AJ2191" s="77"/>
      <c r="AK2191" s="77"/>
      <c r="AL2191" s="77"/>
      <c r="AM2191" s="77"/>
      <c r="AN2191" s="77"/>
      <c r="AO2191" s="77"/>
      <c r="AP2191" s="77"/>
      <c r="AQ2191" s="77"/>
      <c r="AR2191" s="77"/>
      <c r="AS2191" s="77"/>
      <c r="AT2191" s="82"/>
    </row>
    <row r="2192" spans="1:46" ht="12.5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3"/>
      <c r="Q2192" s="1"/>
      <c r="R2192" s="1"/>
      <c r="S2192" s="1"/>
      <c r="T2192" s="1"/>
      <c r="U2192" s="1"/>
      <c r="V2192" s="76"/>
      <c r="W2192" s="76"/>
      <c r="X2192" s="77"/>
      <c r="Y2192" s="77"/>
      <c r="Z2192" s="76"/>
      <c r="AA2192" s="76"/>
      <c r="AB2192" s="77"/>
      <c r="AC2192" s="77"/>
      <c r="AD2192" s="76"/>
      <c r="AE2192" s="76"/>
      <c r="AF2192" s="77"/>
      <c r="AG2192" s="77"/>
      <c r="AH2192" s="76"/>
      <c r="AI2192" s="76"/>
      <c r="AJ2192" s="77"/>
      <c r="AK2192" s="77"/>
      <c r="AL2192" s="77"/>
      <c r="AM2192" s="77"/>
      <c r="AN2192" s="77"/>
      <c r="AO2192" s="77"/>
      <c r="AP2192" s="77"/>
      <c r="AQ2192" s="77"/>
      <c r="AR2192" s="77"/>
      <c r="AS2192" s="77"/>
      <c r="AT2192" s="82"/>
    </row>
    <row r="2193" spans="1:46" ht="12.5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3"/>
      <c r="Q2193" s="1"/>
      <c r="R2193" s="1"/>
      <c r="S2193" s="1"/>
      <c r="T2193" s="1"/>
      <c r="U2193" s="1"/>
      <c r="V2193" s="76"/>
      <c r="W2193" s="76"/>
      <c r="X2193" s="77"/>
      <c r="Y2193" s="77"/>
      <c r="Z2193" s="76"/>
      <c r="AA2193" s="76"/>
      <c r="AB2193" s="77"/>
      <c r="AC2193" s="77"/>
      <c r="AD2193" s="76"/>
      <c r="AE2193" s="76"/>
      <c r="AF2193" s="77"/>
      <c r="AG2193" s="77"/>
      <c r="AH2193" s="76"/>
      <c r="AI2193" s="76"/>
      <c r="AJ2193" s="77"/>
      <c r="AK2193" s="77"/>
      <c r="AL2193" s="77"/>
      <c r="AM2193" s="77"/>
      <c r="AN2193" s="77"/>
      <c r="AO2193" s="77"/>
      <c r="AP2193" s="77"/>
      <c r="AQ2193" s="77"/>
      <c r="AR2193" s="77"/>
      <c r="AS2193" s="77"/>
      <c r="AT2193" s="82"/>
    </row>
    <row r="2194" spans="1:46" ht="12.5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3"/>
      <c r="Q2194" s="1"/>
      <c r="R2194" s="1"/>
      <c r="S2194" s="1"/>
      <c r="T2194" s="1"/>
      <c r="U2194" s="1"/>
      <c r="V2194" s="76"/>
      <c r="W2194" s="76"/>
      <c r="X2194" s="77"/>
      <c r="Y2194" s="77"/>
      <c r="Z2194" s="76"/>
      <c r="AA2194" s="76"/>
      <c r="AB2194" s="77"/>
      <c r="AC2194" s="77"/>
      <c r="AD2194" s="76"/>
      <c r="AE2194" s="76"/>
      <c r="AF2194" s="77"/>
      <c r="AG2194" s="77"/>
      <c r="AH2194" s="76"/>
      <c r="AI2194" s="76"/>
      <c r="AJ2194" s="77"/>
      <c r="AK2194" s="77"/>
      <c r="AL2194" s="77"/>
      <c r="AM2194" s="77"/>
      <c r="AN2194" s="77"/>
      <c r="AO2194" s="77"/>
      <c r="AP2194" s="77"/>
      <c r="AQ2194" s="77"/>
      <c r="AR2194" s="77"/>
      <c r="AS2194" s="77"/>
      <c r="AT2194" s="82"/>
    </row>
    <row r="2195" spans="1:46" ht="12.5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3"/>
      <c r="Q2195" s="1"/>
      <c r="R2195" s="1"/>
      <c r="S2195" s="1"/>
      <c r="T2195" s="1"/>
      <c r="U2195" s="1"/>
      <c r="V2195" s="76"/>
      <c r="W2195" s="76"/>
      <c r="X2195" s="77"/>
      <c r="Y2195" s="77"/>
      <c r="Z2195" s="76"/>
      <c r="AA2195" s="76"/>
      <c r="AB2195" s="77"/>
      <c r="AC2195" s="77"/>
      <c r="AD2195" s="76"/>
      <c r="AE2195" s="76"/>
      <c r="AF2195" s="77"/>
      <c r="AG2195" s="77"/>
      <c r="AH2195" s="76"/>
      <c r="AI2195" s="76"/>
      <c r="AJ2195" s="77"/>
      <c r="AK2195" s="77"/>
      <c r="AL2195" s="77"/>
      <c r="AM2195" s="77"/>
      <c r="AN2195" s="77"/>
      <c r="AO2195" s="77"/>
      <c r="AP2195" s="77"/>
      <c r="AQ2195" s="77"/>
      <c r="AR2195" s="77"/>
      <c r="AS2195" s="77"/>
      <c r="AT2195" s="82"/>
    </row>
    <row r="2196" spans="1:46" ht="12.5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3"/>
      <c r="Q2196" s="1"/>
      <c r="R2196" s="1"/>
      <c r="S2196" s="1"/>
      <c r="T2196" s="1"/>
      <c r="U2196" s="1"/>
      <c r="V2196" s="76"/>
      <c r="W2196" s="76"/>
      <c r="X2196" s="77"/>
      <c r="Y2196" s="77"/>
      <c r="Z2196" s="76"/>
      <c r="AA2196" s="76"/>
      <c r="AB2196" s="77"/>
      <c r="AC2196" s="77"/>
      <c r="AD2196" s="76"/>
      <c r="AE2196" s="76"/>
      <c r="AF2196" s="77"/>
      <c r="AG2196" s="77"/>
      <c r="AH2196" s="76"/>
      <c r="AI2196" s="76"/>
      <c r="AJ2196" s="77"/>
      <c r="AK2196" s="77"/>
      <c r="AL2196" s="77"/>
      <c r="AM2196" s="77"/>
      <c r="AN2196" s="77"/>
      <c r="AO2196" s="77"/>
      <c r="AP2196" s="77"/>
      <c r="AQ2196" s="77"/>
      <c r="AR2196" s="77"/>
      <c r="AS2196" s="77"/>
      <c r="AT2196" s="82"/>
    </row>
    <row r="2197" spans="1:46" ht="12.5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3"/>
      <c r="Q2197" s="1"/>
      <c r="R2197" s="1"/>
      <c r="S2197" s="1"/>
      <c r="T2197" s="1"/>
      <c r="U2197" s="1"/>
      <c r="V2197" s="76"/>
      <c r="W2197" s="76"/>
      <c r="X2197" s="77"/>
      <c r="Y2197" s="77"/>
      <c r="Z2197" s="76"/>
      <c r="AA2197" s="76"/>
      <c r="AB2197" s="77"/>
      <c r="AC2197" s="77"/>
      <c r="AD2197" s="76"/>
      <c r="AE2197" s="76"/>
      <c r="AF2197" s="77"/>
      <c r="AG2197" s="77"/>
      <c r="AH2197" s="76"/>
      <c r="AI2197" s="76"/>
      <c r="AJ2197" s="77"/>
      <c r="AK2197" s="77"/>
      <c r="AL2197" s="77"/>
      <c r="AM2197" s="77"/>
      <c r="AN2197" s="77"/>
      <c r="AO2197" s="77"/>
      <c r="AP2197" s="77"/>
      <c r="AQ2197" s="77"/>
      <c r="AR2197" s="77"/>
      <c r="AS2197" s="77"/>
      <c r="AT2197" s="82"/>
    </row>
    <row r="2198" spans="1:46" ht="12.5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3"/>
      <c r="Q2198" s="1"/>
      <c r="R2198" s="1"/>
      <c r="S2198" s="1"/>
      <c r="T2198" s="1"/>
      <c r="U2198" s="1"/>
      <c r="V2198" s="76"/>
      <c r="W2198" s="76"/>
      <c r="X2198" s="77"/>
      <c r="Y2198" s="77"/>
      <c r="Z2198" s="76"/>
      <c r="AA2198" s="76"/>
      <c r="AB2198" s="77"/>
      <c r="AC2198" s="77"/>
      <c r="AD2198" s="76"/>
      <c r="AE2198" s="76"/>
      <c r="AF2198" s="77"/>
      <c r="AG2198" s="77"/>
      <c r="AH2198" s="76"/>
      <c r="AI2198" s="76"/>
      <c r="AJ2198" s="77"/>
      <c r="AK2198" s="77"/>
      <c r="AL2198" s="77"/>
      <c r="AM2198" s="77"/>
      <c r="AN2198" s="77"/>
      <c r="AO2198" s="77"/>
      <c r="AP2198" s="77"/>
      <c r="AQ2198" s="77"/>
      <c r="AR2198" s="77"/>
      <c r="AS2198" s="77"/>
      <c r="AT2198" s="82"/>
    </row>
    <row r="2199" spans="1:46" ht="12.5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3"/>
      <c r="Q2199" s="1"/>
      <c r="R2199" s="1"/>
      <c r="S2199" s="1"/>
      <c r="T2199" s="1"/>
      <c r="U2199" s="1"/>
      <c r="V2199" s="76"/>
      <c r="W2199" s="76"/>
      <c r="X2199" s="77"/>
      <c r="Y2199" s="77"/>
      <c r="Z2199" s="76"/>
      <c r="AA2199" s="76"/>
      <c r="AB2199" s="77"/>
      <c r="AC2199" s="77"/>
      <c r="AD2199" s="76"/>
      <c r="AE2199" s="76"/>
      <c r="AF2199" s="77"/>
      <c r="AG2199" s="77"/>
      <c r="AH2199" s="76"/>
      <c r="AI2199" s="76"/>
      <c r="AJ2199" s="77"/>
      <c r="AK2199" s="77"/>
      <c r="AL2199" s="77"/>
      <c r="AM2199" s="77"/>
      <c r="AN2199" s="77"/>
      <c r="AO2199" s="77"/>
      <c r="AP2199" s="77"/>
      <c r="AQ2199" s="77"/>
      <c r="AR2199" s="77"/>
      <c r="AS2199" s="77"/>
      <c r="AT2199" s="82"/>
    </row>
    <row r="2200" spans="1:46" ht="12.5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3"/>
      <c r="Q2200" s="1"/>
      <c r="R2200" s="1"/>
      <c r="S2200" s="1"/>
      <c r="T2200" s="1"/>
      <c r="U2200" s="1"/>
      <c r="V2200" s="76"/>
      <c r="W2200" s="76"/>
      <c r="X2200" s="77"/>
      <c r="Y2200" s="77"/>
      <c r="Z2200" s="76"/>
      <c r="AA2200" s="76"/>
      <c r="AB2200" s="77"/>
      <c r="AC2200" s="77"/>
      <c r="AD2200" s="76"/>
      <c r="AE2200" s="76"/>
      <c r="AF2200" s="77"/>
      <c r="AG2200" s="77"/>
      <c r="AH2200" s="76"/>
      <c r="AI2200" s="76"/>
      <c r="AJ2200" s="77"/>
      <c r="AK2200" s="77"/>
      <c r="AL2200" s="77"/>
      <c r="AM2200" s="77"/>
      <c r="AN2200" s="77"/>
      <c r="AO2200" s="77"/>
      <c r="AP2200" s="77"/>
      <c r="AQ2200" s="77"/>
      <c r="AR2200" s="77"/>
      <c r="AS2200" s="77"/>
      <c r="AT2200" s="82"/>
    </row>
    <row r="2201" spans="1:46" ht="12.5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3"/>
      <c r="Q2201" s="1"/>
      <c r="R2201" s="1"/>
      <c r="S2201" s="1"/>
      <c r="T2201" s="1"/>
      <c r="U2201" s="1"/>
      <c r="V2201" s="76"/>
      <c r="W2201" s="76"/>
      <c r="X2201" s="77"/>
      <c r="Y2201" s="77"/>
      <c r="Z2201" s="76"/>
      <c r="AA2201" s="76"/>
      <c r="AB2201" s="77"/>
      <c r="AC2201" s="77"/>
      <c r="AD2201" s="76"/>
      <c r="AE2201" s="76"/>
      <c r="AF2201" s="77"/>
      <c r="AG2201" s="77"/>
      <c r="AH2201" s="76"/>
      <c r="AI2201" s="76"/>
      <c r="AJ2201" s="77"/>
      <c r="AK2201" s="77"/>
      <c r="AL2201" s="77"/>
      <c r="AM2201" s="77"/>
      <c r="AN2201" s="77"/>
      <c r="AO2201" s="77"/>
      <c r="AP2201" s="77"/>
      <c r="AQ2201" s="77"/>
      <c r="AR2201" s="77"/>
      <c r="AS2201" s="77"/>
      <c r="AT2201" s="82"/>
    </row>
    <row r="2202" spans="1:46" ht="12.5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3"/>
      <c r="Q2202" s="1"/>
      <c r="R2202" s="1"/>
      <c r="S2202" s="1"/>
      <c r="T2202" s="1"/>
      <c r="U2202" s="1"/>
      <c r="V2202" s="76"/>
      <c r="W2202" s="76"/>
      <c r="X2202" s="77"/>
      <c r="Y2202" s="77"/>
      <c r="Z2202" s="76"/>
      <c r="AA2202" s="76"/>
      <c r="AB2202" s="77"/>
      <c r="AC2202" s="77"/>
      <c r="AD2202" s="76"/>
      <c r="AE2202" s="76"/>
      <c r="AF2202" s="77"/>
      <c r="AG2202" s="77"/>
      <c r="AH2202" s="76"/>
      <c r="AI2202" s="76"/>
      <c r="AJ2202" s="77"/>
      <c r="AK2202" s="77"/>
      <c r="AL2202" s="77"/>
      <c r="AM2202" s="77"/>
      <c r="AN2202" s="77"/>
      <c r="AO2202" s="77"/>
      <c r="AP2202" s="77"/>
      <c r="AQ2202" s="77"/>
      <c r="AR2202" s="77"/>
      <c r="AS2202" s="77"/>
      <c r="AT2202" s="82"/>
    </row>
    <row r="2203" spans="1:46" ht="12.5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3"/>
      <c r="Q2203" s="1"/>
      <c r="R2203" s="1"/>
      <c r="S2203" s="1"/>
      <c r="T2203" s="1"/>
      <c r="U2203" s="1"/>
      <c r="V2203" s="76"/>
      <c r="W2203" s="76"/>
      <c r="X2203" s="77"/>
      <c r="Y2203" s="77"/>
      <c r="Z2203" s="76"/>
      <c r="AA2203" s="76"/>
      <c r="AB2203" s="77"/>
      <c r="AC2203" s="77"/>
      <c r="AD2203" s="76"/>
      <c r="AE2203" s="76"/>
      <c r="AF2203" s="77"/>
      <c r="AG2203" s="77"/>
      <c r="AH2203" s="76"/>
      <c r="AI2203" s="76"/>
      <c r="AJ2203" s="77"/>
      <c r="AK2203" s="77"/>
      <c r="AL2203" s="77"/>
      <c r="AM2203" s="77"/>
      <c r="AN2203" s="77"/>
      <c r="AO2203" s="77"/>
      <c r="AP2203" s="77"/>
      <c r="AQ2203" s="77"/>
      <c r="AR2203" s="77"/>
      <c r="AS2203" s="77"/>
      <c r="AT2203" s="82"/>
    </row>
    <row r="2204" spans="1:46" ht="12.5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3"/>
      <c r="Q2204" s="1"/>
      <c r="R2204" s="1"/>
      <c r="S2204" s="1"/>
      <c r="T2204" s="1"/>
      <c r="U2204" s="1"/>
      <c r="V2204" s="76"/>
      <c r="W2204" s="76"/>
      <c r="X2204" s="77"/>
      <c r="Y2204" s="77"/>
      <c r="Z2204" s="76"/>
      <c r="AA2204" s="76"/>
      <c r="AB2204" s="77"/>
      <c r="AC2204" s="77"/>
      <c r="AD2204" s="76"/>
      <c r="AE2204" s="76"/>
      <c r="AF2204" s="77"/>
      <c r="AG2204" s="77"/>
      <c r="AH2204" s="76"/>
      <c r="AI2204" s="76"/>
      <c r="AJ2204" s="77"/>
      <c r="AK2204" s="77"/>
      <c r="AL2204" s="77"/>
      <c r="AM2204" s="77"/>
      <c r="AN2204" s="77"/>
      <c r="AO2204" s="77"/>
      <c r="AP2204" s="77"/>
      <c r="AQ2204" s="77"/>
      <c r="AR2204" s="77"/>
      <c r="AS2204" s="77"/>
      <c r="AT2204" s="82"/>
    </row>
    <row r="2205" spans="1:46" ht="12.5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3"/>
      <c r="Q2205" s="1"/>
      <c r="R2205" s="1"/>
      <c r="S2205" s="1"/>
      <c r="T2205" s="1"/>
      <c r="U2205" s="1"/>
      <c r="V2205" s="76"/>
      <c r="W2205" s="76"/>
      <c r="X2205" s="77"/>
      <c r="Y2205" s="77"/>
      <c r="Z2205" s="76"/>
      <c r="AA2205" s="76"/>
      <c r="AB2205" s="77"/>
      <c r="AC2205" s="77"/>
      <c r="AD2205" s="76"/>
      <c r="AE2205" s="76"/>
      <c r="AF2205" s="77"/>
      <c r="AG2205" s="77"/>
      <c r="AH2205" s="76"/>
      <c r="AI2205" s="76"/>
      <c r="AJ2205" s="77"/>
      <c r="AK2205" s="77"/>
      <c r="AL2205" s="77"/>
      <c r="AM2205" s="77"/>
      <c r="AN2205" s="77"/>
      <c r="AO2205" s="77"/>
      <c r="AP2205" s="77"/>
      <c r="AQ2205" s="77"/>
      <c r="AR2205" s="77"/>
      <c r="AS2205" s="77"/>
      <c r="AT2205" s="82"/>
    </row>
    <row r="2206" spans="1:46" ht="12.5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3"/>
      <c r="Q2206" s="1"/>
      <c r="R2206" s="1"/>
      <c r="S2206" s="1"/>
      <c r="T2206" s="1"/>
      <c r="U2206" s="1"/>
      <c r="V2206" s="76"/>
      <c r="W2206" s="76"/>
      <c r="X2206" s="77"/>
      <c r="Y2206" s="77"/>
      <c r="Z2206" s="76"/>
      <c r="AA2206" s="76"/>
      <c r="AB2206" s="77"/>
      <c r="AC2206" s="77"/>
      <c r="AD2206" s="76"/>
      <c r="AE2206" s="76"/>
      <c r="AF2206" s="77"/>
      <c r="AG2206" s="77"/>
      <c r="AH2206" s="76"/>
      <c r="AI2206" s="76"/>
      <c r="AJ2206" s="77"/>
      <c r="AK2206" s="77"/>
      <c r="AL2206" s="77"/>
      <c r="AM2206" s="77"/>
      <c r="AN2206" s="77"/>
      <c r="AO2206" s="77"/>
      <c r="AP2206" s="77"/>
      <c r="AQ2206" s="77"/>
      <c r="AR2206" s="77"/>
      <c r="AS2206" s="77"/>
      <c r="AT2206" s="82"/>
    </row>
    <row r="2207" spans="1:46" ht="12.5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3"/>
      <c r="Q2207" s="1"/>
      <c r="R2207" s="1"/>
      <c r="S2207" s="1"/>
      <c r="T2207" s="1"/>
      <c r="U2207" s="1"/>
      <c r="V2207" s="76"/>
      <c r="W2207" s="76"/>
      <c r="X2207" s="77"/>
      <c r="Y2207" s="77"/>
      <c r="Z2207" s="76"/>
      <c r="AA2207" s="76"/>
      <c r="AB2207" s="77"/>
      <c r="AC2207" s="77"/>
      <c r="AD2207" s="76"/>
      <c r="AE2207" s="76"/>
      <c r="AF2207" s="77"/>
      <c r="AG2207" s="77"/>
      <c r="AH2207" s="76"/>
      <c r="AI2207" s="76"/>
      <c r="AJ2207" s="77"/>
      <c r="AK2207" s="77"/>
      <c r="AL2207" s="77"/>
      <c r="AM2207" s="77"/>
      <c r="AN2207" s="77"/>
      <c r="AO2207" s="77"/>
      <c r="AP2207" s="77"/>
      <c r="AQ2207" s="77"/>
      <c r="AR2207" s="77"/>
      <c r="AS2207" s="77"/>
      <c r="AT2207" s="82"/>
    </row>
    <row r="2208" spans="1:46" ht="12.5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3"/>
      <c r="Q2208" s="1"/>
      <c r="R2208" s="1"/>
      <c r="S2208" s="1"/>
      <c r="T2208" s="1"/>
      <c r="U2208" s="1"/>
      <c r="V2208" s="76"/>
      <c r="W2208" s="76"/>
      <c r="X2208" s="77"/>
      <c r="Y2208" s="77"/>
      <c r="Z2208" s="76"/>
      <c r="AA2208" s="76"/>
      <c r="AB2208" s="77"/>
      <c r="AC2208" s="77"/>
      <c r="AD2208" s="76"/>
      <c r="AE2208" s="76"/>
      <c r="AF2208" s="77"/>
      <c r="AG2208" s="77"/>
      <c r="AH2208" s="76"/>
      <c r="AI2208" s="76"/>
      <c r="AJ2208" s="77"/>
      <c r="AK2208" s="77"/>
      <c r="AL2208" s="77"/>
      <c r="AM2208" s="77"/>
      <c r="AN2208" s="77"/>
      <c r="AO2208" s="77"/>
      <c r="AP2208" s="77"/>
      <c r="AQ2208" s="77"/>
      <c r="AR2208" s="77"/>
      <c r="AS2208" s="77"/>
      <c r="AT2208" s="82"/>
    </row>
    <row r="2209" spans="1:46" ht="12.5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3"/>
      <c r="Q2209" s="1"/>
      <c r="R2209" s="1"/>
      <c r="S2209" s="1"/>
      <c r="T2209" s="1"/>
      <c r="U2209" s="1"/>
      <c r="V2209" s="76"/>
      <c r="W2209" s="76"/>
      <c r="X2209" s="77"/>
      <c r="Y2209" s="77"/>
      <c r="Z2209" s="76"/>
      <c r="AA2209" s="76"/>
      <c r="AB2209" s="77"/>
      <c r="AC2209" s="77"/>
      <c r="AD2209" s="76"/>
      <c r="AE2209" s="76"/>
      <c r="AF2209" s="77"/>
      <c r="AG2209" s="77"/>
      <c r="AH2209" s="76"/>
      <c r="AI2209" s="76"/>
      <c r="AJ2209" s="77"/>
      <c r="AK2209" s="77"/>
      <c r="AL2209" s="77"/>
      <c r="AM2209" s="77"/>
      <c r="AN2209" s="77"/>
      <c r="AO2209" s="77"/>
      <c r="AP2209" s="77"/>
      <c r="AQ2209" s="77"/>
      <c r="AR2209" s="77"/>
      <c r="AS2209" s="77"/>
      <c r="AT2209" s="82"/>
    </row>
    <row r="2210" spans="1:46" ht="12.5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3"/>
      <c r="Q2210" s="1"/>
      <c r="R2210" s="1"/>
      <c r="S2210" s="1"/>
      <c r="T2210" s="1"/>
      <c r="U2210" s="1"/>
      <c r="V2210" s="76"/>
      <c r="W2210" s="76"/>
      <c r="X2210" s="77"/>
      <c r="Y2210" s="77"/>
      <c r="Z2210" s="76"/>
      <c r="AA2210" s="76"/>
      <c r="AB2210" s="77"/>
      <c r="AC2210" s="77"/>
      <c r="AD2210" s="76"/>
      <c r="AE2210" s="76"/>
      <c r="AF2210" s="77"/>
      <c r="AG2210" s="77"/>
      <c r="AH2210" s="76"/>
      <c r="AI2210" s="76"/>
      <c r="AJ2210" s="77"/>
      <c r="AK2210" s="77"/>
      <c r="AL2210" s="77"/>
      <c r="AM2210" s="77"/>
      <c r="AN2210" s="77"/>
      <c r="AO2210" s="77"/>
      <c r="AP2210" s="77"/>
      <c r="AQ2210" s="77"/>
      <c r="AR2210" s="77"/>
      <c r="AS2210" s="77"/>
      <c r="AT2210" s="82"/>
    </row>
    <row r="2211" spans="1:46" ht="12.5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3"/>
      <c r="Q2211" s="1"/>
      <c r="R2211" s="1"/>
      <c r="S2211" s="1"/>
      <c r="T2211" s="1"/>
      <c r="U2211" s="1"/>
      <c r="V2211" s="76"/>
      <c r="W2211" s="76"/>
      <c r="X2211" s="77"/>
      <c r="Y2211" s="77"/>
      <c r="Z2211" s="76"/>
      <c r="AA2211" s="76"/>
      <c r="AB2211" s="77"/>
      <c r="AC2211" s="77"/>
      <c r="AD2211" s="76"/>
      <c r="AE2211" s="76"/>
      <c r="AF2211" s="77"/>
      <c r="AG2211" s="77"/>
      <c r="AH2211" s="76"/>
      <c r="AI2211" s="76"/>
      <c r="AJ2211" s="77"/>
      <c r="AK2211" s="77"/>
      <c r="AL2211" s="77"/>
      <c r="AM2211" s="77"/>
      <c r="AN2211" s="77"/>
      <c r="AO2211" s="77"/>
      <c r="AP2211" s="77"/>
      <c r="AQ2211" s="77"/>
      <c r="AR2211" s="77"/>
      <c r="AS2211" s="77"/>
      <c r="AT2211" s="82"/>
    </row>
    <row r="2212" spans="1:46" ht="12.5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3"/>
      <c r="Q2212" s="1"/>
      <c r="R2212" s="1"/>
      <c r="S2212" s="1"/>
      <c r="T2212" s="1"/>
      <c r="U2212" s="1"/>
      <c r="V2212" s="76"/>
      <c r="W2212" s="76"/>
      <c r="X2212" s="77"/>
      <c r="Y2212" s="77"/>
      <c r="Z2212" s="76"/>
      <c r="AA2212" s="76"/>
      <c r="AB2212" s="77"/>
      <c r="AC2212" s="77"/>
      <c r="AD2212" s="76"/>
      <c r="AE2212" s="76"/>
      <c r="AF2212" s="77"/>
      <c r="AG2212" s="77"/>
      <c r="AH2212" s="76"/>
      <c r="AI2212" s="76"/>
      <c r="AJ2212" s="77"/>
      <c r="AK2212" s="77"/>
      <c r="AL2212" s="77"/>
      <c r="AM2212" s="77"/>
      <c r="AN2212" s="77"/>
      <c r="AO2212" s="77"/>
      <c r="AP2212" s="77"/>
      <c r="AQ2212" s="77"/>
      <c r="AR2212" s="77"/>
      <c r="AS2212" s="77"/>
      <c r="AT2212" s="82"/>
    </row>
    <row r="2213" spans="1:46" ht="12.5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3"/>
      <c r="Q2213" s="1"/>
      <c r="R2213" s="1"/>
      <c r="S2213" s="1"/>
      <c r="T2213" s="1"/>
      <c r="U2213" s="1"/>
      <c r="V2213" s="76"/>
      <c r="W2213" s="76"/>
      <c r="X2213" s="77"/>
      <c r="Y2213" s="77"/>
      <c r="Z2213" s="76"/>
      <c r="AA2213" s="76"/>
      <c r="AB2213" s="77"/>
      <c r="AC2213" s="77"/>
      <c r="AD2213" s="76"/>
      <c r="AE2213" s="76"/>
      <c r="AF2213" s="77"/>
      <c r="AG2213" s="77"/>
      <c r="AH2213" s="76"/>
      <c r="AI2213" s="76"/>
      <c r="AJ2213" s="77"/>
      <c r="AK2213" s="77"/>
      <c r="AL2213" s="77"/>
      <c r="AM2213" s="77"/>
      <c r="AN2213" s="77"/>
      <c r="AO2213" s="77"/>
      <c r="AP2213" s="77"/>
      <c r="AQ2213" s="77"/>
      <c r="AR2213" s="77"/>
      <c r="AS2213" s="77"/>
      <c r="AT2213" s="82"/>
    </row>
    <row r="2214" spans="1:46" ht="12.5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3"/>
      <c r="Q2214" s="1"/>
      <c r="R2214" s="1"/>
      <c r="S2214" s="1"/>
      <c r="T2214" s="1"/>
      <c r="U2214" s="1"/>
      <c r="V2214" s="76"/>
      <c r="W2214" s="76"/>
      <c r="X2214" s="77"/>
      <c r="Y2214" s="77"/>
      <c r="Z2214" s="76"/>
      <c r="AA2214" s="76"/>
      <c r="AB2214" s="77"/>
      <c r="AC2214" s="77"/>
      <c r="AD2214" s="76"/>
      <c r="AE2214" s="76"/>
      <c r="AF2214" s="77"/>
      <c r="AG2214" s="77"/>
      <c r="AH2214" s="76"/>
      <c r="AI2214" s="76"/>
      <c r="AJ2214" s="77"/>
      <c r="AK2214" s="77"/>
      <c r="AL2214" s="77"/>
      <c r="AM2214" s="77"/>
      <c r="AN2214" s="77"/>
      <c r="AO2214" s="77"/>
      <c r="AP2214" s="77"/>
      <c r="AQ2214" s="77"/>
      <c r="AR2214" s="77"/>
      <c r="AS2214" s="77"/>
      <c r="AT2214" s="82"/>
    </row>
    <row r="2215" spans="1:46" ht="12.5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3"/>
      <c r="Q2215" s="1"/>
      <c r="R2215" s="1"/>
      <c r="S2215" s="1"/>
      <c r="T2215" s="1"/>
      <c r="U2215" s="1"/>
      <c r="V2215" s="76"/>
      <c r="W2215" s="76"/>
      <c r="X2215" s="77"/>
      <c r="Y2215" s="77"/>
      <c r="Z2215" s="76"/>
      <c r="AA2215" s="76"/>
      <c r="AB2215" s="77"/>
      <c r="AC2215" s="77"/>
      <c r="AD2215" s="76"/>
      <c r="AE2215" s="76"/>
      <c r="AF2215" s="77"/>
      <c r="AG2215" s="77"/>
      <c r="AH2215" s="76"/>
      <c r="AI2215" s="76"/>
      <c r="AJ2215" s="77"/>
      <c r="AK2215" s="77"/>
      <c r="AL2215" s="77"/>
      <c r="AM2215" s="77"/>
      <c r="AN2215" s="77"/>
      <c r="AO2215" s="77"/>
      <c r="AP2215" s="77"/>
      <c r="AQ2215" s="77"/>
      <c r="AR2215" s="77"/>
      <c r="AS2215" s="77"/>
      <c r="AT2215" s="82"/>
    </row>
    <row r="2216" spans="1:46" ht="12.5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3"/>
      <c r="Q2216" s="1"/>
      <c r="R2216" s="1"/>
      <c r="S2216" s="1"/>
      <c r="T2216" s="1"/>
      <c r="U2216" s="1"/>
      <c r="V2216" s="76"/>
      <c r="W2216" s="76"/>
      <c r="X2216" s="77"/>
      <c r="Y2216" s="77"/>
      <c r="Z2216" s="76"/>
      <c r="AA2216" s="76"/>
      <c r="AB2216" s="77"/>
      <c r="AC2216" s="77"/>
      <c r="AD2216" s="76"/>
      <c r="AE2216" s="76"/>
      <c r="AF2216" s="77"/>
      <c r="AG2216" s="77"/>
      <c r="AH2216" s="76"/>
      <c r="AI2216" s="76"/>
      <c r="AJ2216" s="77"/>
      <c r="AK2216" s="77"/>
      <c r="AL2216" s="77"/>
      <c r="AM2216" s="77"/>
      <c r="AN2216" s="77"/>
      <c r="AO2216" s="77"/>
      <c r="AP2216" s="77"/>
      <c r="AQ2216" s="77"/>
      <c r="AR2216" s="77"/>
      <c r="AS2216" s="77"/>
      <c r="AT2216" s="82"/>
    </row>
    <row r="2217" spans="1:46" ht="12.5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3"/>
      <c r="Q2217" s="1"/>
      <c r="R2217" s="1"/>
      <c r="S2217" s="1"/>
      <c r="T2217" s="1"/>
      <c r="U2217" s="1"/>
      <c r="V2217" s="76"/>
      <c r="W2217" s="76"/>
      <c r="X2217" s="77"/>
      <c r="Y2217" s="77"/>
      <c r="Z2217" s="76"/>
      <c r="AA2217" s="76"/>
      <c r="AB2217" s="77"/>
      <c r="AC2217" s="77"/>
      <c r="AD2217" s="76"/>
      <c r="AE2217" s="76"/>
      <c r="AF2217" s="77"/>
      <c r="AG2217" s="77"/>
      <c r="AH2217" s="76"/>
      <c r="AI2217" s="76"/>
      <c r="AJ2217" s="77"/>
      <c r="AK2217" s="77"/>
      <c r="AL2217" s="77"/>
      <c r="AM2217" s="77"/>
      <c r="AN2217" s="77"/>
      <c r="AO2217" s="77"/>
      <c r="AP2217" s="77"/>
      <c r="AQ2217" s="77"/>
      <c r="AR2217" s="77"/>
      <c r="AS2217" s="77"/>
      <c r="AT2217" s="82"/>
    </row>
    <row r="2218" spans="1:46" ht="12.5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3"/>
      <c r="Q2218" s="1"/>
      <c r="R2218" s="1"/>
      <c r="S2218" s="1"/>
      <c r="T2218" s="1"/>
      <c r="U2218" s="1"/>
      <c r="V2218" s="76"/>
      <c r="W2218" s="76"/>
      <c r="X2218" s="77"/>
      <c r="Y2218" s="77"/>
      <c r="Z2218" s="76"/>
      <c r="AA2218" s="76"/>
      <c r="AB2218" s="77"/>
      <c r="AC2218" s="77"/>
      <c r="AD2218" s="76"/>
      <c r="AE2218" s="76"/>
      <c r="AF2218" s="77"/>
      <c r="AG2218" s="77"/>
      <c r="AH2218" s="76"/>
      <c r="AI2218" s="76"/>
      <c r="AJ2218" s="77"/>
      <c r="AK2218" s="77"/>
      <c r="AL2218" s="77"/>
      <c r="AM2218" s="77"/>
      <c r="AN2218" s="77"/>
      <c r="AO2218" s="77"/>
      <c r="AP2218" s="77"/>
      <c r="AQ2218" s="77"/>
      <c r="AR2218" s="77"/>
      <c r="AS2218" s="77"/>
      <c r="AT2218" s="82"/>
    </row>
    <row r="2219" spans="1:46" ht="12.5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3"/>
      <c r="Q2219" s="1"/>
      <c r="R2219" s="1"/>
      <c r="S2219" s="1"/>
      <c r="T2219" s="1"/>
      <c r="U2219" s="1"/>
      <c r="V2219" s="76"/>
      <c r="W2219" s="76"/>
      <c r="X2219" s="77"/>
      <c r="Y2219" s="77"/>
      <c r="Z2219" s="76"/>
      <c r="AA2219" s="76"/>
      <c r="AB2219" s="77"/>
      <c r="AC2219" s="77"/>
      <c r="AD2219" s="76"/>
      <c r="AE2219" s="76"/>
      <c r="AF2219" s="77"/>
      <c r="AG2219" s="77"/>
      <c r="AH2219" s="76"/>
      <c r="AI2219" s="76"/>
      <c r="AJ2219" s="77"/>
      <c r="AK2219" s="77"/>
      <c r="AL2219" s="77"/>
      <c r="AM2219" s="77"/>
      <c r="AN2219" s="77"/>
      <c r="AO2219" s="77"/>
      <c r="AP2219" s="77"/>
      <c r="AQ2219" s="77"/>
      <c r="AR2219" s="77"/>
      <c r="AS2219" s="77"/>
      <c r="AT2219" s="82"/>
    </row>
    <row r="2220" spans="1:46" ht="12.5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3"/>
      <c r="Q2220" s="1"/>
      <c r="R2220" s="1"/>
      <c r="S2220" s="1"/>
      <c r="T2220" s="1"/>
      <c r="U2220" s="1"/>
      <c r="V2220" s="76"/>
      <c r="W2220" s="76"/>
      <c r="X2220" s="77"/>
      <c r="Y2220" s="77"/>
      <c r="Z2220" s="76"/>
      <c r="AA2220" s="76"/>
      <c r="AB2220" s="77"/>
      <c r="AC2220" s="77"/>
      <c r="AD2220" s="76"/>
      <c r="AE2220" s="76"/>
      <c r="AF2220" s="77"/>
      <c r="AG2220" s="77"/>
      <c r="AH2220" s="76"/>
      <c r="AI2220" s="76"/>
      <c r="AJ2220" s="77"/>
      <c r="AK2220" s="77"/>
      <c r="AL2220" s="77"/>
      <c r="AM2220" s="77"/>
      <c r="AN2220" s="77"/>
      <c r="AO2220" s="77"/>
      <c r="AP2220" s="77"/>
      <c r="AQ2220" s="77"/>
      <c r="AR2220" s="77"/>
      <c r="AS2220" s="77"/>
      <c r="AT2220" s="82"/>
    </row>
    <row r="2221" spans="1:46" ht="12.5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3"/>
      <c r="Q2221" s="1"/>
      <c r="R2221" s="1"/>
      <c r="S2221" s="1"/>
      <c r="T2221" s="1"/>
      <c r="U2221" s="1"/>
      <c r="V2221" s="76"/>
      <c r="W2221" s="76"/>
      <c r="X2221" s="77"/>
      <c r="Y2221" s="77"/>
      <c r="Z2221" s="76"/>
      <c r="AA2221" s="76"/>
      <c r="AB2221" s="77"/>
      <c r="AC2221" s="77"/>
      <c r="AD2221" s="76"/>
      <c r="AE2221" s="76"/>
      <c r="AF2221" s="77"/>
      <c r="AG2221" s="77"/>
      <c r="AH2221" s="76"/>
      <c r="AI2221" s="76"/>
      <c r="AJ2221" s="77"/>
      <c r="AK2221" s="77"/>
      <c r="AL2221" s="77"/>
      <c r="AM2221" s="77"/>
      <c r="AN2221" s="77"/>
      <c r="AO2221" s="77"/>
      <c r="AP2221" s="77"/>
      <c r="AQ2221" s="77"/>
      <c r="AR2221" s="77"/>
      <c r="AS2221" s="77"/>
      <c r="AT2221" s="82"/>
    </row>
    <row r="2222" spans="1:46" ht="12.5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3"/>
      <c r="Q2222" s="1"/>
      <c r="R2222" s="1"/>
      <c r="S2222" s="1"/>
      <c r="T2222" s="1"/>
      <c r="U2222" s="1"/>
      <c r="V2222" s="76"/>
      <c r="W2222" s="76"/>
      <c r="X2222" s="77"/>
      <c r="Y2222" s="77"/>
      <c r="Z2222" s="76"/>
      <c r="AA2222" s="76"/>
      <c r="AB2222" s="77"/>
      <c r="AC2222" s="77"/>
      <c r="AD2222" s="76"/>
      <c r="AE2222" s="76"/>
      <c r="AF2222" s="77"/>
      <c r="AG2222" s="77"/>
      <c r="AH2222" s="76"/>
      <c r="AI2222" s="76"/>
      <c r="AJ2222" s="77"/>
      <c r="AK2222" s="77"/>
      <c r="AL2222" s="77"/>
      <c r="AM2222" s="77"/>
      <c r="AN2222" s="77"/>
      <c r="AO2222" s="77"/>
      <c r="AP2222" s="77"/>
      <c r="AQ2222" s="77"/>
      <c r="AR2222" s="77"/>
      <c r="AS2222" s="77"/>
      <c r="AT2222" s="82"/>
    </row>
    <row r="2223" spans="1:46" ht="12.5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3"/>
      <c r="Q2223" s="1"/>
      <c r="R2223" s="1"/>
      <c r="S2223" s="1"/>
      <c r="T2223" s="1"/>
      <c r="U2223" s="1"/>
      <c r="V2223" s="76"/>
      <c r="W2223" s="76"/>
      <c r="X2223" s="77"/>
      <c r="Y2223" s="77"/>
      <c r="Z2223" s="76"/>
      <c r="AA2223" s="76"/>
      <c r="AB2223" s="77"/>
      <c r="AC2223" s="77"/>
      <c r="AD2223" s="76"/>
      <c r="AE2223" s="76"/>
      <c r="AF2223" s="77"/>
      <c r="AG2223" s="77"/>
      <c r="AH2223" s="76"/>
      <c r="AI2223" s="76"/>
      <c r="AJ2223" s="77"/>
      <c r="AK2223" s="77"/>
      <c r="AL2223" s="77"/>
      <c r="AM2223" s="77"/>
      <c r="AN2223" s="77"/>
      <c r="AO2223" s="77"/>
      <c r="AP2223" s="77"/>
      <c r="AQ2223" s="77"/>
      <c r="AR2223" s="77"/>
      <c r="AS2223" s="77"/>
      <c r="AT2223" s="82"/>
    </row>
    <row r="2224" spans="1:46" ht="12.5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3"/>
      <c r="Q2224" s="1"/>
      <c r="R2224" s="1"/>
      <c r="S2224" s="1"/>
      <c r="T2224" s="1"/>
      <c r="U2224" s="1"/>
      <c r="V2224" s="76"/>
      <c r="W2224" s="76"/>
      <c r="X2224" s="77"/>
      <c r="Y2224" s="77"/>
      <c r="Z2224" s="76"/>
      <c r="AA2224" s="76"/>
      <c r="AB2224" s="77"/>
      <c r="AC2224" s="77"/>
      <c r="AD2224" s="76"/>
      <c r="AE2224" s="76"/>
      <c r="AF2224" s="77"/>
      <c r="AG2224" s="77"/>
      <c r="AH2224" s="76"/>
      <c r="AI2224" s="76"/>
      <c r="AJ2224" s="77"/>
      <c r="AK2224" s="77"/>
      <c r="AL2224" s="77"/>
      <c r="AM2224" s="77"/>
      <c r="AN2224" s="77"/>
      <c r="AO2224" s="77"/>
      <c r="AP2224" s="77"/>
      <c r="AQ2224" s="77"/>
      <c r="AR2224" s="77"/>
      <c r="AS2224" s="77"/>
      <c r="AT2224" s="82"/>
    </row>
    <row r="2225" spans="1:46" ht="12.5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3"/>
      <c r="Q2225" s="1"/>
      <c r="R2225" s="1"/>
      <c r="S2225" s="1"/>
      <c r="T2225" s="1"/>
      <c r="U2225" s="1"/>
      <c r="V2225" s="76"/>
      <c r="W2225" s="76"/>
      <c r="X2225" s="77"/>
      <c r="Y2225" s="77"/>
      <c r="Z2225" s="76"/>
      <c r="AA2225" s="76"/>
      <c r="AB2225" s="77"/>
      <c r="AC2225" s="77"/>
      <c r="AD2225" s="76"/>
      <c r="AE2225" s="76"/>
      <c r="AF2225" s="77"/>
      <c r="AG2225" s="77"/>
      <c r="AH2225" s="76"/>
      <c r="AI2225" s="76"/>
      <c r="AJ2225" s="77"/>
      <c r="AK2225" s="77"/>
      <c r="AL2225" s="77"/>
      <c r="AM2225" s="77"/>
      <c r="AN2225" s="77"/>
      <c r="AO2225" s="77"/>
      <c r="AP2225" s="77"/>
      <c r="AQ2225" s="77"/>
      <c r="AR2225" s="77"/>
      <c r="AS2225" s="77"/>
      <c r="AT2225" s="82"/>
    </row>
    <row r="2226" spans="1:46" ht="12.5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3"/>
      <c r="Q2226" s="1"/>
      <c r="R2226" s="1"/>
      <c r="S2226" s="1"/>
      <c r="T2226" s="1"/>
      <c r="U2226" s="1"/>
      <c r="V2226" s="76"/>
      <c r="W2226" s="76"/>
      <c r="X2226" s="77"/>
      <c r="Y2226" s="77"/>
      <c r="Z2226" s="76"/>
      <c r="AA2226" s="76"/>
      <c r="AB2226" s="77"/>
      <c r="AC2226" s="77"/>
      <c r="AD2226" s="76"/>
      <c r="AE2226" s="76"/>
      <c r="AF2226" s="77"/>
      <c r="AG2226" s="77"/>
      <c r="AH2226" s="76"/>
      <c r="AI2226" s="76"/>
      <c r="AJ2226" s="77"/>
      <c r="AK2226" s="77"/>
      <c r="AL2226" s="77"/>
      <c r="AM2226" s="77"/>
      <c r="AN2226" s="77"/>
      <c r="AO2226" s="77"/>
      <c r="AP2226" s="77"/>
      <c r="AQ2226" s="77"/>
      <c r="AR2226" s="77"/>
      <c r="AS2226" s="77"/>
      <c r="AT2226" s="82"/>
    </row>
    <row r="2227" spans="1:46" ht="12.5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3"/>
      <c r="Q2227" s="1"/>
      <c r="R2227" s="1"/>
      <c r="S2227" s="1"/>
      <c r="T2227" s="1"/>
      <c r="U2227" s="1"/>
      <c r="V2227" s="76"/>
      <c r="W2227" s="76"/>
      <c r="X2227" s="77"/>
      <c r="Y2227" s="77"/>
      <c r="Z2227" s="76"/>
      <c r="AA2227" s="76"/>
      <c r="AB2227" s="77"/>
      <c r="AC2227" s="77"/>
      <c r="AD2227" s="76"/>
      <c r="AE2227" s="76"/>
      <c r="AF2227" s="77"/>
      <c r="AG2227" s="77"/>
      <c r="AH2227" s="76"/>
      <c r="AI2227" s="76"/>
      <c r="AJ2227" s="77"/>
      <c r="AK2227" s="77"/>
      <c r="AL2227" s="77"/>
      <c r="AM2227" s="77"/>
      <c r="AN2227" s="77"/>
      <c r="AO2227" s="77"/>
      <c r="AP2227" s="77"/>
      <c r="AQ2227" s="77"/>
      <c r="AR2227" s="77"/>
      <c r="AS2227" s="77"/>
      <c r="AT2227" s="82"/>
    </row>
    <row r="2228" spans="1:46" ht="12.5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3"/>
      <c r="Q2228" s="1"/>
      <c r="R2228" s="1"/>
      <c r="S2228" s="1"/>
      <c r="T2228" s="1"/>
      <c r="U2228" s="1"/>
      <c r="V2228" s="76"/>
      <c r="W2228" s="76"/>
      <c r="X2228" s="77"/>
      <c r="Y2228" s="77"/>
      <c r="Z2228" s="76"/>
      <c r="AA2228" s="76"/>
      <c r="AB2228" s="77"/>
      <c r="AC2228" s="77"/>
      <c r="AD2228" s="76"/>
      <c r="AE2228" s="76"/>
      <c r="AF2228" s="77"/>
      <c r="AG2228" s="77"/>
      <c r="AH2228" s="76"/>
      <c r="AI2228" s="76"/>
      <c r="AJ2228" s="77"/>
      <c r="AK2228" s="77"/>
      <c r="AL2228" s="77"/>
      <c r="AM2228" s="77"/>
      <c r="AN2228" s="77"/>
      <c r="AO2228" s="77"/>
      <c r="AP2228" s="77"/>
      <c r="AQ2228" s="77"/>
      <c r="AR2228" s="77"/>
      <c r="AS2228" s="77"/>
      <c r="AT2228" s="82"/>
    </row>
    <row r="2229" spans="1:46" ht="12.5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3"/>
      <c r="Q2229" s="1"/>
      <c r="R2229" s="1"/>
      <c r="S2229" s="1"/>
      <c r="T2229" s="1"/>
      <c r="U2229" s="1"/>
      <c r="V2229" s="76"/>
      <c r="W2229" s="76"/>
      <c r="X2229" s="77"/>
      <c r="Y2229" s="77"/>
      <c r="Z2229" s="76"/>
      <c r="AA2229" s="76"/>
      <c r="AB2229" s="77"/>
      <c r="AC2229" s="77"/>
      <c r="AD2229" s="76"/>
      <c r="AE2229" s="76"/>
      <c r="AF2229" s="77"/>
      <c r="AG2229" s="77"/>
      <c r="AH2229" s="76"/>
      <c r="AI2229" s="76"/>
      <c r="AJ2229" s="77"/>
      <c r="AK2229" s="77"/>
      <c r="AL2229" s="77"/>
      <c r="AM2229" s="77"/>
      <c r="AN2229" s="77"/>
      <c r="AO2229" s="77"/>
      <c r="AP2229" s="77"/>
      <c r="AQ2229" s="77"/>
      <c r="AR2229" s="77"/>
      <c r="AS2229" s="77"/>
      <c r="AT2229" s="82"/>
    </row>
    <row r="2230" spans="1:46" ht="12.5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3"/>
      <c r="Q2230" s="1"/>
      <c r="R2230" s="1"/>
      <c r="S2230" s="1"/>
      <c r="T2230" s="1"/>
      <c r="U2230" s="1"/>
      <c r="V2230" s="76"/>
      <c r="W2230" s="76"/>
      <c r="X2230" s="77"/>
      <c r="Y2230" s="77"/>
      <c r="Z2230" s="76"/>
      <c r="AA2230" s="76"/>
      <c r="AB2230" s="77"/>
      <c r="AC2230" s="77"/>
      <c r="AD2230" s="76"/>
      <c r="AE2230" s="76"/>
      <c r="AF2230" s="77"/>
      <c r="AG2230" s="77"/>
      <c r="AH2230" s="76"/>
      <c r="AI2230" s="76"/>
      <c r="AJ2230" s="77"/>
      <c r="AK2230" s="77"/>
      <c r="AL2230" s="77"/>
      <c r="AM2230" s="77"/>
      <c r="AN2230" s="77"/>
      <c r="AO2230" s="77"/>
      <c r="AP2230" s="77"/>
      <c r="AQ2230" s="77"/>
      <c r="AR2230" s="77"/>
      <c r="AS2230" s="77"/>
      <c r="AT2230" s="82"/>
    </row>
    <row r="2231" spans="1:46" ht="12.5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3"/>
      <c r="Q2231" s="1"/>
      <c r="R2231" s="1"/>
      <c r="S2231" s="1"/>
      <c r="T2231" s="1"/>
      <c r="U2231" s="1"/>
      <c r="V2231" s="76"/>
      <c r="W2231" s="76"/>
      <c r="X2231" s="77"/>
      <c r="Y2231" s="77"/>
      <c r="Z2231" s="76"/>
      <c r="AA2231" s="76"/>
      <c r="AB2231" s="77"/>
      <c r="AC2231" s="77"/>
      <c r="AD2231" s="76"/>
      <c r="AE2231" s="76"/>
      <c r="AF2231" s="77"/>
      <c r="AG2231" s="77"/>
      <c r="AH2231" s="76"/>
      <c r="AI2231" s="76"/>
      <c r="AJ2231" s="77"/>
      <c r="AK2231" s="77"/>
      <c r="AL2231" s="77"/>
      <c r="AM2231" s="77"/>
      <c r="AN2231" s="77"/>
      <c r="AO2231" s="77"/>
      <c r="AP2231" s="77"/>
      <c r="AQ2231" s="77"/>
      <c r="AR2231" s="77"/>
      <c r="AS2231" s="77"/>
      <c r="AT2231" s="82"/>
    </row>
    <row r="2232" spans="1:46" ht="12.5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3"/>
      <c r="Q2232" s="1"/>
      <c r="R2232" s="1"/>
      <c r="S2232" s="1"/>
      <c r="T2232" s="1"/>
      <c r="U2232" s="1"/>
      <c r="V2232" s="76"/>
      <c r="W2232" s="76"/>
      <c r="X2232" s="77"/>
      <c r="Y2232" s="77"/>
      <c r="Z2232" s="76"/>
      <c r="AA2232" s="76"/>
      <c r="AB2232" s="77"/>
      <c r="AC2232" s="77"/>
      <c r="AD2232" s="76"/>
      <c r="AE2232" s="76"/>
      <c r="AF2232" s="77"/>
      <c r="AG2232" s="77"/>
      <c r="AH2232" s="76"/>
      <c r="AI2232" s="76"/>
      <c r="AJ2232" s="77"/>
      <c r="AK2232" s="77"/>
      <c r="AL2232" s="77"/>
      <c r="AM2232" s="77"/>
      <c r="AN2232" s="77"/>
      <c r="AO2232" s="77"/>
      <c r="AP2232" s="77"/>
      <c r="AQ2232" s="77"/>
      <c r="AR2232" s="77"/>
      <c r="AS2232" s="77"/>
      <c r="AT2232" s="82"/>
    </row>
    <row r="2233" spans="1:46" ht="12.5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3"/>
      <c r="Q2233" s="1"/>
      <c r="R2233" s="1"/>
      <c r="S2233" s="1"/>
      <c r="T2233" s="1"/>
      <c r="U2233" s="1"/>
      <c r="V2233" s="76"/>
      <c r="W2233" s="76"/>
      <c r="X2233" s="77"/>
      <c r="Y2233" s="77"/>
      <c r="Z2233" s="76"/>
      <c r="AA2233" s="76"/>
      <c r="AB2233" s="77"/>
      <c r="AC2233" s="77"/>
      <c r="AD2233" s="76"/>
      <c r="AE2233" s="76"/>
      <c r="AF2233" s="77"/>
      <c r="AG2233" s="77"/>
      <c r="AH2233" s="76"/>
      <c r="AI2233" s="76"/>
      <c r="AJ2233" s="77"/>
      <c r="AK2233" s="77"/>
      <c r="AL2233" s="77"/>
      <c r="AM2233" s="77"/>
      <c r="AN2233" s="77"/>
      <c r="AO2233" s="77"/>
      <c r="AP2233" s="77"/>
      <c r="AQ2233" s="77"/>
      <c r="AR2233" s="77"/>
      <c r="AS2233" s="77"/>
      <c r="AT2233" s="82"/>
    </row>
    <row r="2234" spans="1:46" ht="12.5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3"/>
      <c r="Q2234" s="1"/>
      <c r="R2234" s="1"/>
      <c r="S2234" s="1"/>
      <c r="T2234" s="1"/>
      <c r="U2234" s="1"/>
      <c r="V2234" s="76"/>
      <c r="W2234" s="76"/>
      <c r="X2234" s="77"/>
      <c r="Y2234" s="77"/>
      <c r="Z2234" s="76"/>
      <c r="AA2234" s="76"/>
      <c r="AB2234" s="77"/>
      <c r="AC2234" s="77"/>
      <c r="AD2234" s="76"/>
      <c r="AE2234" s="76"/>
      <c r="AF2234" s="77"/>
      <c r="AG2234" s="77"/>
      <c r="AH2234" s="76"/>
      <c r="AI2234" s="76"/>
      <c r="AJ2234" s="77"/>
      <c r="AK2234" s="77"/>
      <c r="AL2234" s="77"/>
      <c r="AM2234" s="77"/>
      <c r="AN2234" s="77"/>
      <c r="AO2234" s="77"/>
      <c r="AP2234" s="77"/>
      <c r="AQ2234" s="77"/>
      <c r="AR2234" s="77"/>
      <c r="AS2234" s="77"/>
      <c r="AT2234" s="82"/>
    </row>
    <row r="2235" spans="1:46" ht="12.5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3"/>
      <c r="Q2235" s="1"/>
      <c r="R2235" s="1"/>
      <c r="S2235" s="1"/>
      <c r="T2235" s="1"/>
      <c r="U2235" s="1"/>
      <c r="V2235" s="76"/>
      <c r="W2235" s="76"/>
      <c r="X2235" s="77"/>
      <c r="Y2235" s="77"/>
      <c r="Z2235" s="76"/>
      <c r="AA2235" s="76"/>
      <c r="AB2235" s="77"/>
      <c r="AC2235" s="77"/>
      <c r="AD2235" s="76"/>
      <c r="AE2235" s="76"/>
      <c r="AF2235" s="77"/>
      <c r="AG2235" s="77"/>
      <c r="AH2235" s="76"/>
      <c r="AI2235" s="76"/>
      <c r="AJ2235" s="77"/>
      <c r="AK2235" s="77"/>
      <c r="AL2235" s="77"/>
      <c r="AM2235" s="77"/>
      <c r="AN2235" s="77"/>
      <c r="AO2235" s="77"/>
      <c r="AP2235" s="77"/>
      <c r="AQ2235" s="77"/>
      <c r="AR2235" s="77"/>
      <c r="AS2235" s="77"/>
      <c r="AT2235" s="82"/>
    </row>
    <row r="2236" spans="1:46" ht="12.5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3"/>
      <c r="Q2236" s="1"/>
      <c r="R2236" s="1"/>
      <c r="S2236" s="1"/>
      <c r="T2236" s="1"/>
      <c r="U2236" s="1"/>
      <c r="V2236" s="76"/>
      <c r="W2236" s="76"/>
      <c r="X2236" s="77"/>
      <c r="Y2236" s="77"/>
      <c r="Z2236" s="76"/>
      <c r="AA2236" s="76"/>
      <c r="AB2236" s="77"/>
      <c r="AC2236" s="77"/>
      <c r="AD2236" s="76"/>
      <c r="AE2236" s="76"/>
      <c r="AF2236" s="77"/>
      <c r="AG2236" s="77"/>
      <c r="AH2236" s="76"/>
      <c r="AI2236" s="76"/>
      <c r="AJ2236" s="77"/>
      <c r="AK2236" s="77"/>
      <c r="AL2236" s="77"/>
      <c r="AM2236" s="77"/>
      <c r="AN2236" s="77"/>
      <c r="AO2236" s="77"/>
      <c r="AP2236" s="77"/>
      <c r="AQ2236" s="77"/>
      <c r="AR2236" s="77"/>
      <c r="AS2236" s="77"/>
      <c r="AT2236" s="82"/>
    </row>
    <row r="2237" spans="1:46" ht="12.5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3"/>
      <c r="Q2237" s="1"/>
      <c r="R2237" s="1"/>
      <c r="S2237" s="1"/>
      <c r="T2237" s="1"/>
      <c r="U2237" s="1"/>
      <c r="V2237" s="76"/>
      <c r="W2237" s="76"/>
      <c r="X2237" s="77"/>
      <c r="Y2237" s="77"/>
      <c r="Z2237" s="76"/>
      <c r="AA2237" s="76"/>
      <c r="AB2237" s="77"/>
      <c r="AC2237" s="77"/>
      <c r="AD2237" s="76"/>
      <c r="AE2237" s="76"/>
      <c r="AF2237" s="77"/>
      <c r="AG2237" s="77"/>
      <c r="AH2237" s="76"/>
      <c r="AI2237" s="76"/>
      <c r="AJ2237" s="77"/>
      <c r="AK2237" s="77"/>
      <c r="AL2237" s="77"/>
      <c r="AM2237" s="77"/>
      <c r="AN2237" s="77"/>
      <c r="AO2237" s="77"/>
      <c r="AP2237" s="77"/>
      <c r="AQ2237" s="77"/>
      <c r="AR2237" s="77"/>
      <c r="AS2237" s="77"/>
      <c r="AT2237" s="82"/>
    </row>
    <row r="2238" spans="1:46" ht="12.5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3"/>
      <c r="Q2238" s="1"/>
      <c r="R2238" s="1"/>
      <c r="S2238" s="1"/>
      <c r="T2238" s="1"/>
      <c r="U2238" s="1"/>
      <c r="V2238" s="76"/>
      <c r="W2238" s="76"/>
      <c r="X2238" s="77"/>
      <c r="Y2238" s="77"/>
      <c r="Z2238" s="76"/>
      <c r="AA2238" s="76"/>
      <c r="AB2238" s="77"/>
      <c r="AC2238" s="77"/>
      <c r="AD2238" s="76"/>
      <c r="AE2238" s="76"/>
      <c r="AF2238" s="77"/>
      <c r="AG2238" s="77"/>
      <c r="AH2238" s="76"/>
      <c r="AI2238" s="76"/>
      <c r="AJ2238" s="77"/>
      <c r="AK2238" s="77"/>
      <c r="AL2238" s="77"/>
      <c r="AM2238" s="77"/>
      <c r="AN2238" s="77"/>
      <c r="AO2238" s="77"/>
      <c r="AP2238" s="77"/>
      <c r="AQ2238" s="77"/>
      <c r="AR2238" s="77"/>
      <c r="AS2238" s="77"/>
      <c r="AT2238" s="82"/>
    </row>
    <row r="2239" spans="1:46" ht="12.5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3"/>
      <c r="Q2239" s="1"/>
      <c r="R2239" s="1"/>
      <c r="S2239" s="1"/>
      <c r="T2239" s="1"/>
      <c r="U2239" s="1"/>
      <c r="V2239" s="76"/>
      <c r="W2239" s="76"/>
      <c r="X2239" s="77"/>
      <c r="Y2239" s="77"/>
      <c r="Z2239" s="76"/>
      <c r="AA2239" s="76"/>
      <c r="AB2239" s="77"/>
      <c r="AC2239" s="77"/>
      <c r="AD2239" s="76"/>
      <c r="AE2239" s="76"/>
      <c r="AF2239" s="77"/>
      <c r="AG2239" s="77"/>
      <c r="AH2239" s="76"/>
      <c r="AI2239" s="76"/>
      <c r="AJ2239" s="77"/>
      <c r="AK2239" s="77"/>
      <c r="AL2239" s="77"/>
      <c r="AM2239" s="77"/>
      <c r="AN2239" s="77"/>
      <c r="AO2239" s="77"/>
      <c r="AP2239" s="77"/>
      <c r="AQ2239" s="77"/>
      <c r="AR2239" s="77"/>
      <c r="AS2239" s="77"/>
      <c r="AT2239" s="82"/>
    </row>
    <row r="2240" spans="1:46" ht="12.5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3"/>
      <c r="Q2240" s="1"/>
      <c r="R2240" s="1"/>
      <c r="S2240" s="1"/>
      <c r="T2240" s="1"/>
      <c r="U2240" s="1"/>
      <c r="V2240" s="76"/>
      <c r="W2240" s="76"/>
      <c r="X2240" s="77"/>
      <c r="Y2240" s="77"/>
      <c r="Z2240" s="76"/>
      <c r="AA2240" s="76"/>
      <c r="AB2240" s="77"/>
      <c r="AC2240" s="77"/>
      <c r="AD2240" s="76"/>
      <c r="AE2240" s="76"/>
      <c r="AF2240" s="77"/>
      <c r="AG2240" s="77"/>
      <c r="AH2240" s="76"/>
      <c r="AI2240" s="76"/>
      <c r="AJ2240" s="77"/>
      <c r="AK2240" s="77"/>
      <c r="AL2240" s="77"/>
      <c r="AM2240" s="77"/>
      <c r="AN2240" s="77"/>
      <c r="AO2240" s="77"/>
      <c r="AP2240" s="77"/>
      <c r="AQ2240" s="77"/>
      <c r="AR2240" s="77"/>
      <c r="AS2240" s="77"/>
      <c r="AT2240" s="82"/>
    </row>
    <row r="2241" spans="1:46" ht="12.5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3"/>
      <c r="Q2241" s="1"/>
      <c r="R2241" s="1"/>
      <c r="S2241" s="1"/>
      <c r="T2241" s="1"/>
      <c r="U2241" s="1"/>
      <c r="V2241" s="76"/>
      <c r="W2241" s="76"/>
      <c r="X2241" s="77"/>
      <c r="Y2241" s="77"/>
      <c r="Z2241" s="76"/>
      <c r="AA2241" s="76"/>
      <c r="AB2241" s="77"/>
      <c r="AC2241" s="77"/>
      <c r="AD2241" s="76"/>
      <c r="AE2241" s="76"/>
      <c r="AF2241" s="77"/>
      <c r="AG2241" s="77"/>
      <c r="AH2241" s="76"/>
      <c r="AI2241" s="76"/>
      <c r="AJ2241" s="77"/>
      <c r="AK2241" s="77"/>
      <c r="AL2241" s="77"/>
      <c r="AM2241" s="77"/>
      <c r="AN2241" s="77"/>
      <c r="AO2241" s="77"/>
      <c r="AP2241" s="77"/>
      <c r="AQ2241" s="77"/>
      <c r="AR2241" s="77"/>
      <c r="AS2241" s="77"/>
      <c r="AT2241" s="82"/>
    </row>
    <row r="2242" spans="1:46" ht="12.5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3"/>
      <c r="Q2242" s="1"/>
      <c r="R2242" s="1"/>
      <c r="S2242" s="1"/>
      <c r="T2242" s="1"/>
      <c r="U2242" s="1"/>
      <c r="V2242" s="76"/>
      <c r="W2242" s="76"/>
      <c r="X2242" s="77"/>
      <c r="Y2242" s="77"/>
      <c r="Z2242" s="76"/>
      <c r="AA2242" s="76"/>
      <c r="AB2242" s="77"/>
      <c r="AC2242" s="77"/>
      <c r="AD2242" s="76"/>
      <c r="AE2242" s="76"/>
      <c r="AF2242" s="77"/>
      <c r="AG2242" s="77"/>
      <c r="AH2242" s="76"/>
      <c r="AI2242" s="76"/>
      <c r="AJ2242" s="77"/>
      <c r="AK2242" s="77"/>
      <c r="AL2242" s="77"/>
      <c r="AM2242" s="77"/>
      <c r="AN2242" s="77"/>
      <c r="AO2242" s="77"/>
      <c r="AP2242" s="77"/>
      <c r="AQ2242" s="77"/>
      <c r="AR2242" s="77"/>
      <c r="AS2242" s="77"/>
      <c r="AT2242" s="82"/>
    </row>
    <row r="2243" spans="1:46" ht="12.5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3"/>
      <c r="Q2243" s="1"/>
      <c r="R2243" s="1"/>
      <c r="S2243" s="1"/>
      <c r="T2243" s="1"/>
      <c r="U2243" s="1"/>
      <c r="V2243" s="76"/>
      <c r="W2243" s="76"/>
      <c r="X2243" s="77"/>
      <c r="Y2243" s="77"/>
      <c r="Z2243" s="76"/>
      <c r="AA2243" s="76"/>
      <c r="AB2243" s="77"/>
      <c r="AC2243" s="77"/>
      <c r="AD2243" s="76"/>
      <c r="AE2243" s="76"/>
      <c r="AF2243" s="77"/>
      <c r="AG2243" s="77"/>
      <c r="AH2243" s="76"/>
      <c r="AI2243" s="76"/>
      <c r="AJ2243" s="77"/>
      <c r="AK2243" s="77"/>
      <c r="AL2243" s="77"/>
      <c r="AM2243" s="77"/>
      <c r="AN2243" s="77"/>
      <c r="AO2243" s="77"/>
      <c r="AP2243" s="77"/>
      <c r="AQ2243" s="77"/>
      <c r="AR2243" s="77"/>
      <c r="AS2243" s="77"/>
      <c r="AT2243" s="82"/>
    </row>
    <row r="2244" spans="1:46" ht="12.5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3"/>
      <c r="Q2244" s="1"/>
      <c r="R2244" s="1"/>
      <c r="S2244" s="1"/>
      <c r="T2244" s="1"/>
      <c r="U2244" s="1"/>
      <c r="V2244" s="76"/>
      <c r="W2244" s="76"/>
      <c r="X2244" s="77"/>
      <c r="Y2244" s="77"/>
      <c r="Z2244" s="76"/>
      <c r="AA2244" s="76"/>
      <c r="AB2244" s="77"/>
      <c r="AC2244" s="77"/>
      <c r="AD2244" s="76"/>
      <c r="AE2244" s="76"/>
      <c r="AF2244" s="77"/>
      <c r="AG2244" s="77"/>
      <c r="AH2244" s="76"/>
      <c r="AI2244" s="76"/>
      <c r="AJ2244" s="77"/>
      <c r="AK2244" s="77"/>
      <c r="AL2244" s="77"/>
      <c r="AM2244" s="77"/>
      <c r="AN2244" s="77"/>
      <c r="AO2244" s="77"/>
      <c r="AP2244" s="77"/>
      <c r="AQ2244" s="77"/>
      <c r="AR2244" s="77"/>
      <c r="AS2244" s="77"/>
      <c r="AT2244" s="82"/>
    </row>
    <row r="2245" spans="1:46" ht="12.5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3"/>
      <c r="Q2245" s="1"/>
      <c r="R2245" s="1"/>
      <c r="S2245" s="1"/>
      <c r="T2245" s="1"/>
      <c r="U2245" s="1"/>
      <c r="V2245" s="76"/>
      <c r="W2245" s="76"/>
      <c r="X2245" s="77"/>
      <c r="Y2245" s="77"/>
      <c r="Z2245" s="76"/>
      <c r="AA2245" s="76"/>
      <c r="AB2245" s="77"/>
      <c r="AC2245" s="77"/>
      <c r="AD2245" s="76"/>
      <c r="AE2245" s="76"/>
      <c r="AF2245" s="77"/>
      <c r="AG2245" s="77"/>
      <c r="AH2245" s="76"/>
      <c r="AI2245" s="76"/>
      <c r="AJ2245" s="77"/>
      <c r="AK2245" s="77"/>
      <c r="AL2245" s="77"/>
      <c r="AM2245" s="77"/>
      <c r="AN2245" s="77"/>
      <c r="AO2245" s="77"/>
      <c r="AP2245" s="77"/>
      <c r="AQ2245" s="77"/>
      <c r="AR2245" s="77"/>
      <c r="AS2245" s="77"/>
      <c r="AT2245" s="82"/>
    </row>
    <row r="2246" spans="1:46" ht="12.5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3"/>
      <c r="Q2246" s="1"/>
      <c r="R2246" s="1"/>
      <c r="S2246" s="1"/>
      <c r="T2246" s="1"/>
      <c r="U2246" s="1"/>
      <c r="V2246" s="76"/>
      <c r="W2246" s="76"/>
      <c r="X2246" s="77"/>
      <c r="Y2246" s="77"/>
      <c r="Z2246" s="76"/>
      <c r="AA2246" s="76"/>
      <c r="AB2246" s="77"/>
      <c r="AC2246" s="77"/>
      <c r="AD2246" s="76"/>
      <c r="AE2246" s="76"/>
      <c r="AF2246" s="77"/>
      <c r="AG2246" s="77"/>
      <c r="AH2246" s="76"/>
      <c r="AI2246" s="76"/>
      <c r="AJ2246" s="77"/>
      <c r="AK2246" s="77"/>
      <c r="AL2246" s="77"/>
      <c r="AM2246" s="77"/>
      <c r="AN2246" s="77"/>
      <c r="AO2246" s="77"/>
      <c r="AP2246" s="77"/>
      <c r="AQ2246" s="77"/>
      <c r="AR2246" s="77"/>
      <c r="AS2246" s="77"/>
      <c r="AT2246" s="82"/>
    </row>
    <row r="2247" spans="1:46" ht="12.5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3"/>
      <c r="Q2247" s="1"/>
      <c r="R2247" s="1"/>
      <c r="S2247" s="1"/>
      <c r="T2247" s="1"/>
      <c r="U2247" s="1"/>
      <c r="V2247" s="76"/>
      <c r="W2247" s="76"/>
      <c r="X2247" s="77"/>
      <c r="Y2247" s="77"/>
      <c r="Z2247" s="76"/>
      <c r="AA2247" s="76"/>
      <c r="AB2247" s="77"/>
      <c r="AC2247" s="77"/>
      <c r="AD2247" s="76"/>
      <c r="AE2247" s="76"/>
      <c r="AF2247" s="77"/>
      <c r="AG2247" s="77"/>
      <c r="AH2247" s="76"/>
      <c r="AI2247" s="76"/>
      <c r="AJ2247" s="77"/>
      <c r="AK2247" s="77"/>
      <c r="AL2247" s="77"/>
      <c r="AM2247" s="77"/>
      <c r="AN2247" s="77"/>
      <c r="AO2247" s="77"/>
      <c r="AP2247" s="77"/>
      <c r="AQ2247" s="77"/>
      <c r="AR2247" s="77"/>
      <c r="AS2247" s="77"/>
      <c r="AT2247" s="82"/>
    </row>
    <row r="2248" spans="1:46" ht="12.5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3"/>
      <c r="Q2248" s="1"/>
      <c r="R2248" s="1"/>
      <c r="S2248" s="1"/>
      <c r="T2248" s="1"/>
      <c r="U2248" s="1"/>
      <c r="V2248" s="76"/>
      <c r="W2248" s="76"/>
      <c r="X2248" s="77"/>
      <c r="Y2248" s="77"/>
      <c r="Z2248" s="76"/>
      <c r="AA2248" s="76"/>
      <c r="AB2248" s="77"/>
      <c r="AC2248" s="77"/>
      <c r="AD2248" s="76"/>
      <c r="AE2248" s="76"/>
      <c r="AF2248" s="77"/>
      <c r="AG2248" s="77"/>
      <c r="AH2248" s="76"/>
      <c r="AI2248" s="76"/>
      <c r="AJ2248" s="77"/>
      <c r="AK2248" s="77"/>
      <c r="AL2248" s="77"/>
      <c r="AM2248" s="77"/>
      <c r="AN2248" s="77"/>
      <c r="AO2248" s="77"/>
      <c r="AP2248" s="77"/>
      <c r="AQ2248" s="77"/>
      <c r="AR2248" s="77"/>
      <c r="AS2248" s="77"/>
      <c r="AT2248" s="82"/>
    </row>
  </sheetData>
  <phoneticPr fontId="1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C7A1A-61DD-4A3D-99BC-AF02D33F5918}">
  <dimension ref="B3:E36"/>
  <sheetViews>
    <sheetView topLeftCell="A14" workbookViewId="0">
      <selection activeCell="D37" sqref="D37"/>
    </sheetView>
  </sheetViews>
  <sheetFormatPr defaultRowHeight="12.5" x14ac:dyDescent="0.25"/>
  <cols>
    <col min="2" max="2" width="17.7265625" bestFit="1" customWidth="1"/>
    <col min="3" max="3" width="17.7265625" customWidth="1"/>
    <col min="4" max="4" width="9.81640625" customWidth="1"/>
    <col min="5" max="5" width="11.54296875" customWidth="1"/>
  </cols>
  <sheetData>
    <row r="3" spans="2:5" x14ac:dyDescent="0.25">
      <c r="B3" s="85" t="s">
        <v>1573</v>
      </c>
      <c r="C3" s="85" t="s">
        <v>1554</v>
      </c>
      <c r="D3" s="85" t="s">
        <v>1</v>
      </c>
      <c r="E3" s="85" t="s">
        <v>3</v>
      </c>
    </row>
    <row r="4" spans="2:5" x14ac:dyDescent="0.25">
      <c r="B4" s="83" t="s">
        <v>4</v>
      </c>
      <c r="C4" s="83" t="s">
        <v>1555</v>
      </c>
      <c r="D4" s="84" t="s">
        <v>5</v>
      </c>
      <c r="E4" s="84">
        <v>2023</v>
      </c>
    </row>
    <row r="5" spans="2:5" x14ac:dyDescent="0.25">
      <c r="B5" s="83" t="s">
        <v>6</v>
      </c>
      <c r="C5" s="83" t="s">
        <v>1556</v>
      </c>
      <c r="D5" s="84" t="s">
        <v>5</v>
      </c>
      <c r="E5" s="84">
        <v>2025</v>
      </c>
    </row>
    <row r="6" spans="2:5" x14ac:dyDescent="0.25">
      <c r="B6" s="83" t="s">
        <v>7</v>
      </c>
      <c r="C6" s="83" t="s">
        <v>1557</v>
      </c>
      <c r="D6" s="84" t="s">
        <v>8</v>
      </c>
      <c r="E6" s="84">
        <v>2023</v>
      </c>
    </row>
    <row r="7" spans="2:5" x14ac:dyDescent="0.25">
      <c r="B7" s="83" t="s">
        <v>9</v>
      </c>
      <c r="C7" s="83" t="s">
        <v>1558</v>
      </c>
      <c r="D7" s="84" t="s">
        <v>8</v>
      </c>
      <c r="E7" s="84">
        <v>2026</v>
      </c>
    </row>
    <row r="8" spans="2:5" x14ac:dyDescent="0.25">
      <c r="B8" s="83" t="s">
        <v>10</v>
      </c>
      <c r="C8" s="83" t="s">
        <v>1559</v>
      </c>
      <c r="D8" s="84" t="s">
        <v>11</v>
      </c>
      <c r="E8" s="84">
        <v>2024</v>
      </c>
    </row>
    <row r="9" spans="2:5" x14ac:dyDescent="0.25">
      <c r="B9" s="83" t="s">
        <v>12</v>
      </c>
      <c r="C9" s="83" t="s">
        <v>1560</v>
      </c>
      <c r="D9" s="84" t="s">
        <v>11</v>
      </c>
      <c r="E9" s="84">
        <v>2024</v>
      </c>
    </row>
    <row r="10" spans="2:5" x14ac:dyDescent="0.25">
      <c r="B10" s="83" t="s">
        <v>13</v>
      </c>
      <c r="C10" s="83" t="s">
        <v>1561</v>
      </c>
      <c r="D10" s="84" t="s">
        <v>14</v>
      </c>
      <c r="E10" s="84">
        <v>2023</v>
      </c>
    </row>
    <row r="11" spans="2:5" x14ac:dyDescent="0.25">
      <c r="B11" s="83" t="s">
        <v>15</v>
      </c>
      <c r="C11" s="83" t="s">
        <v>1562</v>
      </c>
      <c r="D11" s="84" t="s">
        <v>14</v>
      </c>
      <c r="E11" s="84">
        <v>2024</v>
      </c>
    </row>
    <row r="12" spans="2:5" x14ac:dyDescent="0.25">
      <c r="B12" s="83" t="s">
        <v>16</v>
      </c>
      <c r="C12" s="83" t="s">
        <v>1563</v>
      </c>
      <c r="D12" s="84" t="s">
        <v>14</v>
      </c>
      <c r="E12" s="84">
        <v>2025</v>
      </c>
    </row>
    <row r="13" spans="2:5" x14ac:dyDescent="0.25">
      <c r="B13" s="83" t="s">
        <v>17</v>
      </c>
      <c r="C13" s="83" t="s">
        <v>1564</v>
      </c>
      <c r="D13" s="84" t="s">
        <v>18</v>
      </c>
      <c r="E13" s="84">
        <v>2026</v>
      </c>
    </row>
    <row r="14" spans="2:5" x14ac:dyDescent="0.25">
      <c r="B14" s="83" t="s">
        <v>19</v>
      </c>
      <c r="C14" s="83" t="s">
        <v>1565</v>
      </c>
      <c r="D14" s="84" t="s">
        <v>18</v>
      </c>
      <c r="E14" s="84">
        <v>2023</v>
      </c>
    </row>
    <row r="15" spans="2:5" x14ac:dyDescent="0.25">
      <c r="B15" s="83" t="s">
        <v>20</v>
      </c>
      <c r="C15" s="83" t="s">
        <v>1566</v>
      </c>
      <c r="D15" s="84" t="s">
        <v>18</v>
      </c>
      <c r="E15" s="84">
        <v>2023</v>
      </c>
    </row>
    <row r="16" spans="2:5" x14ac:dyDescent="0.25">
      <c r="B16" s="84" t="s">
        <v>21</v>
      </c>
      <c r="C16" s="83" t="s">
        <v>1567</v>
      </c>
      <c r="D16" s="84" t="s">
        <v>18</v>
      </c>
      <c r="E16" s="84">
        <v>2025</v>
      </c>
    </row>
    <row r="17" spans="2:5" x14ac:dyDescent="0.25">
      <c r="B17" s="84" t="s">
        <v>22</v>
      </c>
      <c r="C17" s="83" t="s">
        <v>1568</v>
      </c>
      <c r="D17" s="84" t="s">
        <v>18</v>
      </c>
      <c r="E17" s="84">
        <v>2024</v>
      </c>
    </row>
    <row r="18" spans="2:5" x14ac:dyDescent="0.25">
      <c r="B18" s="84" t="s">
        <v>23</v>
      </c>
      <c r="C18" s="83" t="s">
        <v>1569</v>
      </c>
      <c r="D18" s="84" t="s">
        <v>18</v>
      </c>
      <c r="E18" s="84">
        <v>2025</v>
      </c>
    </row>
    <row r="19" spans="2:5" x14ac:dyDescent="0.25">
      <c r="B19" s="84" t="s">
        <v>24</v>
      </c>
      <c r="C19" s="83" t="s">
        <v>1570</v>
      </c>
      <c r="D19" s="84" t="s">
        <v>18</v>
      </c>
      <c r="E19" s="84">
        <v>2025</v>
      </c>
    </row>
    <row r="20" spans="2:5" x14ac:dyDescent="0.25">
      <c r="B20" s="84" t="s">
        <v>27</v>
      </c>
      <c r="C20" s="83" t="s">
        <v>1571</v>
      </c>
      <c r="D20" s="84" t="s">
        <v>28</v>
      </c>
      <c r="E20" s="84">
        <v>2024</v>
      </c>
    </row>
    <row r="21" spans="2:5" x14ac:dyDescent="0.25">
      <c r="B21" s="84" t="s">
        <v>29</v>
      </c>
      <c r="C21" s="83" t="s">
        <v>1572</v>
      </c>
      <c r="D21" s="84" t="s">
        <v>28</v>
      </c>
      <c r="E21" s="84">
        <v>2025</v>
      </c>
    </row>
    <row r="22" spans="2:5" x14ac:dyDescent="0.25">
      <c r="B22" s="83" t="s">
        <v>129</v>
      </c>
      <c r="C22" s="83" t="s">
        <v>1574</v>
      </c>
      <c r="D22" s="84" t="s">
        <v>18</v>
      </c>
      <c r="E22" s="84">
        <v>2026</v>
      </c>
    </row>
    <row r="23" spans="2:5" x14ac:dyDescent="0.25">
      <c r="B23" s="83" t="s">
        <v>136</v>
      </c>
      <c r="C23" s="83" t="s">
        <v>1575</v>
      </c>
      <c r="D23" s="84" t="s">
        <v>11</v>
      </c>
      <c r="E23" s="84">
        <v>2023</v>
      </c>
    </row>
    <row r="24" spans="2:5" x14ac:dyDescent="0.25">
      <c r="B24" s="83" t="s">
        <v>142</v>
      </c>
      <c r="C24" s="83" t="s">
        <v>1576</v>
      </c>
      <c r="D24" s="84" t="s">
        <v>18</v>
      </c>
      <c r="E24" s="84">
        <v>2023</v>
      </c>
    </row>
    <row r="25" spans="2:5" x14ac:dyDescent="0.25">
      <c r="B25" s="83" t="s">
        <v>148</v>
      </c>
      <c r="C25" s="83" t="s">
        <v>1577</v>
      </c>
      <c r="D25" s="84" t="s">
        <v>11</v>
      </c>
      <c r="E25" s="84">
        <v>2026</v>
      </c>
    </row>
    <row r="26" spans="2:5" x14ac:dyDescent="0.25">
      <c r="B26" s="83" t="s">
        <v>25</v>
      </c>
      <c r="C26" s="83" t="s">
        <v>1578</v>
      </c>
      <c r="D26" s="84" t="s">
        <v>11</v>
      </c>
      <c r="E26" s="84">
        <v>2025</v>
      </c>
    </row>
    <row r="27" spans="2:5" x14ac:dyDescent="0.25">
      <c r="B27" s="83" t="s">
        <v>156</v>
      </c>
      <c r="C27" s="83" t="s">
        <v>1579</v>
      </c>
      <c r="D27" s="84" t="s">
        <v>11</v>
      </c>
      <c r="E27" s="84">
        <v>2026</v>
      </c>
    </row>
    <row r="28" spans="2:5" x14ac:dyDescent="0.25">
      <c r="B28" s="83" t="s">
        <v>159</v>
      </c>
      <c r="C28" s="83" t="s">
        <v>1580</v>
      </c>
      <c r="D28" s="84" t="s">
        <v>28</v>
      </c>
      <c r="E28" s="84">
        <v>2023</v>
      </c>
    </row>
    <row r="29" spans="2:5" x14ac:dyDescent="0.25">
      <c r="B29" s="83" t="s">
        <v>168</v>
      </c>
      <c r="C29" s="83" t="s">
        <v>1581</v>
      </c>
      <c r="D29" s="84" t="s">
        <v>11</v>
      </c>
      <c r="E29" s="84">
        <v>2026</v>
      </c>
    </row>
    <row r="30" spans="2:5" x14ac:dyDescent="0.25">
      <c r="B30" s="83" t="s">
        <v>171</v>
      </c>
      <c r="C30" s="83" t="s">
        <v>1582</v>
      </c>
      <c r="D30" s="84" t="s">
        <v>11</v>
      </c>
      <c r="E30" s="84">
        <v>2025</v>
      </c>
    </row>
    <row r="31" spans="2:5" x14ac:dyDescent="0.25">
      <c r="B31" s="83" t="s">
        <v>177</v>
      </c>
      <c r="C31" s="83" t="s">
        <v>1583</v>
      </c>
      <c r="D31" s="84" t="s">
        <v>28</v>
      </c>
      <c r="E31" s="84">
        <v>2025</v>
      </c>
    </row>
    <row r="32" spans="2:5" x14ac:dyDescent="0.25">
      <c r="B32" s="83" t="s">
        <v>180</v>
      </c>
      <c r="C32" s="83" t="s">
        <v>1584</v>
      </c>
      <c r="D32" s="84" t="s">
        <v>11</v>
      </c>
      <c r="E32" s="84">
        <v>2025</v>
      </c>
    </row>
    <row r="33" spans="2:5" x14ac:dyDescent="0.25">
      <c r="B33" s="83" t="s">
        <v>185</v>
      </c>
      <c r="C33" s="83" t="s">
        <v>1585</v>
      </c>
      <c r="D33" s="84" t="s">
        <v>11</v>
      </c>
      <c r="E33" s="84">
        <v>2023</v>
      </c>
    </row>
    <row r="34" spans="2:5" x14ac:dyDescent="0.25">
      <c r="B34" s="83" t="s">
        <v>196</v>
      </c>
      <c r="C34" s="83" t="s">
        <v>1586</v>
      </c>
      <c r="D34" s="84" t="s">
        <v>28</v>
      </c>
      <c r="E34" s="84">
        <v>2023</v>
      </c>
    </row>
    <row r="35" spans="2:5" x14ac:dyDescent="0.25">
      <c r="B35" s="83" t="s">
        <v>225</v>
      </c>
      <c r="C35" s="83" t="s">
        <v>1587</v>
      </c>
      <c r="D35" s="84" t="s">
        <v>5</v>
      </c>
      <c r="E35" s="84">
        <v>2026</v>
      </c>
    </row>
    <row r="36" spans="2:5" x14ac:dyDescent="0.25">
      <c r="B36" s="83" t="s">
        <v>282</v>
      </c>
      <c r="C36" s="83" t="s">
        <v>1588</v>
      </c>
      <c r="D36" s="84" t="s">
        <v>5</v>
      </c>
      <c r="E36" s="84">
        <v>2023</v>
      </c>
    </row>
  </sheetData>
  <phoneticPr fontId="1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X1029"/>
  <sheetViews>
    <sheetView workbookViewId="0"/>
  </sheetViews>
  <sheetFormatPr defaultColWidth="12.54296875" defaultRowHeight="15.75" customHeight="1" x14ac:dyDescent="0.25"/>
  <cols>
    <col min="2" max="2" width="14.453125" customWidth="1"/>
    <col min="11" max="11" width="14.453125" customWidth="1"/>
    <col min="16" max="16" width="14.1796875" customWidth="1"/>
    <col min="20" max="20" width="14.453125" customWidth="1"/>
  </cols>
  <sheetData>
    <row r="1" spans="1:24" ht="15.75" customHeight="1" x14ac:dyDescent="0.3">
      <c r="A1" s="33" t="s">
        <v>41</v>
      </c>
      <c r="B1" s="3" t="s">
        <v>42</v>
      </c>
      <c r="C1" s="4" t="s">
        <v>1</v>
      </c>
      <c r="D1" s="3" t="s">
        <v>43</v>
      </c>
      <c r="E1" s="3" t="s">
        <v>78</v>
      </c>
      <c r="F1" s="3"/>
      <c r="G1" s="44" t="s">
        <v>79</v>
      </c>
      <c r="H1" s="45" t="s">
        <v>47</v>
      </c>
      <c r="I1" s="45" t="s">
        <v>80</v>
      </c>
      <c r="J1" s="45"/>
      <c r="K1" s="45"/>
      <c r="L1" s="45" t="s">
        <v>83</v>
      </c>
      <c r="M1" s="45" t="s">
        <v>50</v>
      </c>
      <c r="N1" s="46" t="s">
        <v>84</v>
      </c>
      <c r="O1" s="47"/>
      <c r="P1" s="48" t="s">
        <v>85</v>
      </c>
      <c r="Q1" s="49" t="s">
        <v>79</v>
      </c>
      <c r="R1" s="45" t="s">
        <v>80</v>
      </c>
      <c r="S1" s="45"/>
      <c r="T1" s="45"/>
      <c r="U1" s="45" t="s">
        <v>86</v>
      </c>
      <c r="V1" s="46" t="s">
        <v>34</v>
      </c>
      <c r="W1" s="3"/>
      <c r="X1" s="3"/>
    </row>
    <row r="2" spans="1:24" ht="15.75" customHeight="1" x14ac:dyDescent="0.25">
      <c r="A2" s="34">
        <f ca="1">IFERROR(__xludf.DUMMYFUNCTION("unique(filter('Training Responses'!$L$2:$L1029,'Training Responses'!$S$2:$S1029='Team Competition Report'!$AE$8,'Training Responses'!$DV$2:$DV1029=1))"),44785)</f>
        <v>44785</v>
      </c>
      <c r="B2" s="7" t="str">
        <f ca="1">IFERROR(__xludf.DUMMYFUNCTION("unique('Training Responses'!$S$2:$S1029)"),"In-Season 22-23")</f>
        <v>In-Season 22-23</v>
      </c>
      <c r="C2" s="1" t="s">
        <v>33</v>
      </c>
      <c r="D2" s="7" t="str">
        <f ca="1">IFERROR(__xludf.DUMMYFUNCTION("UNIQUE(FILTER($C$2:$C$65,$C$2:$C$65&lt;&gt;""""))"),"Team")</f>
        <v>Team</v>
      </c>
      <c r="E2" s="7" t="e">
        <f ca="1">IF(OR(#REF!=$C$3,#REF!=$C$4,#REF!=$C$5,#REF!=$C$6,#REF!=$C$7,#REF!=$C$8,#REF!=$C$9,#REF!=$C$10),#REF!,"")</f>
        <v>#REF!</v>
      </c>
      <c r="F2" s="7"/>
      <c r="G2" s="50">
        <v>5</v>
      </c>
      <c r="H2" s="6" t="e">
        <f>#REF!</f>
        <v>#REF!</v>
      </c>
      <c r="I2" s="51">
        <f ca="1">IFERROR(__xludf.DUMMYFUNCTION("IF($H2="""","""", iferror(average(filter('Training Responses'!$AR$2:$AR1029,'Training Responses'!$L$2:$L1029=$H2,'Training Responses'!$E$2:$E1029&lt;&gt;""Out"")),0))"),630)</f>
        <v>630</v>
      </c>
      <c r="J2" s="51"/>
      <c r="K2" s="51"/>
      <c r="L2" s="51" t="e">
        <f t="shared" ref="L2:L29" si="0">IF($H2="","", SUM(I2:K2))</f>
        <v>#REF!</v>
      </c>
      <c r="M2" s="52">
        <f ca="1">IFERROR(__xludf.DUMMYFUNCTION("IF($H2="""","""",iferror(average(filter('Training Responses'!$DZ$2:$DZ1029,'Training Responses'!$L$2:$L1029=H2)),0))"),1.08328971832701)</f>
        <v>1.08328971832701</v>
      </c>
      <c r="N2" s="53">
        <f ca="1">IFERROR(__xludf.DUMMYFUNCTION("iferror(IF($H2="""","""", average(filter('Wellness Responses'!$AS$2:$AS1029,'Wellness Responses'!$O$2:$O1029=H2))),"""")"),0.65625)</f>
        <v>0.65625</v>
      </c>
      <c r="O2" s="7"/>
      <c r="P2" s="54">
        <v>1</v>
      </c>
      <c r="Q2" s="19" t="e">
        <f t="shared" ref="Q2:Q28" si="1">IF(U3&lt;&gt;"",P2, IF(U2="","",P2))</f>
        <v>#REF!</v>
      </c>
      <c r="R2" s="7" t="e">
        <f>IF(SUMIF(#REF!,$P2,#REF!)/#REF!=0,"",SUMIF(#REF!,$P2,#REF!)/#REF!)</f>
        <v>#REF!</v>
      </c>
      <c r="S2" s="7"/>
      <c r="T2" s="7"/>
      <c r="U2" s="7" t="e">
        <f t="shared" ref="U2:U29" si="2">IF(SUM(R2:T2)=0,"",SUM(R2:T2))</f>
        <v>#REF!</v>
      </c>
      <c r="V2" s="55"/>
      <c r="W2" s="19"/>
      <c r="X2" s="47"/>
    </row>
    <row r="3" spans="1:24" ht="15.75" customHeight="1" x14ac:dyDescent="0.25">
      <c r="A3" s="34">
        <f ca="1">IFERROR(__xludf.DUMMYFUNCTION("""COMPUTED_VALUE"""),44790)</f>
        <v>44790</v>
      </c>
      <c r="B3" s="7" t="str">
        <f ca="1">IFERROR(__xludf.DUMMYFUNCTION("""COMPUTED_VALUE"""),"Off-Season 22-23")</f>
        <v>Off-Season 22-23</v>
      </c>
      <c r="C3" s="1" t="str">
        <f ca="1">IFERROR(__xludf.DUMMYFUNCTION("unique(Roster!$E$3:$E$42)"),"FWD")</f>
        <v>FWD</v>
      </c>
      <c r="D3" s="7" t="str">
        <f ca="1">IFERROR(__xludf.DUMMYFUNCTION("""COMPUTED_VALUE"""),"FWD")</f>
        <v>FWD</v>
      </c>
      <c r="E3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3" s="7"/>
      <c r="G3" s="50" t="s">
        <v>942</v>
      </c>
      <c r="H3" s="6" t="e">
        <f>IF(
(IF($H2&lt;1,"",_xludf.MaxIFS(#REF!,#REF!,#REF!,#REF!,"&lt;"&amp;$H2)))&lt;1,"",
(IF($H2&lt;1,"",_xludf.MaxIFS(#REF!,#REF!,#REF!,#REF!,"&lt;"&amp;$H2))))</f>
        <v>#REF!</v>
      </c>
      <c r="I3" s="51" t="str">
        <f ca="1">IFERROR(__xludf.DUMMYFUNCTION("IF($H3="""","""", iferror(average(filter('Training Responses'!$AR$2:$AR1029,'Training Responses'!$L$2:$L1029=$H3,'Training Responses'!$E$2:$E1029&lt;&gt;""Out"")),0))"),"")</f>
        <v/>
      </c>
      <c r="J3" s="51"/>
      <c r="K3" s="51"/>
      <c r="L3" s="51" t="e">
        <f t="shared" si="0"/>
        <v>#REF!</v>
      </c>
      <c r="M3" s="52" t="str">
        <f ca="1">IFERROR(__xludf.DUMMYFUNCTION("IF($H3="""","""",iferror(average(filter('Training Responses'!$DZ$2:$DZ1029,'Training Responses'!$L$2:$L1029=H3)),0))"),"")</f>
        <v/>
      </c>
      <c r="N3" s="53" t="str">
        <f ca="1">IFERROR(__xludf.DUMMYFUNCTION("iferror(IF($H3="""","""", average(filter('Wellness Responses'!$AS$2:$AS1029,'Wellness Responses'!$O$2:$O1029=H3))),"""")"),"")</f>
        <v/>
      </c>
      <c r="O3" s="7"/>
      <c r="P3" s="54">
        <v>2</v>
      </c>
      <c r="Q3" s="19" t="e">
        <f t="shared" si="1"/>
        <v>#REF!</v>
      </c>
      <c r="R3" s="7" t="e">
        <f>IF(SUMIF(#REF!,$P3,#REF!)/#REF!=0,"",SUMIF(#REF!,$P3,#REF!)/#REF!)</f>
        <v>#REF!</v>
      </c>
      <c r="S3" s="7"/>
      <c r="T3" s="7"/>
      <c r="U3" s="7" t="e">
        <f t="shared" si="2"/>
        <v>#REF!</v>
      </c>
      <c r="V3" s="56" t="str">
        <f t="shared" ref="V3:V29" si="3">IFERROR((U3-U2)/U2,"")</f>
        <v/>
      </c>
      <c r="W3" s="57"/>
      <c r="X3" s="57"/>
    </row>
    <row r="4" spans="1:24" ht="15.75" customHeight="1" x14ac:dyDescent="0.3">
      <c r="A4" s="34">
        <f ca="1">IFERROR(__xludf.DUMMYFUNCTION("""COMPUTED_VALUE"""),44794)</f>
        <v>44794</v>
      </c>
      <c r="B4" s="7"/>
      <c r="C4" s="1" t="str">
        <f ca="1">IFERROR(__xludf.DUMMYFUNCTION("""COMPUTED_VALUE"""),"F/MID")</f>
        <v>F/MID</v>
      </c>
      <c r="D4" s="7" t="str">
        <f ca="1">IFERROR(__xludf.DUMMYFUNCTION("""COMPUTED_VALUE"""),"F/MID")</f>
        <v>F/MID</v>
      </c>
      <c r="E4" s="3" t="s">
        <v>87</v>
      </c>
      <c r="F4" s="7"/>
      <c r="G4" s="50" t="s">
        <v>942</v>
      </c>
      <c r="H4" s="6" t="e">
        <f>IF(
(IF($H3&lt;1,"",_xludf.MaxIFS(#REF!,#REF!,#REF!,#REF!,"&lt;"&amp;$H3)))&lt;1,"",
(IF($H3&lt;1,"",_xludf.MaxIFS(#REF!,#REF!,#REF!,#REF!,"&lt;"&amp;$H3))))</f>
        <v>#REF!</v>
      </c>
      <c r="I4" s="51" t="str">
        <f ca="1">IFERROR(__xludf.DUMMYFUNCTION("IF($H4="""","""", iferror(average(filter('Training Responses'!$AR$2:$AR1029,'Training Responses'!$L$2:$L1029=$H4,'Training Responses'!$E$2:$E1029&lt;&gt;""Out"")),0))"),"")</f>
        <v/>
      </c>
      <c r="J4" s="51"/>
      <c r="K4" s="51"/>
      <c r="L4" s="51" t="e">
        <f t="shared" si="0"/>
        <v>#REF!</v>
      </c>
      <c r="M4" s="52" t="str">
        <f ca="1">IFERROR(__xludf.DUMMYFUNCTION("IF($H4="""","""",iferror(average(filter('Training Responses'!$DZ$2:$DZ1029,'Training Responses'!$L$2:$L1029=H4)),0))"),"")</f>
        <v/>
      </c>
      <c r="N4" s="53" t="str">
        <f ca="1">IFERROR(__xludf.DUMMYFUNCTION("iferror(IF($H4="""","""", average(filter('Wellness Responses'!$AS$2:$AS1029,'Wellness Responses'!$O$2:$O1029=H4))),"""")"),"")</f>
        <v/>
      </c>
      <c r="O4" s="7"/>
      <c r="P4" s="54">
        <v>3</v>
      </c>
      <c r="Q4" s="19" t="e">
        <f t="shared" si="1"/>
        <v>#REF!</v>
      </c>
      <c r="R4" s="7" t="e">
        <f>IF(SUMIF(#REF!,$P4,#REF!)/#REF!=0,"",SUMIF(#REF!,$P4,#REF!)/#REF!)</f>
        <v>#REF!</v>
      </c>
      <c r="S4" s="7"/>
      <c r="T4" s="7"/>
      <c r="U4" s="7" t="e">
        <f t="shared" si="2"/>
        <v>#REF!</v>
      </c>
      <c r="V4" s="56" t="str">
        <f t="shared" si="3"/>
        <v/>
      </c>
      <c r="W4" s="57"/>
      <c r="X4" s="57"/>
    </row>
    <row r="5" spans="1:24" ht="15.75" customHeight="1" x14ac:dyDescent="0.25">
      <c r="A5" s="34">
        <f ca="1">IFERROR(__xludf.DUMMYFUNCTION("""COMPUTED_VALUE"""),44798)</f>
        <v>44798</v>
      </c>
      <c r="B5" s="7"/>
      <c r="C5" s="19" t="str">
        <f ca="1">IFERROR(__xludf.DUMMYFUNCTION("""COMPUTED_VALUE"""),"MID")</f>
        <v>MID</v>
      </c>
      <c r="D5" s="7" t="str">
        <f ca="1">IFERROR(__xludf.DUMMYFUNCTION("""COMPUTED_VALUE"""),"MID")</f>
        <v>MID</v>
      </c>
      <c r="E5" s="7" t="e">
        <f ca="1">IF(OR(#REF!=$C$3,#REF!=$C$4,#REF!=$C$5,#REF!=$C$6,#REF!=$C$7,#REF!=$C$8,#REF!=$C$9,#REF!=$C$10),#REF!,"")</f>
        <v>#REF!</v>
      </c>
      <c r="F5" s="7"/>
      <c r="G5" s="50" t="s">
        <v>942</v>
      </c>
      <c r="H5" s="6" t="e">
        <f>IF(
(IF($H4&lt;1,"",_xludf.MaxIFS(#REF!,#REF!,#REF!,#REF!,"&lt;"&amp;$H4)))&lt;1,"",
(IF($H4&lt;1,"",_xludf.MaxIFS(#REF!,#REF!,#REF!,#REF!,"&lt;"&amp;$H4))))</f>
        <v>#REF!</v>
      </c>
      <c r="I5" s="51" t="str">
        <f ca="1">IFERROR(__xludf.DUMMYFUNCTION("IF($H5="""","""", iferror(average(filter('Training Responses'!$AR$2:$AR1029,'Training Responses'!$L$2:$L1029=$H5,'Training Responses'!$E$2:$E1029&lt;&gt;""Out"")),0))"),"")</f>
        <v/>
      </c>
      <c r="J5" s="51"/>
      <c r="K5" s="51"/>
      <c r="L5" s="51" t="e">
        <f t="shared" si="0"/>
        <v>#REF!</v>
      </c>
      <c r="M5" s="52" t="str">
        <f ca="1">IFERROR(__xludf.DUMMYFUNCTION("IF($H5="""","""",iferror(average(filter('Training Responses'!$DZ$2:$DZ1029,'Training Responses'!$L$2:$L1029=H5)),0))"),"")</f>
        <v/>
      </c>
      <c r="N5" s="53" t="str">
        <f ca="1">IFERROR(__xludf.DUMMYFUNCTION("iferror(IF($H5="""","""", average(filter('Wellness Responses'!$AS$2:$AS1029,'Wellness Responses'!$O$2:$O1029=H5))),"""")"),"")</f>
        <v/>
      </c>
      <c r="O5" s="7"/>
      <c r="P5" s="54">
        <v>4</v>
      </c>
      <c r="Q5" s="19" t="e">
        <f t="shared" si="1"/>
        <v>#REF!</v>
      </c>
      <c r="R5" s="7" t="e">
        <f>IF(SUMIF(#REF!,$P5,#REF!)/#REF!=0,"",SUMIF(#REF!,$P5,#REF!)/#REF!)</f>
        <v>#REF!</v>
      </c>
      <c r="S5" s="7"/>
      <c r="T5" s="7"/>
      <c r="U5" s="7" t="e">
        <f t="shared" si="2"/>
        <v>#REF!</v>
      </c>
      <c r="V5" s="56" t="str">
        <f t="shared" si="3"/>
        <v/>
      </c>
      <c r="W5" s="57"/>
      <c r="X5" s="57"/>
    </row>
    <row r="6" spans="1:24" ht="15.75" customHeight="1" x14ac:dyDescent="0.25">
      <c r="A6" s="34">
        <f ca="1">IFERROR(__xludf.DUMMYFUNCTION("""COMPUTED_VALUE"""),44801)</f>
        <v>44801</v>
      </c>
      <c r="B6" s="7"/>
      <c r="C6" s="19" t="str">
        <f ca="1">IFERROR(__xludf.DUMMYFUNCTION("""COMPUTED_VALUE"""),"MID/D")</f>
        <v>MID/D</v>
      </c>
      <c r="D6" s="7" t="str">
        <f ca="1">IFERROR(__xludf.DUMMYFUNCTION("""COMPUTED_VALUE"""),"MID/D")</f>
        <v>MID/D</v>
      </c>
      <c r="E6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6" s="7"/>
      <c r="G6" s="50" t="s">
        <v>942</v>
      </c>
      <c r="H6" s="6" t="e">
        <f>IF(
(IF($H5&lt;1,"",_xludf.MaxIFS(#REF!,#REF!,#REF!,#REF!,"&lt;"&amp;$H5)))&lt;1,"",
(IF($H5&lt;1,"",_xludf.MaxIFS(#REF!,#REF!,#REF!,#REF!,"&lt;"&amp;$H5))))</f>
        <v>#REF!</v>
      </c>
      <c r="I6" s="51" t="str">
        <f ca="1">IFERROR(__xludf.DUMMYFUNCTION("IF($H6="""","""", iferror(average(filter('Training Responses'!$AR$2:$AR1029,'Training Responses'!$L$2:$L1029=$H6,'Training Responses'!$E$2:$E1029&lt;&gt;""Out"")),0))"),"")</f>
        <v/>
      </c>
      <c r="J6" s="51"/>
      <c r="K6" s="51"/>
      <c r="L6" s="51" t="e">
        <f t="shared" si="0"/>
        <v>#REF!</v>
      </c>
      <c r="M6" s="52" t="str">
        <f ca="1">IFERROR(__xludf.DUMMYFUNCTION("IF($H6="""","""",iferror(average(filter('Training Responses'!$DZ$2:$DZ1029,'Training Responses'!$L$2:$L1029=H6)),0))"),"")</f>
        <v/>
      </c>
      <c r="N6" s="53" t="str">
        <f ca="1">IFERROR(__xludf.DUMMYFUNCTION("iferror(IF($H6="""","""", average(filter('Wellness Responses'!$AS$2:$AS1029,'Wellness Responses'!$O$2:$O1029=H6))),"""")"),"")</f>
        <v/>
      </c>
      <c r="O6" s="7"/>
      <c r="P6" s="54">
        <v>5</v>
      </c>
      <c r="Q6" s="19" t="e">
        <f t="shared" si="1"/>
        <v>#REF!</v>
      </c>
      <c r="R6" s="7" t="e">
        <f>IF(SUMIF(#REF!,$P6,#REF!)/#REF!=0,"",SUMIF(#REF!,$P6,#REF!)/#REF!)</f>
        <v>#REF!</v>
      </c>
      <c r="S6" s="7"/>
      <c r="T6" s="7"/>
      <c r="U6" s="7" t="e">
        <f t="shared" si="2"/>
        <v>#REF!</v>
      </c>
      <c r="V6" s="56" t="str">
        <f t="shared" si="3"/>
        <v/>
      </c>
      <c r="W6" s="57"/>
      <c r="X6" s="57"/>
    </row>
    <row r="7" spans="1:24" ht="15.75" customHeight="1" x14ac:dyDescent="0.3">
      <c r="A7" s="34">
        <f ca="1">IFERROR(__xludf.DUMMYFUNCTION("""COMPUTED_VALUE"""),44807)</f>
        <v>44807</v>
      </c>
      <c r="B7" s="7"/>
      <c r="C7" s="19" t="str">
        <f ca="1">IFERROR(__xludf.DUMMYFUNCTION("""COMPUTED_VALUE"""),"D")</f>
        <v>D</v>
      </c>
      <c r="D7" s="7" t="str">
        <f ca="1">IFERROR(__xludf.DUMMYFUNCTION("""COMPUTED_VALUE"""),"D")</f>
        <v>D</v>
      </c>
      <c r="E7" s="3" t="s">
        <v>88</v>
      </c>
      <c r="F7" s="7"/>
      <c r="G7" s="50" t="s">
        <v>942</v>
      </c>
      <c r="H7" s="6" t="e">
        <f>IF(
(IF($H6&lt;1,"",_xludf.MaxIFS(#REF!,#REF!,#REF!,#REF!,"&lt;"&amp;$H6)))&lt;1,"",
(IF($H6&lt;1,"",_xludf.MaxIFS(#REF!,#REF!,#REF!,#REF!,"&lt;"&amp;$H6))))</f>
        <v>#REF!</v>
      </c>
      <c r="I7" s="51" t="str">
        <f ca="1">IFERROR(__xludf.DUMMYFUNCTION("IF($H7="""","""", iferror(average(filter('Training Responses'!$AR$2:$AR1029,'Training Responses'!$L$2:$L1029=$H7,'Training Responses'!$E$2:$E1029&lt;&gt;""Out"")),0))"),"")</f>
        <v/>
      </c>
      <c r="J7" s="51"/>
      <c r="K7" s="51"/>
      <c r="L7" s="51" t="e">
        <f t="shared" si="0"/>
        <v>#REF!</v>
      </c>
      <c r="M7" s="52" t="str">
        <f ca="1">IFERROR(__xludf.DUMMYFUNCTION("IF($H7="""","""",iferror(average(filter('Training Responses'!$DZ$2:$DZ1029,'Training Responses'!$L$2:$L1029=H7)),0))"),"")</f>
        <v/>
      </c>
      <c r="N7" s="53" t="str">
        <f ca="1">IFERROR(__xludf.DUMMYFUNCTION("iferror(IF($H7="""","""", average(filter('Wellness Responses'!$AS$2:$AS1029,'Wellness Responses'!$O$2:$O1029=H7))),"""")"),"")</f>
        <v/>
      </c>
      <c r="O7" s="7"/>
      <c r="P7" s="54">
        <v>6</v>
      </c>
      <c r="Q7" s="19" t="e">
        <f t="shared" si="1"/>
        <v>#REF!</v>
      </c>
      <c r="R7" s="7" t="e">
        <f>IF(SUMIF(#REF!,$P7,#REF!)/#REF!=0,"",SUMIF(#REF!,$P7,#REF!)/#REF!)</f>
        <v>#REF!</v>
      </c>
      <c r="S7" s="7"/>
      <c r="T7" s="7"/>
      <c r="U7" s="7" t="e">
        <f t="shared" si="2"/>
        <v>#REF!</v>
      </c>
      <c r="V7" s="56" t="str">
        <f t="shared" si="3"/>
        <v/>
      </c>
      <c r="W7" s="57"/>
      <c r="X7" s="57"/>
    </row>
    <row r="8" spans="1:24" ht="15.75" customHeight="1" x14ac:dyDescent="0.25">
      <c r="A8" s="34">
        <f ca="1">IFERROR(__xludf.DUMMYFUNCTION("""COMPUTED_VALUE"""),44812)</f>
        <v>44812</v>
      </c>
      <c r="B8" s="7"/>
      <c r="C8" s="19" t="str">
        <f ca="1">IFERROR(__xludf.DUMMYFUNCTION("""COMPUTED_VALUE"""),"UTIL")</f>
        <v>UTIL</v>
      </c>
      <c r="D8" s="7" t="str">
        <f ca="1">IFERROR(__xludf.DUMMYFUNCTION("""COMPUTED_VALUE"""),"UTIL")</f>
        <v>UTIL</v>
      </c>
      <c r="E8" s="7" t="e">
        <f ca="1">IF(OR(#REF!=$C$3,#REF!=$C$4,#REF!=$C$5,#REF!=$C$6,#REF!=$C$7,#REF!=$C$8,#REF!=$C$9,#REF!=$C$10),#REF!,"")</f>
        <v>#REF!</v>
      </c>
      <c r="F8" s="7"/>
      <c r="G8" s="50" t="s">
        <v>942</v>
      </c>
      <c r="H8" s="6" t="e">
        <f>IF(
(IF($H7&lt;1,"",_xludf.MaxIFS(#REF!,#REF!,#REF!,#REF!,"&lt;"&amp;$H7)))&lt;1,"",
(IF($H7&lt;1,"",_xludf.MaxIFS(#REF!,#REF!,#REF!,#REF!,"&lt;"&amp;$H7))))</f>
        <v>#REF!</v>
      </c>
      <c r="I8" s="51" t="str">
        <f ca="1">IFERROR(__xludf.DUMMYFUNCTION("IF($H8="""","""", iferror(average(filter('Training Responses'!$AR$2:$AR1029,'Training Responses'!$L$2:$L1029=$H8,'Training Responses'!$E$2:$E1029&lt;&gt;""Out"")),0))"),"")</f>
        <v/>
      </c>
      <c r="J8" s="51"/>
      <c r="K8" s="51"/>
      <c r="L8" s="51" t="e">
        <f t="shared" si="0"/>
        <v>#REF!</v>
      </c>
      <c r="M8" s="52" t="str">
        <f ca="1">IFERROR(__xludf.DUMMYFUNCTION("IF($H8="""","""",iferror(average(filter('Training Responses'!$DZ$2:$DZ1029,'Training Responses'!$L$2:$L1029=H8)),0))"),"")</f>
        <v/>
      </c>
      <c r="N8" s="53" t="str">
        <f ca="1">IFERROR(__xludf.DUMMYFUNCTION("iferror(IF($H8="""","""", average(filter('Wellness Responses'!$AS$2:$AS1029,'Wellness Responses'!$O$2:$O1029=H8))),"""")"),"")</f>
        <v/>
      </c>
      <c r="O8" s="7"/>
      <c r="P8" s="54">
        <v>7</v>
      </c>
      <c r="Q8" s="19" t="e">
        <f t="shared" si="1"/>
        <v>#REF!</v>
      </c>
      <c r="R8" s="7" t="e">
        <f>IF(SUMIF(#REF!,$P8,#REF!)/#REF!=0,"",SUMIF(#REF!,$P8,#REF!)/#REF!)</f>
        <v>#REF!</v>
      </c>
      <c r="S8" s="7"/>
      <c r="T8" s="7"/>
      <c r="U8" s="7" t="e">
        <f t="shared" si="2"/>
        <v>#REF!</v>
      </c>
      <c r="V8" s="56" t="str">
        <f t="shared" si="3"/>
        <v/>
      </c>
      <c r="W8" s="57"/>
      <c r="X8" s="57"/>
    </row>
    <row r="9" spans="1:24" ht="15.75" customHeight="1" x14ac:dyDescent="0.25">
      <c r="A9" s="34">
        <f ca="1">IFERROR(__xludf.DUMMYFUNCTION("""COMPUTED_VALUE"""),44813)</f>
        <v>44813</v>
      </c>
      <c r="B9" s="7"/>
      <c r="C9" s="19" t="str">
        <f ca="1">IFERROR(__xludf.DUMMYFUNCTION("""COMPUTED_VALUE"""),"GK")</f>
        <v>GK</v>
      </c>
      <c r="D9" s="7" t="str">
        <f ca="1">IFERROR(__xludf.DUMMYFUNCTION("""COMPUTED_VALUE"""),"GK")</f>
        <v>GK</v>
      </c>
      <c r="E9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9" s="7"/>
      <c r="G9" s="50" t="s">
        <v>942</v>
      </c>
      <c r="H9" s="6" t="e">
        <f>IF(
(IF($H8&lt;1,"",_xludf.MaxIFS(#REF!,#REF!,#REF!,#REF!,"&lt;"&amp;$H8)))&lt;1,"",
(IF($H8&lt;1,"",_xludf.MaxIFS(#REF!,#REF!,#REF!,#REF!,"&lt;"&amp;$H8))))</f>
        <v>#REF!</v>
      </c>
      <c r="I9" s="51" t="str">
        <f ca="1">IFERROR(__xludf.DUMMYFUNCTION("IF($H9="""","""", iferror(average(filter('Training Responses'!$AR$2:$AR1029,'Training Responses'!$L$2:$L1029=$H9,'Training Responses'!$E$2:$E1029&lt;&gt;""Out"")),0))"),"")</f>
        <v/>
      </c>
      <c r="J9" s="51"/>
      <c r="K9" s="51"/>
      <c r="L9" s="51" t="e">
        <f t="shared" si="0"/>
        <v>#REF!</v>
      </c>
      <c r="M9" s="52" t="str">
        <f ca="1">IFERROR(__xludf.DUMMYFUNCTION("IF($H9="""","""",iferror(average(filter('Training Responses'!$DZ$2:$DZ1029,'Training Responses'!$L$2:$L1029=H9)),0))"),"")</f>
        <v/>
      </c>
      <c r="N9" s="53" t="str">
        <f ca="1">IFERROR(__xludf.DUMMYFUNCTION("iferror(IF($H9="""","""", average(filter('Wellness Responses'!$AS$2:$AS1029,'Wellness Responses'!$O$2:$O1029=H9))),"""")"),"")</f>
        <v/>
      </c>
      <c r="O9" s="7"/>
      <c r="P9" s="54">
        <v>8</v>
      </c>
      <c r="Q9" s="19" t="e">
        <f t="shared" si="1"/>
        <v>#REF!</v>
      </c>
      <c r="R9" s="7" t="e">
        <f>IF(SUMIF(#REF!,$P9,#REF!)/#REF!=0,"",SUMIF(#REF!,$P9,#REF!)/#REF!)</f>
        <v>#REF!</v>
      </c>
      <c r="S9" s="7"/>
      <c r="T9" s="7"/>
      <c r="U9" s="7" t="e">
        <f t="shared" si="2"/>
        <v>#REF!</v>
      </c>
      <c r="V9" s="56" t="str">
        <f t="shared" si="3"/>
        <v/>
      </c>
      <c r="W9" s="57"/>
      <c r="X9" s="57"/>
    </row>
    <row r="10" spans="1:24" ht="15.75" customHeight="1" x14ac:dyDescent="0.3">
      <c r="A10" s="34">
        <f ca="1">IFERROR(__xludf.DUMMYFUNCTION("""COMPUTED_VALUE"""),44814)</f>
        <v>44814</v>
      </c>
      <c r="B10" s="7"/>
      <c r="C10" s="19"/>
      <c r="D10" s="7"/>
      <c r="E10" s="3" t="s">
        <v>89</v>
      </c>
      <c r="F10" s="7"/>
      <c r="G10" s="50" t="s">
        <v>942</v>
      </c>
      <c r="H10" s="6" t="e">
        <f>IF(
(IF($H9&lt;1,"",_xludf.MaxIFS(#REF!,#REF!,#REF!,#REF!,"&lt;"&amp;$H9)))&lt;1,"",
(IF($H9&lt;1,"",_xludf.MaxIFS(#REF!,#REF!,#REF!,#REF!,"&lt;"&amp;$H9))))</f>
        <v>#REF!</v>
      </c>
      <c r="I10" s="51" t="str">
        <f ca="1">IFERROR(__xludf.DUMMYFUNCTION("IF($H10="""","""", iferror(average(filter('Training Responses'!$AR$2:$AR1029,'Training Responses'!$L$2:$L1029=$H10,'Training Responses'!$E$2:$E1029&lt;&gt;""Out"")),0))"),"")</f>
        <v/>
      </c>
      <c r="J10" s="51"/>
      <c r="K10" s="51"/>
      <c r="L10" s="51" t="e">
        <f t="shared" si="0"/>
        <v>#REF!</v>
      </c>
      <c r="M10" s="52" t="str">
        <f ca="1">IFERROR(__xludf.DUMMYFUNCTION("IF($H10="""","""",iferror(average(filter('Training Responses'!$DZ$2:$DZ1029,'Training Responses'!$L$2:$L1029=H10)),0))"),"")</f>
        <v/>
      </c>
      <c r="N10" s="53" t="str">
        <f ca="1">IFERROR(__xludf.DUMMYFUNCTION("iferror(IF($H10="""","""", average(filter('Wellness Responses'!$AS$2:$AS1029,'Wellness Responses'!$O$2:$O1029=H10))),"""")"),"")</f>
        <v/>
      </c>
      <c r="O10" s="7"/>
      <c r="P10" s="54">
        <v>9</v>
      </c>
      <c r="Q10" s="19" t="e">
        <f t="shared" si="1"/>
        <v>#REF!</v>
      </c>
      <c r="R10" s="7" t="e">
        <f>IF(SUMIF(#REF!,$P10,#REF!)/#REF!=0,"",SUMIF(#REF!,$P10,#REF!)/#REF!)</f>
        <v>#REF!</v>
      </c>
      <c r="S10" s="7"/>
      <c r="T10" s="7"/>
      <c r="U10" s="7" t="e">
        <f t="shared" si="2"/>
        <v>#REF!</v>
      </c>
      <c r="V10" s="56" t="str">
        <f t="shared" si="3"/>
        <v/>
      </c>
      <c r="W10" s="57"/>
      <c r="X10" s="57"/>
    </row>
    <row r="11" spans="1:24" ht="15.75" customHeight="1" x14ac:dyDescent="0.25">
      <c r="A11" s="34">
        <f ca="1">IFERROR(__xludf.DUMMYFUNCTION("""COMPUTED_VALUE"""),44819)</f>
        <v>44819</v>
      </c>
      <c r="B11" s="7"/>
      <c r="C11" s="19" t="str">
        <f ca="1">IFERROR(__xludf.DUMMYFUNCTION("unique(Roster!$D$3:$D$42)"),"FWD")</f>
        <v>FWD</v>
      </c>
      <c r="D11" s="7"/>
      <c r="E11" s="7" t="e">
        <f ca="1">IF(OR(#REF!=$C$3,#REF!=$C$4,#REF!=$C$5,#REF!=$C$6,#REF!=$C$7,#REF!=$C$8,#REF!=$C$9,#REF!=$C$10),#REF!,"")</f>
        <v>#REF!</v>
      </c>
      <c r="F11" s="7"/>
      <c r="G11" s="50" t="s">
        <v>942</v>
      </c>
      <c r="H11" s="6" t="e">
        <f>IF(
(IF($H10&lt;1,"",_xludf.MaxIFS(#REF!,#REF!,#REF!,#REF!,"&lt;"&amp;$H10)))&lt;1,"",
(IF($H10&lt;1,"",_xludf.MaxIFS(#REF!,#REF!,#REF!,#REF!,"&lt;"&amp;$H10))))</f>
        <v>#REF!</v>
      </c>
      <c r="I11" s="51" t="str">
        <f ca="1">IFERROR(__xludf.DUMMYFUNCTION("IF($H11="""","""", iferror(average(filter('Training Responses'!$AR$2:$AR1029,'Training Responses'!$L$2:$L1029=$H11,'Training Responses'!$E$2:$E1029&lt;&gt;""Out"")),0))"),"")</f>
        <v/>
      </c>
      <c r="J11" s="51"/>
      <c r="K11" s="51"/>
      <c r="L11" s="51" t="e">
        <f t="shared" si="0"/>
        <v>#REF!</v>
      </c>
      <c r="M11" s="52" t="str">
        <f ca="1">IFERROR(__xludf.DUMMYFUNCTION("IF($H11="""","""",iferror(average(filter('Training Responses'!$DZ$2:$DZ1029,'Training Responses'!$L$2:$L1029=H11)),0))"),"")</f>
        <v/>
      </c>
      <c r="N11" s="53" t="str">
        <f ca="1">IFERROR(__xludf.DUMMYFUNCTION("iferror(IF($H11="""","""", average(filter('Wellness Responses'!$AS$2:$AS1029,'Wellness Responses'!$O$2:$O1029=H11))),"""")"),"")</f>
        <v/>
      </c>
      <c r="O11" s="7"/>
      <c r="P11" s="54">
        <v>10</v>
      </c>
      <c r="Q11" s="19" t="e">
        <f t="shared" si="1"/>
        <v>#REF!</v>
      </c>
      <c r="R11" s="7" t="e">
        <f>IF(SUMIF(#REF!,$P11,#REF!)/#REF!=0,"",SUMIF(#REF!,$P11,#REF!)/#REF!)</f>
        <v>#REF!</v>
      </c>
      <c r="S11" s="7"/>
      <c r="T11" s="7"/>
      <c r="U11" s="7" t="e">
        <f t="shared" si="2"/>
        <v>#REF!</v>
      </c>
      <c r="V11" s="56" t="str">
        <f t="shared" si="3"/>
        <v/>
      </c>
      <c r="W11" s="57"/>
      <c r="X11" s="57"/>
    </row>
    <row r="12" spans="1:24" ht="15.75" customHeight="1" x14ac:dyDescent="0.25">
      <c r="A12" s="34">
        <f ca="1">IFERROR(__xludf.DUMMYFUNCTION("""COMPUTED_VALUE"""),44827)</f>
        <v>44827</v>
      </c>
      <c r="B12" s="7"/>
      <c r="C12" s="19" t="str">
        <f ca="1">IFERROR(__xludf.DUMMYFUNCTION("""COMPUTED_VALUE"""),"F/MID")</f>
        <v>F/MID</v>
      </c>
      <c r="D12" s="7"/>
      <c r="E12" s="7" t="e">
        <f ca="1">IF(OR(#REF!=$C$11,#REF!=$C$12,#REF!=$C$13,#REF!=$C$14,#REF!=$C$15,#REF!=$C$16,#REF!=$C$17,#REF!=$C$18,#REF!=$C$19,#REF!=$C$20,#REF!=$C$21,#REF!=$C$22,#REF!=$C$23,#REF!=$C$24,#REF!=$C$25,#REF!=$C$26,#REF!=$C$27,#REF!=$C$28,#REF!=$C$29,#REF!=$C$30,#REF!=$C$31),#REF!,"")</f>
        <v>#REF!</v>
      </c>
      <c r="F12" s="7"/>
      <c r="G12" s="50" t="s">
        <v>942</v>
      </c>
      <c r="H12" s="6" t="e">
        <f>IF(
(IF($H11&lt;1,"",_xludf.MaxIFS(#REF!,#REF!,#REF!,#REF!,"&lt;"&amp;$H11)))&lt;1,"",
(IF($H11&lt;1,"",_xludf.MaxIFS(#REF!,#REF!,#REF!,#REF!,"&lt;"&amp;$H11))))</f>
        <v>#REF!</v>
      </c>
      <c r="I12" s="51" t="str">
        <f ca="1">IFERROR(__xludf.DUMMYFUNCTION("IF($H12="""","""", iferror(average(filter('Training Responses'!$AR$2:$AR1029,'Training Responses'!$L$2:$L1029=$H12,'Training Responses'!$E$2:$E1029&lt;&gt;""Out"")),0))"),"")</f>
        <v/>
      </c>
      <c r="J12" s="51"/>
      <c r="K12" s="51"/>
      <c r="L12" s="51" t="e">
        <f t="shared" si="0"/>
        <v>#REF!</v>
      </c>
      <c r="M12" s="52" t="str">
        <f ca="1">IFERROR(__xludf.DUMMYFUNCTION("IF($H12="""","""",iferror(average(filter('Training Responses'!$DZ$2:$DZ1029,'Training Responses'!$L$2:$L1029=H12)),0))"),"")</f>
        <v/>
      </c>
      <c r="N12" s="53" t="str">
        <f ca="1">IFERROR(__xludf.DUMMYFUNCTION("iferror(IF($H12="""","""", average(filter('Wellness Responses'!$AS$2:$AS1029,'Wellness Responses'!$O$2:$O1029=H12))),"""")"),"")</f>
        <v/>
      </c>
      <c r="O12" s="7"/>
      <c r="P12" s="54">
        <v>11</v>
      </c>
      <c r="Q12" s="19" t="e">
        <f t="shared" si="1"/>
        <v>#REF!</v>
      </c>
      <c r="R12" s="7" t="e">
        <f>IF(SUMIF(#REF!,$P12,#REF!)/#REF!=0,"",SUMIF(#REF!,$P12,#REF!)/#REF!)</f>
        <v>#REF!</v>
      </c>
      <c r="S12" s="7"/>
      <c r="T12" s="7"/>
      <c r="U12" s="7" t="e">
        <f t="shared" si="2"/>
        <v>#REF!</v>
      </c>
      <c r="V12" s="56" t="str">
        <f t="shared" si="3"/>
        <v/>
      </c>
      <c r="W12" s="57"/>
      <c r="X12" s="57"/>
    </row>
    <row r="13" spans="1:24" ht="15.75" customHeight="1" x14ac:dyDescent="0.25">
      <c r="A13" s="34">
        <f ca="1">IFERROR(__xludf.DUMMYFUNCTION("""COMPUTED_VALUE"""),44832)</f>
        <v>44832</v>
      </c>
      <c r="B13" s="7"/>
      <c r="C13" s="19" t="str">
        <f ca="1">IFERROR(__xludf.DUMMYFUNCTION("""COMPUTED_VALUE"""),"MID")</f>
        <v>MID</v>
      </c>
      <c r="D13" s="7"/>
      <c r="E13" s="7"/>
      <c r="F13" s="7"/>
      <c r="G13" s="50" t="s">
        <v>942</v>
      </c>
      <c r="H13" s="6" t="e">
        <f>IF(
(IF($H12&lt;1,"",_xludf.MaxIFS(#REF!,#REF!,#REF!,#REF!,"&lt;"&amp;$H12)))&lt;1,"",
(IF($H12&lt;1,"",_xludf.MaxIFS(#REF!,#REF!,#REF!,#REF!,"&lt;"&amp;$H12))))</f>
        <v>#REF!</v>
      </c>
      <c r="I13" s="51" t="str">
        <f ca="1">IFERROR(__xludf.DUMMYFUNCTION("IF($H13="""","""", iferror(average(filter('Training Responses'!$AR$2:$AR1029,'Training Responses'!$L$2:$L1029=$H13,'Training Responses'!$E$2:$E1029&lt;&gt;""Out"")),0))"),"")</f>
        <v/>
      </c>
      <c r="J13" s="51"/>
      <c r="K13" s="51"/>
      <c r="L13" s="51" t="e">
        <f t="shared" si="0"/>
        <v>#REF!</v>
      </c>
      <c r="M13" s="52" t="str">
        <f ca="1">IFERROR(__xludf.DUMMYFUNCTION("IF($H13="""","""",iferror(average(filter('Training Responses'!$DZ$2:$DZ1029,'Training Responses'!$L$2:$L1029=H13)),0))"),"")</f>
        <v/>
      </c>
      <c r="N13" s="53" t="str">
        <f ca="1">IFERROR(__xludf.DUMMYFUNCTION("iferror(IF($H13="""","""", average(filter('Wellness Responses'!$AS$2:$AS1029,'Wellness Responses'!$O$2:$O1029=H13))),"""")"),"")</f>
        <v/>
      </c>
      <c r="O13" s="7"/>
      <c r="P13" s="54">
        <v>12</v>
      </c>
      <c r="Q13" s="19" t="e">
        <f t="shared" si="1"/>
        <v>#REF!</v>
      </c>
      <c r="R13" s="7" t="e">
        <f>IF(SUMIF(#REF!,$P13,#REF!)/#REF!=0,"",SUMIF(#REF!,$P13,#REF!)/#REF!)</f>
        <v>#REF!</v>
      </c>
      <c r="S13" s="7"/>
      <c r="T13" s="7"/>
      <c r="U13" s="7" t="e">
        <f t="shared" si="2"/>
        <v>#REF!</v>
      </c>
      <c r="V13" s="56" t="str">
        <f t="shared" si="3"/>
        <v/>
      </c>
      <c r="W13" s="57"/>
      <c r="X13" s="57"/>
    </row>
    <row r="14" spans="1:24" ht="15.75" customHeight="1" x14ac:dyDescent="0.25">
      <c r="A14" s="34">
        <f ca="1">IFERROR(__xludf.DUMMYFUNCTION("""COMPUTED_VALUE"""),44833)</f>
        <v>44833</v>
      </c>
      <c r="B14" s="7"/>
      <c r="C14" s="19" t="str">
        <f ca="1">IFERROR(__xludf.DUMMYFUNCTION("""COMPUTED_VALUE"""),"MID/D")</f>
        <v>MID/D</v>
      </c>
      <c r="D14" s="7"/>
      <c r="E14" s="7"/>
      <c r="F14" s="7"/>
      <c r="G14" s="50" t="s">
        <v>942</v>
      </c>
      <c r="H14" s="6" t="e">
        <f>IF(
(IF($H13&lt;1,"",_xludf.MaxIFS(#REF!,#REF!,#REF!,#REF!,"&lt;"&amp;$H13)))&lt;1,"",
(IF($H13&lt;1,"",_xludf.MaxIFS(#REF!,#REF!,#REF!,#REF!,"&lt;"&amp;$H13))))</f>
        <v>#REF!</v>
      </c>
      <c r="I14" s="51" t="str">
        <f ca="1">IFERROR(__xludf.DUMMYFUNCTION("IF($H14="""","""", iferror(average(filter('Training Responses'!$AR$2:$AR1029,'Training Responses'!$L$2:$L1029=$H14,'Training Responses'!$E$2:$E1029&lt;&gt;""Out"")),0))"),"")</f>
        <v/>
      </c>
      <c r="J14" s="51"/>
      <c r="K14" s="51"/>
      <c r="L14" s="51" t="e">
        <f t="shared" si="0"/>
        <v>#REF!</v>
      </c>
      <c r="M14" s="52" t="str">
        <f ca="1">IFERROR(__xludf.DUMMYFUNCTION("IF($H14="""","""",iferror(average(filter('Training Responses'!$DZ$2:$DZ1029,'Training Responses'!$L$2:$L1029=H14)),0))"),"")</f>
        <v/>
      </c>
      <c r="N14" s="53" t="str">
        <f ca="1">IFERROR(__xludf.DUMMYFUNCTION("iferror(IF($H14="""","""", average(filter('Wellness Responses'!$AS$2:$AS1029,'Wellness Responses'!$O$2:$O1029=H14))),"""")"),"")</f>
        <v/>
      </c>
      <c r="O14" s="7"/>
      <c r="P14" s="54">
        <v>13</v>
      </c>
      <c r="Q14" s="19" t="e">
        <f t="shared" si="1"/>
        <v>#REF!</v>
      </c>
      <c r="R14" s="7" t="e">
        <f>IF(SUMIF(#REF!,$P14,#REF!)/#REF!=0,"",SUMIF(#REF!,$P14,#REF!)/#REF!)</f>
        <v>#REF!</v>
      </c>
      <c r="S14" s="7"/>
      <c r="T14" s="7"/>
      <c r="U14" s="7" t="e">
        <f t="shared" si="2"/>
        <v>#REF!</v>
      </c>
      <c r="V14" s="56" t="str">
        <f t="shared" si="3"/>
        <v/>
      </c>
      <c r="W14" s="57"/>
      <c r="X14" s="57"/>
    </row>
    <row r="15" spans="1:24" ht="15.75" customHeight="1" x14ac:dyDescent="0.25">
      <c r="A15" s="34">
        <f ca="1">IFERROR(__xludf.DUMMYFUNCTION("""COMPUTED_VALUE"""),44835)</f>
        <v>44835</v>
      </c>
      <c r="B15" s="7"/>
      <c r="C15" s="19" t="str">
        <f ca="1">IFERROR(__xludf.DUMMYFUNCTION("""COMPUTED_VALUE"""),"D")</f>
        <v>D</v>
      </c>
      <c r="D15" s="7"/>
      <c r="E15" s="7"/>
      <c r="F15" s="7"/>
      <c r="G15" s="50" t="s">
        <v>942</v>
      </c>
      <c r="H15" s="6" t="e">
        <f>IF(
(IF($H14&lt;1,"",_xludf.MaxIFS(#REF!,#REF!,#REF!,#REF!,"&lt;"&amp;$H14)))&lt;1,"",
(IF($H14&lt;1,"",_xludf.MaxIFS(#REF!,#REF!,#REF!,#REF!,"&lt;"&amp;$H14))))</f>
        <v>#REF!</v>
      </c>
      <c r="I15" s="51" t="str">
        <f ca="1">IFERROR(__xludf.DUMMYFUNCTION("IF($H15="""","""", iferror(average(filter('Training Responses'!$AR$2:$AR1029,'Training Responses'!$L$2:$L1029=$H15,'Training Responses'!$E$2:$E1029&lt;&gt;""Out"")),0))"),"")</f>
        <v/>
      </c>
      <c r="J15" s="51"/>
      <c r="K15" s="51"/>
      <c r="L15" s="51" t="e">
        <f t="shared" si="0"/>
        <v>#REF!</v>
      </c>
      <c r="M15" s="52" t="str">
        <f ca="1">IFERROR(__xludf.DUMMYFUNCTION("IF($H15="""","""",iferror(average(filter('Training Responses'!$DZ$2:$DZ1029,'Training Responses'!$L$2:$L1029=H15)),0))"),"")</f>
        <v/>
      </c>
      <c r="N15" s="53" t="str">
        <f ca="1">IFERROR(__xludf.DUMMYFUNCTION("iferror(IF($H15="""","""", average(filter('Wellness Responses'!$AS$2:$AS1029,'Wellness Responses'!$O$2:$O1029=H15))),"""")"),"")</f>
        <v/>
      </c>
      <c r="O15" s="7"/>
      <c r="P15" s="54">
        <v>14</v>
      </c>
      <c r="Q15" s="19" t="e">
        <f t="shared" si="1"/>
        <v>#REF!</v>
      </c>
      <c r="R15" s="7" t="e">
        <f>IF(SUMIF(#REF!,$P15,#REF!)/#REF!=0,"",SUMIF(#REF!,$P15,#REF!)/#REF!)</f>
        <v>#REF!</v>
      </c>
      <c r="S15" s="7"/>
      <c r="T15" s="7"/>
      <c r="U15" s="7" t="e">
        <f t="shared" si="2"/>
        <v>#REF!</v>
      </c>
      <c r="V15" s="56" t="str">
        <f t="shared" si="3"/>
        <v/>
      </c>
      <c r="W15" s="57"/>
      <c r="X15" s="57"/>
    </row>
    <row r="16" spans="1:24" ht="15.75" customHeight="1" x14ac:dyDescent="0.25">
      <c r="A16" s="34">
        <f ca="1">IFERROR(__xludf.DUMMYFUNCTION("""COMPUTED_VALUE"""),44839)</f>
        <v>44839</v>
      </c>
      <c r="B16" s="7"/>
      <c r="C16" s="19" t="str">
        <f ca="1">IFERROR(__xludf.DUMMYFUNCTION("""COMPUTED_VALUE"""),"UTIL")</f>
        <v>UTIL</v>
      </c>
      <c r="D16" s="7"/>
      <c r="E16" s="7"/>
      <c r="F16" s="7"/>
      <c r="G16" s="50" t="s">
        <v>942</v>
      </c>
      <c r="H16" s="6" t="e">
        <f>IF(
(IF($H15&lt;1,"",_xludf.MaxIFS(#REF!,#REF!,#REF!,#REF!,"&lt;"&amp;$H15)))&lt;1,"",
(IF($H15&lt;1,"",_xludf.MaxIFS(#REF!,#REF!,#REF!,#REF!,"&lt;"&amp;$H15))))</f>
        <v>#REF!</v>
      </c>
      <c r="I16" s="51" t="str">
        <f ca="1">IFERROR(__xludf.DUMMYFUNCTION("IF($H16="""","""", iferror(average(filter('Training Responses'!$AR$2:$AR1029,'Training Responses'!$L$2:$L1029=$H16,'Training Responses'!$E$2:$E1029&lt;&gt;""Out"")),0))"),"")</f>
        <v/>
      </c>
      <c r="J16" s="51"/>
      <c r="K16" s="51"/>
      <c r="L16" s="51" t="e">
        <f t="shared" si="0"/>
        <v>#REF!</v>
      </c>
      <c r="M16" s="52" t="str">
        <f ca="1">IFERROR(__xludf.DUMMYFUNCTION("IF($H16="""","""",iferror(average(filter('Training Responses'!$DZ$2:$DZ1029,'Training Responses'!$L$2:$L1029=H16)),0))"),"")</f>
        <v/>
      </c>
      <c r="N16" s="53" t="str">
        <f ca="1">IFERROR(__xludf.DUMMYFUNCTION("iferror(IF($H16="""","""", average(filter('Wellness Responses'!$AS$2:$AS1029,'Wellness Responses'!$O$2:$O1029=H16))),"""")"),"")</f>
        <v/>
      </c>
      <c r="O16" s="7"/>
      <c r="P16" s="54">
        <v>15</v>
      </c>
      <c r="Q16" s="19" t="e">
        <f t="shared" si="1"/>
        <v>#REF!</v>
      </c>
      <c r="R16" s="7" t="e">
        <f>IF(SUMIF(#REF!,$P16,#REF!)/#REF!=0,"",SUMIF(#REF!,$P16,#REF!)/#REF!)</f>
        <v>#REF!</v>
      </c>
      <c r="S16" s="7"/>
      <c r="T16" s="7"/>
      <c r="U16" s="7" t="e">
        <f t="shared" si="2"/>
        <v>#REF!</v>
      </c>
      <c r="V16" s="56" t="str">
        <f t="shared" si="3"/>
        <v/>
      </c>
      <c r="W16" s="57"/>
      <c r="X16" s="57"/>
    </row>
    <row r="17" spans="1:24" ht="15.75" customHeight="1" x14ac:dyDescent="0.25">
      <c r="A17" s="34">
        <f ca="1">IFERROR(__xludf.DUMMYFUNCTION("""COMPUTED_VALUE"""),44842)</f>
        <v>44842</v>
      </c>
      <c r="B17" s="7"/>
      <c r="C17" s="19" t="str">
        <f ca="1">IFERROR(__xludf.DUMMYFUNCTION("""COMPUTED_VALUE"""),"GK")</f>
        <v>GK</v>
      </c>
      <c r="D17" s="7"/>
      <c r="E17" s="7"/>
      <c r="F17" s="7"/>
      <c r="G17" s="50" t="s">
        <v>942</v>
      </c>
      <c r="H17" s="6" t="e">
        <f>IF(
(IF($H16&lt;1,"",_xludf.MaxIFS(#REF!,#REF!,#REF!,#REF!,"&lt;"&amp;$H16)))&lt;1,"",
(IF($H16&lt;1,"",_xludf.MaxIFS(#REF!,#REF!,#REF!,#REF!,"&lt;"&amp;$H16))))</f>
        <v>#REF!</v>
      </c>
      <c r="I17" s="51" t="str">
        <f ca="1">IFERROR(__xludf.DUMMYFUNCTION("IF($H17="""","""", iferror(average(filter('Training Responses'!$AR$2:$AR1029,'Training Responses'!$L$2:$L1029=$H17,'Training Responses'!$E$2:$E1029&lt;&gt;""Out"")),0))"),"")</f>
        <v/>
      </c>
      <c r="J17" s="51"/>
      <c r="K17" s="51"/>
      <c r="L17" s="51" t="e">
        <f t="shared" si="0"/>
        <v>#REF!</v>
      </c>
      <c r="M17" s="52" t="str">
        <f ca="1">IFERROR(__xludf.DUMMYFUNCTION("IF($H17="""","""",iferror(average(filter('Training Responses'!$DZ$2:$DZ1029,'Training Responses'!$L$2:$L1029=H17)),0))"),"")</f>
        <v/>
      </c>
      <c r="N17" s="53" t="str">
        <f ca="1">IFERROR(__xludf.DUMMYFUNCTION("iferror(IF($H17="""","""", average(filter('Wellness Responses'!$AS$2:$AS1029,'Wellness Responses'!$O$2:$O1029=H17))),"""")"),"")</f>
        <v/>
      </c>
      <c r="O17" s="7"/>
      <c r="P17" s="54">
        <v>16</v>
      </c>
      <c r="Q17" s="19" t="e">
        <f t="shared" si="1"/>
        <v>#REF!</v>
      </c>
      <c r="R17" s="7" t="e">
        <f>IF(SUMIF(#REF!,$P17,#REF!)/#REF!=0,"",SUMIF(#REF!,$P17,#REF!)/#REF!)</f>
        <v>#REF!</v>
      </c>
      <c r="S17" s="7"/>
      <c r="T17" s="7"/>
      <c r="U17" s="7" t="e">
        <f t="shared" si="2"/>
        <v>#REF!</v>
      </c>
      <c r="V17" s="56" t="str">
        <f t="shared" si="3"/>
        <v/>
      </c>
      <c r="W17" s="57"/>
      <c r="X17" s="57"/>
    </row>
    <row r="18" spans="1:24" ht="15.75" customHeight="1" x14ac:dyDescent="0.25">
      <c r="A18" s="34">
        <f ca="1">IFERROR(__xludf.DUMMYFUNCTION("""COMPUTED_VALUE"""),44850)</f>
        <v>44850</v>
      </c>
      <c r="B18" s="7"/>
      <c r="C18" s="19"/>
      <c r="D18" s="7"/>
      <c r="E18" s="7"/>
      <c r="F18" s="7"/>
      <c r="G18" s="50" t="s">
        <v>942</v>
      </c>
      <c r="H18" s="6" t="e">
        <f>IF(
(IF($H17&lt;1,"",_xludf.MaxIFS(#REF!,#REF!,#REF!,#REF!,"&lt;"&amp;$H17)))&lt;1,"",
(IF($H17&lt;1,"",_xludf.MaxIFS(#REF!,#REF!,#REF!,#REF!,"&lt;"&amp;$H17))))</f>
        <v>#REF!</v>
      </c>
      <c r="I18" s="51" t="str">
        <f ca="1">IFERROR(__xludf.DUMMYFUNCTION("IF($H18="""","""", iferror(average(filter('Training Responses'!$AR$2:$AR1029,'Training Responses'!$L$2:$L1029=$H18,'Training Responses'!$E$2:$E1029&lt;&gt;""Out"")),0))"),"")</f>
        <v/>
      </c>
      <c r="J18" s="51"/>
      <c r="K18" s="51"/>
      <c r="L18" s="51" t="e">
        <f t="shared" si="0"/>
        <v>#REF!</v>
      </c>
      <c r="M18" s="52" t="str">
        <f ca="1">IFERROR(__xludf.DUMMYFUNCTION("IF($H18="""","""",iferror(average(filter('Training Responses'!$DZ$2:$DZ1029,'Training Responses'!$L$2:$L1029=H18)),0))"),"")</f>
        <v/>
      </c>
      <c r="N18" s="53" t="str">
        <f ca="1">IFERROR(__xludf.DUMMYFUNCTION("iferror(IF($H18="""","""", average(filter('Wellness Responses'!$AS$2:$AS1029,'Wellness Responses'!$O$2:$O1029=H18))),"""")"),"")</f>
        <v/>
      </c>
      <c r="O18" s="7"/>
      <c r="P18" s="54">
        <v>17</v>
      </c>
      <c r="Q18" s="19" t="e">
        <f t="shared" si="1"/>
        <v>#REF!</v>
      </c>
      <c r="R18" s="7" t="e">
        <f>IF(SUMIF(#REF!,$P18,#REF!)/#REF!=0,"",SUMIF(#REF!,$P18,#REF!)/#REF!)</f>
        <v>#REF!</v>
      </c>
      <c r="S18" s="7"/>
      <c r="T18" s="7"/>
      <c r="U18" s="7" t="e">
        <f t="shared" si="2"/>
        <v>#REF!</v>
      </c>
      <c r="V18" s="56" t="str">
        <f t="shared" si="3"/>
        <v/>
      </c>
      <c r="W18" s="57"/>
      <c r="X18" s="57"/>
    </row>
    <row r="19" spans="1:24" ht="15.75" customHeight="1" x14ac:dyDescent="0.25">
      <c r="A19" s="34">
        <f ca="1">IFERROR(__xludf.DUMMYFUNCTION("""COMPUTED_VALUE"""),44853)</f>
        <v>44853</v>
      </c>
      <c r="B19" s="7"/>
      <c r="C19" s="19"/>
      <c r="D19" s="7"/>
      <c r="E19" s="7"/>
      <c r="F19" s="7"/>
      <c r="G19" s="50" t="s">
        <v>942</v>
      </c>
      <c r="H19" s="6" t="e">
        <f>IF(
(IF($H18&lt;1,"",_xludf.MaxIFS(#REF!,#REF!,#REF!,#REF!,"&lt;"&amp;$H18)))&lt;1,"",
(IF($H18&lt;1,"",_xludf.MaxIFS(#REF!,#REF!,#REF!,#REF!,"&lt;"&amp;$H18))))</f>
        <v>#REF!</v>
      </c>
      <c r="I19" s="51" t="str">
        <f ca="1">IFERROR(__xludf.DUMMYFUNCTION("IF($H19="""","""", iferror(average(filter('Training Responses'!$AR$2:$AR1029,'Training Responses'!$L$2:$L1029=$H19,'Training Responses'!$E$2:$E1029&lt;&gt;""Out"")),0))"),"")</f>
        <v/>
      </c>
      <c r="J19" s="51"/>
      <c r="K19" s="51"/>
      <c r="L19" s="51" t="e">
        <f t="shared" si="0"/>
        <v>#REF!</v>
      </c>
      <c r="M19" s="52" t="str">
        <f ca="1">IFERROR(__xludf.DUMMYFUNCTION("IF($H19="""","""",iferror(average(filter('Training Responses'!$DZ$2:$DZ1029,'Training Responses'!$L$2:$L1029=H19)),0))"),"")</f>
        <v/>
      </c>
      <c r="N19" s="53" t="str">
        <f ca="1">IFERROR(__xludf.DUMMYFUNCTION("iferror(IF($H19="""","""", average(filter('Wellness Responses'!$AS$2:$AS1029,'Wellness Responses'!$O$2:$O1029=H19))),"""")"),"")</f>
        <v/>
      </c>
      <c r="O19" s="7"/>
      <c r="P19" s="54">
        <v>18</v>
      </c>
      <c r="Q19" s="19" t="e">
        <f t="shared" si="1"/>
        <v>#REF!</v>
      </c>
      <c r="R19" s="7" t="e">
        <f>IF(SUMIF(#REF!,$P19,#REF!)/#REF!=0,"",SUMIF(#REF!,$P19,#REF!)/#REF!)</f>
        <v>#REF!</v>
      </c>
      <c r="S19" s="7"/>
      <c r="T19" s="7"/>
      <c r="U19" s="7" t="e">
        <f t="shared" si="2"/>
        <v>#REF!</v>
      </c>
      <c r="V19" s="56" t="str">
        <f t="shared" si="3"/>
        <v/>
      </c>
      <c r="W19" s="57"/>
      <c r="X19" s="57"/>
    </row>
    <row r="20" spans="1:24" ht="15.75" customHeight="1" x14ac:dyDescent="0.25">
      <c r="A20" s="34">
        <f ca="1">IFERROR(__xludf.DUMMYFUNCTION("""COMPUTED_VALUE"""),44854)</f>
        <v>44854</v>
      </c>
      <c r="B20" s="7"/>
      <c r="C20" s="19"/>
      <c r="D20" s="7"/>
      <c r="E20" s="7"/>
      <c r="F20" s="7"/>
      <c r="G20" s="50" t="s">
        <v>942</v>
      </c>
      <c r="H20" s="6" t="e">
        <f>IF(
(IF($H19&lt;1,"",_xludf.MaxIFS(#REF!,#REF!,#REF!,#REF!,"&lt;"&amp;$H19)))&lt;1,"",
(IF($H19&lt;1,"",_xludf.MaxIFS(#REF!,#REF!,#REF!,#REF!,"&lt;"&amp;$H19))))</f>
        <v>#REF!</v>
      </c>
      <c r="I20" s="51" t="str">
        <f ca="1">IFERROR(__xludf.DUMMYFUNCTION("IF($H20="""","""", iferror(average(filter('Training Responses'!$AR$2:$AR1029,'Training Responses'!$L$2:$L1029=$H20,'Training Responses'!$E$2:$E1029&lt;&gt;""Out"")),0))"),"")</f>
        <v/>
      </c>
      <c r="J20" s="51"/>
      <c r="K20" s="51"/>
      <c r="L20" s="51" t="e">
        <f t="shared" si="0"/>
        <v>#REF!</v>
      </c>
      <c r="M20" s="52" t="str">
        <f ca="1">IFERROR(__xludf.DUMMYFUNCTION("IF($H20="""","""",iferror(average(filter('Training Responses'!$DZ$2:$DZ1029,'Training Responses'!$L$2:$L1029=H20)),0))"),"")</f>
        <v/>
      </c>
      <c r="N20" s="53" t="str">
        <f ca="1">IFERROR(__xludf.DUMMYFUNCTION("iferror(IF($H20="""","""", average(filter('Wellness Responses'!$AS$2:$AS1029,'Wellness Responses'!$O$2:$O1029=H20))),"""")"),"")</f>
        <v/>
      </c>
      <c r="O20" s="7"/>
      <c r="P20" s="54">
        <v>19</v>
      </c>
      <c r="Q20" s="19" t="e">
        <f t="shared" si="1"/>
        <v>#REF!</v>
      </c>
      <c r="R20" s="7" t="e">
        <f>IF(SUMIF(#REF!,$P20,#REF!)/#REF!=0,"",SUMIF(#REF!,$P20,#REF!)/#REF!)</f>
        <v>#REF!</v>
      </c>
      <c r="S20" s="7"/>
      <c r="T20" s="7"/>
      <c r="U20" s="7" t="e">
        <f t="shared" si="2"/>
        <v>#REF!</v>
      </c>
      <c r="V20" s="56" t="str">
        <f t="shared" si="3"/>
        <v/>
      </c>
      <c r="W20" s="57"/>
      <c r="X20" s="57"/>
    </row>
    <row r="21" spans="1:24" ht="15.75" customHeight="1" x14ac:dyDescent="0.25">
      <c r="A21" s="34">
        <f ca="1">IFERROR(__xludf.DUMMYFUNCTION("""COMPUTED_VALUE"""),44857)</f>
        <v>44857</v>
      </c>
      <c r="B21" s="7"/>
      <c r="C21" s="19"/>
      <c r="D21" s="7"/>
      <c r="E21" s="7"/>
      <c r="F21" s="7"/>
      <c r="G21" s="50" t="s">
        <v>942</v>
      </c>
      <c r="H21" s="6" t="e">
        <f>IF(
(IF($H20&lt;1,"",_xludf.MaxIFS(#REF!,#REF!,#REF!,#REF!,"&lt;"&amp;$H20)))&lt;1,"",
(IF($H20&lt;1,"",_xludf.MaxIFS(#REF!,#REF!,#REF!,#REF!,"&lt;"&amp;$H20))))</f>
        <v>#REF!</v>
      </c>
      <c r="I21" s="51" t="str">
        <f ca="1">IFERROR(__xludf.DUMMYFUNCTION("IF($H21="""","""", iferror(average(filter('Training Responses'!$AR$2:$AR1029,'Training Responses'!$L$2:$L1029=$H21,'Training Responses'!$E$2:$E1029&lt;&gt;""Out"")),0))"),"")</f>
        <v/>
      </c>
      <c r="J21" s="51"/>
      <c r="K21" s="51"/>
      <c r="L21" s="51" t="e">
        <f t="shared" si="0"/>
        <v>#REF!</v>
      </c>
      <c r="M21" s="52" t="str">
        <f ca="1">IFERROR(__xludf.DUMMYFUNCTION("IF($H21="""","""",iferror(average(filter('Training Responses'!$DZ$2:$DZ1029,'Training Responses'!$L$2:$L1029=H21)),0))"),"")</f>
        <v/>
      </c>
      <c r="N21" s="53" t="str">
        <f ca="1">IFERROR(__xludf.DUMMYFUNCTION("iferror(IF($H21="""","""", average(filter('Wellness Responses'!$AS$2:$AS1029,'Wellness Responses'!$O$2:$O1029=H21))),"""")"),"")</f>
        <v/>
      </c>
      <c r="O21" s="7"/>
      <c r="P21" s="54">
        <v>20</v>
      </c>
      <c r="Q21" s="19" t="e">
        <f t="shared" si="1"/>
        <v>#REF!</v>
      </c>
      <c r="R21" s="7" t="e">
        <f>IF(SUMIF(#REF!,$P21,#REF!)/#REF!=0,"",SUMIF(#REF!,$P21,#REF!)/#REF!)</f>
        <v>#REF!</v>
      </c>
      <c r="S21" s="7"/>
      <c r="T21" s="7"/>
      <c r="U21" s="7" t="e">
        <f t="shared" si="2"/>
        <v>#REF!</v>
      </c>
      <c r="V21" s="56" t="str">
        <f t="shared" si="3"/>
        <v/>
      </c>
      <c r="W21" s="57"/>
      <c r="X21" s="57"/>
    </row>
    <row r="22" spans="1:24" ht="12.5" x14ac:dyDescent="0.25">
      <c r="A22" s="34">
        <f ca="1">IFERROR(__xludf.DUMMYFUNCTION("""COMPUTED_VALUE"""),44863)</f>
        <v>44863</v>
      </c>
      <c r="B22" s="7"/>
      <c r="C22" s="19"/>
      <c r="D22" s="7"/>
      <c r="E22" s="7"/>
      <c r="F22" s="7"/>
      <c r="G22" s="50" t="s">
        <v>942</v>
      </c>
      <c r="H22" s="6" t="e">
        <f>IF(
(IF($H21&lt;1,"",_xludf.MaxIFS(#REF!,#REF!,#REF!,#REF!,"&lt;"&amp;$H21)))&lt;1,"",
(IF($H21&lt;1,"",_xludf.MaxIFS(#REF!,#REF!,#REF!,#REF!,"&lt;"&amp;$H21))))</f>
        <v>#REF!</v>
      </c>
      <c r="I22" s="51" t="str">
        <f ca="1">IFERROR(__xludf.DUMMYFUNCTION("IF($H22="""","""", iferror(average(filter('Training Responses'!$AR$2:$AR1029,'Training Responses'!$L$2:$L1029=$H22,'Training Responses'!$E$2:$E1029&lt;&gt;""Out"")),0))"),"")</f>
        <v/>
      </c>
      <c r="J22" s="51"/>
      <c r="K22" s="51"/>
      <c r="L22" s="51" t="e">
        <f t="shared" si="0"/>
        <v>#REF!</v>
      </c>
      <c r="M22" s="52" t="str">
        <f ca="1">IFERROR(__xludf.DUMMYFUNCTION("IF($H22="""","""",iferror(average(filter('Training Responses'!$DZ$2:$DZ1029,'Training Responses'!$L$2:$L1029=H22)),0))"),"")</f>
        <v/>
      </c>
      <c r="N22" s="53" t="str">
        <f ca="1">IFERROR(__xludf.DUMMYFUNCTION("iferror(IF($H22="""","""", average(filter('Wellness Responses'!$AS$2:$AS1029,'Wellness Responses'!$O$2:$O1029=H22))),"""")"),"")</f>
        <v/>
      </c>
      <c r="O22" s="7"/>
      <c r="P22" s="54">
        <v>21</v>
      </c>
      <c r="Q22" s="19" t="e">
        <f t="shared" si="1"/>
        <v>#REF!</v>
      </c>
      <c r="R22" s="7" t="e">
        <f>IF(SUMIF(#REF!,$P22,#REF!)/#REF!=0,"",SUMIF(#REF!,$P22,#REF!)/#REF!)</f>
        <v>#REF!</v>
      </c>
      <c r="S22" s="7"/>
      <c r="T22" s="7"/>
      <c r="U22" s="7" t="e">
        <f t="shared" si="2"/>
        <v>#REF!</v>
      </c>
      <c r="V22" s="56" t="str">
        <f t="shared" si="3"/>
        <v/>
      </c>
      <c r="W22" s="57"/>
      <c r="X22" s="57"/>
    </row>
    <row r="23" spans="1:24" ht="12.5" x14ac:dyDescent="0.25">
      <c r="A23" s="34"/>
      <c r="B23" s="7"/>
      <c r="C23" s="19"/>
      <c r="D23" s="7"/>
      <c r="E23" s="7"/>
      <c r="F23" s="7"/>
      <c r="G23" s="50" t="s">
        <v>942</v>
      </c>
      <c r="H23" s="6" t="e">
        <f>IF(
(IF($H22&lt;1,"",_xludf.MaxIFS(#REF!,#REF!,#REF!,#REF!,"&lt;"&amp;$H22)))&lt;1,"",
(IF($H22&lt;1,"",_xludf.MaxIFS(#REF!,#REF!,#REF!,#REF!,"&lt;"&amp;$H22))))</f>
        <v>#REF!</v>
      </c>
      <c r="I23" s="51" t="str">
        <f ca="1">IFERROR(__xludf.DUMMYFUNCTION("IF($H23="""","""", iferror(average(filter('Training Responses'!$AR$2:$AR1029,'Training Responses'!$L$2:$L1029=$H23,'Training Responses'!$E$2:$E1029&lt;&gt;""Out"")),0))"),"")</f>
        <v/>
      </c>
      <c r="J23" s="51"/>
      <c r="K23" s="51"/>
      <c r="L23" s="51" t="e">
        <f t="shared" si="0"/>
        <v>#REF!</v>
      </c>
      <c r="M23" s="52" t="str">
        <f ca="1">IFERROR(__xludf.DUMMYFUNCTION("IF($H23="""","""",iferror(average(filter('Training Responses'!$DZ$2:$DZ1029,'Training Responses'!$L$2:$L1029=H23)),0))"),"")</f>
        <v/>
      </c>
      <c r="N23" s="53" t="str">
        <f ca="1">IFERROR(__xludf.DUMMYFUNCTION("iferror(IF($H23="""","""", average(filter('Wellness Responses'!$AS$2:$AS1029,'Wellness Responses'!$O$2:$O1029=H23))),"""")"),"")</f>
        <v/>
      </c>
      <c r="O23" s="7"/>
      <c r="P23" s="54">
        <v>22</v>
      </c>
      <c r="Q23" s="19" t="e">
        <f t="shared" si="1"/>
        <v>#REF!</v>
      </c>
      <c r="R23" s="7" t="e">
        <f>IF(SUMIF(#REF!,$P23,#REF!)/#REF!=0,"",SUMIF(#REF!,$P23,#REF!)/#REF!)</f>
        <v>#REF!</v>
      </c>
      <c r="S23" s="7"/>
      <c r="T23" s="7"/>
      <c r="U23" s="7" t="e">
        <f t="shared" si="2"/>
        <v>#REF!</v>
      </c>
      <c r="V23" s="56" t="str">
        <f t="shared" si="3"/>
        <v/>
      </c>
      <c r="W23" s="57"/>
      <c r="X23" s="57"/>
    </row>
    <row r="24" spans="1:24" ht="12.5" x14ac:dyDescent="0.25">
      <c r="A24" s="34"/>
      <c r="B24" s="7"/>
      <c r="C24" s="19"/>
      <c r="D24" s="7"/>
      <c r="E24" s="7"/>
      <c r="F24" s="7"/>
      <c r="G24" s="50" t="s">
        <v>942</v>
      </c>
      <c r="H24" s="6" t="e">
        <f>IF(
(IF($H23&lt;1,"",_xludf.MaxIFS(#REF!,#REF!,#REF!,#REF!,"&lt;"&amp;$H23)))&lt;1,"",
(IF($H23&lt;1,"",_xludf.MaxIFS(#REF!,#REF!,#REF!,#REF!,"&lt;"&amp;$H23))))</f>
        <v>#REF!</v>
      </c>
      <c r="I24" s="51" t="str">
        <f ca="1">IFERROR(__xludf.DUMMYFUNCTION("IF($H24="""","""", iferror(average(filter('Training Responses'!$AR$2:$AR1029,'Training Responses'!$L$2:$L1029=$H24,'Training Responses'!$E$2:$E1029&lt;&gt;""Out"")),0))"),"")</f>
        <v/>
      </c>
      <c r="J24" s="51"/>
      <c r="K24" s="51"/>
      <c r="L24" s="51" t="e">
        <f t="shared" si="0"/>
        <v>#REF!</v>
      </c>
      <c r="M24" s="52" t="str">
        <f ca="1">IFERROR(__xludf.DUMMYFUNCTION("IF($H24="""","""",iferror(average(filter('Training Responses'!$DZ$2:$DZ1029,'Training Responses'!$L$2:$L1029=H24)),0))"),"")</f>
        <v/>
      </c>
      <c r="N24" s="53" t="str">
        <f ca="1">IFERROR(__xludf.DUMMYFUNCTION("iferror(IF($H24="""","""", average(filter('Wellness Responses'!$AS$2:$AS1029,'Wellness Responses'!$O$2:$O1029=H24))),"""")"),"")</f>
        <v/>
      </c>
      <c r="O24" s="7"/>
      <c r="P24" s="54">
        <v>23</v>
      </c>
      <c r="Q24" s="19" t="e">
        <f t="shared" si="1"/>
        <v>#REF!</v>
      </c>
      <c r="R24" s="7" t="e">
        <f>IF(SUMIF(#REF!,$P24,#REF!)/#REF!=0,"",SUMIF(#REF!,$P24,#REF!)/#REF!)</f>
        <v>#REF!</v>
      </c>
      <c r="S24" s="7"/>
      <c r="T24" s="7"/>
      <c r="U24" s="7" t="e">
        <f t="shared" si="2"/>
        <v>#REF!</v>
      </c>
      <c r="V24" s="56" t="str">
        <f t="shared" si="3"/>
        <v/>
      </c>
      <c r="W24" s="57"/>
      <c r="X24" s="57"/>
    </row>
    <row r="25" spans="1:24" ht="12.5" x14ac:dyDescent="0.25">
      <c r="A25" s="34"/>
      <c r="B25" s="7"/>
      <c r="C25" s="19"/>
      <c r="D25" s="7"/>
      <c r="E25" s="7"/>
      <c r="F25" s="7"/>
      <c r="G25" s="50" t="s">
        <v>942</v>
      </c>
      <c r="H25" s="6" t="e">
        <f>IF(
(IF($H24&lt;1,"",_xludf.MaxIFS(#REF!,#REF!,#REF!,#REF!,"&lt;"&amp;$H24)))&lt;1,"",
(IF($H24&lt;1,"",_xludf.MaxIFS(#REF!,#REF!,#REF!,#REF!,"&lt;"&amp;$H24))))</f>
        <v>#REF!</v>
      </c>
      <c r="I25" s="51" t="str">
        <f ca="1">IFERROR(__xludf.DUMMYFUNCTION("IF($H25="""","""", iferror(average(filter('Training Responses'!$AR$2:$AR1029,'Training Responses'!$L$2:$L1029=$H25,'Training Responses'!$E$2:$E1029&lt;&gt;""Out"")),0))"),"")</f>
        <v/>
      </c>
      <c r="J25" s="51"/>
      <c r="K25" s="51"/>
      <c r="L25" s="51" t="e">
        <f t="shared" si="0"/>
        <v>#REF!</v>
      </c>
      <c r="M25" s="52" t="str">
        <f ca="1">IFERROR(__xludf.DUMMYFUNCTION("IF($H25="""","""",iferror(average(filter('Training Responses'!$DZ$2:$DZ1029,'Training Responses'!$L$2:$L1029=H25)),0))"),"")</f>
        <v/>
      </c>
      <c r="N25" s="53" t="str">
        <f ca="1">IFERROR(__xludf.DUMMYFUNCTION("iferror(IF($H25="""","""", average(filter('Wellness Responses'!$AS$2:$AS1029,'Wellness Responses'!$O$2:$O1029=H25))),"""")"),"")</f>
        <v/>
      </c>
      <c r="O25" s="7"/>
      <c r="P25" s="54">
        <v>24</v>
      </c>
      <c r="Q25" s="19" t="e">
        <f t="shared" si="1"/>
        <v>#REF!</v>
      </c>
      <c r="R25" s="7" t="e">
        <f>IF(SUMIF(#REF!,$P25,#REF!)/#REF!=0,"",SUMIF(#REF!,$P25,#REF!)/#REF!)</f>
        <v>#REF!</v>
      </c>
      <c r="S25" s="7"/>
      <c r="T25" s="7"/>
      <c r="U25" s="7" t="e">
        <f t="shared" si="2"/>
        <v>#REF!</v>
      </c>
      <c r="V25" s="56" t="str">
        <f t="shared" si="3"/>
        <v/>
      </c>
      <c r="W25" s="57"/>
      <c r="X25" s="57"/>
    </row>
    <row r="26" spans="1:24" ht="12.5" x14ac:dyDescent="0.25">
      <c r="A26" s="34"/>
      <c r="B26" s="7"/>
      <c r="C26" s="19"/>
      <c r="D26" s="7"/>
      <c r="E26" s="7"/>
      <c r="F26" s="7"/>
      <c r="G26" s="50" t="s">
        <v>942</v>
      </c>
      <c r="H26" s="6" t="e">
        <f>IF(
(IF($H25&lt;1,"",_xludf.MaxIFS(#REF!,#REF!,#REF!,#REF!,"&lt;"&amp;$H25)))&lt;1,"",
(IF($H25&lt;1,"",_xludf.MaxIFS(#REF!,#REF!,#REF!,#REF!,"&lt;"&amp;$H25))))</f>
        <v>#REF!</v>
      </c>
      <c r="I26" s="51" t="str">
        <f ca="1">IFERROR(__xludf.DUMMYFUNCTION("IF($H26="""","""", iferror(average(filter('Training Responses'!$AR$2:$AR1029,'Training Responses'!$L$2:$L1029=$H26,'Training Responses'!$E$2:$E1029&lt;&gt;""Out"")),0))"),"")</f>
        <v/>
      </c>
      <c r="J26" s="51"/>
      <c r="K26" s="51"/>
      <c r="L26" s="51" t="e">
        <f t="shared" si="0"/>
        <v>#REF!</v>
      </c>
      <c r="M26" s="52" t="str">
        <f ca="1">IFERROR(__xludf.DUMMYFUNCTION("IF($H26="""","""",iferror(average(filter('Training Responses'!$DZ$2:$DZ1029,'Training Responses'!$L$2:$L1029=H26)),0))"),"")</f>
        <v/>
      </c>
      <c r="N26" s="53" t="str">
        <f ca="1">IFERROR(__xludf.DUMMYFUNCTION("iferror(IF($H26="""","""", average(filter('Wellness Responses'!$AS$2:$AS1029,'Wellness Responses'!$O$2:$O1029=H26))),"""")"),"")</f>
        <v/>
      </c>
      <c r="O26" s="7"/>
      <c r="P26" s="54">
        <v>25</v>
      </c>
      <c r="Q26" s="19" t="e">
        <f t="shared" si="1"/>
        <v>#REF!</v>
      </c>
      <c r="R26" s="7" t="e">
        <f>IF(SUMIF(#REF!,$P26,#REF!)/#REF!=0,"",SUMIF(#REF!,$P26,#REF!)/#REF!)</f>
        <v>#REF!</v>
      </c>
      <c r="S26" s="7"/>
      <c r="T26" s="7"/>
      <c r="U26" s="7" t="e">
        <f t="shared" si="2"/>
        <v>#REF!</v>
      </c>
      <c r="V26" s="56" t="str">
        <f t="shared" si="3"/>
        <v/>
      </c>
      <c r="W26" s="57"/>
      <c r="X26" s="57"/>
    </row>
    <row r="27" spans="1:24" ht="12.5" x14ac:dyDescent="0.25">
      <c r="A27" s="34"/>
      <c r="B27" s="7"/>
      <c r="C27" s="19"/>
      <c r="D27" s="7"/>
      <c r="E27" s="7"/>
      <c r="F27" s="7"/>
      <c r="G27" s="50" t="s">
        <v>942</v>
      </c>
      <c r="H27" s="6" t="e">
        <f>IF(
(IF($H26&lt;1,"",_xludf.MaxIFS(#REF!,#REF!,#REF!,#REF!,"&lt;"&amp;$H26)))&lt;1,"",
(IF($H26&lt;1,"",_xludf.MaxIFS(#REF!,#REF!,#REF!,#REF!,"&lt;"&amp;$H26))))</f>
        <v>#REF!</v>
      </c>
      <c r="I27" s="51" t="str">
        <f ca="1">IFERROR(__xludf.DUMMYFUNCTION("IF($H27="""","""", iferror(average(filter('Training Responses'!$AR$2:$AR1029,'Training Responses'!$L$2:$L1029=$H27,'Training Responses'!$E$2:$E1029&lt;&gt;""Out"")),0))"),"")</f>
        <v/>
      </c>
      <c r="J27" s="51"/>
      <c r="K27" s="51"/>
      <c r="L27" s="51" t="e">
        <f t="shared" si="0"/>
        <v>#REF!</v>
      </c>
      <c r="M27" s="52" t="str">
        <f ca="1">IFERROR(__xludf.DUMMYFUNCTION("IF($H27="""","""",iferror(average(filter('Training Responses'!$DZ$2:$DZ1029,'Training Responses'!$L$2:$L1029=H27)),0))"),"")</f>
        <v/>
      </c>
      <c r="N27" s="53" t="str">
        <f ca="1">IFERROR(__xludf.DUMMYFUNCTION("iferror(IF($H27="""","""", average(filter('Wellness Responses'!$AS$2:$AS1029,'Wellness Responses'!$O$2:$O1029=H27))),"""")"),"")</f>
        <v/>
      </c>
      <c r="O27" s="7"/>
      <c r="P27" s="54">
        <v>26</v>
      </c>
      <c r="Q27" s="19" t="e">
        <f t="shared" si="1"/>
        <v>#REF!</v>
      </c>
      <c r="R27" s="7" t="e">
        <f>IF(SUMIF(#REF!,$P27,#REF!)/#REF!=0,"",SUMIF(#REF!,$P27,#REF!)/#REF!)</f>
        <v>#REF!</v>
      </c>
      <c r="S27" s="7"/>
      <c r="T27" s="7"/>
      <c r="U27" s="7" t="e">
        <f t="shared" si="2"/>
        <v>#REF!</v>
      </c>
      <c r="V27" s="56" t="str">
        <f t="shared" si="3"/>
        <v/>
      </c>
      <c r="W27" s="57"/>
      <c r="X27" s="57"/>
    </row>
    <row r="28" spans="1:24" ht="12.5" x14ac:dyDescent="0.25">
      <c r="A28" s="34"/>
      <c r="B28" s="7"/>
      <c r="C28" s="19"/>
      <c r="D28" s="7"/>
      <c r="E28" s="7"/>
      <c r="F28" s="7"/>
      <c r="G28" s="50" t="s">
        <v>942</v>
      </c>
      <c r="H28" s="6" t="e">
        <f>IF(
(IF($H27&lt;1,"",_xludf.MaxIFS(#REF!,#REF!,#REF!,#REF!,"&lt;"&amp;$H27)))&lt;1,"",
(IF($H27&lt;1,"",_xludf.MaxIFS(#REF!,#REF!,#REF!,#REF!,"&lt;"&amp;$H27))))</f>
        <v>#REF!</v>
      </c>
      <c r="I28" s="51" t="str">
        <f ca="1">IFERROR(__xludf.DUMMYFUNCTION("IF($H28="""","""", iferror(average(filter('Training Responses'!$AR$2:$AR1029,'Training Responses'!$L$2:$L1029=$H28,'Training Responses'!$E$2:$E1029&lt;&gt;""Out"")),0))"),"")</f>
        <v/>
      </c>
      <c r="J28" s="51"/>
      <c r="K28" s="51"/>
      <c r="L28" s="51" t="e">
        <f t="shared" si="0"/>
        <v>#REF!</v>
      </c>
      <c r="M28" s="52" t="str">
        <f ca="1">IFERROR(__xludf.DUMMYFUNCTION("IF($H28="""","""",iferror(average(filter('Training Responses'!$DZ$2:$DZ1029,'Training Responses'!$L$2:$L1029=H28)),0))"),"")</f>
        <v/>
      </c>
      <c r="N28" s="53" t="str">
        <f ca="1">IFERROR(__xludf.DUMMYFUNCTION("iferror(IF($H28="""","""", average(filter('Wellness Responses'!$AS$2:$AS1029,'Wellness Responses'!$O$2:$O1029=H28))),"""")"),"")</f>
        <v/>
      </c>
      <c r="O28" s="7"/>
      <c r="P28" s="54">
        <v>27</v>
      </c>
      <c r="Q28" s="19" t="e">
        <f t="shared" si="1"/>
        <v>#REF!</v>
      </c>
      <c r="R28" s="7" t="e">
        <f>IF(SUMIF(#REF!,$P28,#REF!)/#REF!=0,"",SUMIF(#REF!,$P28,#REF!)/#REF!)</f>
        <v>#REF!</v>
      </c>
      <c r="S28" s="7"/>
      <c r="T28" s="7"/>
      <c r="U28" s="7" t="e">
        <f t="shared" si="2"/>
        <v>#REF!</v>
      </c>
      <c r="V28" s="56" t="str">
        <f t="shared" si="3"/>
        <v/>
      </c>
      <c r="W28" s="57"/>
      <c r="X28" s="57"/>
    </row>
    <row r="29" spans="1:24" ht="12.5" x14ac:dyDescent="0.25">
      <c r="A29" s="34"/>
      <c r="B29" s="7"/>
      <c r="C29" s="19"/>
      <c r="D29" s="7"/>
      <c r="E29" s="7"/>
      <c r="F29" s="7"/>
      <c r="G29" s="58" t="s">
        <v>942</v>
      </c>
      <c r="H29" s="59" t="e">
        <f>IF(
(IF($H28&lt;1,"",_xludf.MaxIFS(#REF!,#REF!,#REF!,#REF!,"&lt;"&amp;$H28)))&lt;1,"",
(IF($H28&lt;1,"",_xludf.MaxIFS(#REF!,#REF!,#REF!,#REF!,"&lt;"&amp;$H28))))</f>
        <v>#REF!</v>
      </c>
      <c r="I29" s="60" t="str">
        <f ca="1">IFERROR(__xludf.DUMMYFUNCTION("IF($H29="""","""", iferror(average(filter('Training Responses'!$AR$2:$AR1029,'Training Responses'!$L$2:$L1029=$H29,'Training Responses'!$E$2:$E1029&lt;&gt;""Out"")),0))"),"")</f>
        <v/>
      </c>
      <c r="J29" s="60"/>
      <c r="K29" s="60"/>
      <c r="L29" s="60" t="e">
        <f t="shared" si="0"/>
        <v>#REF!</v>
      </c>
      <c r="M29" s="61" t="str">
        <f ca="1">IFERROR(__xludf.DUMMYFUNCTION("IF($H29="""","""",iferror(average(filter('Training Responses'!$DZ$2:$DZ1029,'Training Responses'!$L$2:$L1029=H29)),0))"),"")</f>
        <v/>
      </c>
      <c r="N29" s="62" t="str">
        <f ca="1">IFERROR(__xludf.DUMMYFUNCTION("iferror(IF($H29="""","""", average(filter('Wellness Responses'!$AS$2:$AS1029,'Wellness Responses'!$O$2:$O1029=H29))),"""")"),"")</f>
        <v/>
      </c>
      <c r="O29" s="7"/>
      <c r="P29" s="63">
        <v>28</v>
      </c>
      <c r="Q29" s="64" t="e">
        <f>IF(U29="","",28)</f>
        <v>#REF!</v>
      </c>
      <c r="R29" s="65" t="e">
        <f>IF(SUMIF(#REF!,$P29,#REF!)/#REF!=0,"",SUMIF(#REF!,$P29,#REF!)/#REF!)</f>
        <v>#REF!</v>
      </c>
      <c r="S29" s="65"/>
      <c r="T29" s="65"/>
      <c r="U29" s="65" t="e">
        <f t="shared" si="2"/>
        <v>#REF!</v>
      </c>
      <c r="V29" s="66" t="str">
        <f t="shared" si="3"/>
        <v/>
      </c>
      <c r="W29" s="57"/>
      <c r="X29" s="57"/>
    </row>
    <row r="30" spans="1:24" ht="12.5" x14ac:dyDescent="0.25">
      <c r="A30" s="34"/>
      <c r="B30" s="7"/>
      <c r="C30" s="19"/>
      <c r="D30" s="7"/>
      <c r="E30" s="7"/>
      <c r="F30" s="7"/>
      <c r="G30" s="7"/>
      <c r="H30" s="6"/>
      <c r="I30" s="7"/>
      <c r="J30" s="7"/>
      <c r="K30" s="7"/>
      <c r="L30" s="7"/>
      <c r="M30" s="52"/>
      <c r="N30" s="7"/>
      <c r="O30" s="7"/>
      <c r="P30" s="47"/>
      <c r="Q30" s="47"/>
      <c r="R30" s="7"/>
      <c r="S30" s="51"/>
      <c r="T30" s="51"/>
      <c r="U30" s="7"/>
      <c r="V30" s="57"/>
      <c r="W30" s="57"/>
      <c r="X30" s="57"/>
    </row>
    <row r="31" spans="1:24" ht="12.5" x14ac:dyDescent="0.25">
      <c r="A31" s="34"/>
      <c r="B31" s="7"/>
      <c r="C31" s="19"/>
      <c r="D31" s="7"/>
      <c r="E31" s="7"/>
      <c r="F31" s="7"/>
      <c r="G31" s="7"/>
      <c r="H31" s="6"/>
      <c r="I31" s="7"/>
      <c r="J31" s="7"/>
      <c r="K31" s="7"/>
      <c r="L31" s="7"/>
      <c r="M31" s="52"/>
      <c r="N31" s="7"/>
      <c r="O31" s="7"/>
      <c r="P31" s="47"/>
      <c r="Q31" s="47"/>
      <c r="R31" s="7"/>
      <c r="S31" s="51"/>
      <c r="T31" s="51"/>
      <c r="U31" s="7"/>
      <c r="V31" s="57"/>
      <c r="W31" s="57"/>
      <c r="X31" s="57"/>
    </row>
    <row r="32" spans="1:24" ht="12.5" x14ac:dyDescent="0.25">
      <c r="A32" s="34"/>
      <c r="B32" s="7"/>
      <c r="C32" s="19"/>
      <c r="D32" s="7"/>
      <c r="E32" s="7"/>
      <c r="F32" s="7"/>
      <c r="G32" s="7"/>
      <c r="H32" s="6"/>
      <c r="I32" s="7"/>
      <c r="J32" s="7"/>
      <c r="K32" s="7"/>
      <c r="L32" s="7"/>
      <c r="M32" s="52"/>
      <c r="N32" s="7"/>
      <c r="O32" s="7"/>
      <c r="P32" s="47"/>
      <c r="Q32" s="47"/>
      <c r="R32" s="7"/>
      <c r="S32" s="51"/>
      <c r="T32" s="51"/>
      <c r="U32" s="7"/>
      <c r="V32" s="57"/>
      <c r="W32" s="57"/>
      <c r="X32" s="57"/>
    </row>
    <row r="33" spans="1:24" ht="12.5" x14ac:dyDescent="0.25">
      <c r="A33" s="34"/>
      <c r="B33" s="7"/>
      <c r="C33" s="19"/>
      <c r="D33" s="7"/>
      <c r="E33" s="7"/>
      <c r="F33" s="7"/>
      <c r="G33" s="7"/>
      <c r="H33" s="6"/>
      <c r="I33" s="7"/>
      <c r="J33" s="7"/>
      <c r="K33" s="7"/>
      <c r="L33" s="7"/>
      <c r="M33" s="52"/>
      <c r="N33" s="7"/>
      <c r="O33" s="7"/>
      <c r="P33" s="47"/>
      <c r="Q33" s="47"/>
      <c r="R33" s="7"/>
      <c r="S33" s="51"/>
      <c r="T33" s="51"/>
      <c r="U33" s="7"/>
      <c r="V33" s="57"/>
      <c r="W33" s="57"/>
      <c r="X33" s="57"/>
    </row>
    <row r="34" spans="1:24" ht="12.5" x14ac:dyDescent="0.25">
      <c r="A34" s="34"/>
      <c r="B34" s="7"/>
      <c r="C34" s="19"/>
      <c r="D34" s="7"/>
      <c r="E34" s="7"/>
      <c r="F34" s="7"/>
      <c r="G34" s="7"/>
      <c r="H34" s="6"/>
      <c r="I34" s="7"/>
      <c r="J34" s="7"/>
      <c r="K34" s="7"/>
      <c r="L34" s="7"/>
      <c r="M34" s="52"/>
      <c r="N34" s="7"/>
      <c r="O34" s="7"/>
      <c r="P34" s="47"/>
      <c r="Q34" s="47"/>
      <c r="R34" s="7"/>
      <c r="S34" s="51"/>
      <c r="T34" s="51"/>
      <c r="U34" s="7"/>
      <c r="V34" s="57"/>
      <c r="W34" s="57"/>
      <c r="X34" s="57"/>
    </row>
    <row r="35" spans="1:24" ht="12.5" x14ac:dyDescent="0.25">
      <c r="A35" s="34"/>
      <c r="B35" s="7"/>
      <c r="C35" s="19"/>
      <c r="D35" s="7"/>
      <c r="E35" s="7"/>
      <c r="F35" s="7"/>
      <c r="G35" s="7"/>
      <c r="H35" s="6"/>
      <c r="I35" s="7"/>
      <c r="J35" s="7"/>
      <c r="K35" s="7"/>
      <c r="L35" s="7"/>
      <c r="M35" s="52"/>
      <c r="N35" s="7"/>
      <c r="O35" s="7"/>
      <c r="P35" s="47"/>
      <c r="Q35" s="47"/>
      <c r="R35" s="7"/>
      <c r="S35" s="51"/>
      <c r="T35" s="51"/>
      <c r="U35" s="7"/>
      <c r="V35" s="57"/>
      <c r="W35" s="57"/>
      <c r="X35" s="57"/>
    </row>
    <row r="36" spans="1:24" ht="12.5" x14ac:dyDescent="0.25">
      <c r="A36" s="34"/>
      <c r="B36" s="7"/>
      <c r="C36" s="19"/>
      <c r="D36" s="7"/>
      <c r="E36" s="7"/>
      <c r="F36" s="7"/>
      <c r="G36" s="7"/>
      <c r="H36" s="6"/>
      <c r="I36" s="7"/>
      <c r="J36" s="7"/>
      <c r="K36" s="7"/>
      <c r="L36" s="7"/>
      <c r="M36" s="52"/>
      <c r="N36" s="7"/>
      <c r="O36" s="7"/>
      <c r="P36" s="47"/>
      <c r="Q36" s="47"/>
      <c r="R36" s="7"/>
      <c r="S36" s="51"/>
      <c r="T36" s="51"/>
      <c r="U36" s="7"/>
      <c r="V36" s="57"/>
      <c r="W36" s="57"/>
      <c r="X36" s="57"/>
    </row>
    <row r="37" spans="1:24" ht="12.5" x14ac:dyDescent="0.25">
      <c r="A37" s="34"/>
      <c r="B37" s="7"/>
      <c r="C37" s="19"/>
      <c r="D37" s="7"/>
      <c r="E37" s="7"/>
      <c r="F37" s="7"/>
      <c r="G37" s="7"/>
      <c r="H37" s="6"/>
      <c r="I37" s="7"/>
      <c r="J37" s="7"/>
      <c r="K37" s="7"/>
      <c r="L37" s="7"/>
      <c r="M37" s="52"/>
      <c r="N37" s="7"/>
      <c r="O37" s="7"/>
      <c r="P37" s="47"/>
      <c r="Q37" s="47"/>
      <c r="R37" s="7"/>
      <c r="S37" s="51"/>
      <c r="T37" s="51"/>
      <c r="U37" s="7"/>
      <c r="V37" s="57"/>
      <c r="W37" s="57"/>
      <c r="X37" s="57"/>
    </row>
    <row r="38" spans="1:24" ht="12.5" x14ac:dyDescent="0.25">
      <c r="A38" s="34"/>
      <c r="B38" s="7"/>
      <c r="C38" s="19"/>
      <c r="D38" s="7"/>
      <c r="E38" s="7"/>
      <c r="F38" s="7"/>
      <c r="G38" s="7"/>
      <c r="H38" s="6"/>
      <c r="I38" s="7"/>
      <c r="J38" s="7"/>
      <c r="K38" s="7"/>
      <c r="L38" s="7"/>
      <c r="M38" s="52"/>
      <c r="N38" s="7"/>
      <c r="O38" s="7"/>
      <c r="P38" s="47"/>
      <c r="Q38" s="47"/>
      <c r="R38" s="7"/>
      <c r="S38" s="51"/>
      <c r="T38" s="51"/>
      <c r="U38" s="7"/>
      <c r="V38" s="57"/>
      <c r="W38" s="57"/>
      <c r="X38" s="57"/>
    </row>
    <row r="39" spans="1:24" ht="12.5" x14ac:dyDescent="0.25">
      <c r="A39" s="34"/>
      <c r="B39" s="7"/>
      <c r="C39" s="19"/>
      <c r="D39" s="7"/>
      <c r="E39" s="7"/>
      <c r="F39" s="7"/>
      <c r="G39" s="7"/>
      <c r="H39" s="6"/>
      <c r="I39" s="7"/>
      <c r="J39" s="7"/>
      <c r="K39" s="7"/>
      <c r="L39" s="7"/>
      <c r="M39" s="52"/>
      <c r="N39" s="7"/>
      <c r="O39" s="7"/>
      <c r="P39" s="47"/>
      <c r="Q39" s="47"/>
      <c r="R39" s="7"/>
      <c r="S39" s="51"/>
      <c r="T39" s="51"/>
      <c r="U39" s="7"/>
      <c r="V39" s="57"/>
      <c r="W39" s="57"/>
      <c r="X39" s="57"/>
    </row>
    <row r="40" spans="1:24" ht="12.5" x14ac:dyDescent="0.25">
      <c r="A40" s="34"/>
      <c r="B40" s="7"/>
      <c r="C40" s="19"/>
      <c r="D40" s="7"/>
      <c r="E40" s="7"/>
      <c r="F40" s="7"/>
      <c r="G40" s="7"/>
      <c r="H40" s="6"/>
      <c r="I40" s="7"/>
      <c r="J40" s="7"/>
      <c r="K40" s="7"/>
      <c r="L40" s="7"/>
      <c r="M40" s="52"/>
      <c r="N40" s="7"/>
      <c r="O40" s="7"/>
      <c r="P40" s="47"/>
      <c r="Q40" s="47"/>
      <c r="R40" s="7"/>
      <c r="S40" s="51"/>
      <c r="T40" s="51"/>
      <c r="U40" s="7"/>
      <c r="V40" s="57"/>
      <c r="W40" s="57"/>
      <c r="X40" s="57"/>
    </row>
    <row r="41" spans="1:24" ht="12.5" x14ac:dyDescent="0.25">
      <c r="A41" s="34"/>
      <c r="B41" s="7"/>
      <c r="C41" s="19"/>
      <c r="D41" s="7"/>
      <c r="E41" s="7"/>
      <c r="F41" s="7"/>
      <c r="G41" s="7"/>
      <c r="H41" s="6"/>
      <c r="I41" s="7"/>
      <c r="J41" s="7"/>
      <c r="K41" s="7"/>
      <c r="L41" s="7"/>
      <c r="M41" s="52"/>
      <c r="N41" s="7"/>
      <c r="O41" s="7"/>
      <c r="P41" s="47"/>
      <c r="Q41" s="47"/>
      <c r="R41" s="7"/>
      <c r="S41" s="51"/>
      <c r="T41" s="51"/>
      <c r="U41" s="7"/>
      <c r="V41" s="57"/>
      <c r="W41" s="57"/>
      <c r="X41" s="57"/>
    </row>
    <row r="42" spans="1:24" ht="12.5" x14ac:dyDescent="0.25">
      <c r="A42" s="34"/>
      <c r="B42" s="7"/>
      <c r="C42" s="19"/>
      <c r="D42" s="7"/>
      <c r="E42" s="7"/>
      <c r="F42" s="7"/>
      <c r="G42" s="7"/>
      <c r="H42" s="6"/>
      <c r="I42" s="7"/>
      <c r="J42" s="7"/>
      <c r="K42" s="7"/>
      <c r="L42" s="7"/>
      <c r="M42" s="52"/>
      <c r="N42" s="7"/>
      <c r="O42" s="7"/>
      <c r="P42" s="47"/>
      <c r="Q42" s="47"/>
      <c r="R42" s="7"/>
      <c r="S42" s="51"/>
      <c r="T42" s="51"/>
      <c r="U42" s="7"/>
      <c r="V42" s="57"/>
      <c r="W42" s="57"/>
      <c r="X42" s="57"/>
    </row>
    <row r="43" spans="1:24" ht="12.5" x14ac:dyDescent="0.25">
      <c r="A43" s="34"/>
      <c r="B43" s="7"/>
      <c r="C43" s="19"/>
      <c r="D43" s="7"/>
      <c r="E43" s="7"/>
      <c r="F43" s="7"/>
      <c r="G43" s="7"/>
      <c r="H43" s="6"/>
      <c r="I43" s="7"/>
      <c r="J43" s="7"/>
      <c r="K43" s="7"/>
      <c r="L43" s="7"/>
      <c r="M43" s="52"/>
      <c r="N43" s="7"/>
      <c r="O43" s="7"/>
      <c r="P43" s="47"/>
      <c r="Q43" s="47"/>
      <c r="R43" s="7"/>
      <c r="S43" s="51"/>
      <c r="T43" s="51"/>
      <c r="U43" s="7"/>
      <c r="V43" s="57"/>
      <c r="W43" s="57"/>
      <c r="X43" s="57"/>
    </row>
    <row r="44" spans="1:24" ht="12.5" x14ac:dyDescent="0.25">
      <c r="A44" s="34"/>
      <c r="B44" s="7"/>
      <c r="C44" s="19"/>
      <c r="D44" s="7"/>
      <c r="E44" s="7"/>
      <c r="F44" s="7"/>
      <c r="G44" s="7"/>
      <c r="H44" s="6"/>
      <c r="I44" s="7"/>
      <c r="J44" s="7"/>
      <c r="K44" s="7"/>
      <c r="L44" s="7"/>
      <c r="M44" s="52"/>
      <c r="N44" s="7"/>
      <c r="O44" s="7"/>
      <c r="P44" s="47"/>
      <c r="Q44" s="47"/>
      <c r="R44" s="7"/>
      <c r="S44" s="51"/>
      <c r="T44" s="51"/>
      <c r="U44" s="7"/>
      <c r="V44" s="57"/>
      <c r="W44" s="57"/>
      <c r="X44" s="57"/>
    </row>
    <row r="45" spans="1:24" ht="12.5" x14ac:dyDescent="0.25">
      <c r="A45" s="34"/>
      <c r="B45" s="7"/>
      <c r="C45" s="19"/>
      <c r="D45" s="7"/>
      <c r="E45" s="7"/>
      <c r="F45" s="7"/>
      <c r="G45" s="7"/>
      <c r="H45" s="6"/>
      <c r="I45" s="7"/>
      <c r="J45" s="7"/>
      <c r="K45" s="7"/>
      <c r="L45" s="7"/>
      <c r="M45" s="52"/>
      <c r="N45" s="7"/>
      <c r="O45" s="7"/>
      <c r="P45" s="47"/>
      <c r="Q45" s="47"/>
      <c r="R45" s="7"/>
      <c r="S45" s="51"/>
      <c r="T45" s="51"/>
      <c r="U45" s="7"/>
      <c r="V45" s="57"/>
      <c r="W45" s="57"/>
      <c r="X45" s="57"/>
    </row>
    <row r="46" spans="1:24" ht="12.5" x14ac:dyDescent="0.25">
      <c r="A46" s="34"/>
      <c r="B46" s="7"/>
      <c r="C46" s="19"/>
      <c r="D46" s="7"/>
      <c r="E46" s="7"/>
      <c r="F46" s="7"/>
      <c r="G46" s="7"/>
      <c r="H46" s="6"/>
      <c r="I46" s="7"/>
      <c r="J46" s="7"/>
      <c r="K46" s="7"/>
      <c r="L46" s="7"/>
      <c r="M46" s="52"/>
      <c r="N46" s="7"/>
      <c r="O46" s="7"/>
      <c r="P46" s="47"/>
      <c r="Q46" s="47"/>
      <c r="R46" s="7"/>
      <c r="S46" s="51"/>
      <c r="T46" s="51"/>
      <c r="U46" s="7"/>
      <c r="V46" s="57"/>
      <c r="W46" s="57"/>
      <c r="X46" s="57"/>
    </row>
    <row r="47" spans="1:24" ht="12.5" x14ac:dyDescent="0.25">
      <c r="A47" s="34"/>
      <c r="B47" s="7"/>
      <c r="C47" s="19"/>
      <c r="D47" s="7"/>
      <c r="E47" s="7"/>
      <c r="F47" s="7"/>
      <c r="G47" s="7"/>
      <c r="H47" s="6"/>
      <c r="I47" s="7"/>
      <c r="J47" s="7"/>
      <c r="K47" s="7"/>
      <c r="L47" s="7"/>
      <c r="M47" s="52"/>
      <c r="N47" s="7"/>
      <c r="O47" s="7"/>
      <c r="P47" s="47"/>
      <c r="Q47" s="47"/>
      <c r="R47" s="7"/>
      <c r="S47" s="51"/>
      <c r="T47" s="51"/>
      <c r="U47" s="7"/>
      <c r="V47" s="57"/>
      <c r="W47" s="57"/>
      <c r="X47" s="57"/>
    </row>
    <row r="48" spans="1:24" ht="12.5" x14ac:dyDescent="0.25">
      <c r="A48" s="34"/>
      <c r="B48" s="7"/>
      <c r="C48" s="19"/>
      <c r="D48" s="7"/>
      <c r="E48" s="7"/>
      <c r="F48" s="7"/>
      <c r="G48" s="7"/>
      <c r="H48" s="6"/>
      <c r="I48" s="7"/>
      <c r="J48" s="7"/>
      <c r="K48" s="7"/>
      <c r="L48" s="7"/>
      <c r="M48" s="52"/>
      <c r="N48" s="7"/>
      <c r="O48" s="7"/>
      <c r="P48" s="47"/>
      <c r="Q48" s="47"/>
      <c r="R48" s="7"/>
      <c r="S48" s="51"/>
      <c r="T48" s="51"/>
      <c r="U48" s="7"/>
      <c r="V48" s="57"/>
      <c r="W48" s="57"/>
      <c r="X48" s="57"/>
    </row>
    <row r="49" spans="1:24" ht="12.5" x14ac:dyDescent="0.25">
      <c r="A49" s="34"/>
      <c r="B49" s="7"/>
      <c r="C49" s="19"/>
      <c r="D49" s="7"/>
      <c r="E49" s="7"/>
      <c r="F49" s="7"/>
      <c r="G49" s="7"/>
      <c r="H49" s="6"/>
      <c r="I49" s="7"/>
      <c r="J49" s="7"/>
      <c r="K49" s="7"/>
      <c r="L49" s="7"/>
      <c r="M49" s="52"/>
      <c r="N49" s="7"/>
      <c r="O49" s="7"/>
      <c r="P49" s="47"/>
      <c r="Q49" s="47"/>
      <c r="R49" s="7"/>
      <c r="S49" s="51"/>
      <c r="T49" s="51"/>
      <c r="U49" s="7"/>
      <c r="V49" s="57"/>
      <c r="W49" s="57"/>
      <c r="X49" s="57"/>
    </row>
    <row r="50" spans="1:24" ht="12.5" x14ac:dyDescent="0.25">
      <c r="A50" s="34"/>
      <c r="B50" s="7"/>
      <c r="C50" s="19"/>
      <c r="D50" s="7"/>
      <c r="E50" s="7"/>
      <c r="F50" s="7"/>
      <c r="G50" s="7"/>
      <c r="H50" s="6"/>
      <c r="I50" s="7"/>
      <c r="J50" s="7"/>
      <c r="K50" s="7"/>
      <c r="L50" s="7"/>
      <c r="M50" s="52"/>
      <c r="N50" s="7"/>
      <c r="O50" s="7"/>
      <c r="P50" s="47"/>
      <c r="Q50" s="47"/>
      <c r="R50" s="7"/>
      <c r="S50" s="51"/>
      <c r="T50" s="51"/>
      <c r="U50" s="7"/>
      <c r="V50" s="57"/>
      <c r="W50" s="57"/>
      <c r="X50" s="57"/>
    </row>
    <row r="51" spans="1:24" ht="12.5" x14ac:dyDescent="0.25">
      <c r="A51" s="34"/>
      <c r="B51" s="7"/>
      <c r="C51" s="19"/>
      <c r="D51" s="7"/>
      <c r="E51" s="7"/>
      <c r="F51" s="7"/>
      <c r="G51" s="7"/>
      <c r="H51" s="6"/>
      <c r="I51" s="7"/>
      <c r="J51" s="7"/>
      <c r="K51" s="7"/>
      <c r="L51" s="7"/>
      <c r="M51" s="52"/>
      <c r="N51" s="7"/>
      <c r="O51" s="7"/>
      <c r="P51" s="47"/>
      <c r="Q51" s="47"/>
      <c r="R51" s="7"/>
      <c r="S51" s="51"/>
      <c r="T51" s="51"/>
      <c r="U51" s="7"/>
      <c r="V51" s="57"/>
      <c r="W51" s="57"/>
      <c r="X51" s="57"/>
    </row>
    <row r="52" spans="1:24" ht="12.5" x14ac:dyDescent="0.25">
      <c r="A52" s="34"/>
      <c r="B52" s="7"/>
      <c r="C52" s="19"/>
      <c r="D52" s="7"/>
      <c r="E52" s="7"/>
      <c r="F52" s="7"/>
      <c r="G52" s="7"/>
      <c r="H52" s="6"/>
      <c r="I52" s="7"/>
      <c r="J52" s="7"/>
      <c r="K52" s="7"/>
      <c r="L52" s="7"/>
      <c r="M52" s="52"/>
      <c r="N52" s="7"/>
      <c r="O52" s="7"/>
      <c r="P52" s="47"/>
      <c r="Q52" s="47"/>
      <c r="R52" s="7"/>
      <c r="S52" s="51"/>
      <c r="T52" s="51"/>
      <c r="U52" s="7"/>
      <c r="V52" s="57"/>
      <c r="W52" s="57"/>
      <c r="X52" s="57"/>
    </row>
    <row r="53" spans="1:24" ht="12.5" x14ac:dyDescent="0.25">
      <c r="A53" s="34"/>
      <c r="B53" s="7"/>
      <c r="C53" s="19"/>
      <c r="D53" s="7"/>
      <c r="E53" s="7"/>
      <c r="F53" s="7"/>
      <c r="G53" s="7"/>
      <c r="H53" s="6"/>
      <c r="I53" s="7"/>
      <c r="J53" s="7"/>
      <c r="K53" s="7"/>
      <c r="L53" s="7"/>
      <c r="M53" s="52"/>
      <c r="N53" s="7"/>
      <c r="O53" s="7"/>
      <c r="P53" s="47"/>
      <c r="Q53" s="47"/>
      <c r="R53" s="7"/>
      <c r="S53" s="51"/>
      <c r="T53" s="51"/>
      <c r="U53" s="7"/>
      <c r="V53" s="57"/>
      <c r="W53" s="57"/>
      <c r="X53" s="57"/>
    </row>
    <row r="54" spans="1:24" ht="12.5" x14ac:dyDescent="0.25">
      <c r="A54" s="34"/>
      <c r="B54" s="7"/>
      <c r="C54" s="19"/>
      <c r="D54" s="7"/>
      <c r="E54" s="7"/>
      <c r="F54" s="7"/>
      <c r="G54" s="7"/>
      <c r="H54" s="6"/>
      <c r="I54" s="7"/>
      <c r="J54" s="7"/>
      <c r="K54" s="7"/>
      <c r="L54" s="7"/>
      <c r="M54" s="52"/>
      <c r="N54" s="7"/>
      <c r="O54" s="7"/>
      <c r="P54" s="47"/>
      <c r="Q54" s="47"/>
      <c r="R54" s="7"/>
      <c r="S54" s="51"/>
      <c r="T54" s="51"/>
      <c r="U54" s="7"/>
      <c r="V54" s="57"/>
      <c r="W54" s="57"/>
      <c r="X54" s="57"/>
    </row>
    <row r="55" spans="1:24" ht="12.5" x14ac:dyDescent="0.25">
      <c r="A55" s="34"/>
      <c r="B55" s="7"/>
      <c r="C55" s="19"/>
      <c r="D55" s="7"/>
      <c r="E55" s="7"/>
      <c r="F55" s="7"/>
      <c r="G55" s="7"/>
      <c r="H55" s="6"/>
      <c r="I55" s="7"/>
      <c r="J55" s="7"/>
      <c r="K55" s="7"/>
      <c r="L55" s="7"/>
      <c r="M55" s="52"/>
      <c r="N55" s="7"/>
      <c r="O55" s="7"/>
      <c r="P55" s="47"/>
      <c r="Q55" s="47"/>
      <c r="R55" s="7"/>
      <c r="S55" s="51"/>
      <c r="T55" s="51"/>
      <c r="U55" s="7"/>
      <c r="V55" s="57"/>
      <c r="W55" s="57"/>
      <c r="X55" s="57"/>
    </row>
    <row r="56" spans="1:24" ht="12.5" x14ac:dyDescent="0.25">
      <c r="A56" s="34"/>
      <c r="B56" s="7"/>
      <c r="C56" s="19"/>
      <c r="D56" s="7"/>
      <c r="E56" s="7"/>
      <c r="F56" s="7"/>
      <c r="G56" s="7"/>
      <c r="H56" s="6"/>
      <c r="I56" s="7"/>
      <c r="J56" s="7"/>
      <c r="K56" s="7"/>
      <c r="L56" s="7"/>
      <c r="M56" s="52"/>
      <c r="N56" s="7"/>
      <c r="O56" s="7"/>
      <c r="P56" s="47"/>
      <c r="Q56" s="47"/>
      <c r="R56" s="7"/>
      <c r="S56" s="51"/>
      <c r="T56" s="51"/>
      <c r="U56" s="7"/>
      <c r="V56" s="57"/>
      <c r="W56" s="57"/>
      <c r="X56" s="57"/>
    </row>
    <row r="57" spans="1:24" ht="12.5" x14ac:dyDescent="0.25">
      <c r="A57" s="34"/>
      <c r="B57" s="7"/>
      <c r="C57" s="19"/>
      <c r="D57" s="7"/>
      <c r="E57" s="7"/>
      <c r="F57" s="7"/>
      <c r="G57" s="7"/>
      <c r="H57" s="6"/>
      <c r="I57" s="7"/>
      <c r="J57" s="7"/>
      <c r="K57" s="7"/>
      <c r="L57" s="7"/>
      <c r="M57" s="52"/>
      <c r="N57" s="7"/>
      <c r="O57" s="7"/>
      <c r="P57" s="47"/>
      <c r="Q57" s="47"/>
      <c r="R57" s="7"/>
      <c r="S57" s="51"/>
      <c r="T57" s="51"/>
      <c r="U57" s="7"/>
      <c r="V57" s="57"/>
      <c r="W57" s="57"/>
      <c r="X57" s="57"/>
    </row>
    <row r="58" spans="1:24" ht="12.5" x14ac:dyDescent="0.25">
      <c r="A58" s="34"/>
      <c r="B58" s="7"/>
      <c r="C58" s="19"/>
      <c r="D58" s="7"/>
      <c r="E58" s="7"/>
      <c r="F58" s="7"/>
      <c r="G58" s="7"/>
      <c r="H58" s="6"/>
      <c r="I58" s="7"/>
      <c r="J58" s="7"/>
      <c r="K58" s="7"/>
      <c r="L58" s="7"/>
      <c r="M58" s="52"/>
      <c r="N58" s="7"/>
      <c r="O58" s="7"/>
      <c r="P58" s="47"/>
      <c r="Q58" s="47"/>
      <c r="R58" s="7"/>
      <c r="S58" s="51"/>
      <c r="T58" s="51"/>
      <c r="U58" s="7"/>
      <c r="V58" s="57"/>
      <c r="W58" s="57"/>
      <c r="X58" s="57"/>
    </row>
    <row r="59" spans="1:24" ht="12.5" x14ac:dyDescent="0.25">
      <c r="A59" s="34"/>
      <c r="B59" s="7"/>
      <c r="C59" s="19"/>
      <c r="D59" s="7"/>
      <c r="E59" s="7"/>
      <c r="F59" s="7"/>
      <c r="G59" s="7"/>
      <c r="H59" s="6"/>
      <c r="I59" s="7"/>
      <c r="J59" s="7"/>
      <c r="K59" s="7"/>
      <c r="L59" s="7"/>
      <c r="M59" s="52"/>
      <c r="N59" s="7"/>
      <c r="O59" s="7"/>
      <c r="P59" s="47"/>
      <c r="Q59" s="47"/>
      <c r="R59" s="7"/>
      <c r="S59" s="51"/>
      <c r="T59" s="51"/>
      <c r="U59" s="7"/>
      <c r="V59" s="57"/>
      <c r="W59" s="57"/>
      <c r="X59" s="57"/>
    </row>
    <row r="60" spans="1:24" ht="12.5" x14ac:dyDescent="0.25">
      <c r="A60" s="34"/>
      <c r="B60" s="7"/>
      <c r="C60" s="19"/>
      <c r="D60" s="7"/>
      <c r="E60" s="7"/>
      <c r="F60" s="7"/>
      <c r="G60" s="7"/>
      <c r="H60" s="6"/>
      <c r="I60" s="7"/>
      <c r="J60" s="7"/>
      <c r="K60" s="7"/>
      <c r="L60" s="7"/>
      <c r="M60" s="52"/>
      <c r="N60" s="7"/>
      <c r="O60" s="7"/>
      <c r="P60" s="47"/>
      <c r="Q60" s="47"/>
      <c r="R60" s="7"/>
      <c r="S60" s="51"/>
      <c r="T60" s="51"/>
      <c r="U60" s="7"/>
      <c r="V60" s="57"/>
      <c r="W60" s="57"/>
      <c r="X60" s="57"/>
    </row>
    <row r="61" spans="1:24" ht="12.5" x14ac:dyDescent="0.25">
      <c r="A61" s="34"/>
      <c r="B61" s="7"/>
      <c r="C61" s="19"/>
      <c r="D61" s="7"/>
      <c r="E61" s="7"/>
      <c r="F61" s="7"/>
      <c r="G61" s="7"/>
      <c r="H61" s="6"/>
      <c r="I61" s="7"/>
      <c r="J61" s="7"/>
      <c r="K61" s="7"/>
      <c r="L61" s="7"/>
      <c r="M61" s="52"/>
      <c r="N61" s="7"/>
      <c r="O61" s="7"/>
      <c r="P61" s="47"/>
      <c r="Q61" s="47"/>
      <c r="R61" s="7"/>
      <c r="S61" s="51"/>
      <c r="T61" s="51"/>
      <c r="U61" s="7"/>
      <c r="V61" s="57"/>
      <c r="W61" s="57"/>
      <c r="X61" s="57"/>
    </row>
    <row r="62" spans="1:24" ht="12.5" x14ac:dyDescent="0.25">
      <c r="A62" s="34"/>
      <c r="B62" s="7"/>
      <c r="C62" s="19"/>
      <c r="D62" s="7"/>
      <c r="E62" s="7"/>
      <c r="F62" s="7"/>
      <c r="G62" s="7"/>
      <c r="H62" s="6"/>
      <c r="I62" s="7"/>
      <c r="J62" s="7"/>
      <c r="K62" s="7"/>
      <c r="L62" s="7"/>
      <c r="M62" s="52"/>
      <c r="N62" s="7"/>
      <c r="O62" s="7"/>
      <c r="P62" s="47"/>
      <c r="Q62" s="47"/>
      <c r="R62" s="7"/>
      <c r="S62" s="51"/>
      <c r="T62" s="51"/>
      <c r="U62" s="7"/>
      <c r="V62" s="57"/>
      <c r="W62" s="57"/>
      <c r="X62" s="57"/>
    </row>
    <row r="63" spans="1:24" ht="12.5" x14ac:dyDescent="0.25">
      <c r="A63" s="34"/>
      <c r="B63" s="7"/>
      <c r="C63" s="19"/>
      <c r="D63" s="7"/>
      <c r="E63" s="7"/>
      <c r="F63" s="7"/>
      <c r="G63" s="7"/>
      <c r="H63" s="6"/>
      <c r="I63" s="7"/>
      <c r="J63" s="7"/>
      <c r="K63" s="7"/>
      <c r="L63" s="7"/>
      <c r="M63" s="52"/>
      <c r="N63" s="7"/>
      <c r="O63" s="7"/>
      <c r="P63" s="47"/>
      <c r="Q63" s="47"/>
      <c r="R63" s="7"/>
      <c r="S63" s="51"/>
      <c r="T63" s="51"/>
      <c r="U63" s="7"/>
      <c r="V63" s="57"/>
      <c r="W63" s="57"/>
      <c r="X63" s="57"/>
    </row>
    <row r="64" spans="1:24" ht="12.5" x14ac:dyDescent="0.25">
      <c r="A64" s="34"/>
      <c r="B64" s="7"/>
      <c r="C64" s="19"/>
      <c r="D64" s="7"/>
      <c r="E64" s="7"/>
      <c r="F64" s="7"/>
      <c r="G64" s="7"/>
      <c r="H64" s="6"/>
      <c r="I64" s="7"/>
      <c r="J64" s="7"/>
      <c r="K64" s="7"/>
      <c r="L64" s="7"/>
      <c r="M64" s="52"/>
      <c r="N64" s="7"/>
      <c r="O64" s="7"/>
      <c r="P64" s="47"/>
      <c r="Q64" s="47"/>
      <c r="R64" s="7"/>
      <c r="S64" s="51"/>
      <c r="T64" s="51"/>
      <c r="U64" s="7"/>
      <c r="V64" s="57"/>
      <c r="W64" s="57"/>
      <c r="X64" s="57"/>
    </row>
    <row r="65" spans="1:24" ht="12.5" x14ac:dyDescent="0.25">
      <c r="A65" s="34"/>
      <c r="B65" s="7"/>
      <c r="C65" s="19"/>
      <c r="D65" s="7"/>
      <c r="E65" s="7"/>
      <c r="F65" s="7"/>
      <c r="G65" s="7"/>
      <c r="H65" s="6"/>
      <c r="I65" s="7"/>
      <c r="J65" s="7"/>
      <c r="K65" s="7"/>
      <c r="L65" s="7"/>
      <c r="M65" s="52"/>
      <c r="N65" s="7"/>
      <c r="O65" s="7"/>
      <c r="P65" s="47"/>
      <c r="Q65" s="47"/>
      <c r="R65" s="7"/>
      <c r="S65" s="51"/>
      <c r="T65" s="51"/>
      <c r="U65" s="7"/>
      <c r="V65" s="57"/>
      <c r="W65" s="57"/>
      <c r="X65" s="57"/>
    </row>
    <row r="66" spans="1:24" ht="12.5" x14ac:dyDescent="0.25">
      <c r="A66" s="34"/>
      <c r="B66" s="7"/>
      <c r="C66" s="19"/>
      <c r="D66" s="7"/>
      <c r="E66" s="7"/>
      <c r="F66" s="7"/>
      <c r="G66" s="7"/>
      <c r="H66" s="6"/>
      <c r="I66" s="7"/>
      <c r="J66" s="7"/>
      <c r="K66" s="7"/>
      <c r="L66" s="7"/>
      <c r="M66" s="52"/>
      <c r="N66" s="7"/>
      <c r="O66" s="7"/>
      <c r="P66" s="47"/>
      <c r="Q66" s="47"/>
      <c r="R66" s="7"/>
      <c r="S66" s="51"/>
      <c r="T66" s="51"/>
      <c r="U66" s="7"/>
      <c r="V66" s="57"/>
      <c r="W66" s="57"/>
      <c r="X66" s="57"/>
    </row>
    <row r="67" spans="1:24" ht="12.5" x14ac:dyDescent="0.25">
      <c r="A67" s="34"/>
      <c r="B67" s="7"/>
      <c r="C67" s="19"/>
      <c r="D67" s="7"/>
      <c r="E67" s="7"/>
      <c r="F67" s="7"/>
      <c r="G67" s="7"/>
      <c r="H67" s="6"/>
      <c r="I67" s="7"/>
      <c r="J67" s="7"/>
      <c r="K67" s="7"/>
      <c r="L67" s="7"/>
      <c r="M67" s="52"/>
      <c r="N67" s="7"/>
      <c r="O67" s="7"/>
      <c r="P67" s="47"/>
      <c r="Q67" s="47"/>
      <c r="R67" s="7"/>
      <c r="S67" s="51"/>
      <c r="T67" s="51"/>
      <c r="U67" s="7"/>
      <c r="V67" s="57"/>
      <c r="W67" s="57"/>
      <c r="X67" s="57"/>
    </row>
    <row r="68" spans="1:24" ht="12.5" x14ac:dyDescent="0.25">
      <c r="A68" s="34"/>
      <c r="B68" s="7"/>
      <c r="C68" s="19"/>
      <c r="D68" s="7"/>
      <c r="E68" s="7"/>
      <c r="F68" s="7"/>
      <c r="G68" s="7"/>
      <c r="H68" s="6"/>
      <c r="I68" s="7"/>
      <c r="J68" s="7"/>
      <c r="K68" s="7"/>
      <c r="L68" s="7"/>
      <c r="M68" s="52"/>
      <c r="N68" s="7"/>
      <c r="O68" s="7"/>
      <c r="P68" s="47"/>
      <c r="Q68" s="47"/>
      <c r="R68" s="7"/>
      <c r="S68" s="51"/>
      <c r="T68" s="51"/>
      <c r="U68" s="7"/>
      <c r="V68" s="57"/>
      <c r="W68" s="57"/>
      <c r="X68" s="57"/>
    </row>
    <row r="69" spans="1:24" ht="12.5" x14ac:dyDescent="0.25">
      <c r="A69" s="34"/>
      <c r="B69" s="7"/>
      <c r="C69" s="19"/>
      <c r="D69" s="7"/>
      <c r="E69" s="7"/>
      <c r="F69" s="7"/>
      <c r="G69" s="7"/>
      <c r="H69" s="6"/>
      <c r="I69" s="7"/>
      <c r="J69" s="7"/>
      <c r="K69" s="7"/>
      <c r="L69" s="7"/>
      <c r="M69" s="52"/>
      <c r="N69" s="7"/>
      <c r="O69" s="7"/>
      <c r="P69" s="47"/>
      <c r="Q69" s="47"/>
      <c r="R69" s="7"/>
      <c r="S69" s="51"/>
      <c r="T69" s="51"/>
      <c r="U69" s="7"/>
      <c r="V69" s="57"/>
      <c r="W69" s="57"/>
      <c r="X69" s="57"/>
    </row>
    <row r="70" spans="1:24" ht="12.5" x14ac:dyDescent="0.25">
      <c r="A70" s="34"/>
      <c r="B70" s="7"/>
      <c r="C70" s="19"/>
      <c r="D70" s="7"/>
      <c r="E70" s="7"/>
      <c r="F70" s="7"/>
      <c r="G70" s="7"/>
      <c r="H70" s="6"/>
      <c r="I70" s="7"/>
      <c r="J70" s="7"/>
      <c r="K70" s="7"/>
      <c r="L70" s="7"/>
      <c r="M70" s="52"/>
      <c r="N70" s="7"/>
      <c r="O70" s="7"/>
      <c r="P70" s="47"/>
      <c r="Q70" s="47"/>
      <c r="R70" s="7"/>
      <c r="S70" s="51"/>
      <c r="T70" s="51"/>
      <c r="U70" s="7"/>
      <c r="V70" s="57"/>
      <c r="W70" s="57"/>
      <c r="X70" s="57"/>
    </row>
    <row r="71" spans="1:24" ht="12.5" x14ac:dyDescent="0.25">
      <c r="A71" s="34"/>
      <c r="B71" s="7"/>
      <c r="C71" s="19"/>
      <c r="D71" s="7"/>
      <c r="E71" s="7"/>
      <c r="F71" s="7"/>
      <c r="G71" s="7"/>
      <c r="H71" s="6"/>
      <c r="I71" s="7"/>
      <c r="J71" s="7"/>
      <c r="K71" s="7"/>
      <c r="L71" s="7"/>
      <c r="M71" s="52"/>
      <c r="N71" s="7"/>
      <c r="O71" s="7"/>
      <c r="P71" s="47"/>
      <c r="Q71" s="47"/>
      <c r="R71" s="7"/>
      <c r="S71" s="51"/>
      <c r="T71" s="51"/>
      <c r="U71" s="7"/>
      <c r="V71" s="57"/>
      <c r="W71" s="57"/>
      <c r="X71" s="57"/>
    </row>
    <row r="72" spans="1:24" ht="12.5" x14ac:dyDescent="0.25">
      <c r="A72" s="34"/>
      <c r="B72" s="7"/>
      <c r="C72" s="19"/>
      <c r="D72" s="7"/>
      <c r="E72" s="7"/>
      <c r="F72" s="7"/>
      <c r="G72" s="7"/>
      <c r="H72" s="6"/>
      <c r="I72" s="7"/>
      <c r="J72" s="7"/>
      <c r="K72" s="7"/>
      <c r="L72" s="7"/>
      <c r="M72" s="52"/>
      <c r="N72" s="7"/>
      <c r="O72" s="7"/>
      <c r="P72" s="47"/>
      <c r="Q72" s="47"/>
      <c r="R72" s="7"/>
      <c r="S72" s="51"/>
      <c r="T72" s="51"/>
      <c r="U72" s="7"/>
      <c r="V72" s="57"/>
      <c r="W72" s="57"/>
      <c r="X72" s="57"/>
    </row>
    <row r="73" spans="1:24" ht="12.5" x14ac:dyDescent="0.25">
      <c r="A73" s="34"/>
      <c r="B73" s="7"/>
      <c r="C73" s="19"/>
      <c r="D73" s="7"/>
      <c r="E73" s="7"/>
      <c r="F73" s="7"/>
      <c r="G73" s="7"/>
      <c r="H73" s="6"/>
      <c r="I73" s="7"/>
      <c r="J73" s="7"/>
      <c r="K73" s="7"/>
      <c r="L73" s="7"/>
      <c r="M73" s="52"/>
      <c r="N73" s="7"/>
      <c r="O73" s="7"/>
      <c r="P73" s="47"/>
      <c r="Q73" s="47"/>
      <c r="R73" s="7"/>
      <c r="S73" s="51"/>
      <c r="T73" s="51"/>
      <c r="U73" s="7"/>
      <c r="V73" s="57"/>
      <c r="W73" s="57"/>
      <c r="X73" s="57"/>
    </row>
    <row r="74" spans="1:24" ht="12.5" x14ac:dyDescent="0.25">
      <c r="A74" s="34"/>
      <c r="B74" s="7"/>
      <c r="C74" s="19"/>
      <c r="D74" s="7"/>
      <c r="E74" s="7"/>
      <c r="F74" s="7"/>
      <c r="G74" s="7"/>
      <c r="H74" s="6"/>
      <c r="I74" s="7"/>
      <c r="J74" s="7"/>
      <c r="K74" s="7"/>
      <c r="L74" s="7"/>
      <c r="M74" s="52"/>
      <c r="N74" s="7"/>
      <c r="O74" s="7"/>
      <c r="P74" s="47"/>
      <c r="Q74" s="47"/>
      <c r="R74" s="7"/>
      <c r="S74" s="51"/>
      <c r="T74" s="51"/>
      <c r="U74" s="7"/>
      <c r="V74" s="57"/>
      <c r="W74" s="57"/>
      <c r="X74" s="57"/>
    </row>
    <row r="75" spans="1:24" ht="12.5" x14ac:dyDescent="0.25">
      <c r="A75" s="34"/>
      <c r="B75" s="7"/>
      <c r="C75" s="19"/>
      <c r="D75" s="7"/>
      <c r="E75" s="7"/>
      <c r="F75" s="7"/>
      <c r="G75" s="7"/>
      <c r="H75" s="6"/>
      <c r="I75" s="7"/>
      <c r="J75" s="7"/>
      <c r="K75" s="7"/>
      <c r="L75" s="7"/>
      <c r="M75" s="52"/>
      <c r="N75" s="7"/>
      <c r="O75" s="7"/>
      <c r="P75" s="47"/>
      <c r="Q75" s="47"/>
      <c r="R75" s="7"/>
      <c r="S75" s="51"/>
      <c r="T75" s="51"/>
      <c r="U75" s="7"/>
      <c r="V75" s="57"/>
      <c r="W75" s="57"/>
      <c r="X75" s="57"/>
    </row>
    <row r="76" spans="1:24" ht="12.5" x14ac:dyDescent="0.25">
      <c r="A76" s="34"/>
      <c r="B76" s="7"/>
      <c r="C76" s="19"/>
      <c r="D76" s="7"/>
      <c r="E76" s="7"/>
      <c r="F76" s="7"/>
      <c r="G76" s="7"/>
      <c r="H76" s="6"/>
      <c r="I76" s="7"/>
      <c r="J76" s="7"/>
      <c r="K76" s="7"/>
      <c r="L76" s="7"/>
      <c r="M76" s="52"/>
      <c r="N76" s="7"/>
      <c r="O76" s="7"/>
      <c r="P76" s="47"/>
      <c r="Q76" s="47"/>
      <c r="R76" s="7"/>
      <c r="S76" s="51"/>
      <c r="T76" s="51"/>
      <c r="U76" s="7"/>
      <c r="V76" s="57"/>
      <c r="W76" s="57"/>
      <c r="X76" s="57"/>
    </row>
    <row r="77" spans="1:24" ht="12.5" x14ac:dyDescent="0.25">
      <c r="A77" s="34"/>
      <c r="B77" s="7"/>
      <c r="C77" s="19"/>
      <c r="D77" s="7"/>
      <c r="E77" s="7"/>
      <c r="F77" s="7"/>
      <c r="G77" s="7"/>
      <c r="H77" s="6"/>
      <c r="I77" s="7"/>
      <c r="J77" s="7"/>
      <c r="K77" s="7"/>
      <c r="L77" s="7"/>
      <c r="M77" s="52"/>
      <c r="N77" s="7"/>
      <c r="O77" s="7"/>
      <c r="P77" s="47"/>
      <c r="Q77" s="47"/>
      <c r="R77" s="7"/>
      <c r="S77" s="51"/>
      <c r="T77" s="51"/>
      <c r="U77" s="7"/>
      <c r="V77" s="57"/>
      <c r="W77" s="57"/>
      <c r="X77" s="57"/>
    </row>
    <row r="78" spans="1:24" ht="12.5" x14ac:dyDescent="0.25">
      <c r="A78" s="34"/>
      <c r="B78" s="7"/>
      <c r="C78" s="19"/>
      <c r="D78" s="7"/>
      <c r="E78" s="7"/>
      <c r="F78" s="7"/>
      <c r="G78" s="7"/>
      <c r="H78" s="6"/>
      <c r="I78" s="7"/>
      <c r="J78" s="7"/>
      <c r="K78" s="7"/>
      <c r="L78" s="7"/>
      <c r="M78" s="52"/>
      <c r="N78" s="7"/>
      <c r="O78" s="7"/>
      <c r="P78" s="47"/>
      <c r="Q78" s="47"/>
      <c r="R78" s="7"/>
      <c r="S78" s="51"/>
      <c r="T78" s="51"/>
      <c r="U78" s="7"/>
      <c r="V78" s="57"/>
      <c r="W78" s="57"/>
      <c r="X78" s="57"/>
    </row>
    <row r="79" spans="1:24" ht="12.5" x14ac:dyDescent="0.25">
      <c r="A79" s="34"/>
      <c r="B79" s="7"/>
      <c r="C79" s="19"/>
      <c r="D79" s="7"/>
      <c r="E79" s="7"/>
      <c r="F79" s="7"/>
      <c r="G79" s="7"/>
      <c r="H79" s="6"/>
      <c r="I79" s="7"/>
      <c r="J79" s="7"/>
      <c r="K79" s="7"/>
      <c r="L79" s="7"/>
      <c r="M79" s="52"/>
      <c r="N79" s="7"/>
      <c r="O79" s="7"/>
      <c r="P79" s="47"/>
      <c r="Q79" s="47"/>
      <c r="R79" s="7"/>
      <c r="S79" s="51"/>
      <c r="T79" s="51"/>
      <c r="U79" s="7"/>
      <c r="V79" s="57"/>
      <c r="W79" s="57"/>
      <c r="X79" s="57"/>
    </row>
    <row r="80" spans="1:24" ht="12.5" x14ac:dyDescent="0.25">
      <c r="A80" s="34"/>
      <c r="B80" s="7"/>
      <c r="C80" s="19"/>
      <c r="D80" s="7"/>
      <c r="E80" s="7"/>
      <c r="F80" s="7"/>
      <c r="G80" s="7"/>
      <c r="H80" s="6"/>
      <c r="I80" s="7"/>
      <c r="J80" s="7"/>
      <c r="K80" s="7"/>
      <c r="L80" s="7"/>
      <c r="M80" s="52"/>
      <c r="N80" s="7"/>
      <c r="O80" s="7"/>
      <c r="P80" s="47"/>
      <c r="Q80" s="47"/>
      <c r="R80" s="7"/>
      <c r="S80" s="51"/>
      <c r="T80" s="51"/>
      <c r="U80" s="7"/>
      <c r="V80" s="57"/>
      <c r="W80" s="57"/>
      <c r="X80" s="57"/>
    </row>
    <row r="81" spans="1:24" ht="12.5" x14ac:dyDescent="0.25">
      <c r="A81" s="34"/>
      <c r="B81" s="7"/>
      <c r="C81" s="19"/>
      <c r="D81" s="7"/>
      <c r="E81" s="7"/>
      <c r="F81" s="7"/>
      <c r="G81" s="7"/>
      <c r="H81" s="6"/>
      <c r="I81" s="7"/>
      <c r="J81" s="7"/>
      <c r="K81" s="7"/>
      <c r="L81" s="7"/>
      <c r="M81" s="52"/>
      <c r="N81" s="7"/>
      <c r="O81" s="7"/>
      <c r="P81" s="47"/>
      <c r="Q81" s="47"/>
      <c r="R81" s="7"/>
      <c r="S81" s="51"/>
      <c r="T81" s="51"/>
      <c r="U81" s="7"/>
      <c r="V81" s="57"/>
      <c r="W81" s="57"/>
      <c r="X81" s="57"/>
    </row>
    <row r="82" spans="1:24" ht="12.5" x14ac:dyDescent="0.25">
      <c r="A82" s="34"/>
      <c r="B82" s="7"/>
      <c r="C82" s="19"/>
      <c r="D82" s="7"/>
      <c r="E82" s="7"/>
      <c r="F82" s="7"/>
      <c r="G82" s="7"/>
      <c r="H82" s="6"/>
      <c r="I82" s="7"/>
      <c r="J82" s="7"/>
      <c r="K82" s="7"/>
      <c r="L82" s="7"/>
      <c r="M82" s="52"/>
      <c r="N82" s="7"/>
      <c r="O82" s="7"/>
      <c r="P82" s="47"/>
      <c r="Q82" s="47"/>
      <c r="R82" s="7"/>
      <c r="S82" s="51"/>
      <c r="T82" s="51"/>
      <c r="U82" s="7"/>
      <c r="V82" s="57"/>
      <c r="W82" s="57"/>
      <c r="X82" s="57"/>
    </row>
    <row r="83" spans="1:24" ht="12.5" x14ac:dyDescent="0.25">
      <c r="A83" s="34"/>
      <c r="B83" s="7"/>
      <c r="C83" s="19"/>
      <c r="D83" s="7"/>
      <c r="E83" s="7"/>
      <c r="F83" s="7"/>
      <c r="G83" s="7"/>
      <c r="H83" s="6"/>
      <c r="I83" s="7"/>
      <c r="J83" s="7"/>
      <c r="K83" s="7"/>
      <c r="L83" s="7"/>
      <c r="M83" s="52"/>
      <c r="N83" s="7"/>
      <c r="O83" s="7"/>
      <c r="P83" s="47"/>
      <c r="Q83" s="47"/>
      <c r="R83" s="7"/>
      <c r="S83" s="51"/>
      <c r="T83" s="51"/>
      <c r="U83" s="7"/>
      <c r="V83" s="57"/>
      <c r="W83" s="57"/>
      <c r="X83" s="57"/>
    </row>
    <row r="84" spans="1:24" ht="12.5" x14ac:dyDescent="0.25">
      <c r="A84" s="34"/>
      <c r="B84" s="7"/>
      <c r="C84" s="19"/>
      <c r="D84" s="7"/>
      <c r="E84" s="7"/>
      <c r="F84" s="7"/>
      <c r="G84" s="7"/>
      <c r="H84" s="6"/>
      <c r="I84" s="7"/>
      <c r="J84" s="7"/>
      <c r="K84" s="7"/>
      <c r="L84" s="7"/>
      <c r="M84" s="52"/>
      <c r="N84" s="7"/>
      <c r="O84" s="7"/>
      <c r="P84" s="47"/>
      <c r="Q84" s="47"/>
      <c r="R84" s="7"/>
      <c r="S84" s="51"/>
      <c r="T84" s="51"/>
      <c r="U84" s="7"/>
      <c r="V84" s="57"/>
      <c r="W84" s="57"/>
      <c r="X84" s="57"/>
    </row>
    <row r="85" spans="1:24" ht="12.5" x14ac:dyDescent="0.25">
      <c r="A85" s="34"/>
      <c r="B85" s="7"/>
      <c r="C85" s="19"/>
      <c r="D85" s="7"/>
      <c r="E85" s="7"/>
      <c r="F85" s="7"/>
      <c r="G85" s="7"/>
      <c r="H85" s="6"/>
      <c r="I85" s="7"/>
      <c r="J85" s="7"/>
      <c r="K85" s="7"/>
      <c r="L85" s="7"/>
      <c r="M85" s="52"/>
      <c r="N85" s="7"/>
      <c r="O85" s="7"/>
      <c r="P85" s="47"/>
      <c r="Q85" s="47"/>
      <c r="R85" s="7"/>
      <c r="S85" s="51"/>
      <c r="T85" s="51"/>
      <c r="U85" s="7"/>
      <c r="V85" s="57"/>
      <c r="W85" s="57"/>
      <c r="X85" s="57"/>
    </row>
    <row r="86" spans="1:24" ht="12.5" x14ac:dyDescent="0.25">
      <c r="A86" s="34"/>
      <c r="B86" s="7"/>
      <c r="C86" s="19"/>
      <c r="D86" s="7"/>
      <c r="E86" s="7"/>
      <c r="F86" s="7"/>
      <c r="G86" s="7"/>
      <c r="H86" s="6"/>
      <c r="I86" s="7"/>
      <c r="J86" s="7"/>
      <c r="K86" s="7"/>
      <c r="L86" s="7"/>
      <c r="M86" s="52"/>
      <c r="N86" s="7"/>
      <c r="O86" s="7"/>
      <c r="P86" s="47"/>
      <c r="Q86" s="47"/>
      <c r="R86" s="7"/>
      <c r="S86" s="51"/>
      <c r="T86" s="51"/>
      <c r="U86" s="7"/>
      <c r="V86" s="57"/>
      <c r="W86" s="57"/>
      <c r="X86" s="57"/>
    </row>
    <row r="87" spans="1:24" ht="12.5" x14ac:dyDescent="0.25">
      <c r="A87" s="34"/>
      <c r="B87" s="7"/>
      <c r="C87" s="19"/>
      <c r="D87" s="7"/>
      <c r="E87" s="7"/>
      <c r="F87" s="7"/>
      <c r="G87" s="7"/>
      <c r="H87" s="6"/>
      <c r="I87" s="7"/>
      <c r="J87" s="7"/>
      <c r="K87" s="7"/>
      <c r="L87" s="7"/>
      <c r="M87" s="52"/>
      <c r="N87" s="7"/>
      <c r="O87" s="7"/>
      <c r="P87" s="47"/>
      <c r="Q87" s="47"/>
      <c r="R87" s="7"/>
      <c r="S87" s="51"/>
      <c r="T87" s="51"/>
      <c r="U87" s="7"/>
      <c r="V87" s="57"/>
      <c r="W87" s="57"/>
      <c r="X87" s="57"/>
    </row>
    <row r="88" spans="1:24" ht="12.5" x14ac:dyDescent="0.25">
      <c r="A88" s="34"/>
      <c r="B88" s="7"/>
      <c r="C88" s="19"/>
      <c r="D88" s="7"/>
      <c r="E88" s="7"/>
      <c r="F88" s="7"/>
      <c r="G88" s="7"/>
      <c r="H88" s="6"/>
      <c r="I88" s="7"/>
      <c r="J88" s="7"/>
      <c r="K88" s="7"/>
      <c r="L88" s="7"/>
      <c r="M88" s="52"/>
      <c r="N88" s="7"/>
      <c r="O88" s="7"/>
      <c r="P88" s="47"/>
      <c r="Q88" s="47"/>
      <c r="R88" s="7"/>
      <c r="S88" s="51"/>
      <c r="T88" s="51"/>
      <c r="U88" s="7"/>
      <c r="V88" s="57"/>
      <c r="W88" s="57"/>
      <c r="X88" s="57"/>
    </row>
    <row r="89" spans="1:24" ht="12.5" x14ac:dyDescent="0.25">
      <c r="A89" s="34"/>
      <c r="B89" s="7"/>
      <c r="C89" s="19"/>
      <c r="D89" s="7"/>
      <c r="E89" s="7"/>
      <c r="F89" s="7"/>
      <c r="G89" s="7"/>
      <c r="H89" s="6"/>
      <c r="I89" s="7"/>
      <c r="J89" s="7"/>
      <c r="K89" s="7"/>
      <c r="L89" s="7"/>
      <c r="M89" s="52"/>
      <c r="N89" s="7"/>
      <c r="O89" s="7"/>
      <c r="P89" s="47"/>
      <c r="Q89" s="47"/>
      <c r="R89" s="7"/>
      <c r="S89" s="51"/>
      <c r="T89" s="51"/>
      <c r="U89" s="7"/>
      <c r="V89" s="57"/>
      <c r="W89" s="57"/>
      <c r="X89" s="57"/>
    </row>
    <row r="90" spans="1:24" ht="12.5" x14ac:dyDescent="0.25">
      <c r="A90" s="34"/>
      <c r="B90" s="7"/>
      <c r="C90" s="19"/>
      <c r="D90" s="7"/>
      <c r="E90" s="7"/>
      <c r="F90" s="7"/>
      <c r="G90" s="7"/>
      <c r="H90" s="6"/>
      <c r="I90" s="7"/>
      <c r="J90" s="7"/>
      <c r="K90" s="7"/>
      <c r="L90" s="7"/>
      <c r="M90" s="52"/>
      <c r="N90" s="7"/>
      <c r="O90" s="7"/>
      <c r="P90" s="47"/>
      <c r="Q90" s="47"/>
      <c r="R90" s="7"/>
      <c r="S90" s="51"/>
      <c r="T90" s="51"/>
      <c r="U90" s="7"/>
      <c r="V90" s="57"/>
      <c r="W90" s="57"/>
      <c r="X90" s="57"/>
    </row>
    <row r="91" spans="1:24" ht="12.5" x14ac:dyDescent="0.25">
      <c r="A91" s="34"/>
      <c r="B91" s="7"/>
      <c r="C91" s="19"/>
      <c r="D91" s="7"/>
      <c r="E91" s="7"/>
      <c r="F91" s="7"/>
      <c r="G91" s="7"/>
      <c r="H91" s="6"/>
      <c r="I91" s="7"/>
      <c r="J91" s="7"/>
      <c r="K91" s="7"/>
      <c r="L91" s="7"/>
      <c r="M91" s="52"/>
      <c r="N91" s="7"/>
      <c r="O91" s="7"/>
      <c r="P91" s="47"/>
      <c r="Q91" s="47"/>
      <c r="R91" s="7"/>
      <c r="S91" s="51"/>
      <c r="T91" s="51"/>
      <c r="U91" s="7"/>
      <c r="V91" s="57"/>
      <c r="W91" s="57"/>
      <c r="X91" s="57"/>
    </row>
    <row r="92" spans="1:24" ht="12.5" x14ac:dyDescent="0.25">
      <c r="A92" s="34"/>
      <c r="B92" s="7"/>
      <c r="C92" s="19"/>
      <c r="D92" s="7"/>
      <c r="E92" s="7"/>
      <c r="F92" s="7"/>
      <c r="G92" s="7"/>
      <c r="H92" s="6"/>
      <c r="I92" s="7"/>
      <c r="J92" s="7"/>
      <c r="K92" s="7"/>
      <c r="L92" s="7"/>
      <c r="M92" s="52"/>
      <c r="N92" s="7"/>
      <c r="O92" s="7"/>
      <c r="P92" s="47"/>
      <c r="Q92" s="47"/>
      <c r="R92" s="7"/>
      <c r="S92" s="51"/>
      <c r="T92" s="51"/>
      <c r="U92" s="7"/>
      <c r="V92" s="57"/>
      <c r="W92" s="57"/>
      <c r="X92" s="57"/>
    </row>
    <row r="93" spans="1:24" ht="12.5" x14ac:dyDescent="0.25">
      <c r="A93" s="34"/>
      <c r="B93" s="7"/>
      <c r="C93" s="19"/>
      <c r="D93" s="7"/>
      <c r="E93" s="7"/>
      <c r="F93" s="7"/>
      <c r="G93" s="7"/>
      <c r="H93" s="6"/>
      <c r="I93" s="7"/>
      <c r="J93" s="7"/>
      <c r="K93" s="7"/>
      <c r="L93" s="7"/>
      <c r="M93" s="52"/>
      <c r="N93" s="7"/>
      <c r="O93" s="7"/>
      <c r="P93" s="47"/>
      <c r="Q93" s="47"/>
      <c r="R93" s="7"/>
      <c r="S93" s="51"/>
      <c r="T93" s="51"/>
      <c r="U93" s="7"/>
      <c r="V93" s="57"/>
      <c r="W93" s="57"/>
      <c r="X93" s="57"/>
    </row>
    <row r="94" spans="1:24" ht="12.5" x14ac:dyDescent="0.25">
      <c r="A94" s="34"/>
      <c r="B94" s="7"/>
      <c r="C94" s="19"/>
      <c r="D94" s="7"/>
      <c r="E94" s="7"/>
      <c r="F94" s="7"/>
      <c r="G94" s="7"/>
      <c r="H94" s="6"/>
      <c r="I94" s="7"/>
      <c r="J94" s="7"/>
      <c r="K94" s="7"/>
      <c r="L94" s="7"/>
      <c r="M94" s="52"/>
      <c r="N94" s="7"/>
      <c r="O94" s="7"/>
      <c r="P94" s="47"/>
      <c r="Q94" s="47"/>
      <c r="R94" s="7"/>
      <c r="S94" s="51"/>
      <c r="T94" s="51"/>
      <c r="U94" s="7"/>
      <c r="V94" s="57"/>
      <c r="W94" s="57"/>
      <c r="X94" s="57"/>
    </row>
    <row r="95" spans="1:24" ht="12.5" x14ac:dyDescent="0.25">
      <c r="A95" s="34"/>
      <c r="B95" s="7"/>
      <c r="C95" s="19"/>
      <c r="D95" s="7"/>
      <c r="E95" s="7"/>
      <c r="F95" s="7"/>
      <c r="G95" s="7"/>
      <c r="H95" s="6"/>
      <c r="I95" s="7"/>
      <c r="J95" s="7"/>
      <c r="K95" s="7"/>
      <c r="L95" s="7"/>
      <c r="M95" s="52"/>
      <c r="N95" s="7"/>
      <c r="O95" s="7"/>
      <c r="P95" s="47"/>
      <c r="Q95" s="47"/>
      <c r="R95" s="7"/>
      <c r="S95" s="51"/>
      <c r="T95" s="51"/>
      <c r="U95" s="7"/>
      <c r="V95" s="57"/>
      <c r="W95" s="57"/>
      <c r="X95" s="57"/>
    </row>
    <row r="96" spans="1:24" ht="12.5" x14ac:dyDescent="0.25">
      <c r="A96" s="34"/>
      <c r="B96" s="7"/>
      <c r="C96" s="19"/>
      <c r="D96" s="7"/>
      <c r="E96" s="7"/>
      <c r="F96" s="7"/>
      <c r="G96" s="7"/>
      <c r="H96" s="6"/>
      <c r="I96" s="7"/>
      <c r="J96" s="7"/>
      <c r="K96" s="7"/>
      <c r="L96" s="7"/>
      <c r="M96" s="52"/>
      <c r="N96" s="7"/>
      <c r="O96" s="7"/>
      <c r="P96" s="47"/>
      <c r="Q96" s="47"/>
      <c r="R96" s="7"/>
      <c r="S96" s="51"/>
      <c r="T96" s="51"/>
      <c r="U96" s="7"/>
      <c r="V96" s="57"/>
      <c r="W96" s="57"/>
      <c r="X96" s="57"/>
    </row>
    <row r="97" spans="1:24" ht="12.5" x14ac:dyDescent="0.25">
      <c r="A97" s="34"/>
      <c r="B97" s="7"/>
      <c r="C97" s="19"/>
      <c r="D97" s="7"/>
      <c r="E97" s="7"/>
      <c r="F97" s="7"/>
      <c r="G97" s="7"/>
      <c r="H97" s="6"/>
      <c r="I97" s="7"/>
      <c r="J97" s="7"/>
      <c r="K97" s="7"/>
      <c r="L97" s="7"/>
      <c r="M97" s="52"/>
      <c r="N97" s="7"/>
      <c r="O97" s="7"/>
      <c r="P97" s="47"/>
      <c r="Q97" s="47"/>
      <c r="R97" s="7"/>
      <c r="S97" s="51"/>
      <c r="T97" s="51"/>
      <c r="U97" s="7"/>
      <c r="V97" s="57"/>
      <c r="W97" s="57"/>
      <c r="X97" s="57"/>
    </row>
    <row r="98" spans="1:24" ht="12.5" x14ac:dyDescent="0.25">
      <c r="A98" s="34"/>
      <c r="B98" s="7"/>
      <c r="C98" s="19"/>
      <c r="D98" s="7"/>
      <c r="E98" s="7"/>
      <c r="F98" s="7"/>
      <c r="G98" s="7"/>
      <c r="H98" s="6"/>
      <c r="I98" s="7"/>
      <c r="J98" s="7"/>
      <c r="K98" s="7"/>
      <c r="L98" s="7"/>
      <c r="M98" s="52"/>
      <c r="N98" s="7"/>
      <c r="O98" s="7"/>
      <c r="P98" s="47"/>
      <c r="Q98" s="47"/>
      <c r="R98" s="7"/>
      <c r="S98" s="51"/>
      <c r="T98" s="51"/>
      <c r="U98" s="7"/>
      <c r="V98" s="57"/>
      <c r="W98" s="57"/>
      <c r="X98" s="57"/>
    </row>
    <row r="99" spans="1:24" ht="12.5" x14ac:dyDescent="0.25">
      <c r="A99" s="34"/>
      <c r="B99" s="7"/>
      <c r="C99" s="19"/>
      <c r="D99" s="7"/>
      <c r="E99" s="7"/>
      <c r="F99" s="7"/>
      <c r="G99" s="7"/>
      <c r="H99" s="6"/>
      <c r="I99" s="7"/>
      <c r="J99" s="7"/>
      <c r="K99" s="7"/>
      <c r="L99" s="7"/>
      <c r="M99" s="52"/>
      <c r="N99" s="7"/>
      <c r="O99" s="7"/>
      <c r="P99" s="47"/>
      <c r="Q99" s="47"/>
      <c r="R99" s="7"/>
      <c r="S99" s="51"/>
      <c r="T99" s="51"/>
      <c r="U99" s="7"/>
      <c r="V99" s="57"/>
      <c r="W99" s="57"/>
      <c r="X99" s="57"/>
    </row>
    <row r="100" spans="1:24" ht="12.5" x14ac:dyDescent="0.25">
      <c r="A100" s="34"/>
      <c r="B100" s="7"/>
      <c r="C100" s="19"/>
      <c r="D100" s="7"/>
      <c r="E100" s="7"/>
      <c r="F100" s="7"/>
      <c r="G100" s="7"/>
      <c r="H100" s="6"/>
      <c r="I100" s="7"/>
      <c r="J100" s="7"/>
      <c r="K100" s="7"/>
      <c r="L100" s="7"/>
      <c r="M100" s="52"/>
      <c r="N100" s="7"/>
      <c r="O100" s="7"/>
      <c r="P100" s="47"/>
      <c r="Q100" s="47"/>
      <c r="R100" s="7"/>
      <c r="S100" s="51"/>
      <c r="T100" s="51"/>
      <c r="U100" s="7"/>
      <c r="V100" s="57"/>
      <c r="W100" s="57"/>
      <c r="X100" s="57"/>
    </row>
    <row r="101" spans="1:24" ht="12.5" x14ac:dyDescent="0.25">
      <c r="A101" s="34"/>
      <c r="B101" s="7"/>
      <c r="C101" s="19"/>
      <c r="D101" s="7"/>
      <c r="E101" s="7"/>
      <c r="F101" s="7"/>
      <c r="G101" s="7"/>
      <c r="H101" s="6"/>
      <c r="I101" s="7"/>
      <c r="J101" s="7"/>
      <c r="K101" s="7"/>
      <c r="L101" s="7"/>
      <c r="M101" s="52"/>
      <c r="N101" s="7"/>
      <c r="O101" s="7"/>
      <c r="P101" s="47"/>
      <c r="Q101" s="47"/>
      <c r="R101" s="7"/>
      <c r="S101" s="51"/>
      <c r="T101" s="51"/>
      <c r="U101" s="7"/>
      <c r="V101" s="57"/>
      <c r="W101" s="57"/>
      <c r="X101" s="57"/>
    </row>
    <row r="102" spans="1:24" ht="12.5" x14ac:dyDescent="0.25">
      <c r="A102" s="34"/>
      <c r="B102" s="7"/>
      <c r="C102" s="19"/>
      <c r="D102" s="7"/>
      <c r="E102" s="7"/>
      <c r="F102" s="7"/>
      <c r="G102" s="7"/>
      <c r="H102" s="6"/>
      <c r="I102" s="7"/>
      <c r="J102" s="7"/>
      <c r="K102" s="7"/>
      <c r="L102" s="7"/>
      <c r="M102" s="52"/>
      <c r="N102" s="7"/>
      <c r="O102" s="7"/>
      <c r="P102" s="47"/>
      <c r="Q102" s="47"/>
      <c r="R102" s="7"/>
      <c r="S102" s="51"/>
      <c r="T102" s="51"/>
      <c r="U102" s="7"/>
      <c r="V102" s="57"/>
      <c r="W102" s="57"/>
      <c r="X102" s="57"/>
    </row>
    <row r="103" spans="1:24" ht="12.5" x14ac:dyDescent="0.25">
      <c r="A103" s="34"/>
      <c r="B103" s="7"/>
      <c r="C103" s="19"/>
      <c r="D103" s="7"/>
      <c r="E103" s="7"/>
      <c r="F103" s="7"/>
      <c r="G103" s="7"/>
      <c r="H103" s="6"/>
      <c r="I103" s="7"/>
      <c r="J103" s="7"/>
      <c r="K103" s="7"/>
      <c r="L103" s="7"/>
      <c r="M103" s="52"/>
      <c r="N103" s="7"/>
      <c r="O103" s="7"/>
      <c r="P103" s="47"/>
      <c r="Q103" s="47"/>
      <c r="R103" s="7"/>
      <c r="S103" s="51"/>
      <c r="T103" s="51"/>
      <c r="U103" s="7"/>
      <c r="V103" s="57"/>
      <c r="W103" s="57"/>
      <c r="X103" s="57"/>
    </row>
    <row r="104" spans="1:24" ht="12.5" x14ac:dyDescent="0.25">
      <c r="A104" s="34"/>
      <c r="B104" s="7"/>
      <c r="C104" s="19"/>
      <c r="D104" s="7"/>
      <c r="E104" s="7"/>
      <c r="F104" s="7"/>
      <c r="G104" s="7"/>
      <c r="H104" s="6"/>
      <c r="I104" s="7"/>
      <c r="J104" s="7"/>
      <c r="K104" s="7"/>
      <c r="L104" s="7"/>
      <c r="M104" s="52"/>
      <c r="N104" s="7"/>
      <c r="O104" s="7"/>
      <c r="P104" s="47"/>
      <c r="Q104" s="47"/>
      <c r="R104" s="7"/>
      <c r="S104" s="51"/>
      <c r="T104" s="51"/>
      <c r="U104" s="7"/>
      <c r="V104" s="57"/>
      <c r="W104" s="57"/>
      <c r="X104" s="57"/>
    </row>
    <row r="105" spans="1:24" ht="12.5" x14ac:dyDescent="0.25">
      <c r="A105" s="34"/>
      <c r="B105" s="7"/>
      <c r="C105" s="19"/>
      <c r="D105" s="7"/>
      <c r="E105" s="7"/>
      <c r="F105" s="7"/>
      <c r="G105" s="7"/>
      <c r="H105" s="6"/>
      <c r="I105" s="7"/>
      <c r="J105" s="7"/>
      <c r="K105" s="7"/>
      <c r="L105" s="7"/>
      <c r="M105" s="52"/>
      <c r="N105" s="7"/>
      <c r="O105" s="7"/>
      <c r="P105" s="47"/>
      <c r="Q105" s="47"/>
      <c r="R105" s="7"/>
      <c r="S105" s="51"/>
      <c r="T105" s="51"/>
      <c r="U105" s="7"/>
      <c r="V105" s="57"/>
      <c r="W105" s="57"/>
      <c r="X105" s="57"/>
    </row>
    <row r="106" spans="1:24" ht="12.5" x14ac:dyDescent="0.25">
      <c r="A106" s="34"/>
      <c r="B106" s="7"/>
      <c r="C106" s="19"/>
      <c r="D106" s="7"/>
      <c r="E106" s="7"/>
      <c r="F106" s="7"/>
      <c r="G106" s="7"/>
      <c r="H106" s="6"/>
      <c r="I106" s="7"/>
      <c r="J106" s="7"/>
      <c r="K106" s="7"/>
      <c r="L106" s="7"/>
      <c r="M106" s="52"/>
      <c r="N106" s="7"/>
      <c r="O106" s="7"/>
      <c r="P106" s="47"/>
      <c r="Q106" s="47"/>
      <c r="R106" s="7"/>
      <c r="S106" s="51"/>
      <c r="T106" s="51"/>
      <c r="U106" s="7"/>
      <c r="V106" s="57"/>
      <c r="W106" s="57"/>
      <c r="X106" s="57"/>
    </row>
    <row r="107" spans="1:24" ht="12.5" x14ac:dyDescent="0.25">
      <c r="A107" s="34"/>
      <c r="B107" s="7"/>
      <c r="C107" s="19"/>
      <c r="D107" s="7"/>
      <c r="E107" s="7"/>
      <c r="F107" s="7"/>
      <c r="G107" s="7"/>
      <c r="H107" s="6"/>
      <c r="I107" s="7"/>
      <c r="J107" s="7"/>
      <c r="K107" s="7"/>
      <c r="L107" s="7"/>
      <c r="M107" s="52"/>
      <c r="N107" s="7"/>
      <c r="O107" s="7"/>
      <c r="P107" s="47"/>
      <c r="Q107" s="47"/>
      <c r="R107" s="7"/>
      <c r="S107" s="51"/>
      <c r="T107" s="51"/>
      <c r="U107" s="7"/>
      <c r="V107" s="57"/>
      <c r="W107" s="57"/>
      <c r="X107" s="57"/>
    </row>
    <row r="108" spans="1:24" ht="12.5" x14ac:dyDescent="0.25">
      <c r="A108" s="34"/>
      <c r="B108" s="7"/>
      <c r="C108" s="19"/>
      <c r="D108" s="7"/>
      <c r="E108" s="7"/>
      <c r="F108" s="7"/>
      <c r="G108" s="7"/>
      <c r="H108" s="6"/>
      <c r="I108" s="7"/>
      <c r="J108" s="7"/>
      <c r="K108" s="7"/>
      <c r="L108" s="7"/>
      <c r="M108" s="52"/>
      <c r="N108" s="7"/>
      <c r="O108" s="7"/>
      <c r="P108" s="47"/>
      <c r="Q108" s="47"/>
      <c r="R108" s="7"/>
      <c r="S108" s="51"/>
      <c r="T108" s="51"/>
      <c r="U108" s="7"/>
      <c r="V108" s="57"/>
      <c r="W108" s="57"/>
      <c r="X108" s="57"/>
    </row>
    <row r="109" spans="1:24" ht="12.5" x14ac:dyDescent="0.25">
      <c r="A109" s="34"/>
      <c r="B109" s="7"/>
      <c r="C109" s="19"/>
      <c r="D109" s="7"/>
      <c r="E109" s="7"/>
      <c r="F109" s="7"/>
      <c r="G109" s="7"/>
      <c r="H109" s="6"/>
      <c r="I109" s="7"/>
      <c r="J109" s="7"/>
      <c r="K109" s="7"/>
      <c r="L109" s="7"/>
      <c r="M109" s="52"/>
      <c r="N109" s="7"/>
      <c r="O109" s="7"/>
      <c r="P109" s="47"/>
      <c r="Q109" s="47"/>
      <c r="R109" s="7"/>
      <c r="S109" s="51"/>
      <c r="T109" s="51"/>
      <c r="U109" s="7"/>
      <c r="V109" s="57"/>
      <c r="W109" s="57"/>
      <c r="X109" s="57"/>
    </row>
    <row r="110" spans="1:24" ht="12.5" x14ac:dyDescent="0.25">
      <c r="A110" s="34"/>
      <c r="B110" s="7"/>
      <c r="C110" s="19"/>
      <c r="D110" s="7"/>
      <c r="E110" s="7"/>
      <c r="F110" s="7"/>
      <c r="G110" s="7"/>
      <c r="H110" s="6"/>
      <c r="I110" s="7"/>
      <c r="J110" s="7"/>
      <c r="K110" s="7"/>
      <c r="L110" s="7"/>
      <c r="M110" s="52"/>
      <c r="N110" s="7"/>
      <c r="O110" s="7"/>
      <c r="P110" s="47"/>
      <c r="Q110" s="47"/>
      <c r="R110" s="7"/>
      <c r="S110" s="51"/>
      <c r="T110" s="51"/>
      <c r="U110" s="7"/>
      <c r="V110" s="57"/>
      <c r="W110" s="57"/>
      <c r="X110" s="57"/>
    </row>
    <row r="111" spans="1:24" ht="12.5" x14ac:dyDescent="0.25">
      <c r="A111" s="34"/>
      <c r="B111" s="7"/>
      <c r="C111" s="19"/>
      <c r="D111" s="7"/>
      <c r="E111" s="7"/>
      <c r="F111" s="7"/>
      <c r="G111" s="7"/>
      <c r="H111" s="6"/>
      <c r="I111" s="7"/>
      <c r="J111" s="7"/>
      <c r="K111" s="7"/>
      <c r="L111" s="7"/>
      <c r="M111" s="52"/>
      <c r="N111" s="7"/>
      <c r="O111" s="7"/>
      <c r="P111" s="47"/>
      <c r="Q111" s="47"/>
      <c r="R111" s="7"/>
      <c r="S111" s="51"/>
      <c r="T111" s="51"/>
      <c r="U111" s="7"/>
      <c r="V111" s="57"/>
      <c r="W111" s="57"/>
      <c r="X111" s="57"/>
    </row>
    <row r="112" spans="1:24" ht="12.5" x14ac:dyDescent="0.25">
      <c r="A112" s="34"/>
      <c r="B112" s="7"/>
      <c r="C112" s="19"/>
      <c r="D112" s="7"/>
      <c r="E112" s="7"/>
      <c r="F112" s="7"/>
      <c r="G112" s="7"/>
      <c r="H112" s="6"/>
      <c r="I112" s="7"/>
      <c r="J112" s="7"/>
      <c r="K112" s="7"/>
      <c r="L112" s="7"/>
      <c r="M112" s="52"/>
      <c r="N112" s="7"/>
      <c r="O112" s="7"/>
      <c r="P112" s="47"/>
      <c r="Q112" s="47"/>
      <c r="R112" s="7"/>
      <c r="S112" s="51"/>
      <c r="T112" s="51"/>
      <c r="U112" s="7"/>
      <c r="V112" s="57"/>
      <c r="W112" s="57"/>
      <c r="X112" s="57"/>
    </row>
    <row r="113" spans="1:24" ht="12.5" x14ac:dyDescent="0.25">
      <c r="A113" s="34"/>
      <c r="B113" s="7"/>
      <c r="C113" s="19"/>
      <c r="D113" s="7"/>
      <c r="E113" s="7"/>
      <c r="F113" s="7"/>
      <c r="G113" s="7"/>
      <c r="H113" s="6"/>
      <c r="I113" s="7"/>
      <c r="J113" s="7"/>
      <c r="K113" s="7"/>
      <c r="L113" s="7"/>
      <c r="M113" s="52"/>
      <c r="N113" s="7"/>
      <c r="O113" s="7"/>
      <c r="P113" s="47"/>
      <c r="Q113" s="47"/>
      <c r="R113" s="7"/>
      <c r="S113" s="51"/>
      <c r="T113" s="51"/>
      <c r="U113" s="7"/>
      <c r="V113" s="57"/>
      <c r="W113" s="57"/>
      <c r="X113" s="57"/>
    </row>
    <row r="114" spans="1:24" ht="12.5" x14ac:dyDescent="0.25">
      <c r="A114" s="34"/>
      <c r="B114" s="7"/>
      <c r="C114" s="19"/>
      <c r="D114" s="7"/>
      <c r="E114" s="7"/>
      <c r="F114" s="7"/>
      <c r="G114" s="7"/>
      <c r="H114" s="6"/>
      <c r="I114" s="7"/>
      <c r="J114" s="7"/>
      <c r="K114" s="7"/>
      <c r="L114" s="7"/>
      <c r="M114" s="52"/>
      <c r="N114" s="7"/>
      <c r="O114" s="7"/>
      <c r="P114" s="47"/>
      <c r="Q114" s="47"/>
      <c r="R114" s="7"/>
      <c r="S114" s="51"/>
      <c r="T114" s="51"/>
      <c r="U114" s="7"/>
      <c r="V114" s="57"/>
      <c r="W114" s="57"/>
      <c r="X114" s="57"/>
    </row>
    <row r="115" spans="1:24" ht="12.5" x14ac:dyDescent="0.25">
      <c r="A115" s="34"/>
      <c r="B115" s="7"/>
      <c r="C115" s="19"/>
      <c r="D115" s="7"/>
      <c r="E115" s="7"/>
      <c r="F115" s="7"/>
      <c r="G115" s="7"/>
      <c r="H115" s="6"/>
      <c r="I115" s="7"/>
      <c r="J115" s="7"/>
      <c r="K115" s="7"/>
      <c r="L115" s="7"/>
      <c r="M115" s="52"/>
      <c r="N115" s="7"/>
      <c r="O115" s="7"/>
      <c r="P115" s="47"/>
      <c r="Q115" s="47"/>
      <c r="R115" s="7"/>
      <c r="S115" s="51"/>
      <c r="T115" s="51"/>
      <c r="U115" s="7"/>
      <c r="V115" s="57"/>
      <c r="W115" s="57"/>
      <c r="X115" s="57"/>
    </row>
    <row r="116" spans="1:24" ht="12.5" x14ac:dyDescent="0.25">
      <c r="A116" s="34"/>
      <c r="B116" s="7"/>
      <c r="C116" s="19"/>
      <c r="D116" s="7"/>
      <c r="E116" s="7"/>
      <c r="F116" s="7"/>
      <c r="G116" s="7"/>
      <c r="H116" s="6"/>
      <c r="I116" s="7"/>
      <c r="J116" s="7"/>
      <c r="K116" s="7"/>
      <c r="L116" s="7"/>
      <c r="M116" s="52"/>
      <c r="N116" s="7"/>
      <c r="O116" s="7"/>
      <c r="P116" s="47"/>
      <c r="Q116" s="47"/>
      <c r="R116" s="7"/>
      <c r="S116" s="51"/>
      <c r="T116" s="51"/>
      <c r="U116" s="7"/>
      <c r="V116" s="57"/>
      <c r="W116" s="57"/>
      <c r="X116" s="57"/>
    </row>
    <row r="117" spans="1:24" ht="12.5" x14ac:dyDescent="0.25">
      <c r="A117" s="34"/>
      <c r="B117" s="7"/>
      <c r="C117" s="19"/>
      <c r="D117" s="7"/>
      <c r="E117" s="7"/>
      <c r="F117" s="7"/>
      <c r="G117" s="7"/>
      <c r="H117" s="6"/>
      <c r="I117" s="7"/>
      <c r="J117" s="7"/>
      <c r="K117" s="7"/>
      <c r="L117" s="7"/>
      <c r="M117" s="52"/>
      <c r="N117" s="7"/>
      <c r="O117" s="7"/>
      <c r="P117" s="47"/>
      <c r="Q117" s="47"/>
      <c r="R117" s="7"/>
      <c r="S117" s="51"/>
      <c r="T117" s="51"/>
      <c r="U117" s="7"/>
      <c r="V117" s="57"/>
      <c r="W117" s="57"/>
      <c r="X117" s="57"/>
    </row>
    <row r="118" spans="1:24" ht="12.5" x14ac:dyDescent="0.25">
      <c r="A118" s="34"/>
      <c r="B118" s="7"/>
      <c r="C118" s="19"/>
      <c r="D118" s="7"/>
      <c r="E118" s="7"/>
      <c r="F118" s="7"/>
      <c r="G118" s="7"/>
      <c r="H118" s="6"/>
      <c r="I118" s="7"/>
      <c r="J118" s="7"/>
      <c r="K118" s="7"/>
      <c r="L118" s="7"/>
      <c r="M118" s="52"/>
      <c r="N118" s="7"/>
      <c r="O118" s="7"/>
      <c r="P118" s="47"/>
      <c r="Q118" s="47"/>
      <c r="R118" s="7"/>
      <c r="S118" s="51"/>
      <c r="T118" s="51"/>
      <c r="U118" s="7"/>
      <c r="V118" s="57"/>
      <c r="W118" s="57"/>
      <c r="X118" s="57"/>
    </row>
    <row r="119" spans="1:24" ht="12.5" x14ac:dyDescent="0.25">
      <c r="A119" s="34"/>
      <c r="B119" s="7"/>
      <c r="C119" s="19"/>
      <c r="D119" s="7"/>
      <c r="E119" s="7"/>
      <c r="F119" s="7"/>
      <c r="G119" s="7"/>
      <c r="H119" s="6"/>
      <c r="I119" s="7"/>
      <c r="J119" s="7"/>
      <c r="K119" s="7"/>
      <c r="L119" s="7"/>
      <c r="M119" s="52"/>
      <c r="N119" s="7"/>
      <c r="O119" s="7"/>
      <c r="P119" s="47"/>
      <c r="Q119" s="47"/>
      <c r="R119" s="7"/>
      <c r="S119" s="51"/>
      <c r="T119" s="51"/>
      <c r="U119" s="7"/>
      <c r="V119" s="57"/>
      <c r="W119" s="57"/>
      <c r="X119" s="57"/>
    </row>
    <row r="120" spans="1:24" ht="12.5" x14ac:dyDescent="0.25">
      <c r="A120" s="34"/>
      <c r="B120" s="7"/>
      <c r="C120" s="19"/>
      <c r="D120" s="7"/>
      <c r="E120" s="7"/>
      <c r="F120" s="7"/>
      <c r="G120" s="7"/>
      <c r="H120" s="6"/>
      <c r="I120" s="7"/>
      <c r="J120" s="7"/>
      <c r="K120" s="7"/>
      <c r="L120" s="7"/>
      <c r="M120" s="52"/>
      <c r="N120" s="7"/>
      <c r="O120" s="7"/>
      <c r="P120" s="47"/>
      <c r="Q120" s="47"/>
      <c r="R120" s="7"/>
      <c r="S120" s="51"/>
      <c r="T120" s="51"/>
      <c r="U120" s="7"/>
      <c r="V120" s="57"/>
      <c r="W120" s="57"/>
      <c r="X120" s="57"/>
    </row>
    <row r="121" spans="1:24" ht="12.5" x14ac:dyDescent="0.25">
      <c r="A121" s="34"/>
      <c r="B121" s="7"/>
      <c r="C121" s="19"/>
      <c r="D121" s="7"/>
      <c r="E121" s="7"/>
      <c r="F121" s="7"/>
      <c r="G121" s="7"/>
      <c r="H121" s="6"/>
      <c r="I121" s="7"/>
      <c r="J121" s="7"/>
      <c r="K121" s="7"/>
      <c r="L121" s="7"/>
      <c r="M121" s="52"/>
      <c r="N121" s="7"/>
      <c r="O121" s="7"/>
      <c r="P121" s="47"/>
      <c r="Q121" s="47"/>
      <c r="R121" s="7"/>
      <c r="S121" s="51"/>
      <c r="T121" s="51"/>
      <c r="U121" s="7"/>
      <c r="V121" s="57"/>
      <c r="W121" s="57"/>
      <c r="X121" s="57"/>
    </row>
    <row r="122" spans="1:24" ht="12.5" x14ac:dyDescent="0.25">
      <c r="A122" s="34"/>
      <c r="B122" s="7"/>
      <c r="C122" s="19"/>
      <c r="D122" s="7"/>
      <c r="E122" s="7"/>
      <c r="F122" s="7"/>
      <c r="G122" s="7"/>
      <c r="H122" s="6"/>
      <c r="I122" s="7"/>
      <c r="J122" s="7"/>
      <c r="K122" s="7"/>
      <c r="L122" s="7"/>
      <c r="M122" s="52"/>
      <c r="N122" s="7"/>
      <c r="O122" s="7"/>
      <c r="P122" s="47"/>
      <c r="Q122" s="47"/>
      <c r="R122" s="7"/>
      <c r="S122" s="51"/>
      <c r="T122" s="51"/>
      <c r="U122" s="7"/>
      <c r="V122" s="57"/>
      <c r="W122" s="57"/>
      <c r="X122" s="57"/>
    </row>
    <row r="123" spans="1:24" ht="12.5" x14ac:dyDescent="0.25">
      <c r="A123" s="34"/>
      <c r="B123" s="7"/>
      <c r="C123" s="19"/>
      <c r="D123" s="7"/>
      <c r="E123" s="7"/>
      <c r="F123" s="7"/>
      <c r="G123" s="7"/>
      <c r="H123" s="6"/>
      <c r="I123" s="7"/>
      <c r="J123" s="7"/>
      <c r="K123" s="7"/>
      <c r="L123" s="7"/>
      <c r="M123" s="52"/>
      <c r="N123" s="7"/>
      <c r="O123" s="7"/>
      <c r="P123" s="47"/>
      <c r="Q123" s="47"/>
      <c r="R123" s="7"/>
      <c r="S123" s="51"/>
      <c r="T123" s="51"/>
      <c r="U123" s="7"/>
      <c r="V123" s="57"/>
      <c r="W123" s="57"/>
      <c r="X123" s="57"/>
    </row>
    <row r="124" spans="1:24" ht="12.5" x14ac:dyDescent="0.25">
      <c r="A124" s="34"/>
      <c r="B124" s="7"/>
      <c r="C124" s="19"/>
      <c r="D124" s="7"/>
      <c r="E124" s="7"/>
      <c r="F124" s="7"/>
      <c r="G124" s="7"/>
      <c r="H124" s="6"/>
      <c r="I124" s="7"/>
      <c r="J124" s="7"/>
      <c r="K124" s="7"/>
      <c r="L124" s="7"/>
      <c r="M124" s="52"/>
      <c r="N124" s="7"/>
      <c r="O124" s="7"/>
      <c r="P124" s="47"/>
      <c r="Q124" s="47"/>
      <c r="R124" s="7"/>
      <c r="S124" s="51"/>
      <c r="T124" s="51"/>
      <c r="U124" s="7"/>
      <c r="V124" s="57"/>
      <c r="W124" s="57"/>
      <c r="X124" s="57"/>
    </row>
    <row r="125" spans="1:24" ht="12.5" x14ac:dyDescent="0.25">
      <c r="A125" s="34"/>
      <c r="B125" s="7"/>
      <c r="C125" s="19"/>
      <c r="D125" s="7"/>
      <c r="E125" s="7"/>
      <c r="F125" s="7"/>
      <c r="G125" s="7"/>
      <c r="H125" s="6"/>
      <c r="I125" s="7"/>
      <c r="J125" s="7"/>
      <c r="K125" s="7"/>
      <c r="L125" s="7"/>
      <c r="M125" s="52"/>
      <c r="N125" s="7"/>
      <c r="O125" s="7"/>
      <c r="P125" s="47"/>
      <c r="Q125" s="47"/>
      <c r="R125" s="7"/>
      <c r="S125" s="51"/>
      <c r="T125" s="51"/>
      <c r="U125" s="7"/>
      <c r="V125" s="57"/>
      <c r="W125" s="57"/>
      <c r="X125" s="57"/>
    </row>
    <row r="126" spans="1:24" ht="12.5" x14ac:dyDescent="0.25">
      <c r="A126" s="34"/>
      <c r="B126" s="7"/>
      <c r="C126" s="19"/>
      <c r="D126" s="7"/>
      <c r="E126" s="7"/>
      <c r="F126" s="7"/>
      <c r="G126" s="7"/>
      <c r="H126" s="6"/>
      <c r="I126" s="7"/>
      <c r="J126" s="7"/>
      <c r="K126" s="7"/>
      <c r="L126" s="7"/>
      <c r="M126" s="52"/>
      <c r="N126" s="7"/>
      <c r="O126" s="7"/>
      <c r="P126" s="47"/>
      <c r="Q126" s="47"/>
      <c r="R126" s="7"/>
      <c r="S126" s="51"/>
      <c r="T126" s="51"/>
      <c r="U126" s="7"/>
      <c r="V126" s="57"/>
      <c r="W126" s="57"/>
      <c r="X126" s="57"/>
    </row>
    <row r="127" spans="1:24" ht="12.5" x14ac:dyDescent="0.25">
      <c r="A127" s="34"/>
      <c r="B127" s="7"/>
      <c r="C127" s="19"/>
      <c r="D127" s="7"/>
      <c r="E127" s="7"/>
      <c r="F127" s="7"/>
      <c r="G127" s="7"/>
      <c r="H127" s="6"/>
      <c r="I127" s="7"/>
      <c r="J127" s="7"/>
      <c r="K127" s="7"/>
      <c r="L127" s="7"/>
      <c r="M127" s="52"/>
      <c r="N127" s="7"/>
      <c r="O127" s="7"/>
      <c r="P127" s="47"/>
      <c r="Q127" s="47"/>
      <c r="R127" s="7"/>
      <c r="S127" s="51"/>
      <c r="T127" s="51"/>
      <c r="U127" s="7"/>
      <c r="V127" s="57"/>
      <c r="W127" s="57"/>
      <c r="X127" s="57"/>
    </row>
    <row r="128" spans="1:24" ht="12.5" x14ac:dyDescent="0.25">
      <c r="A128" s="34"/>
      <c r="B128" s="7"/>
      <c r="C128" s="19"/>
      <c r="D128" s="7"/>
      <c r="E128" s="7"/>
      <c r="F128" s="7"/>
      <c r="G128" s="7"/>
      <c r="H128" s="6"/>
      <c r="I128" s="7"/>
      <c r="J128" s="7"/>
      <c r="K128" s="7"/>
      <c r="L128" s="7"/>
      <c r="M128" s="52"/>
      <c r="N128" s="7"/>
      <c r="O128" s="7"/>
      <c r="P128" s="47"/>
      <c r="Q128" s="47"/>
      <c r="R128" s="7"/>
      <c r="S128" s="51"/>
      <c r="T128" s="51"/>
      <c r="U128" s="7"/>
      <c r="V128" s="57"/>
      <c r="W128" s="57"/>
      <c r="X128" s="57"/>
    </row>
    <row r="129" spans="1:24" ht="12.5" x14ac:dyDescent="0.25">
      <c r="A129" s="34"/>
      <c r="B129" s="7"/>
      <c r="C129" s="19"/>
      <c r="D129" s="7"/>
      <c r="E129" s="7"/>
      <c r="F129" s="7"/>
      <c r="G129" s="7"/>
      <c r="H129" s="6"/>
      <c r="I129" s="7"/>
      <c r="J129" s="7"/>
      <c r="K129" s="7"/>
      <c r="L129" s="7"/>
      <c r="M129" s="52"/>
      <c r="N129" s="7"/>
      <c r="O129" s="7"/>
      <c r="P129" s="47"/>
      <c r="Q129" s="47"/>
      <c r="R129" s="7"/>
      <c r="S129" s="51"/>
      <c r="T129" s="51"/>
      <c r="U129" s="7"/>
      <c r="V129" s="57"/>
      <c r="W129" s="57"/>
      <c r="X129" s="57"/>
    </row>
    <row r="130" spans="1:24" ht="12.5" x14ac:dyDescent="0.25">
      <c r="A130" s="34"/>
      <c r="B130" s="7"/>
      <c r="C130" s="19"/>
      <c r="D130" s="7"/>
      <c r="E130" s="7"/>
      <c r="F130" s="7"/>
      <c r="G130" s="7"/>
      <c r="H130" s="6"/>
      <c r="I130" s="7"/>
      <c r="J130" s="7"/>
      <c r="K130" s="7"/>
      <c r="L130" s="7"/>
      <c r="M130" s="52"/>
      <c r="N130" s="7"/>
      <c r="O130" s="7"/>
      <c r="P130" s="47"/>
      <c r="Q130" s="47"/>
      <c r="R130" s="7"/>
      <c r="S130" s="51"/>
      <c r="T130" s="51"/>
      <c r="U130" s="7"/>
      <c r="V130" s="57"/>
      <c r="W130" s="57"/>
      <c r="X130" s="57"/>
    </row>
    <row r="131" spans="1:24" ht="12.5" x14ac:dyDescent="0.25">
      <c r="A131" s="34"/>
      <c r="B131" s="7"/>
      <c r="C131" s="19"/>
      <c r="D131" s="7"/>
      <c r="E131" s="7"/>
      <c r="F131" s="7"/>
      <c r="G131" s="7"/>
      <c r="H131" s="6"/>
      <c r="I131" s="7"/>
      <c r="J131" s="7"/>
      <c r="K131" s="7"/>
      <c r="L131" s="7"/>
      <c r="M131" s="52"/>
      <c r="N131" s="7"/>
      <c r="O131" s="7"/>
      <c r="P131" s="47"/>
      <c r="Q131" s="47"/>
      <c r="R131" s="7"/>
      <c r="S131" s="51"/>
      <c r="T131" s="51"/>
      <c r="U131" s="7"/>
      <c r="V131" s="57"/>
      <c r="W131" s="57"/>
      <c r="X131" s="57"/>
    </row>
    <row r="132" spans="1:24" ht="12.5" x14ac:dyDescent="0.25">
      <c r="A132" s="34"/>
      <c r="B132" s="7"/>
      <c r="C132" s="19"/>
      <c r="D132" s="7"/>
      <c r="E132" s="7"/>
      <c r="F132" s="7"/>
      <c r="G132" s="7"/>
      <c r="H132" s="6"/>
      <c r="I132" s="7"/>
      <c r="J132" s="7"/>
      <c r="K132" s="7"/>
      <c r="L132" s="7"/>
      <c r="M132" s="52"/>
      <c r="N132" s="7"/>
      <c r="O132" s="7"/>
      <c r="P132" s="47"/>
      <c r="Q132" s="47"/>
      <c r="R132" s="7"/>
      <c r="S132" s="51"/>
      <c r="T132" s="51"/>
      <c r="U132" s="7"/>
      <c r="V132" s="57"/>
      <c r="W132" s="57"/>
      <c r="X132" s="57"/>
    </row>
    <row r="133" spans="1:24" ht="12.5" x14ac:dyDescent="0.25">
      <c r="A133" s="34"/>
      <c r="B133" s="7"/>
      <c r="C133" s="19"/>
      <c r="D133" s="7"/>
      <c r="E133" s="7"/>
      <c r="F133" s="7"/>
      <c r="G133" s="7"/>
      <c r="H133" s="6"/>
      <c r="I133" s="7"/>
      <c r="J133" s="7"/>
      <c r="K133" s="7"/>
      <c r="L133" s="7"/>
      <c r="M133" s="52"/>
      <c r="N133" s="7"/>
      <c r="O133" s="7"/>
      <c r="P133" s="47"/>
      <c r="Q133" s="47"/>
      <c r="R133" s="7"/>
      <c r="S133" s="51"/>
      <c r="T133" s="51"/>
      <c r="U133" s="7"/>
      <c r="V133" s="57"/>
      <c r="W133" s="57"/>
      <c r="X133" s="57"/>
    </row>
    <row r="134" spans="1:24" ht="12.5" x14ac:dyDescent="0.25">
      <c r="A134" s="34"/>
      <c r="B134" s="7"/>
      <c r="C134" s="19"/>
      <c r="D134" s="7"/>
      <c r="E134" s="7"/>
      <c r="F134" s="7"/>
      <c r="G134" s="7"/>
      <c r="H134" s="6"/>
      <c r="I134" s="7"/>
      <c r="J134" s="7"/>
      <c r="K134" s="7"/>
      <c r="L134" s="7"/>
      <c r="M134" s="52"/>
      <c r="N134" s="7"/>
      <c r="O134" s="7"/>
      <c r="P134" s="47"/>
      <c r="Q134" s="47"/>
      <c r="R134" s="7"/>
      <c r="S134" s="51"/>
      <c r="T134" s="51"/>
      <c r="U134" s="7"/>
      <c r="V134" s="57"/>
      <c r="W134" s="57"/>
      <c r="X134" s="57"/>
    </row>
    <row r="135" spans="1:24" ht="12.5" x14ac:dyDescent="0.25">
      <c r="A135" s="34"/>
      <c r="B135" s="7"/>
      <c r="C135" s="19"/>
      <c r="D135" s="7"/>
      <c r="E135" s="7"/>
      <c r="F135" s="7"/>
      <c r="G135" s="7"/>
      <c r="H135" s="6"/>
      <c r="I135" s="7"/>
      <c r="J135" s="7"/>
      <c r="K135" s="7"/>
      <c r="L135" s="7"/>
      <c r="M135" s="52"/>
      <c r="N135" s="7"/>
      <c r="O135" s="7"/>
      <c r="P135" s="47"/>
      <c r="Q135" s="47"/>
      <c r="R135" s="7"/>
      <c r="S135" s="51"/>
      <c r="T135" s="51"/>
      <c r="U135" s="7"/>
      <c r="V135" s="57"/>
      <c r="W135" s="57"/>
      <c r="X135" s="57"/>
    </row>
    <row r="136" spans="1:24" ht="12.5" x14ac:dyDescent="0.25">
      <c r="A136" s="34"/>
      <c r="B136" s="7"/>
      <c r="C136" s="19"/>
      <c r="D136" s="7"/>
      <c r="E136" s="7"/>
      <c r="F136" s="7"/>
      <c r="G136" s="7"/>
      <c r="H136" s="6"/>
      <c r="I136" s="7"/>
      <c r="J136" s="7"/>
      <c r="K136" s="7"/>
      <c r="L136" s="7"/>
      <c r="M136" s="52"/>
      <c r="N136" s="7"/>
      <c r="O136" s="7"/>
      <c r="P136" s="47"/>
      <c r="Q136" s="47"/>
      <c r="R136" s="7"/>
      <c r="S136" s="51"/>
      <c r="T136" s="51"/>
      <c r="U136" s="7"/>
      <c r="V136" s="57"/>
      <c r="W136" s="57"/>
      <c r="X136" s="57"/>
    </row>
    <row r="137" spans="1:24" ht="12.5" x14ac:dyDescent="0.25">
      <c r="A137" s="34"/>
      <c r="B137" s="7"/>
      <c r="C137" s="19"/>
      <c r="D137" s="7"/>
      <c r="E137" s="7"/>
      <c r="F137" s="7"/>
      <c r="G137" s="7"/>
      <c r="H137" s="6"/>
      <c r="I137" s="7"/>
      <c r="J137" s="7"/>
      <c r="K137" s="7"/>
      <c r="L137" s="7"/>
      <c r="M137" s="52"/>
      <c r="N137" s="7"/>
      <c r="O137" s="7"/>
      <c r="P137" s="47"/>
      <c r="Q137" s="47"/>
      <c r="R137" s="7"/>
      <c r="S137" s="51"/>
      <c r="T137" s="51"/>
      <c r="U137" s="7"/>
      <c r="V137" s="57"/>
      <c r="W137" s="57"/>
      <c r="X137" s="57"/>
    </row>
    <row r="138" spans="1:24" ht="12.5" x14ac:dyDescent="0.25">
      <c r="A138" s="34"/>
      <c r="B138" s="7"/>
      <c r="C138" s="19"/>
      <c r="D138" s="7"/>
      <c r="E138" s="7"/>
      <c r="F138" s="7"/>
      <c r="G138" s="7"/>
      <c r="H138" s="6"/>
      <c r="I138" s="7"/>
      <c r="J138" s="7"/>
      <c r="K138" s="7"/>
      <c r="L138" s="7"/>
      <c r="M138" s="52"/>
      <c r="N138" s="7"/>
      <c r="O138" s="7"/>
      <c r="P138" s="47"/>
      <c r="Q138" s="47"/>
      <c r="R138" s="7"/>
      <c r="S138" s="51"/>
      <c r="T138" s="51"/>
      <c r="U138" s="7"/>
      <c r="V138" s="57"/>
      <c r="W138" s="57"/>
      <c r="X138" s="57"/>
    </row>
    <row r="139" spans="1:24" ht="12.5" x14ac:dyDescent="0.25">
      <c r="A139" s="34"/>
      <c r="B139" s="7"/>
      <c r="C139" s="19"/>
      <c r="D139" s="7"/>
      <c r="E139" s="7"/>
      <c r="F139" s="7"/>
      <c r="G139" s="7"/>
      <c r="H139" s="6"/>
      <c r="I139" s="7"/>
      <c r="J139" s="7"/>
      <c r="K139" s="7"/>
      <c r="L139" s="7"/>
      <c r="M139" s="52"/>
      <c r="N139" s="7"/>
      <c r="O139" s="7"/>
      <c r="P139" s="47"/>
      <c r="Q139" s="47"/>
      <c r="R139" s="7"/>
      <c r="S139" s="51"/>
      <c r="T139" s="51"/>
      <c r="U139" s="7"/>
      <c r="V139" s="57"/>
      <c r="W139" s="57"/>
      <c r="X139" s="57"/>
    </row>
    <row r="140" spans="1:24" ht="12.5" x14ac:dyDescent="0.25">
      <c r="A140" s="34"/>
      <c r="B140" s="7"/>
      <c r="C140" s="19"/>
      <c r="D140" s="7"/>
      <c r="E140" s="7"/>
      <c r="F140" s="7"/>
      <c r="G140" s="7"/>
      <c r="H140" s="6"/>
      <c r="I140" s="7"/>
      <c r="J140" s="7"/>
      <c r="K140" s="7"/>
      <c r="L140" s="7"/>
      <c r="M140" s="52"/>
      <c r="N140" s="7"/>
      <c r="O140" s="7"/>
      <c r="P140" s="47"/>
      <c r="Q140" s="47"/>
      <c r="R140" s="7"/>
      <c r="S140" s="51"/>
      <c r="T140" s="51"/>
      <c r="U140" s="7"/>
      <c r="V140" s="57"/>
      <c r="W140" s="57"/>
      <c r="X140" s="57"/>
    </row>
    <row r="141" spans="1:24" ht="12.5" x14ac:dyDescent="0.25">
      <c r="A141" s="34"/>
      <c r="B141" s="7"/>
      <c r="C141" s="19"/>
      <c r="D141" s="7"/>
      <c r="E141" s="7"/>
      <c r="F141" s="7"/>
      <c r="G141" s="7"/>
      <c r="H141" s="6"/>
      <c r="I141" s="7"/>
      <c r="J141" s="7"/>
      <c r="K141" s="7"/>
      <c r="L141" s="7"/>
      <c r="M141" s="52"/>
      <c r="N141" s="7"/>
      <c r="O141" s="7"/>
      <c r="P141" s="47"/>
      <c r="Q141" s="47"/>
      <c r="R141" s="7"/>
      <c r="S141" s="51"/>
      <c r="T141" s="51"/>
      <c r="U141" s="7"/>
      <c r="V141" s="57"/>
      <c r="W141" s="57"/>
      <c r="X141" s="57"/>
    </row>
    <row r="142" spans="1:24" ht="12.5" x14ac:dyDescent="0.25">
      <c r="A142" s="34"/>
      <c r="B142" s="7"/>
      <c r="C142" s="19"/>
      <c r="D142" s="7"/>
      <c r="E142" s="7"/>
      <c r="F142" s="7"/>
      <c r="G142" s="7"/>
      <c r="H142" s="6"/>
      <c r="I142" s="7"/>
      <c r="J142" s="7"/>
      <c r="K142" s="7"/>
      <c r="L142" s="7"/>
      <c r="M142" s="52"/>
      <c r="N142" s="7"/>
      <c r="O142" s="7"/>
      <c r="P142" s="47"/>
      <c r="Q142" s="47"/>
      <c r="R142" s="7"/>
      <c r="S142" s="51"/>
      <c r="T142" s="51"/>
      <c r="U142" s="7"/>
      <c r="V142" s="57"/>
      <c r="W142" s="57"/>
      <c r="X142" s="57"/>
    </row>
    <row r="143" spans="1:24" ht="12.5" x14ac:dyDescent="0.25">
      <c r="A143" s="34"/>
      <c r="B143" s="7"/>
      <c r="C143" s="19"/>
      <c r="D143" s="7"/>
      <c r="E143" s="7"/>
      <c r="F143" s="7"/>
      <c r="G143" s="7"/>
      <c r="H143" s="6"/>
      <c r="I143" s="7"/>
      <c r="J143" s="7"/>
      <c r="K143" s="7"/>
      <c r="L143" s="7"/>
      <c r="M143" s="52"/>
      <c r="N143" s="7"/>
      <c r="O143" s="7"/>
      <c r="P143" s="47"/>
      <c r="Q143" s="47"/>
      <c r="R143" s="7"/>
      <c r="S143" s="51"/>
      <c r="T143" s="51"/>
      <c r="U143" s="7"/>
      <c r="V143" s="57"/>
      <c r="W143" s="57"/>
      <c r="X143" s="57"/>
    </row>
    <row r="144" spans="1:24" ht="12.5" x14ac:dyDescent="0.25">
      <c r="A144" s="34"/>
      <c r="B144" s="7"/>
      <c r="C144" s="19"/>
      <c r="D144" s="7"/>
      <c r="E144" s="7"/>
      <c r="F144" s="7"/>
      <c r="G144" s="7"/>
      <c r="H144" s="6"/>
      <c r="I144" s="7"/>
      <c r="J144" s="7"/>
      <c r="K144" s="7"/>
      <c r="L144" s="7"/>
      <c r="M144" s="52"/>
      <c r="N144" s="7"/>
      <c r="O144" s="7"/>
      <c r="P144" s="47"/>
      <c r="Q144" s="47"/>
      <c r="R144" s="7"/>
      <c r="S144" s="51"/>
      <c r="T144" s="51"/>
      <c r="U144" s="7"/>
      <c r="V144" s="57"/>
      <c r="W144" s="57"/>
      <c r="X144" s="57"/>
    </row>
    <row r="145" spans="1:24" ht="12.5" x14ac:dyDescent="0.25">
      <c r="A145" s="34"/>
      <c r="B145" s="7"/>
      <c r="C145" s="19"/>
      <c r="D145" s="7"/>
      <c r="E145" s="7"/>
      <c r="F145" s="7"/>
      <c r="G145" s="7"/>
      <c r="H145" s="6"/>
      <c r="I145" s="7"/>
      <c r="J145" s="7"/>
      <c r="K145" s="7"/>
      <c r="L145" s="7"/>
      <c r="M145" s="52"/>
      <c r="N145" s="7"/>
      <c r="O145" s="7"/>
      <c r="P145" s="47"/>
      <c r="Q145" s="47"/>
      <c r="R145" s="7"/>
      <c r="S145" s="51"/>
      <c r="T145" s="51"/>
      <c r="U145" s="7"/>
      <c r="V145" s="57"/>
      <c r="W145" s="57"/>
      <c r="X145" s="57"/>
    </row>
    <row r="146" spans="1:24" ht="12.5" x14ac:dyDescent="0.25">
      <c r="A146" s="34"/>
      <c r="B146" s="7"/>
      <c r="C146" s="19"/>
      <c r="D146" s="7"/>
      <c r="E146" s="7"/>
      <c r="F146" s="7"/>
      <c r="G146" s="7"/>
      <c r="H146" s="6"/>
      <c r="I146" s="7"/>
      <c r="J146" s="7"/>
      <c r="K146" s="7"/>
      <c r="L146" s="7"/>
      <c r="M146" s="52"/>
      <c r="N146" s="7"/>
      <c r="O146" s="7"/>
      <c r="P146" s="47"/>
      <c r="Q146" s="47"/>
      <c r="R146" s="7"/>
      <c r="S146" s="51"/>
      <c r="T146" s="51"/>
      <c r="U146" s="7"/>
      <c r="V146" s="57"/>
      <c r="W146" s="57"/>
      <c r="X146" s="57"/>
    </row>
    <row r="147" spans="1:24" ht="12.5" x14ac:dyDescent="0.25">
      <c r="A147" s="34"/>
      <c r="B147" s="7"/>
      <c r="C147" s="19"/>
      <c r="D147" s="7"/>
      <c r="E147" s="7"/>
      <c r="F147" s="7"/>
      <c r="G147" s="7"/>
      <c r="H147" s="6"/>
      <c r="I147" s="7"/>
      <c r="J147" s="7"/>
      <c r="K147" s="7"/>
      <c r="L147" s="7"/>
      <c r="M147" s="52"/>
      <c r="N147" s="7"/>
      <c r="O147" s="7"/>
      <c r="P147" s="47"/>
      <c r="Q147" s="47"/>
      <c r="R147" s="7"/>
      <c r="S147" s="51"/>
      <c r="T147" s="51"/>
      <c r="U147" s="7"/>
      <c r="V147" s="57"/>
      <c r="W147" s="57"/>
      <c r="X147" s="57"/>
    </row>
    <row r="148" spans="1:24" ht="12.5" x14ac:dyDescent="0.25">
      <c r="A148" s="34"/>
      <c r="B148" s="7"/>
      <c r="C148" s="19"/>
      <c r="D148" s="7"/>
      <c r="E148" s="7"/>
      <c r="F148" s="7"/>
      <c r="G148" s="7"/>
      <c r="H148" s="6"/>
      <c r="I148" s="7"/>
      <c r="J148" s="7"/>
      <c r="K148" s="7"/>
      <c r="L148" s="7"/>
      <c r="M148" s="52"/>
      <c r="N148" s="7"/>
      <c r="O148" s="7"/>
      <c r="P148" s="47"/>
      <c r="Q148" s="47"/>
      <c r="R148" s="7"/>
      <c r="S148" s="51"/>
      <c r="T148" s="51"/>
      <c r="U148" s="7"/>
      <c r="V148" s="57"/>
      <c r="W148" s="57"/>
      <c r="X148" s="57"/>
    </row>
    <row r="149" spans="1:24" ht="12.5" x14ac:dyDescent="0.25">
      <c r="A149" s="34"/>
      <c r="B149" s="7"/>
      <c r="C149" s="19"/>
      <c r="D149" s="7"/>
      <c r="E149" s="7"/>
      <c r="F149" s="7"/>
      <c r="G149" s="7"/>
      <c r="H149" s="6"/>
      <c r="I149" s="7"/>
      <c r="J149" s="7"/>
      <c r="K149" s="7"/>
      <c r="L149" s="7"/>
      <c r="M149" s="52"/>
      <c r="N149" s="7"/>
      <c r="O149" s="7"/>
      <c r="P149" s="47"/>
      <c r="Q149" s="47"/>
      <c r="R149" s="7"/>
      <c r="S149" s="51"/>
      <c r="T149" s="51"/>
      <c r="U149" s="7"/>
      <c r="V149" s="57"/>
      <c r="W149" s="57"/>
      <c r="X149" s="57"/>
    </row>
    <row r="150" spans="1:24" ht="12.5" x14ac:dyDescent="0.25">
      <c r="A150" s="34"/>
      <c r="B150" s="7"/>
      <c r="C150" s="19"/>
      <c r="D150" s="7"/>
      <c r="E150" s="7"/>
      <c r="F150" s="7"/>
      <c r="G150" s="7"/>
      <c r="H150" s="6"/>
      <c r="I150" s="7"/>
      <c r="J150" s="7"/>
      <c r="K150" s="7"/>
      <c r="L150" s="7"/>
      <c r="M150" s="52"/>
      <c r="N150" s="7"/>
      <c r="O150" s="7"/>
      <c r="P150" s="47"/>
      <c r="Q150" s="47"/>
      <c r="R150" s="7"/>
      <c r="S150" s="51"/>
      <c r="T150" s="51"/>
      <c r="U150" s="7"/>
      <c r="V150" s="57"/>
      <c r="W150" s="57"/>
      <c r="X150" s="57"/>
    </row>
    <row r="151" spans="1:24" ht="12.5" x14ac:dyDescent="0.25">
      <c r="A151" s="34"/>
      <c r="B151" s="7"/>
      <c r="C151" s="19"/>
      <c r="D151" s="7"/>
      <c r="E151" s="7"/>
      <c r="F151" s="7"/>
      <c r="G151" s="7"/>
      <c r="H151" s="6"/>
      <c r="I151" s="7"/>
      <c r="J151" s="7"/>
      <c r="K151" s="7"/>
      <c r="L151" s="7"/>
      <c r="M151" s="52"/>
      <c r="N151" s="7"/>
      <c r="O151" s="7"/>
      <c r="P151" s="47"/>
      <c r="Q151" s="47"/>
      <c r="R151" s="7"/>
      <c r="S151" s="51"/>
      <c r="T151" s="51"/>
      <c r="U151" s="7"/>
      <c r="V151" s="57"/>
      <c r="W151" s="57"/>
      <c r="X151" s="57"/>
    </row>
    <row r="152" spans="1:24" ht="12.5" x14ac:dyDescent="0.25">
      <c r="A152" s="34"/>
      <c r="B152" s="7"/>
      <c r="C152" s="19"/>
      <c r="D152" s="7"/>
      <c r="E152" s="7"/>
      <c r="F152" s="7"/>
      <c r="G152" s="7"/>
      <c r="H152" s="6"/>
      <c r="I152" s="7"/>
      <c r="J152" s="7"/>
      <c r="K152" s="7"/>
      <c r="L152" s="7"/>
      <c r="M152" s="52"/>
      <c r="N152" s="7"/>
      <c r="O152" s="7"/>
      <c r="P152" s="47"/>
      <c r="Q152" s="47"/>
      <c r="R152" s="7"/>
      <c r="S152" s="51"/>
      <c r="T152" s="51"/>
      <c r="U152" s="7"/>
      <c r="V152" s="57"/>
      <c r="W152" s="57"/>
      <c r="X152" s="57"/>
    </row>
    <row r="153" spans="1:24" ht="12.5" x14ac:dyDescent="0.25">
      <c r="A153" s="34"/>
      <c r="B153" s="7"/>
      <c r="C153" s="19"/>
      <c r="D153" s="7"/>
      <c r="E153" s="7"/>
      <c r="F153" s="7"/>
      <c r="G153" s="7"/>
      <c r="H153" s="6"/>
      <c r="I153" s="7"/>
      <c r="J153" s="7"/>
      <c r="K153" s="7"/>
      <c r="L153" s="7"/>
      <c r="M153" s="52"/>
      <c r="N153" s="7"/>
      <c r="O153" s="7"/>
      <c r="P153" s="47"/>
      <c r="Q153" s="47"/>
      <c r="R153" s="7"/>
      <c r="S153" s="51"/>
      <c r="T153" s="51"/>
      <c r="U153" s="7"/>
      <c r="V153" s="57"/>
      <c r="W153" s="57"/>
      <c r="X153" s="57"/>
    </row>
    <row r="154" spans="1:24" ht="12.5" x14ac:dyDescent="0.25">
      <c r="A154" s="34"/>
      <c r="B154" s="7"/>
      <c r="C154" s="19"/>
      <c r="D154" s="7"/>
      <c r="E154" s="7"/>
      <c r="F154" s="7"/>
      <c r="G154" s="7"/>
      <c r="H154" s="6"/>
      <c r="I154" s="7"/>
      <c r="J154" s="7"/>
      <c r="K154" s="7"/>
      <c r="L154" s="7"/>
      <c r="M154" s="52"/>
      <c r="N154" s="7"/>
      <c r="O154" s="7"/>
      <c r="P154" s="47"/>
      <c r="Q154" s="47"/>
      <c r="R154" s="7"/>
      <c r="S154" s="51"/>
      <c r="T154" s="51"/>
      <c r="U154" s="7"/>
      <c r="V154" s="57"/>
      <c r="W154" s="57"/>
      <c r="X154" s="57"/>
    </row>
    <row r="155" spans="1:24" ht="12.5" x14ac:dyDescent="0.25">
      <c r="A155" s="34"/>
      <c r="B155" s="7"/>
      <c r="C155" s="19"/>
      <c r="D155" s="7"/>
      <c r="E155" s="7"/>
      <c r="F155" s="7"/>
      <c r="G155" s="7"/>
      <c r="H155" s="6"/>
      <c r="I155" s="7"/>
      <c r="J155" s="7"/>
      <c r="K155" s="7"/>
      <c r="L155" s="7"/>
      <c r="M155" s="52"/>
      <c r="N155" s="7"/>
      <c r="O155" s="7"/>
      <c r="P155" s="47"/>
      <c r="Q155" s="47"/>
      <c r="R155" s="7"/>
      <c r="S155" s="51"/>
      <c r="T155" s="51"/>
      <c r="U155" s="7"/>
      <c r="V155" s="57"/>
      <c r="W155" s="57"/>
      <c r="X155" s="57"/>
    </row>
    <row r="156" spans="1:24" ht="12.5" x14ac:dyDescent="0.25">
      <c r="A156" s="34"/>
      <c r="B156" s="7"/>
      <c r="C156" s="19"/>
      <c r="D156" s="7"/>
      <c r="E156" s="7"/>
      <c r="F156" s="7"/>
      <c r="G156" s="7"/>
      <c r="H156" s="6"/>
      <c r="I156" s="7"/>
      <c r="J156" s="7"/>
      <c r="K156" s="7"/>
      <c r="L156" s="7"/>
      <c r="M156" s="52"/>
      <c r="N156" s="7"/>
      <c r="O156" s="7"/>
      <c r="P156" s="47"/>
      <c r="Q156" s="47"/>
      <c r="R156" s="7"/>
      <c r="S156" s="51"/>
      <c r="T156" s="51"/>
      <c r="U156" s="7"/>
      <c r="V156" s="57"/>
      <c r="W156" s="57"/>
      <c r="X156" s="57"/>
    </row>
    <row r="157" spans="1:24" ht="12.5" x14ac:dyDescent="0.25">
      <c r="A157" s="34"/>
      <c r="B157" s="7"/>
      <c r="C157" s="19"/>
      <c r="D157" s="7"/>
      <c r="E157" s="7"/>
      <c r="F157" s="7"/>
      <c r="G157" s="7"/>
      <c r="H157" s="6"/>
      <c r="I157" s="7"/>
      <c r="J157" s="7"/>
      <c r="K157" s="7"/>
      <c r="L157" s="7"/>
      <c r="M157" s="52"/>
      <c r="N157" s="7"/>
      <c r="O157" s="7"/>
      <c r="P157" s="47"/>
      <c r="Q157" s="47"/>
      <c r="R157" s="7"/>
      <c r="S157" s="51"/>
      <c r="T157" s="51"/>
      <c r="U157" s="7"/>
      <c r="V157" s="57"/>
      <c r="W157" s="57"/>
      <c r="X157" s="57"/>
    </row>
    <row r="158" spans="1:24" ht="12.5" x14ac:dyDescent="0.25">
      <c r="A158" s="34"/>
      <c r="B158" s="7"/>
      <c r="C158" s="19"/>
      <c r="D158" s="7"/>
      <c r="E158" s="7"/>
      <c r="F158" s="7"/>
      <c r="G158" s="7"/>
      <c r="H158" s="6"/>
      <c r="I158" s="7"/>
      <c r="J158" s="7"/>
      <c r="K158" s="7"/>
      <c r="L158" s="7"/>
      <c r="M158" s="52"/>
      <c r="N158" s="7"/>
      <c r="O158" s="7"/>
      <c r="P158" s="47"/>
      <c r="Q158" s="47"/>
      <c r="R158" s="7"/>
      <c r="S158" s="51"/>
      <c r="T158" s="51"/>
      <c r="U158" s="7"/>
      <c r="V158" s="57"/>
      <c r="W158" s="57"/>
      <c r="X158" s="57"/>
    </row>
    <row r="159" spans="1:24" ht="12.5" x14ac:dyDescent="0.25">
      <c r="A159" s="34"/>
      <c r="B159" s="7"/>
      <c r="C159" s="19"/>
      <c r="D159" s="7"/>
      <c r="E159" s="7"/>
      <c r="F159" s="7"/>
      <c r="G159" s="7"/>
      <c r="H159" s="6"/>
      <c r="I159" s="7"/>
      <c r="J159" s="7"/>
      <c r="K159" s="7"/>
      <c r="L159" s="7"/>
      <c r="M159" s="52"/>
      <c r="N159" s="7"/>
      <c r="O159" s="7"/>
      <c r="P159" s="47"/>
      <c r="Q159" s="47"/>
      <c r="R159" s="7"/>
      <c r="S159" s="51"/>
      <c r="T159" s="51"/>
      <c r="U159" s="7"/>
      <c r="V159" s="57"/>
      <c r="W159" s="57"/>
      <c r="X159" s="57"/>
    </row>
    <row r="160" spans="1:24" ht="12.5" x14ac:dyDescent="0.25">
      <c r="A160" s="34"/>
      <c r="B160" s="7"/>
      <c r="C160" s="19"/>
      <c r="D160" s="7"/>
      <c r="E160" s="7"/>
      <c r="F160" s="7"/>
      <c r="G160" s="7"/>
      <c r="H160" s="6"/>
      <c r="I160" s="7"/>
      <c r="J160" s="7"/>
      <c r="K160" s="7"/>
      <c r="L160" s="7"/>
      <c r="M160" s="52"/>
      <c r="N160" s="7"/>
      <c r="O160" s="7"/>
      <c r="P160" s="47"/>
      <c r="Q160" s="47"/>
      <c r="R160" s="7"/>
      <c r="S160" s="51"/>
      <c r="T160" s="51"/>
      <c r="U160" s="7"/>
      <c r="V160" s="57"/>
      <c r="W160" s="57"/>
      <c r="X160" s="57"/>
    </row>
    <row r="161" spans="1:24" ht="12.5" x14ac:dyDescent="0.25">
      <c r="A161" s="34"/>
      <c r="B161" s="7"/>
      <c r="C161" s="19"/>
      <c r="D161" s="7"/>
      <c r="E161" s="7"/>
      <c r="F161" s="7"/>
      <c r="G161" s="7"/>
      <c r="H161" s="6"/>
      <c r="I161" s="7"/>
      <c r="J161" s="7"/>
      <c r="K161" s="7"/>
      <c r="L161" s="7"/>
      <c r="M161" s="52"/>
      <c r="N161" s="7"/>
      <c r="O161" s="7"/>
      <c r="P161" s="47"/>
      <c r="Q161" s="47"/>
      <c r="R161" s="7"/>
      <c r="S161" s="51"/>
      <c r="T161" s="51"/>
      <c r="U161" s="7"/>
      <c r="V161" s="57"/>
      <c r="W161" s="57"/>
      <c r="X161" s="57"/>
    </row>
    <row r="162" spans="1:24" ht="12.5" x14ac:dyDescent="0.25">
      <c r="A162" s="34"/>
      <c r="B162" s="7"/>
      <c r="C162" s="19"/>
      <c r="D162" s="7"/>
      <c r="E162" s="7"/>
      <c r="F162" s="7"/>
      <c r="G162" s="7"/>
      <c r="H162" s="6"/>
      <c r="I162" s="7"/>
      <c r="J162" s="7"/>
      <c r="K162" s="7"/>
      <c r="L162" s="7"/>
      <c r="M162" s="52"/>
      <c r="N162" s="7"/>
      <c r="O162" s="7"/>
      <c r="P162" s="47"/>
      <c r="Q162" s="47"/>
      <c r="R162" s="7"/>
      <c r="S162" s="51"/>
      <c r="T162" s="51"/>
      <c r="U162" s="7"/>
      <c r="V162" s="57"/>
      <c r="W162" s="57"/>
      <c r="X162" s="57"/>
    </row>
    <row r="163" spans="1:24" ht="12.5" x14ac:dyDescent="0.25">
      <c r="A163" s="34"/>
      <c r="B163" s="7"/>
      <c r="C163" s="19"/>
      <c r="D163" s="7"/>
      <c r="E163" s="7"/>
      <c r="F163" s="7"/>
      <c r="G163" s="7"/>
      <c r="H163" s="6"/>
      <c r="I163" s="7"/>
      <c r="J163" s="7"/>
      <c r="K163" s="7"/>
      <c r="L163" s="7"/>
      <c r="M163" s="52"/>
      <c r="N163" s="7"/>
      <c r="O163" s="7"/>
      <c r="P163" s="47"/>
      <c r="Q163" s="47"/>
      <c r="R163" s="7"/>
      <c r="S163" s="51"/>
      <c r="T163" s="51"/>
      <c r="U163" s="7"/>
      <c r="V163" s="57"/>
      <c r="W163" s="57"/>
      <c r="X163" s="57"/>
    </row>
    <row r="164" spans="1:24" ht="12.5" x14ac:dyDescent="0.25">
      <c r="A164" s="34"/>
      <c r="B164" s="7"/>
      <c r="C164" s="19"/>
      <c r="D164" s="7"/>
      <c r="E164" s="7"/>
      <c r="F164" s="7"/>
      <c r="G164" s="7"/>
      <c r="H164" s="6"/>
      <c r="I164" s="7"/>
      <c r="J164" s="7"/>
      <c r="K164" s="7"/>
      <c r="L164" s="7"/>
      <c r="M164" s="52"/>
      <c r="N164" s="7"/>
      <c r="O164" s="7"/>
      <c r="P164" s="47"/>
      <c r="Q164" s="47"/>
      <c r="R164" s="7"/>
      <c r="S164" s="51"/>
      <c r="T164" s="51"/>
      <c r="U164" s="7"/>
      <c r="V164" s="57"/>
      <c r="W164" s="57"/>
      <c r="X164" s="57"/>
    </row>
    <row r="165" spans="1:24" ht="12.5" x14ac:dyDescent="0.25">
      <c r="A165" s="34"/>
      <c r="B165" s="7"/>
      <c r="C165" s="19"/>
      <c r="D165" s="7"/>
      <c r="E165" s="7"/>
      <c r="F165" s="7"/>
      <c r="G165" s="7"/>
      <c r="H165" s="6"/>
      <c r="I165" s="7"/>
      <c r="J165" s="7"/>
      <c r="K165" s="7"/>
      <c r="L165" s="7"/>
      <c r="M165" s="52"/>
      <c r="N165" s="7"/>
      <c r="O165" s="7"/>
      <c r="P165" s="47"/>
      <c r="Q165" s="47"/>
      <c r="R165" s="7"/>
      <c r="S165" s="51"/>
      <c r="T165" s="51"/>
      <c r="U165" s="7"/>
      <c r="V165" s="57"/>
      <c r="W165" s="57"/>
      <c r="X165" s="57"/>
    </row>
    <row r="166" spans="1:24" ht="12.5" x14ac:dyDescent="0.25">
      <c r="A166" s="34"/>
      <c r="B166" s="7"/>
      <c r="C166" s="19"/>
      <c r="D166" s="7"/>
      <c r="E166" s="7"/>
      <c r="F166" s="7"/>
      <c r="G166" s="7"/>
      <c r="H166" s="6"/>
      <c r="I166" s="7"/>
      <c r="J166" s="7"/>
      <c r="K166" s="7"/>
      <c r="L166" s="7"/>
      <c r="M166" s="52"/>
      <c r="N166" s="7"/>
      <c r="O166" s="7"/>
      <c r="P166" s="47"/>
      <c r="Q166" s="47"/>
      <c r="R166" s="7"/>
      <c r="S166" s="51"/>
      <c r="T166" s="51"/>
      <c r="U166" s="7"/>
      <c r="V166" s="57"/>
      <c r="W166" s="57"/>
      <c r="X166" s="57"/>
    </row>
    <row r="167" spans="1:24" ht="12.5" x14ac:dyDescent="0.25">
      <c r="A167" s="34"/>
      <c r="B167" s="7"/>
      <c r="C167" s="19"/>
      <c r="D167" s="7"/>
      <c r="E167" s="7"/>
      <c r="F167" s="7"/>
      <c r="G167" s="7"/>
      <c r="H167" s="6"/>
      <c r="I167" s="7"/>
      <c r="J167" s="7"/>
      <c r="K167" s="7"/>
      <c r="L167" s="7"/>
      <c r="M167" s="52"/>
      <c r="N167" s="7"/>
      <c r="O167" s="7"/>
      <c r="P167" s="47"/>
      <c r="Q167" s="47"/>
      <c r="R167" s="7"/>
      <c r="S167" s="51"/>
      <c r="T167" s="51"/>
      <c r="U167" s="7"/>
      <c r="V167" s="57"/>
      <c r="W167" s="57"/>
      <c r="X167" s="57"/>
    </row>
    <row r="168" spans="1:24" ht="12.5" x14ac:dyDescent="0.25">
      <c r="A168" s="34"/>
      <c r="B168" s="7"/>
      <c r="C168" s="19"/>
      <c r="D168" s="7"/>
      <c r="E168" s="7"/>
      <c r="F168" s="7"/>
      <c r="G168" s="7"/>
      <c r="H168" s="6"/>
      <c r="I168" s="7"/>
      <c r="J168" s="7"/>
      <c r="K168" s="7"/>
      <c r="L168" s="7"/>
      <c r="M168" s="52"/>
      <c r="N168" s="7"/>
      <c r="O168" s="7"/>
      <c r="P168" s="47"/>
      <c r="Q168" s="47"/>
      <c r="R168" s="7"/>
      <c r="S168" s="51"/>
      <c r="T168" s="51"/>
      <c r="U168" s="7"/>
      <c r="V168" s="57"/>
      <c r="W168" s="57"/>
      <c r="X168" s="57"/>
    </row>
    <row r="169" spans="1:24" ht="12.5" x14ac:dyDescent="0.25">
      <c r="A169" s="34"/>
      <c r="B169" s="7"/>
      <c r="C169" s="19"/>
      <c r="D169" s="7"/>
      <c r="E169" s="7"/>
      <c r="F169" s="7"/>
      <c r="G169" s="7"/>
      <c r="H169" s="6"/>
      <c r="I169" s="7"/>
      <c r="J169" s="7"/>
      <c r="K169" s="7"/>
      <c r="L169" s="7"/>
      <c r="M169" s="52"/>
      <c r="N169" s="7"/>
      <c r="O169" s="7"/>
      <c r="P169" s="47"/>
      <c r="Q169" s="47"/>
      <c r="R169" s="7"/>
      <c r="S169" s="51"/>
      <c r="T169" s="51"/>
      <c r="U169" s="7"/>
      <c r="V169" s="57"/>
      <c r="W169" s="57"/>
      <c r="X169" s="57"/>
    </row>
    <row r="170" spans="1:24" ht="12.5" x14ac:dyDescent="0.25">
      <c r="A170" s="34"/>
      <c r="B170" s="7"/>
      <c r="C170" s="19"/>
      <c r="D170" s="7"/>
      <c r="E170" s="7"/>
      <c r="F170" s="7"/>
      <c r="G170" s="7"/>
      <c r="H170" s="6"/>
      <c r="I170" s="7"/>
      <c r="J170" s="7"/>
      <c r="K170" s="7"/>
      <c r="L170" s="7"/>
      <c r="M170" s="52"/>
      <c r="N170" s="7"/>
      <c r="O170" s="7"/>
      <c r="P170" s="47"/>
      <c r="Q170" s="47"/>
      <c r="R170" s="7"/>
      <c r="S170" s="51"/>
      <c r="T170" s="51"/>
      <c r="U170" s="7"/>
      <c r="V170" s="57"/>
      <c r="W170" s="57"/>
      <c r="X170" s="57"/>
    </row>
    <row r="171" spans="1:24" ht="12.5" x14ac:dyDescent="0.25">
      <c r="A171" s="34"/>
      <c r="B171" s="7"/>
      <c r="C171" s="19"/>
      <c r="D171" s="7"/>
      <c r="E171" s="7"/>
      <c r="F171" s="7"/>
      <c r="G171" s="7"/>
      <c r="H171" s="6"/>
      <c r="I171" s="7"/>
      <c r="J171" s="7"/>
      <c r="K171" s="7"/>
      <c r="L171" s="7"/>
      <c r="M171" s="52"/>
      <c r="N171" s="7"/>
      <c r="O171" s="7"/>
      <c r="P171" s="47"/>
      <c r="Q171" s="47"/>
      <c r="R171" s="7"/>
      <c r="S171" s="51"/>
      <c r="T171" s="51"/>
      <c r="U171" s="7"/>
      <c r="V171" s="57"/>
      <c r="W171" s="57"/>
      <c r="X171" s="57"/>
    </row>
    <row r="172" spans="1:24" ht="12.5" x14ac:dyDescent="0.25">
      <c r="A172" s="34"/>
      <c r="B172" s="7"/>
      <c r="C172" s="19"/>
      <c r="D172" s="7"/>
      <c r="E172" s="7"/>
      <c r="F172" s="7"/>
      <c r="G172" s="7"/>
      <c r="H172" s="6"/>
      <c r="I172" s="7"/>
      <c r="J172" s="7"/>
      <c r="K172" s="7"/>
      <c r="L172" s="7"/>
      <c r="M172" s="52"/>
      <c r="N172" s="7"/>
      <c r="O172" s="7"/>
      <c r="P172" s="47"/>
      <c r="Q172" s="47"/>
      <c r="R172" s="7"/>
      <c r="S172" s="51"/>
      <c r="T172" s="51"/>
      <c r="U172" s="7"/>
      <c r="V172" s="57"/>
      <c r="W172" s="57"/>
      <c r="X172" s="57"/>
    </row>
    <row r="173" spans="1:24" ht="12.5" x14ac:dyDescent="0.25">
      <c r="A173" s="34"/>
      <c r="B173" s="7"/>
      <c r="C173" s="19"/>
      <c r="D173" s="7"/>
      <c r="E173" s="7"/>
      <c r="F173" s="7"/>
      <c r="G173" s="7"/>
      <c r="H173" s="6"/>
      <c r="I173" s="7"/>
      <c r="J173" s="7"/>
      <c r="K173" s="7"/>
      <c r="L173" s="7"/>
      <c r="M173" s="52"/>
      <c r="N173" s="7"/>
      <c r="O173" s="7"/>
      <c r="P173" s="47"/>
      <c r="Q173" s="47"/>
      <c r="R173" s="7"/>
      <c r="S173" s="51"/>
      <c r="T173" s="51"/>
      <c r="U173" s="7"/>
      <c r="V173" s="57"/>
      <c r="W173" s="57"/>
      <c r="X173" s="57"/>
    </row>
    <row r="174" spans="1:24" ht="12.5" x14ac:dyDescent="0.25">
      <c r="A174" s="34"/>
      <c r="B174" s="7"/>
      <c r="C174" s="19"/>
      <c r="D174" s="7"/>
      <c r="E174" s="7"/>
      <c r="F174" s="7"/>
      <c r="G174" s="7"/>
      <c r="H174" s="6"/>
      <c r="I174" s="7"/>
      <c r="J174" s="7"/>
      <c r="K174" s="7"/>
      <c r="L174" s="7"/>
      <c r="M174" s="52"/>
      <c r="N174" s="7"/>
      <c r="O174" s="7"/>
      <c r="P174" s="47"/>
      <c r="Q174" s="47"/>
      <c r="R174" s="7"/>
      <c r="S174" s="51"/>
      <c r="T174" s="51"/>
      <c r="U174" s="7"/>
      <c r="V174" s="57"/>
      <c r="W174" s="57"/>
      <c r="X174" s="57"/>
    </row>
    <row r="175" spans="1:24" ht="12.5" x14ac:dyDescent="0.25">
      <c r="A175" s="34"/>
      <c r="B175" s="7"/>
      <c r="C175" s="19"/>
      <c r="D175" s="7"/>
      <c r="E175" s="7"/>
      <c r="F175" s="7"/>
      <c r="G175" s="7"/>
      <c r="H175" s="6"/>
      <c r="I175" s="7"/>
      <c r="J175" s="7"/>
      <c r="K175" s="7"/>
      <c r="L175" s="7"/>
      <c r="M175" s="52"/>
      <c r="N175" s="7"/>
      <c r="O175" s="7"/>
      <c r="P175" s="47"/>
      <c r="Q175" s="47"/>
      <c r="R175" s="7"/>
      <c r="S175" s="51"/>
      <c r="T175" s="51"/>
      <c r="U175" s="7"/>
      <c r="V175" s="57"/>
      <c r="W175" s="57"/>
      <c r="X175" s="57"/>
    </row>
    <row r="176" spans="1:24" ht="12.5" x14ac:dyDescent="0.25">
      <c r="A176" s="34"/>
      <c r="B176" s="7"/>
      <c r="C176" s="19"/>
      <c r="D176" s="7"/>
      <c r="E176" s="7"/>
      <c r="F176" s="7"/>
      <c r="G176" s="7"/>
      <c r="H176" s="6"/>
      <c r="I176" s="7"/>
      <c r="J176" s="7"/>
      <c r="K176" s="7"/>
      <c r="L176" s="7"/>
      <c r="M176" s="52"/>
      <c r="N176" s="7"/>
      <c r="O176" s="7"/>
      <c r="P176" s="47"/>
      <c r="Q176" s="47"/>
      <c r="R176" s="7"/>
      <c r="S176" s="51"/>
      <c r="T176" s="51"/>
      <c r="U176" s="7"/>
      <c r="V176" s="57"/>
      <c r="W176" s="57"/>
      <c r="X176" s="57"/>
    </row>
    <row r="177" spans="1:24" ht="12.5" x14ac:dyDescent="0.25">
      <c r="A177" s="34"/>
      <c r="B177" s="7"/>
      <c r="C177" s="19"/>
      <c r="D177" s="7"/>
      <c r="E177" s="7"/>
      <c r="F177" s="7"/>
      <c r="G177" s="7"/>
      <c r="H177" s="6"/>
      <c r="I177" s="7"/>
      <c r="J177" s="7"/>
      <c r="K177" s="7"/>
      <c r="L177" s="7"/>
      <c r="M177" s="52"/>
      <c r="N177" s="7"/>
      <c r="O177" s="7"/>
      <c r="P177" s="47"/>
      <c r="Q177" s="47"/>
      <c r="R177" s="7"/>
      <c r="S177" s="51"/>
      <c r="T177" s="51"/>
      <c r="U177" s="7"/>
      <c r="V177" s="57"/>
      <c r="W177" s="57"/>
      <c r="X177" s="57"/>
    </row>
    <row r="178" spans="1:24" ht="12.5" x14ac:dyDescent="0.25">
      <c r="A178" s="34"/>
      <c r="B178" s="7"/>
      <c r="C178" s="19"/>
      <c r="D178" s="7"/>
      <c r="E178" s="7"/>
      <c r="F178" s="7"/>
      <c r="G178" s="7"/>
      <c r="H178" s="6"/>
      <c r="I178" s="7"/>
      <c r="J178" s="7"/>
      <c r="K178" s="7"/>
      <c r="L178" s="7"/>
      <c r="M178" s="52"/>
      <c r="N178" s="7"/>
      <c r="O178" s="7"/>
      <c r="P178" s="47"/>
      <c r="Q178" s="47"/>
      <c r="R178" s="7"/>
      <c r="S178" s="51"/>
      <c r="T178" s="51"/>
      <c r="U178" s="7"/>
      <c r="V178" s="57"/>
      <c r="W178" s="57"/>
      <c r="X178" s="57"/>
    </row>
    <row r="179" spans="1:24" ht="12.5" x14ac:dyDescent="0.25">
      <c r="A179" s="34"/>
      <c r="B179" s="7"/>
      <c r="C179" s="19"/>
      <c r="D179" s="7"/>
      <c r="E179" s="7"/>
      <c r="F179" s="7"/>
      <c r="G179" s="7"/>
      <c r="H179" s="6"/>
      <c r="I179" s="7"/>
      <c r="J179" s="7"/>
      <c r="K179" s="7"/>
      <c r="L179" s="7"/>
      <c r="M179" s="52"/>
      <c r="N179" s="7"/>
      <c r="O179" s="7"/>
      <c r="P179" s="47"/>
      <c r="Q179" s="47"/>
      <c r="R179" s="7"/>
      <c r="S179" s="51"/>
      <c r="T179" s="51"/>
      <c r="U179" s="7"/>
      <c r="V179" s="57"/>
      <c r="W179" s="57"/>
      <c r="X179" s="57"/>
    </row>
    <row r="180" spans="1:24" ht="12.5" x14ac:dyDescent="0.25">
      <c r="A180" s="34"/>
      <c r="B180" s="7"/>
      <c r="C180" s="19"/>
      <c r="D180" s="7"/>
      <c r="E180" s="7"/>
      <c r="F180" s="7"/>
      <c r="G180" s="7"/>
      <c r="H180" s="6"/>
      <c r="I180" s="7"/>
      <c r="J180" s="7"/>
      <c r="K180" s="7"/>
      <c r="L180" s="7"/>
      <c r="M180" s="52"/>
      <c r="N180" s="7"/>
      <c r="O180" s="7"/>
      <c r="P180" s="47"/>
      <c r="Q180" s="47"/>
      <c r="R180" s="7"/>
      <c r="S180" s="51"/>
      <c r="T180" s="51"/>
      <c r="U180" s="7"/>
      <c r="V180" s="57"/>
      <c r="W180" s="57"/>
      <c r="X180" s="57"/>
    </row>
    <row r="181" spans="1:24" ht="12.5" x14ac:dyDescent="0.25">
      <c r="A181" s="34"/>
      <c r="B181" s="7"/>
      <c r="C181" s="19"/>
      <c r="D181" s="7"/>
      <c r="E181" s="7"/>
      <c r="F181" s="7"/>
      <c r="G181" s="7"/>
      <c r="H181" s="6"/>
      <c r="I181" s="7"/>
      <c r="J181" s="7"/>
      <c r="K181" s="7"/>
      <c r="L181" s="7"/>
      <c r="M181" s="52"/>
      <c r="N181" s="7"/>
      <c r="O181" s="7"/>
      <c r="P181" s="47"/>
      <c r="Q181" s="47"/>
      <c r="R181" s="7"/>
      <c r="S181" s="51"/>
      <c r="T181" s="51"/>
      <c r="U181" s="7"/>
      <c r="V181" s="57"/>
      <c r="W181" s="57"/>
      <c r="X181" s="57"/>
    </row>
    <row r="182" spans="1:24" ht="12.5" x14ac:dyDescent="0.25">
      <c r="A182" s="34"/>
      <c r="B182" s="7"/>
      <c r="C182" s="19"/>
      <c r="D182" s="7"/>
      <c r="E182" s="7"/>
      <c r="F182" s="7"/>
      <c r="G182" s="7"/>
      <c r="H182" s="6"/>
      <c r="I182" s="7"/>
      <c r="J182" s="7"/>
      <c r="K182" s="7"/>
      <c r="L182" s="7"/>
      <c r="M182" s="52"/>
      <c r="N182" s="7"/>
      <c r="O182" s="7"/>
      <c r="P182" s="47"/>
      <c r="Q182" s="47"/>
      <c r="R182" s="7"/>
      <c r="S182" s="51"/>
      <c r="T182" s="51"/>
      <c r="U182" s="7"/>
      <c r="V182" s="57"/>
      <c r="W182" s="57"/>
      <c r="X182" s="57"/>
    </row>
    <row r="183" spans="1:24" ht="12.5" x14ac:dyDescent="0.25">
      <c r="A183" s="34"/>
      <c r="B183" s="7"/>
      <c r="C183" s="19"/>
      <c r="D183" s="7"/>
      <c r="E183" s="7"/>
      <c r="F183" s="7"/>
      <c r="G183" s="7"/>
      <c r="H183" s="6"/>
      <c r="I183" s="7"/>
      <c r="J183" s="7"/>
      <c r="K183" s="7"/>
      <c r="L183" s="7"/>
      <c r="M183" s="52"/>
      <c r="N183" s="7"/>
      <c r="O183" s="7"/>
      <c r="P183" s="47"/>
      <c r="Q183" s="47"/>
      <c r="R183" s="7"/>
      <c r="S183" s="51"/>
      <c r="T183" s="51"/>
      <c r="U183" s="7"/>
      <c r="V183" s="57"/>
      <c r="W183" s="57"/>
      <c r="X183" s="57"/>
    </row>
    <row r="184" spans="1:24" ht="12.5" x14ac:dyDescent="0.25">
      <c r="A184" s="34"/>
      <c r="B184" s="7"/>
      <c r="C184" s="19"/>
      <c r="D184" s="7"/>
      <c r="E184" s="7"/>
      <c r="F184" s="7"/>
      <c r="G184" s="7"/>
      <c r="H184" s="6"/>
      <c r="I184" s="7"/>
      <c r="J184" s="7"/>
      <c r="K184" s="7"/>
      <c r="L184" s="7"/>
      <c r="M184" s="52"/>
      <c r="N184" s="7"/>
      <c r="O184" s="7"/>
      <c r="P184" s="47"/>
      <c r="Q184" s="47"/>
      <c r="R184" s="7"/>
      <c r="S184" s="51"/>
      <c r="T184" s="51"/>
      <c r="U184" s="7"/>
      <c r="V184" s="57"/>
      <c r="W184" s="57"/>
      <c r="X184" s="57"/>
    </row>
    <row r="185" spans="1:24" ht="12.5" x14ac:dyDescent="0.25">
      <c r="A185" s="34"/>
      <c r="B185" s="7"/>
      <c r="C185" s="19"/>
      <c r="D185" s="7"/>
      <c r="E185" s="7"/>
      <c r="F185" s="7"/>
      <c r="G185" s="7"/>
      <c r="H185" s="6"/>
      <c r="I185" s="7"/>
      <c r="J185" s="7"/>
      <c r="K185" s="7"/>
      <c r="L185" s="7"/>
      <c r="M185" s="52"/>
      <c r="N185" s="7"/>
      <c r="O185" s="7"/>
      <c r="P185" s="47"/>
      <c r="Q185" s="47"/>
      <c r="R185" s="7"/>
      <c r="S185" s="51"/>
      <c r="T185" s="51"/>
      <c r="U185" s="7"/>
      <c r="V185" s="57"/>
      <c r="W185" s="57"/>
      <c r="X185" s="57"/>
    </row>
    <row r="186" spans="1:24" ht="12.5" x14ac:dyDescent="0.25">
      <c r="A186" s="34"/>
      <c r="B186" s="7"/>
      <c r="C186" s="19"/>
      <c r="D186" s="7"/>
      <c r="E186" s="7"/>
      <c r="F186" s="7"/>
      <c r="G186" s="7"/>
      <c r="H186" s="6"/>
      <c r="I186" s="7"/>
      <c r="J186" s="7"/>
      <c r="K186" s="7"/>
      <c r="L186" s="7"/>
      <c r="M186" s="52"/>
      <c r="N186" s="7"/>
      <c r="O186" s="7"/>
      <c r="P186" s="47"/>
      <c r="Q186" s="47"/>
      <c r="R186" s="7"/>
      <c r="S186" s="51"/>
      <c r="T186" s="51"/>
      <c r="U186" s="7"/>
      <c r="V186" s="57"/>
      <c r="W186" s="57"/>
      <c r="X186" s="57"/>
    </row>
    <row r="187" spans="1:24" ht="12.5" x14ac:dyDescent="0.25">
      <c r="A187" s="34"/>
      <c r="B187" s="7"/>
      <c r="C187" s="19"/>
      <c r="D187" s="7"/>
      <c r="E187" s="7"/>
      <c r="F187" s="7"/>
      <c r="G187" s="7"/>
      <c r="H187" s="6"/>
      <c r="I187" s="7"/>
      <c r="J187" s="7"/>
      <c r="K187" s="7"/>
      <c r="L187" s="7"/>
      <c r="M187" s="52"/>
      <c r="N187" s="7"/>
      <c r="O187" s="7"/>
      <c r="P187" s="47"/>
      <c r="Q187" s="47"/>
      <c r="R187" s="7"/>
      <c r="S187" s="51"/>
      <c r="T187" s="51"/>
      <c r="U187" s="7"/>
      <c r="V187" s="57"/>
      <c r="W187" s="57"/>
      <c r="X187" s="57"/>
    </row>
    <row r="188" spans="1:24" ht="12.5" x14ac:dyDescent="0.25">
      <c r="A188" s="34"/>
      <c r="B188" s="7"/>
      <c r="C188" s="19"/>
      <c r="D188" s="7"/>
      <c r="E188" s="7"/>
      <c r="F188" s="7"/>
      <c r="G188" s="7"/>
      <c r="H188" s="6"/>
      <c r="I188" s="7"/>
      <c r="J188" s="7"/>
      <c r="K188" s="7"/>
      <c r="L188" s="7"/>
      <c r="M188" s="52"/>
      <c r="N188" s="7"/>
      <c r="O188" s="7"/>
      <c r="P188" s="47"/>
      <c r="Q188" s="47"/>
      <c r="R188" s="7"/>
      <c r="S188" s="51"/>
      <c r="T188" s="51"/>
      <c r="U188" s="7"/>
      <c r="V188" s="57"/>
      <c r="W188" s="57"/>
      <c r="X188" s="57"/>
    </row>
    <row r="189" spans="1:24" ht="12.5" x14ac:dyDescent="0.25">
      <c r="A189" s="34"/>
      <c r="B189" s="7"/>
      <c r="C189" s="19"/>
      <c r="D189" s="7"/>
      <c r="E189" s="7"/>
      <c r="F189" s="7"/>
      <c r="G189" s="7"/>
      <c r="H189" s="6"/>
      <c r="I189" s="7"/>
      <c r="J189" s="7"/>
      <c r="K189" s="7"/>
      <c r="L189" s="7"/>
      <c r="M189" s="52"/>
      <c r="N189" s="7"/>
      <c r="O189" s="7"/>
      <c r="P189" s="47"/>
      <c r="Q189" s="47"/>
      <c r="R189" s="7"/>
      <c r="S189" s="51"/>
      <c r="T189" s="51"/>
      <c r="U189" s="7"/>
      <c r="V189" s="57"/>
      <c r="W189" s="57"/>
      <c r="X189" s="57"/>
    </row>
    <row r="190" spans="1:24" ht="12.5" x14ac:dyDescent="0.25">
      <c r="A190" s="34"/>
      <c r="B190" s="7"/>
      <c r="C190" s="19"/>
      <c r="D190" s="7"/>
      <c r="E190" s="7"/>
      <c r="F190" s="7"/>
      <c r="G190" s="7"/>
      <c r="H190" s="6"/>
      <c r="I190" s="7"/>
      <c r="J190" s="7"/>
      <c r="K190" s="7"/>
      <c r="L190" s="7"/>
      <c r="M190" s="52"/>
      <c r="N190" s="7"/>
      <c r="O190" s="7"/>
      <c r="P190" s="47"/>
      <c r="Q190" s="47"/>
      <c r="R190" s="7"/>
      <c r="S190" s="51"/>
      <c r="T190" s="51"/>
      <c r="U190" s="7"/>
      <c r="V190" s="57"/>
      <c r="W190" s="57"/>
      <c r="X190" s="57"/>
    </row>
    <row r="191" spans="1:24" ht="12.5" x14ac:dyDescent="0.25">
      <c r="A191" s="34"/>
      <c r="B191" s="7"/>
      <c r="C191" s="19"/>
      <c r="D191" s="7"/>
      <c r="E191" s="7"/>
      <c r="F191" s="7"/>
      <c r="G191" s="7"/>
      <c r="H191" s="6"/>
      <c r="I191" s="7"/>
      <c r="J191" s="7"/>
      <c r="K191" s="7"/>
      <c r="L191" s="7"/>
      <c r="M191" s="52"/>
      <c r="N191" s="7"/>
      <c r="O191" s="7"/>
      <c r="P191" s="47"/>
      <c r="Q191" s="47"/>
      <c r="R191" s="7"/>
      <c r="S191" s="51"/>
      <c r="T191" s="51"/>
      <c r="U191" s="7"/>
      <c r="V191" s="57"/>
      <c r="W191" s="57"/>
      <c r="X191" s="57"/>
    </row>
    <row r="192" spans="1:24" ht="12.5" x14ac:dyDescent="0.25">
      <c r="A192" s="34"/>
      <c r="B192" s="7"/>
      <c r="C192" s="19"/>
      <c r="D192" s="7"/>
      <c r="E192" s="7"/>
      <c r="F192" s="7"/>
      <c r="G192" s="7"/>
      <c r="H192" s="6"/>
      <c r="I192" s="7"/>
      <c r="J192" s="7"/>
      <c r="K192" s="7"/>
      <c r="L192" s="7"/>
      <c r="M192" s="52"/>
      <c r="N192" s="7"/>
      <c r="O192" s="7"/>
      <c r="P192" s="47"/>
      <c r="Q192" s="47"/>
      <c r="R192" s="7"/>
      <c r="S192" s="51"/>
      <c r="T192" s="51"/>
      <c r="U192" s="7"/>
      <c r="V192" s="57"/>
      <c r="W192" s="57"/>
      <c r="X192" s="57"/>
    </row>
    <row r="193" spans="1:24" ht="12.5" x14ac:dyDescent="0.25">
      <c r="A193" s="34"/>
      <c r="B193" s="7"/>
      <c r="C193" s="19"/>
      <c r="D193" s="7"/>
      <c r="E193" s="7"/>
      <c r="F193" s="7"/>
      <c r="G193" s="7"/>
      <c r="H193" s="6"/>
      <c r="I193" s="7"/>
      <c r="J193" s="7"/>
      <c r="K193" s="7"/>
      <c r="L193" s="7"/>
      <c r="M193" s="52"/>
      <c r="N193" s="7"/>
      <c r="O193" s="7"/>
      <c r="P193" s="47"/>
      <c r="Q193" s="47"/>
      <c r="R193" s="7"/>
      <c r="S193" s="51"/>
      <c r="T193" s="51"/>
      <c r="U193" s="7"/>
      <c r="V193" s="57"/>
      <c r="W193" s="57"/>
      <c r="X193" s="57"/>
    </row>
    <row r="194" spans="1:24" ht="12.5" x14ac:dyDescent="0.25">
      <c r="A194" s="34"/>
      <c r="B194" s="7"/>
      <c r="C194" s="19"/>
      <c r="D194" s="7"/>
      <c r="E194" s="7"/>
      <c r="F194" s="7"/>
      <c r="G194" s="7"/>
      <c r="H194" s="6"/>
      <c r="I194" s="7"/>
      <c r="J194" s="7"/>
      <c r="K194" s="7"/>
      <c r="L194" s="7"/>
      <c r="M194" s="52"/>
      <c r="N194" s="7"/>
      <c r="O194" s="7"/>
      <c r="P194" s="47"/>
      <c r="Q194" s="47"/>
      <c r="R194" s="7"/>
      <c r="S194" s="51"/>
      <c r="T194" s="51"/>
      <c r="U194" s="7"/>
      <c r="V194" s="57"/>
      <c r="W194" s="57"/>
      <c r="X194" s="57"/>
    </row>
    <row r="195" spans="1:24" ht="12.5" x14ac:dyDescent="0.25">
      <c r="A195" s="34"/>
      <c r="B195" s="7"/>
      <c r="C195" s="19"/>
      <c r="D195" s="7"/>
      <c r="E195" s="7"/>
      <c r="F195" s="7"/>
      <c r="G195" s="7"/>
      <c r="H195" s="6"/>
      <c r="I195" s="7"/>
      <c r="J195" s="7"/>
      <c r="K195" s="7"/>
      <c r="L195" s="7"/>
      <c r="M195" s="52"/>
      <c r="N195" s="7"/>
      <c r="O195" s="7"/>
      <c r="P195" s="47"/>
      <c r="Q195" s="47"/>
      <c r="R195" s="7"/>
      <c r="S195" s="51"/>
      <c r="T195" s="51"/>
      <c r="U195" s="7"/>
      <c r="V195" s="57"/>
      <c r="W195" s="57"/>
      <c r="X195" s="57"/>
    </row>
    <row r="196" spans="1:24" ht="12.5" x14ac:dyDescent="0.25">
      <c r="A196" s="34"/>
      <c r="B196" s="7"/>
      <c r="C196" s="19"/>
      <c r="D196" s="7"/>
      <c r="E196" s="7"/>
      <c r="F196" s="7"/>
      <c r="G196" s="7"/>
      <c r="H196" s="6"/>
      <c r="I196" s="7"/>
      <c r="J196" s="7"/>
      <c r="K196" s="7"/>
      <c r="L196" s="7"/>
      <c r="M196" s="52"/>
      <c r="N196" s="7"/>
      <c r="O196" s="7"/>
      <c r="P196" s="47"/>
      <c r="Q196" s="47"/>
      <c r="R196" s="7"/>
      <c r="S196" s="51"/>
      <c r="T196" s="51"/>
      <c r="U196" s="7"/>
      <c r="V196" s="57"/>
      <c r="W196" s="57"/>
      <c r="X196" s="57"/>
    </row>
    <row r="197" spans="1:24" ht="12.5" x14ac:dyDescent="0.25">
      <c r="A197" s="34"/>
      <c r="B197" s="7"/>
      <c r="C197" s="19"/>
      <c r="D197" s="7"/>
      <c r="E197" s="7"/>
      <c r="F197" s="7"/>
      <c r="G197" s="7"/>
      <c r="H197" s="6"/>
      <c r="I197" s="7"/>
      <c r="J197" s="7"/>
      <c r="K197" s="7"/>
      <c r="L197" s="7"/>
      <c r="M197" s="52"/>
      <c r="N197" s="7"/>
      <c r="O197" s="7"/>
      <c r="P197" s="47"/>
      <c r="Q197" s="47"/>
      <c r="R197" s="7"/>
      <c r="S197" s="51"/>
      <c r="T197" s="51"/>
      <c r="U197" s="7"/>
      <c r="V197" s="57"/>
      <c r="W197" s="57"/>
      <c r="X197" s="57"/>
    </row>
    <row r="198" spans="1:24" ht="12.5" x14ac:dyDescent="0.25">
      <c r="A198" s="34"/>
      <c r="B198" s="7"/>
      <c r="C198" s="19"/>
      <c r="D198" s="7"/>
      <c r="E198" s="7"/>
      <c r="F198" s="7"/>
      <c r="G198" s="7"/>
      <c r="H198" s="6"/>
      <c r="I198" s="7"/>
      <c r="J198" s="7"/>
      <c r="K198" s="7"/>
      <c r="L198" s="7"/>
      <c r="M198" s="52"/>
      <c r="N198" s="7"/>
      <c r="O198" s="7"/>
      <c r="P198" s="47"/>
      <c r="Q198" s="47"/>
      <c r="R198" s="7"/>
      <c r="S198" s="51"/>
      <c r="T198" s="51"/>
      <c r="U198" s="7"/>
      <c r="V198" s="57"/>
      <c r="W198" s="57"/>
      <c r="X198" s="57"/>
    </row>
    <row r="199" spans="1:24" ht="12.5" x14ac:dyDescent="0.25">
      <c r="A199" s="34"/>
      <c r="B199" s="7"/>
      <c r="C199" s="19"/>
      <c r="D199" s="7"/>
      <c r="E199" s="7"/>
      <c r="F199" s="7"/>
      <c r="G199" s="7"/>
      <c r="H199" s="6"/>
      <c r="I199" s="7"/>
      <c r="J199" s="7"/>
      <c r="K199" s="7"/>
      <c r="L199" s="7"/>
      <c r="M199" s="52"/>
      <c r="N199" s="7"/>
      <c r="O199" s="7"/>
      <c r="P199" s="47"/>
      <c r="Q199" s="47"/>
      <c r="R199" s="7"/>
      <c r="S199" s="51"/>
      <c r="T199" s="51"/>
      <c r="U199" s="7"/>
      <c r="V199" s="57"/>
      <c r="W199" s="57"/>
      <c r="X199" s="57"/>
    </row>
    <row r="200" spans="1:24" ht="12.5" x14ac:dyDescent="0.25">
      <c r="A200" s="34"/>
      <c r="B200" s="7"/>
      <c r="C200" s="19"/>
      <c r="D200" s="7"/>
      <c r="E200" s="7"/>
      <c r="F200" s="7"/>
      <c r="G200" s="7"/>
      <c r="H200" s="6"/>
      <c r="I200" s="7"/>
      <c r="J200" s="7"/>
      <c r="K200" s="7"/>
      <c r="L200" s="7"/>
      <c r="M200" s="52"/>
      <c r="N200" s="7"/>
      <c r="O200" s="7"/>
      <c r="P200" s="47"/>
      <c r="Q200" s="47"/>
      <c r="R200" s="7"/>
      <c r="S200" s="51"/>
      <c r="T200" s="51"/>
      <c r="U200" s="7"/>
      <c r="V200" s="57"/>
      <c r="W200" s="57"/>
      <c r="X200" s="57"/>
    </row>
    <row r="201" spans="1:24" ht="12.5" x14ac:dyDescent="0.25">
      <c r="A201" s="34"/>
      <c r="B201" s="7"/>
      <c r="C201" s="19"/>
      <c r="D201" s="7"/>
      <c r="E201" s="7"/>
      <c r="F201" s="7"/>
      <c r="G201" s="7"/>
      <c r="H201" s="6"/>
      <c r="I201" s="7"/>
      <c r="J201" s="7"/>
      <c r="K201" s="7"/>
      <c r="L201" s="7"/>
      <c r="M201" s="52"/>
      <c r="N201" s="7"/>
      <c r="O201" s="7"/>
      <c r="P201" s="47"/>
      <c r="Q201" s="47"/>
      <c r="R201" s="7"/>
      <c r="S201" s="51"/>
      <c r="T201" s="51"/>
      <c r="U201" s="7"/>
      <c r="V201" s="57"/>
      <c r="W201" s="57"/>
      <c r="X201" s="57"/>
    </row>
    <row r="202" spans="1:24" ht="12.5" x14ac:dyDescent="0.25">
      <c r="A202" s="34"/>
      <c r="B202" s="7"/>
      <c r="C202" s="19"/>
      <c r="D202" s="7"/>
      <c r="E202" s="7"/>
      <c r="F202" s="7"/>
      <c r="G202" s="7"/>
      <c r="H202" s="6"/>
      <c r="I202" s="7"/>
      <c r="J202" s="7"/>
      <c r="K202" s="7"/>
      <c r="L202" s="7"/>
      <c r="M202" s="52"/>
      <c r="N202" s="7"/>
      <c r="O202" s="7"/>
      <c r="P202" s="47"/>
      <c r="Q202" s="47"/>
      <c r="R202" s="7"/>
      <c r="S202" s="51"/>
      <c r="T202" s="51"/>
      <c r="U202" s="7"/>
      <c r="V202" s="57"/>
      <c r="W202" s="57"/>
      <c r="X202" s="57"/>
    </row>
    <row r="203" spans="1:24" ht="12.5" x14ac:dyDescent="0.25">
      <c r="A203" s="34"/>
      <c r="B203" s="7"/>
      <c r="C203" s="19"/>
      <c r="D203" s="7"/>
      <c r="E203" s="7"/>
      <c r="F203" s="7"/>
      <c r="G203" s="7"/>
      <c r="H203" s="6"/>
      <c r="I203" s="7"/>
      <c r="J203" s="7"/>
      <c r="K203" s="7"/>
      <c r="L203" s="7"/>
      <c r="M203" s="52"/>
      <c r="N203" s="7"/>
      <c r="O203" s="7"/>
      <c r="P203" s="47"/>
      <c r="Q203" s="47"/>
      <c r="R203" s="7"/>
      <c r="S203" s="51"/>
      <c r="T203" s="51"/>
      <c r="U203" s="7"/>
      <c r="V203" s="57"/>
      <c r="W203" s="57"/>
      <c r="X203" s="57"/>
    </row>
    <row r="204" spans="1:24" ht="12.5" x14ac:dyDescent="0.25">
      <c r="A204" s="34"/>
      <c r="B204" s="7"/>
      <c r="C204" s="19"/>
      <c r="D204" s="7"/>
      <c r="E204" s="7"/>
      <c r="F204" s="7"/>
      <c r="G204" s="7"/>
      <c r="H204" s="6"/>
      <c r="I204" s="7"/>
      <c r="J204" s="7"/>
      <c r="K204" s="7"/>
      <c r="L204" s="7"/>
      <c r="M204" s="52"/>
      <c r="N204" s="7"/>
      <c r="O204" s="7"/>
      <c r="P204" s="47"/>
      <c r="Q204" s="47"/>
      <c r="R204" s="7"/>
      <c r="S204" s="51"/>
      <c r="T204" s="51"/>
      <c r="U204" s="7"/>
      <c r="V204" s="57"/>
      <c r="W204" s="57"/>
      <c r="X204" s="57"/>
    </row>
    <row r="205" spans="1:24" ht="12.5" x14ac:dyDescent="0.25">
      <c r="A205" s="34"/>
      <c r="B205" s="7"/>
      <c r="C205" s="19"/>
      <c r="D205" s="7"/>
      <c r="E205" s="7"/>
      <c r="F205" s="7"/>
      <c r="G205" s="7"/>
      <c r="H205" s="6"/>
      <c r="I205" s="7"/>
      <c r="J205" s="7"/>
      <c r="K205" s="7"/>
      <c r="L205" s="7"/>
      <c r="M205" s="52"/>
      <c r="N205" s="7"/>
      <c r="O205" s="7"/>
      <c r="P205" s="47"/>
      <c r="Q205" s="47"/>
      <c r="R205" s="7"/>
      <c r="S205" s="51"/>
      <c r="T205" s="51"/>
      <c r="U205" s="7"/>
      <c r="V205" s="57"/>
      <c r="W205" s="57"/>
      <c r="X205" s="57"/>
    </row>
    <row r="206" spans="1:24" ht="12.5" x14ac:dyDescent="0.25">
      <c r="A206" s="34"/>
      <c r="B206" s="7"/>
      <c r="C206" s="19"/>
      <c r="D206" s="7"/>
      <c r="E206" s="7"/>
      <c r="F206" s="7"/>
      <c r="G206" s="7"/>
      <c r="H206" s="6"/>
      <c r="I206" s="7"/>
      <c r="J206" s="7"/>
      <c r="K206" s="7"/>
      <c r="L206" s="7"/>
      <c r="M206" s="52"/>
      <c r="N206" s="7"/>
      <c r="O206" s="7"/>
      <c r="P206" s="47"/>
      <c r="Q206" s="47"/>
      <c r="R206" s="7"/>
      <c r="S206" s="51"/>
      <c r="T206" s="51"/>
      <c r="U206" s="7"/>
      <c r="V206" s="57"/>
      <c r="W206" s="57"/>
      <c r="X206" s="57"/>
    </row>
    <row r="207" spans="1:24" ht="12.5" x14ac:dyDescent="0.25">
      <c r="A207" s="34"/>
      <c r="B207" s="7"/>
      <c r="C207" s="19"/>
      <c r="D207" s="7"/>
      <c r="E207" s="7"/>
      <c r="F207" s="7"/>
      <c r="G207" s="7"/>
      <c r="H207" s="6"/>
      <c r="I207" s="7"/>
      <c r="J207" s="7"/>
      <c r="K207" s="7"/>
      <c r="L207" s="7"/>
      <c r="M207" s="52"/>
      <c r="N207" s="7"/>
      <c r="O207" s="7"/>
      <c r="P207" s="47"/>
      <c r="Q207" s="47"/>
      <c r="R207" s="7"/>
      <c r="S207" s="51"/>
      <c r="T207" s="51"/>
      <c r="U207" s="7"/>
      <c r="V207" s="57"/>
      <c r="W207" s="57"/>
      <c r="X207" s="57"/>
    </row>
    <row r="208" spans="1:24" ht="12.5" x14ac:dyDescent="0.25">
      <c r="A208" s="34"/>
      <c r="B208" s="7"/>
      <c r="C208" s="19"/>
      <c r="D208" s="7"/>
      <c r="E208" s="7"/>
      <c r="F208" s="7"/>
      <c r="G208" s="7"/>
      <c r="H208" s="6"/>
      <c r="I208" s="7"/>
      <c r="J208" s="7"/>
      <c r="K208" s="7"/>
      <c r="L208" s="7"/>
      <c r="M208" s="52"/>
      <c r="N208" s="7"/>
      <c r="O208" s="7"/>
      <c r="P208" s="47"/>
      <c r="Q208" s="47"/>
      <c r="R208" s="7"/>
      <c r="S208" s="51"/>
      <c r="T208" s="51"/>
      <c r="U208" s="7"/>
      <c r="V208" s="57"/>
      <c r="W208" s="57"/>
      <c r="X208" s="57"/>
    </row>
    <row r="209" spans="1:24" ht="12.5" x14ac:dyDescent="0.25">
      <c r="A209" s="34"/>
      <c r="B209" s="7"/>
      <c r="C209" s="19"/>
      <c r="D209" s="7"/>
      <c r="E209" s="7"/>
      <c r="F209" s="7"/>
      <c r="G209" s="7"/>
      <c r="H209" s="6"/>
      <c r="I209" s="7"/>
      <c r="J209" s="7"/>
      <c r="K209" s="7"/>
      <c r="L209" s="7"/>
      <c r="M209" s="52"/>
      <c r="N209" s="7"/>
      <c r="O209" s="7"/>
      <c r="P209" s="47"/>
      <c r="Q209" s="47"/>
      <c r="R209" s="7"/>
      <c r="S209" s="51"/>
      <c r="T209" s="51"/>
      <c r="U209" s="7"/>
      <c r="V209" s="57"/>
      <c r="W209" s="57"/>
      <c r="X209" s="57"/>
    </row>
    <row r="210" spans="1:24" ht="12.5" x14ac:dyDescent="0.25">
      <c r="A210" s="34"/>
      <c r="B210" s="7"/>
      <c r="C210" s="19"/>
      <c r="D210" s="7"/>
      <c r="E210" s="7"/>
      <c r="F210" s="7"/>
      <c r="G210" s="7"/>
      <c r="H210" s="6"/>
      <c r="I210" s="7"/>
      <c r="J210" s="7"/>
      <c r="K210" s="7"/>
      <c r="L210" s="7"/>
      <c r="M210" s="52"/>
      <c r="N210" s="7"/>
      <c r="O210" s="7"/>
      <c r="P210" s="47"/>
      <c r="Q210" s="47"/>
      <c r="R210" s="7"/>
      <c r="S210" s="51"/>
      <c r="T210" s="51"/>
      <c r="U210" s="7"/>
      <c r="V210" s="57"/>
      <c r="W210" s="57"/>
      <c r="X210" s="57"/>
    </row>
    <row r="211" spans="1:24" ht="12.5" x14ac:dyDescent="0.25">
      <c r="A211" s="34"/>
      <c r="B211" s="7"/>
      <c r="C211" s="19"/>
      <c r="D211" s="7"/>
      <c r="E211" s="7"/>
      <c r="F211" s="7"/>
      <c r="G211" s="7"/>
      <c r="H211" s="6"/>
      <c r="I211" s="7"/>
      <c r="J211" s="7"/>
      <c r="K211" s="7"/>
      <c r="L211" s="7"/>
      <c r="M211" s="52"/>
      <c r="N211" s="7"/>
      <c r="O211" s="7"/>
      <c r="P211" s="47"/>
      <c r="Q211" s="47"/>
      <c r="R211" s="7"/>
      <c r="S211" s="51"/>
      <c r="T211" s="51"/>
      <c r="U211" s="7"/>
      <c r="V211" s="57"/>
      <c r="W211" s="57"/>
      <c r="X211" s="57"/>
    </row>
    <row r="212" spans="1:24" ht="12.5" x14ac:dyDescent="0.25">
      <c r="A212" s="34"/>
      <c r="B212" s="7"/>
      <c r="C212" s="19"/>
      <c r="D212" s="7"/>
      <c r="E212" s="7"/>
      <c r="F212" s="7"/>
      <c r="G212" s="7"/>
      <c r="H212" s="6"/>
      <c r="I212" s="7"/>
      <c r="J212" s="7"/>
      <c r="K212" s="7"/>
      <c r="L212" s="7"/>
      <c r="M212" s="52"/>
      <c r="N212" s="7"/>
      <c r="O212" s="7"/>
      <c r="P212" s="47"/>
      <c r="Q212" s="47"/>
      <c r="R212" s="7"/>
      <c r="S212" s="51"/>
      <c r="T212" s="51"/>
      <c r="U212" s="7"/>
      <c r="V212" s="57"/>
      <c r="W212" s="57"/>
      <c r="X212" s="57"/>
    </row>
    <row r="213" spans="1:24" ht="12.5" x14ac:dyDescent="0.25">
      <c r="A213" s="34"/>
      <c r="B213" s="7"/>
      <c r="C213" s="19"/>
      <c r="D213" s="7"/>
      <c r="E213" s="7"/>
      <c r="F213" s="7"/>
      <c r="G213" s="7"/>
      <c r="H213" s="6"/>
      <c r="I213" s="7"/>
      <c r="J213" s="7"/>
      <c r="K213" s="7"/>
      <c r="L213" s="7"/>
      <c r="M213" s="52"/>
      <c r="N213" s="7"/>
      <c r="O213" s="7"/>
      <c r="P213" s="47"/>
      <c r="Q213" s="47"/>
      <c r="R213" s="7"/>
      <c r="S213" s="51"/>
      <c r="T213" s="51"/>
      <c r="U213" s="7"/>
      <c r="V213" s="57"/>
      <c r="W213" s="57"/>
      <c r="X213" s="57"/>
    </row>
    <row r="214" spans="1:24" ht="12.5" x14ac:dyDescent="0.25">
      <c r="A214" s="34"/>
      <c r="B214" s="7"/>
      <c r="C214" s="19"/>
      <c r="D214" s="7"/>
      <c r="E214" s="7"/>
      <c r="F214" s="7"/>
      <c r="G214" s="7"/>
      <c r="H214" s="6"/>
      <c r="I214" s="7"/>
      <c r="J214" s="7"/>
      <c r="K214" s="7"/>
      <c r="L214" s="7"/>
      <c r="M214" s="52"/>
      <c r="N214" s="7"/>
      <c r="O214" s="7"/>
      <c r="P214" s="47"/>
      <c r="Q214" s="47"/>
      <c r="R214" s="7"/>
      <c r="S214" s="51"/>
      <c r="T214" s="51"/>
      <c r="U214" s="7"/>
      <c r="V214" s="57"/>
      <c r="W214" s="57"/>
      <c r="X214" s="57"/>
    </row>
    <row r="215" spans="1:24" ht="12.5" x14ac:dyDescent="0.25">
      <c r="A215" s="34"/>
      <c r="B215" s="7"/>
      <c r="C215" s="19"/>
      <c r="D215" s="7"/>
      <c r="E215" s="7"/>
      <c r="F215" s="7"/>
      <c r="G215" s="7"/>
      <c r="H215" s="6"/>
      <c r="I215" s="7"/>
      <c r="J215" s="7"/>
      <c r="K215" s="7"/>
      <c r="L215" s="7"/>
      <c r="M215" s="52"/>
      <c r="N215" s="7"/>
      <c r="O215" s="7"/>
      <c r="P215" s="47"/>
      <c r="Q215" s="47"/>
      <c r="R215" s="7"/>
      <c r="S215" s="51"/>
      <c r="T215" s="51"/>
      <c r="U215" s="7"/>
      <c r="V215" s="57"/>
      <c r="W215" s="57"/>
      <c r="X215" s="57"/>
    </row>
    <row r="216" spans="1:24" ht="12.5" x14ac:dyDescent="0.25">
      <c r="A216" s="34"/>
      <c r="B216" s="7"/>
      <c r="C216" s="19"/>
      <c r="D216" s="7"/>
      <c r="E216" s="7"/>
      <c r="F216" s="7"/>
      <c r="G216" s="7"/>
      <c r="H216" s="6"/>
      <c r="I216" s="7"/>
      <c r="J216" s="7"/>
      <c r="K216" s="7"/>
      <c r="L216" s="7"/>
      <c r="M216" s="52"/>
      <c r="N216" s="7"/>
      <c r="O216" s="7"/>
      <c r="P216" s="47"/>
      <c r="Q216" s="47"/>
      <c r="R216" s="7"/>
      <c r="S216" s="51"/>
      <c r="T216" s="51"/>
      <c r="U216" s="7"/>
      <c r="V216" s="57"/>
      <c r="W216" s="57"/>
      <c r="X216" s="57"/>
    </row>
    <row r="217" spans="1:24" ht="12.5" x14ac:dyDescent="0.25">
      <c r="A217" s="34"/>
      <c r="B217" s="7"/>
      <c r="C217" s="19"/>
      <c r="D217" s="7"/>
      <c r="E217" s="7"/>
      <c r="F217" s="7"/>
      <c r="G217" s="7"/>
      <c r="H217" s="6"/>
      <c r="I217" s="7"/>
      <c r="J217" s="7"/>
      <c r="K217" s="7"/>
      <c r="L217" s="7"/>
      <c r="M217" s="52"/>
      <c r="N217" s="7"/>
      <c r="O217" s="7"/>
      <c r="P217" s="47"/>
      <c r="Q217" s="47"/>
      <c r="R217" s="7"/>
      <c r="S217" s="51"/>
      <c r="T217" s="51"/>
      <c r="U217" s="7"/>
      <c r="V217" s="57"/>
      <c r="W217" s="57"/>
      <c r="X217" s="57"/>
    </row>
    <row r="218" spans="1:24" ht="12.5" x14ac:dyDescent="0.25">
      <c r="A218" s="34"/>
      <c r="B218" s="7"/>
      <c r="C218" s="19"/>
      <c r="D218" s="7"/>
      <c r="E218" s="7"/>
      <c r="F218" s="7"/>
      <c r="G218" s="7"/>
      <c r="H218" s="6"/>
      <c r="I218" s="7"/>
      <c r="J218" s="7"/>
      <c r="K218" s="7"/>
      <c r="L218" s="7"/>
      <c r="M218" s="52"/>
      <c r="N218" s="7"/>
      <c r="O218" s="7"/>
      <c r="P218" s="47"/>
      <c r="Q218" s="47"/>
      <c r="R218" s="7"/>
      <c r="S218" s="51"/>
      <c r="T218" s="51"/>
      <c r="U218" s="7"/>
      <c r="V218" s="57"/>
      <c r="W218" s="57"/>
      <c r="X218" s="57"/>
    </row>
    <row r="219" spans="1:24" ht="12.5" x14ac:dyDescent="0.25">
      <c r="A219" s="34"/>
      <c r="B219" s="7"/>
      <c r="C219" s="19"/>
      <c r="D219" s="7"/>
      <c r="E219" s="7"/>
      <c r="F219" s="7"/>
      <c r="G219" s="7"/>
      <c r="H219" s="6"/>
      <c r="I219" s="7"/>
      <c r="J219" s="7"/>
      <c r="K219" s="7"/>
      <c r="L219" s="7"/>
      <c r="M219" s="52"/>
      <c r="N219" s="7"/>
      <c r="O219" s="7"/>
      <c r="P219" s="47"/>
      <c r="Q219" s="47"/>
      <c r="R219" s="7"/>
      <c r="S219" s="51"/>
      <c r="T219" s="51"/>
      <c r="U219" s="7"/>
      <c r="V219" s="57"/>
      <c r="W219" s="57"/>
      <c r="X219" s="57"/>
    </row>
    <row r="220" spans="1:24" ht="12.5" x14ac:dyDescent="0.25">
      <c r="A220" s="34"/>
      <c r="B220" s="7"/>
      <c r="C220" s="19"/>
      <c r="D220" s="7"/>
      <c r="E220" s="7"/>
      <c r="F220" s="7"/>
      <c r="G220" s="7"/>
      <c r="H220" s="6"/>
      <c r="I220" s="7"/>
      <c r="J220" s="7"/>
      <c r="K220" s="7"/>
      <c r="L220" s="7"/>
      <c r="M220" s="52"/>
      <c r="N220" s="7"/>
      <c r="O220" s="7"/>
      <c r="P220" s="47"/>
      <c r="Q220" s="47"/>
      <c r="R220" s="7"/>
      <c r="S220" s="51"/>
      <c r="T220" s="51"/>
      <c r="U220" s="7"/>
      <c r="V220" s="57"/>
      <c r="W220" s="57"/>
      <c r="X220" s="57"/>
    </row>
    <row r="221" spans="1:24" ht="12.5" x14ac:dyDescent="0.25">
      <c r="A221" s="34"/>
      <c r="B221" s="7"/>
      <c r="C221" s="19"/>
      <c r="D221" s="7"/>
      <c r="E221" s="7"/>
      <c r="F221" s="7"/>
      <c r="G221" s="7"/>
      <c r="H221" s="6"/>
      <c r="I221" s="7"/>
      <c r="J221" s="7"/>
      <c r="K221" s="7"/>
      <c r="L221" s="7"/>
      <c r="M221" s="52"/>
      <c r="N221" s="7"/>
      <c r="O221" s="7"/>
      <c r="P221" s="47"/>
      <c r="Q221" s="47"/>
      <c r="R221" s="7"/>
      <c r="S221" s="51"/>
      <c r="T221" s="51"/>
      <c r="U221" s="7"/>
      <c r="V221" s="57"/>
      <c r="W221" s="57"/>
      <c r="X221" s="57"/>
    </row>
    <row r="222" spans="1:24" ht="12.5" x14ac:dyDescent="0.25">
      <c r="A222" s="34"/>
      <c r="B222" s="7"/>
      <c r="C222" s="19"/>
      <c r="D222" s="7"/>
      <c r="E222" s="7"/>
      <c r="F222" s="7"/>
      <c r="G222" s="7"/>
      <c r="H222" s="6"/>
      <c r="I222" s="7"/>
      <c r="J222" s="7"/>
      <c r="K222" s="7"/>
      <c r="L222" s="7"/>
      <c r="M222" s="52"/>
      <c r="N222" s="7"/>
      <c r="O222" s="7"/>
      <c r="P222" s="47"/>
      <c r="Q222" s="47"/>
      <c r="R222" s="7"/>
      <c r="S222" s="51"/>
      <c r="T222" s="51"/>
      <c r="U222" s="7"/>
      <c r="V222" s="57"/>
      <c r="W222" s="57"/>
      <c r="X222" s="57"/>
    </row>
    <row r="223" spans="1:24" ht="12.5" x14ac:dyDescent="0.25">
      <c r="A223" s="34"/>
      <c r="B223" s="7"/>
      <c r="C223" s="19"/>
      <c r="D223" s="7"/>
      <c r="E223" s="7"/>
      <c r="F223" s="7"/>
      <c r="G223" s="7"/>
      <c r="H223" s="6"/>
      <c r="I223" s="7"/>
      <c r="J223" s="7"/>
      <c r="K223" s="7"/>
      <c r="L223" s="7"/>
      <c r="M223" s="52"/>
      <c r="N223" s="7"/>
      <c r="O223" s="7"/>
      <c r="P223" s="47"/>
      <c r="Q223" s="47"/>
      <c r="R223" s="7"/>
      <c r="S223" s="51"/>
      <c r="T223" s="51"/>
      <c r="U223" s="7"/>
      <c r="V223" s="57"/>
      <c r="W223" s="57"/>
      <c r="X223" s="57"/>
    </row>
    <row r="224" spans="1:24" ht="12.5" x14ac:dyDescent="0.25">
      <c r="A224" s="34"/>
      <c r="B224" s="7"/>
      <c r="C224" s="19"/>
      <c r="D224" s="7"/>
      <c r="E224" s="7"/>
      <c r="F224" s="7"/>
      <c r="G224" s="7"/>
      <c r="H224" s="6"/>
      <c r="I224" s="7"/>
      <c r="J224" s="7"/>
      <c r="K224" s="7"/>
      <c r="L224" s="7"/>
      <c r="M224" s="52"/>
      <c r="N224" s="7"/>
      <c r="O224" s="7"/>
      <c r="P224" s="47"/>
      <c r="Q224" s="47"/>
      <c r="R224" s="7"/>
      <c r="S224" s="51"/>
      <c r="T224" s="51"/>
      <c r="U224" s="7"/>
      <c r="V224" s="57"/>
      <c r="W224" s="57"/>
      <c r="X224" s="57"/>
    </row>
    <row r="225" spans="1:24" ht="12.5" x14ac:dyDescent="0.25">
      <c r="A225" s="34"/>
      <c r="B225" s="7"/>
      <c r="C225" s="19"/>
      <c r="D225" s="7"/>
      <c r="E225" s="7"/>
      <c r="F225" s="7"/>
      <c r="G225" s="7"/>
      <c r="H225" s="6"/>
      <c r="I225" s="7"/>
      <c r="J225" s="7"/>
      <c r="K225" s="7"/>
      <c r="L225" s="7"/>
      <c r="M225" s="52"/>
      <c r="N225" s="7"/>
      <c r="O225" s="7"/>
      <c r="P225" s="47"/>
      <c r="Q225" s="47"/>
      <c r="R225" s="7"/>
      <c r="S225" s="51"/>
      <c r="T225" s="51"/>
      <c r="U225" s="7"/>
      <c r="V225" s="57"/>
      <c r="W225" s="57"/>
      <c r="X225" s="57"/>
    </row>
    <row r="226" spans="1:24" ht="12.5" x14ac:dyDescent="0.25">
      <c r="A226" s="34"/>
      <c r="B226" s="7"/>
      <c r="C226" s="19"/>
      <c r="D226" s="7"/>
      <c r="E226" s="7"/>
      <c r="F226" s="7"/>
      <c r="G226" s="7"/>
      <c r="H226" s="6"/>
      <c r="I226" s="7"/>
      <c r="J226" s="7"/>
      <c r="K226" s="7"/>
      <c r="L226" s="7"/>
      <c r="M226" s="52"/>
      <c r="N226" s="7"/>
      <c r="O226" s="7"/>
      <c r="P226" s="47"/>
      <c r="Q226" s="47"/>
      <c r="R226" s="7"/>
      <c r="S226" s="51"/>
      <c r="T226" s="51"/>
      <c r="U226" s="7"/>
      <c r="V226" s="57"/>
      <c r="W226" s="57"/>
      <c r="X226" s="57"/>
    </row>
    <row r="227" spans="1:24" ht="12.5" x14ac:dyDescent="0.25">
      <c r="A227" s="34"/>
      <c r="B227" s="7"/>
      <c r="C227" s="19"/>
      <c r="D227" s="7"/>
      <c r="E227" s="7"/>
      <c r="F227" s="7"/>
      <c r="G227" s="7"/>
      <c r="H227" s="6"/>
      <c r="I227" s="7"/>
      <c r="J227" s="7"/>
      <c r="K227" s="7"/>
      <c r="L227" s="7"/>
      <c r="M227" s="52"/>
      <c r="N227" s="7"/>
      <c r="O227" s="7"/>
      <c r="P227" s="47"/>
      <c r="Q227" s="47"/>
      <c r="R227" s="7"/>
      <c r="S227" s="51"/>
      <c r="T227" s="51"/>
      <c r="U227" s="7"/>
      <c r="V227" s="57"/>
      <c r="W227" s="57"/>
      <c r="X227" s="57"/>
    </row>
    <row r="228" spans="1:24" ht="12.5" x14ac:dyDescent="0.25">
      <c r="A228" s="34"/>
      <c r="B228" s="7"/>
      <c r="C228" s="19"/>
      <c r="D228" s="7"/>
      <c r="E228" s="7"/>
      <c r="F228" s="7"/>
      <c r="G228" s="7"/>
      <c r="H228" s="6"/>
      <c r="I228" s="7"/>
      <c r="J228" s="7"/>
      <c r="K228" s="7"/>
      <c r="L228" s="7"/>
      <c r="M228" s="52"/>
      <c r="N228" s="7"/>
      <c r="O228" s="7"/>
      <c r="P228" s="47"/>
      <c r="Q228" s="47"/>
      <c r="R228" s="7"/>
      <c r="S228" s="51"/>
      <c r="T228" s="51"/>
      <c r="U228" s="7"/>
      <c r="V228" s="57"/>
      <c r="W228" s="57"/>
      <c r="X228" s="57"/>
    </row>
    <row r="229" spans="1:24" ht="12.5" x14ac:dyDescent="0.25">
      <c r="A229" s="34"/>
      <c r="B229" s="7"/>
      <c r="C229" s="19"/>
      <c r="D229" s="7"/>
      <c r="E229" s="7"/>
      <c r="F229" s="7"/>
      <c r="G229" s="7"/>
      <c r="H229" s="6"/>
      <c r="I229" s="7"/>
      <c r="J229" s="7"/>
      <c r="K229" s="7"/>
      <c r="L229" s="7"/>
      <c r="M229" s="52"/>
      <c r="N229" s="7"/>
      <c r="O229" s="7"/>
      <c r="P229" s="47"/>
      <c r="Q229" s="47"/>
      <c r="R229" s="7"/>
      <c r="S229" s="51"/>
      <c r="T229" s="51"/>
      <c r="U229" s="7"/>
      <c r="V229" s="57"/>
      <c r="W229" s="57"/>
      <c r="X229" s="57"/>
    </row>
    <row r="230" spans="1:24" ht="12.5" x14ac:dyDescent="0.25">
      <c r="A230" s="34"/>
      <c r="B230" s="7"/>
      <c r="C230" s="19"/>
      <c r="D230" s="7"/>
      <c r="E230" s="7"/>
      <c r="F230" s="7"/>
      <c r="G230" s="7"/>
      <c r="H230" s="6"/>
      <c r="I230" s="7"/>
      <c r="J230" s="7"/>
      <c r="K230" s="7"/>
      <c r="L230" s="7"/>
      <c r="M230" s="52"/>
      <c r="N230" s="7"/>
      <c r="O230" s="7"/>
      <c r="P230" s="47"/>
      <c r="Q230" s="47"/>
      <c r="R230" s="7"/>
      <c r="S230" s="51"/>
      <c r="T230" s="51"/>
      <c r="U230" s="7"/>
      <c r="V230" s="57"/>
      <c r="W230" s="57"/>
      <c r="X230" s="57"/>
    </row>
    <row r="231" spans="1:24" ht="12.5" x14ac:dyDescent="0.25">
      <c r="A231" s="34"/>
      <c r="B231" s="7"/>
      <c r="C231" s="19"/>
      <c r="D231" s="7"/>
      <c r="E231" s="7"/>
      <c r="F231" s="7"/>
      <c r="G231" s="7"/>
      <c r="H231" s="6"/>
      <c r="I231" s="7"/>
      <c r="J231" s="7"/>
      <c r="K231" s="7"/>
      <c r="L231" s="7"/>
      <c r="M231" s="52"/>
      <c r="N231" s="7"/>
      <c r="O231" s="7"/>
      <c r="P231" s="47"/>
      <c r="Q231" s="47"/>
      <c r="R231" s="7"/>
      <c r="S231" s="51"/>
      <c r="T231" s="51"/>
      <c r="U231" s="7"/>
      <c r="V231" s="57"/>
      <c r="W231" s="57"/>
      <c r="X231" s="57"/>
    </row>
    <row r="232" spans="1:24" ht="12.5" x14ac:dyDescent="0.25">
      <c r="A232" s="34"/>
      <c r="B232" s="7"/>
      <c r="C232" s="19"/>
      <c r="D232" s="7"/>
      <c r="E232" s="7"/>
      <c r="F232" s="7"/>
      <c r="G232" s="7"/>
      <c r="H232" s="6"/>
      <c r="I232" s="7"/>
      <c r="J232" s="7"/>
      <c r="K232" s="7"/>
      <c r="L232" s="7"/>
      <c r="M232" s="52"/>
      <c r="N232" s="7"/>
      <c r="O232" s="7"/>
      <c r="P232" s="47"/>
      <c r="Q232" s="47"/>
      <c r="R232" s="7"/>
      <c r="S232" s="51"/>
      <c r="T232" s="51"/>
      <c r="U232" s="7"/>
      <c r="V232" s="57"/>
      <c r="W232" s="57"/>
      <c r="X232" s="57"/>
    </row>
    <row r="233" spans="1:24" ht="12.5" x14ac:dyDescent="0.25">
      <c r="A233" s="34"/>
      <c r="B233" s="7"/>
      <c r="C233" s="19"/>
      <c r="D233" s="7"/>
      <c r="E233" s="7"/>
      <c r="F233" s="7"/>
      <c r="G233" s="7"/>
      <c r="H233" s="6"/>
      <c r="I233" s="7"/>
      <c r="J233" s="7"/>
      <c r="K233" s="7"/>
      <c r="L233" s="7"/>
      <c r="M233" s="52"/>
      <c r="N233" s="7"/>
      <c r="O233" s="7"/>
      <c r="P233" s="47"/>
      <c r="Q233" s="47"/>
      <c r="R233" s="7"/>
      <c r="S233" s="51"/>
      <c r="T233" s="51"/>
      <c r="U233" s="7"/>
      <c r="V233" s="57"/>
      <c r="W233" s="57"/>
      <c r="X233" s="57"/>
    </row>
    <row r="234" spans="1:24" ht="12.5" x14ac:dyDescent="0.25">
      <c r="A234" s="34"/>
      <c r="B234" s="7"/>
      <c r="C234" s="19"/>
      <c r="D234" s="7"/>
      <c r="E234" s="7"/>
      <c r="F234" s="7"/>
      <c r="G234" s="7"/>
      <c r="H234" s="6"/>
      <c r="I234" s="7"/>
      <c r="J234" s="7"/>
      <c r="K234" s="7"/>
      <c r="L234" s="7"/>
      <c r="M234" s="52"/>
      <c r="N234" s="7"/>
      <c r="O234" s="7"/>
      <c r="P234" s="47"/>
      <c r="Q234" s="47"/>
      <c r="R234" s="7"/>
      <c r="S234" s="51"/>
      <c r="T234" s="51"/>
      <c r="U234" s="7"/>
      <c r="V234" s="57"/>
      <c r="W234" s="57"/>
      <c r="X234" s="57"/>
    </row>
    <row r="235" spans="1:24" ht="12.5" x14ac:dyDescent="0.25">
      <c r="A235" s="34"/>
      <c r="B235" s="7"/>
      <c r="C235" s="19"/>
      <c r="D235" s="7"/>
      <c r="E235" s="7"/>
      <c r="F235" s="7"/>
      <c r="G235" s="7"/>
      <c r="H235" s="6"/>
      <c r="I235" s="7"/>
      <c r="J235" s="7"/>
      <c r="K235" s="7"/>
      <c r="L235" s="7"/>
      <c r="M235" s="52"/>
      <c r="N235" s="7"/>
      <c r="O235" s="7"/>
      <c r="P235" s="47"/>
      <c r="Q235" s="47"/>
      <c r="R235" s="7"/>
      <c r="S235" s="51"/>
      <c r="T235" s="51"/>
      <c r="U235" s="7"/>
      <c r="V235" s="57"/>
      <c r="W235" s="57"/>
      <c r="X235" s="57"/>
    </row>
    <row r="236" spans="1:24" ht="12.5" x14ac:dyDescent="0.25">
      <c r="A236" s="34"/>
      <c r="B236" s="7"/>
      <c r="C236" s="19"/>
      <c r="D236" s="7"/>
      <c r="E236" s="7"/>
      <c r="F236" s="7"/>
      <c r="G236" s="7"/>
      <c r="H236" s="6"/>
      <c r="I236" s="7"/>
      <c r="J236" s="7"/>
      <c r="K236" s="7"/>
      <c r="L236" s="7"/>
      <c r="M236" s="52"/>
      <c r="N236" s="7"/>
      <c r="O236" s="7"/>
      <c r="P236" s="47"/>
      <c r="Q236" s="47"/>
      <c r="R236" s="7"/>
      <c r="S236" s="51"/>
      <c r="T236" s="51"/>
      <c r="U236" s="7"/>
      <c r="V236" s="57"/>
      <c r="W236" s="57"/>
      <c r="X236" s="57"/>
    </row>
    <row r="237" spans="1:24" ht="12.5" x14ac:dyDescent="0.25">
      <c r="A237" s="34"/>
      <c r="B237" s="7"/>
      <c r="C237" s="19"/>
      <c r="D237" s="7"/>
      <c r="E237" s="7"/>
      <c r="F237" s="7"/>
      <c r="G237" s="7"/>
      <c r="H237" s="6"/>
      <c r="I237" s="7"/>
      <c r="J237" s="7"/>
      <c r="K237" s="7"/>
      <c r="L237" s="7"/>
      <c r="M237" s="52"/>
      <c r="N237" s="7"/>
      <c r="O237" s="7"/>
      <c r="P237" s="47"/>
      <c r="Q237" s="47"/>
      <c r="R237" s="7"/>
      <c r="S237" s="51"/>
      <c r="T237" s="51"/>
      <c r="U237" s="7"/>
      <c r="V237" s="57"/>
      <c r="W237" s="57"/>
      <c r="X237" s="57"/>
    </row>
    <row r="238" spans="1:24" ht="12.5" x14ac:dyDescent="0.25">
      <c r="A238" s="34"/>
      <c r="B238" s="7"/>
      <c r="C238" s="19"/>
      <c r="D238" s="7"/>
      <c r="E238" s="7"/>
      <c r="F238" s="7"/>
      <c r="G238" s="7"/>
      <c r="H238" s="6"/>
      <c r="I238" s="7"/>
      <c r="J238" s="7"/>
      <c r="K238" s="7"/>
      <c r="L238" s="7"/>
      <c r="M238" s="52"/>
      <c r="N238" s="7"/>
      <c r="O238" s="7"/>
      <c r="P238" s="47"/>
      <c r="Q238" s="47"/>
      <c r="R238" s="7"/>
      <c r="S238" s="51"/>
      <c r="T238" s="51"/>
      <c r="U238" s="7"/>
      <c r="V238" s="57"/>
      <c r="W238" s="57"/>
      <c r="X238" s="57"/>
    </row>
    <row r="239" spans="1:24" ht="12.5" x14ac:dyDescent="0.25">
      <c r="A239" s="34"/>
      <c r="B239" s="7"/>
      <c r="C239" s="19"/>
      <c r="D239" s="7"/>
      <c r="E239" s="7"/>
      <c r="F239" s="7"/>
      <c r="G239" s="7"/>
      <c r="H239" s="6"/>
      <c r="I239" s="7"/>
      <c r="J239" s="7"/>
      <c r="K239" s="7"/>
      <c r="L239" s="7"/>
      <c r="M239" s="52"/>
      <c r="N239" s="7"/>
      <c r="O239" s="7"/>
      <c r="P239" s="47"/>
      <c r="Q239" s="47"/>
      <c r="R239" s="7"/>
      <c r="S239" s="51"/>
      <c r="T239" s="51"/>
      <c r="U239" s="7"/>
      <c r="V239" s="57"/>
      <c r="W239" s="57"/>
      <c r="X239" s="57"/>
    </row>
    <row r="240" spans="1:24" ht="12.5" x14ac:dyDescent="0.25">
      <c r="A240" s="34"/>
      <c r="B240" s="7"/>
      <c r="C240" s="19"/>
      <c r="D240" s="7"/>
      <c r="E240" s="7"/>
      <c r="F240" s="7"/>
      <c r="G240" s="7"/>
      <c r="H240" s="6"/>
      <c r="I240" s="7"/>
      <c r="J240" s="7"/>
      <c r="K240" s="7"/>
      <c r="L240" s="7"/>
      <c r="M240" s="52"/>
      <c r="N240" s="7"/>
      <c r="O240" s="7"/>
      <c r="P240" s="47"/>
      <c r="Q240" s="47"/>
      <c r="R240" s="7"/>
      <c r="S240" s="51"/>
      <c r="T240" s="51"/>
      <c r="U240" s="7"/>
      <c r="V240" s="57"/>
      <c r="W240" s="57"/>
      <c r="X240" s="57"/>
    </row>
    <row r="241" spans="1:24" ht="12.5" x14ac:dyDescent="0.25">
      <c r="A241" s="34"/>
      <c r="B241" s="7"/>
      <c r="C241" s="19"/>
      <c r="D241" s="7"/>
      <c r="E241" s="7"/>
      <c r="F241" s="7"/>
      <c r="G241" s="7"/>
      <c r="H241" s="6"/>
      <c r="I241" s="7"/>
      <c r="J241" s="7"/>
      <c r="K241" s="7"/>
      <c r="L241" s="7"/>
      <c r="M241" s="52"/>
      <c r="N241" s="7"/>
      <c r="O241" s="7"/>
      <c r="P241" s="47"/>
      <c r="Q241" s="47"/>
      <c r="R241" s="7"/>
      <c r="S241" s="51"/>
      <c r="T241" s="51"/>
      <c r="U241" s="7"/>
      <c r="V241" s="57"/>
      <c r="W241" s="57"/>
      <c r="X241" s="57"/>
    </row>
    <row r="242" spans="1:24" ht="12.5" x14ac:dyDescent="0.25">
      <c r="A242" s="34"/>
      <c r="B242" s="7"/>
      <c r="C242" s="19"/>
      <c r="D242" s="7"/>
      <c r="E242" s="7"/>
      <c r="F242" s="7"/>
      <c r="G242" s="7"/>
      <c r="H242" s="6"/>
      <c r="I242" s="7"/>
      <c r="J242" s="7"/>
      <c r="K242" s="7"/>
      <c r="L242" s="7"/>
      <c r="M242" s="52"/>
      <c r="N242" s="7"/>
      <c r="O242" s="7"/>
      <c r="P242" s="47"/>
      <c r="Q242" s="47"/>
      <c r="R242" s="7"/>
      <c r="S242" s="51"/>
      <c r="T242" s="51"/>
      <c r="U242" s="7"/>
      <c r="V242" s="57"/>
      <c r="W242" s="57"/>
      <c r="X242" s="57"/>
    </row>
    <row r="243" spans="1:24" ht="12.5" x14ac:dyDescent="0.25">
      <c r="A243" s="34"/>
      <c r="B243" s="7"/>
      <c r="C243" s="19"/>
      <c r="D243" s="7"/>
      <c r="E243" s="7"/>
      <c r="F243" s="7"/>
      <c r="G243" s="7"/>
      <c r="H243" s="6"/>
      <c r="I243" s="7"/>
      <c r="J243" s="7"/>
      <c r="K243" s="7"/>
      <c r="L243" s="7"/>
      <c r="M243" s="52"/>
      <c r="N243" s="7"/>
      <c r="O243" s="7"/>
      <c r="P243" s="47"/>
      <c r="Q243" s="47"/>
      <c r="R243" s="7"/>
      <c r="S243" s="51"/>
      <c r="T243" s="51"/>
      <c r="U243" s="7"/>
      <c r="V243" s="57"/>
      <c r="W243" s="57"/>
      <c r="X243" s="57"/>
    </row>
    <row r="244" spans="1:24" ht="12.5" x14ac:dyDescent="0.25">
      <c r="A244" s="34"/>
      <c r="B244" s="7"/>
      <c r="C244" s="19"/>
      <c r="D244" s="7"/>
      <c r="E244" s="7"/>
      <c r="F244" s="7"/>
      <c r="G244" s="7"/>
      <c r="H244" s="6"/>
      <c r="I244" s="7"/>
      <c r="J244" s="7"/>
      <c r="K244" s="7"/>
      <c r="L244" s="7"/>
      <c r="M244" s="52"/>
      <c r="N244" s="7"/>
      <c r="O244" s="7"/>
      <c r="P244" s="47"/>
      <c r="Q244" s="47"/>
      <c r="R244" s="7"/>
      <c r="S244" s="51"/>
      <c r="T244" s="51"/>
      <c r="U244" s="7"/>
      <c r="V244" s="57"/>
      <c r="W244" s="57"/>
      <c r="X244" s="57"/>
    </row>
    <row r="245" spans="1:24" ht="12.5" x14ac:dyDescent="0.25">
      <c r="A245" s="34"/>
      <c r="B245" s="7"/>
      <c r="C245" s="19"/>
      <c r="D245" s="7"/>
      <c r="E245" s="7"/>
      <c r="F245" s="7"/>
      <c r="G245" s="7"/>
      <c r="H245" s="6"/>
      <c r="I245" s="7"/>
      <c r="J245" s="7"/>
      <c r="K245" s="7"/>
      <c r="L245" s="7"/>
      <c r="M245" s="52"/>
      <c r="N245" s="7"/>
      <c r="O245" s="7"/>
      <c r="P245" s="47"/>
      <c r="Q245" s="47"/>
      <c r="R245" s="7"/>
      <c r="S245" s="51"/>
      <c r="T245" s="51"/>
      <c r="U245" s="7"/>
      <c r="V245" s="57"/>
      <c r="W245" s="57"/>
      <c r="X245" s="57"/>
    </row>
    <row r="246" spans="1:24" ht="12.5" x14ac:dyDescent="0.25">
      <c r="A246" s="34"/>
      <c r="B246" s="7"/>
      <c r="C246" s="19"/>
      <c r="D246" s="7"/>
      <c r="E246" s="7"/>
      <c r="F246" s="7"/>
      <c r="G246" s="7"/>
      <c r="H246" s="6"/>
      <c r="I246" s="7"/>
      <c r="J246" s="7"/>
      <c r="K246" s="7"/>
      <c r="L246" s="7"/>
      <c r="M246" s="52"/>
      <c r="N246" s="7"/>
      <c r="O246" s="7"/>
      <c r="P246" s="47"/>
      <c r="Q246" s="47"/>
      <c r="R246" s="7"/>
      <c r="S246" s="51"/>
      <c r="T246" s="51"/>
      <c r="U246" s="7"/>
      <c r="V246" s="57"/>
      <c r="W246" s="57"/>
      <c r="X246" s="57"/>
    </row>
    <row r="247" spans="1:24" ht="12.5" x14ac:dyDescent="0.25">
      <c r="A247" s="34"/>
      <c r="B247" s="7"/>
      <c r="C247" s="19"/>
      <c r="D247" s="7"/>
      <c r="E247" s="7"/>
      <c r="F247" s="7"/>
      <c r="G247" s="7"/>
      <c r="H247" s="6"/>
      <c r="I247" s="7"/>
      <c r="J247" s="7"/>
      <c r="K247" s="7"/>
      <c r="L247" s="7"/>
      <c r="M247" s="52"/>
      <c r="N247" s="7"/>
      <c r="O247" s="7"/>
      <c r="P247" s="47"/>
      <c r="Q247" s="47"/>
      <c r="R247" s="7"/>
      <c r="S247" s="51"/>
      <c r="T247" s="51"/>
      <c r="U247" s="7"/>
      <c r="V247" s="57"/>
      <c r="W247" s="57"/>
      <c r="X247" s="57"/>
    </row>
    <row r="248" spans="1:24" ht="12.5" x14ac:dyDescent="0.25">
      <c r="A248" s="34"/>
      <c r="B248" s="7"/>
      <c r="C248" s="19"/>
      <c r="D248" s="7"/>
      <c r="E248" s="7"/>
      <c r="F248" s="7"/>
      <c r="G248" s="7"/>
      <c r="H248" s="6"/>
      <c r="I248" s="7"/>
      <c r="J248" s="7"/>
      <c r="K248" s="7"/>
      <c r="L248" s="7"/>
      <c r="M248" s="52"/>
      <c r="N248" s="7"/>
      <c r="O248" s="7"/>
      <c r="P248" s="47"/>
      <c r="Q248" s="47"/>
      <c r="R248" s="7"/>
      <c r="S248" s="51"/>
      <c r="T248" s="51"/>
      <c r="U248" s="7"/>
      <c r="V248" s="57"/>
      <c r="W248" s="57"/>
      <c r="X248" s="57"/>
    </row>
    <row r="249" spans="1:24" ht="12.5" x14ac:dyDescent="0.25">
      <c r="A249" s="34"/>
      <c r="B249" s="7"/>
      <c r="C249" s="19"/>
      <c r="D249" s="7"/>
      <c r="E249" s="7"/>
      <c r="F249" s="7"/>
      <c r="G249" s="7"/>
      <c r="H249" s="6"/>
      <c r="I249" s="7"/>
      <c r="J249" s="7"/>
      <c r="K249" s="7"/>
      <c r="L249" s="7"/>
      <c r="M249" s="52"/>
      <c r="N249" s="7"/>
      <c r="O249" s="7"/>
      <c r="P249" s="47"/>
      <c r="Q249" s="47"/>
      <c r="R249" s="7"/>
      <c r="S249" s="51"/>
      <c r="T249" s="51"/>
      <c r="U249" s="7"/>
      <c r="V249" s="57"/>
      <c r="W249" s="57"/>
      <c r="X249" s="57"/>
    </row>
    <row r="250" spans="1:24" ht="12.5" x14ac:dyDescent="0.25">
      <c r="A250" s="34"/>
      <c r="B250" s="7"/>
      <c r="C250" s="19"/>
      <c r="D250" s="7"/>
      <c r="E250" s="7"/>
      <c r="F250" s="7"/>
      <c r="G250" s="7"/>
      <c r="H250" s="6"/>
      <c r="I250" s="7"/>
      <c r="J250" s="7"/>
      <c r="K250" s="7"/>
      <c r="L250" s="7"/>
      <c r="M250" s="52"/>
      <c r="N250" s="7"/>
      <c r="O250" s="7"/>
      <c r="P250" s="47"/>
      <c r="Q250" s="47"/>
      <c r="R250" s="7"/>
      <c r="S250" s="51"/>
      <c r="T250" s="51"/>
      <c r="U250" s="7"/>
      <c r="V250" s="57"/>
      <c r="W250" s="57"/>
      <c r="X250" s="57"/>
    </row>
    <row r="251" spans="1:24" ht="12.5" x14ac:dyDescent="0.25">
      <c r="A251" s="34"/>
      <c r="B251" s="7"/>
      <c r="C251" s="19"/>
      <c r="D251" s="7"/>
      <c r="E251" s="7"/>
      <c r="F251" s="7"/>
      <c r="G251" s="7"/>
      <c r="H251" s="6"/>
      <c r="I251" s="7"/>
      <c r="J251" s="7"/>
      <c r="K251" s="7"/>
      <c r="L251" s="7"/>
      <c r="M251" s="52"/>
      <c r="N251" s="7"/>
      <c r="O251" s="7"/>
      <c r="P251" s="47"/>
      <c r="Q251" s="47"/>
      <c r="R251" s="7"/>
      <c r="S251" s="51"/>
      <c r="T251" s="51"/>
      <c r="U251" s="7"/>
      <c r="V251" s="57"/>
      <c r="W251" s="57"/>
      <c r="X251" s="57"/>
    </row>
    <row r="252" spans="1:24" ht="12.5" x14ac:dyDescent="0.25">
      <c r="A252" s="34"/>
      <c r="B252" s="7"/>
      <c r="C252" s="19"/>
      <c r="D252" s="7"/>
      <c r="E252" s="7"/>
      <c r="F252" s="7"/>
      <c r="G252" s="7"/>
      <c r="H252" s="6"/>
      <c r="I252" s="7"/>
      <c r="J252" s="7"/>
      <c r="K252" s="7"/>
      <c r="L252" s="7"/>
      <c r="M252" s="52"/>
      <c r="N252" s="7"/>
      <c r="O252" s="7"/>
      <c r="P252" s="47"/>
      <c r="Q252" s="47"/>
      <c r="R252" s="7"/>
      <c r="S252" s="51"/>
      <c r="T252" s="51"/>
      <c r="U252" s="7"/>
      <c r="V252" s="57"/>
      <c r="W252" s="57"/>
      <c r="X252" s="57"/>
    </row>
    <row r="253" spans="1:24" ht="12.5" x14ac:dyDescent="0.25">
      <c r="A253" s="34"/>
      <c r="B253" s="7"/>
      <c r="C253" s="19"/>
      <c r="D253" s="7"/>
      <c r="E253" s="7"/>
      <c r="F253" s="7"/>
      <c r="G253" s="7"/>
      <c r="H253" s="6"/>
      <c r="I253" s="7"/>
      <c r="J253" s="7"/>
      <c r="K253" s="7"/>
      <c r="L253" s="7"/>
      <c r="M253" s="52"/>
      <c r="N253" s="7"/>
      <c r="O253" s="7"/>
      <c r="P253" s="47"/>
      <c r="Q253" s="47"/>
      <c r="R253" s="7"/>
      <c r="S253" s="51"/>
      <c r="T253" s="51"/>
      <c r="U253" s="7"/>
      <c r="V253" s="57"/>
      <c r="W253" s="57"/>
      <c r="X253" s="57"/>
    </row>
    <row r="254" spans="1:24" ht="12.5" x14ac:dyDescent="0.25">
      <c r="A254" s="34"/>
      <c r="B254" s="7"/>
      <c r="C254" s="19"/>
      <c r="D254" s="7"/>
      <c r="E254" s="7"/>
      <c r="F254" s="7"/>
      <c r="G254" s="7"/>
      <c r="H254" s="6"/>
      <c r="I254" s="7"/>
      <c r="J254" s="7"/>
      <c r="K254" s="7"/>
      <c r="L254" s="7"/>
      <c r="M254" s="52"/>
      <c r="N254" s="7"/>
      <c r="O254" s="7"/>
      <c r="P254" s="47"/>
      <c r="Q254" s="47"/>
      <c r="R254" s="7"/>
      <c r="S254" s="51"/>
      <c r="T254" s="51"/>
      <c r="U254" s="7"/>
      <c r="V254" s="57"/>
      <c r="W254" s="57"/>
      <c r="X254" s="57"/>
    </row>
    <row r="255" spans="1:24" ht="12.5" x14ac:dyDescent="0.25">
      <c r="A255" s="34"/>
      <c r="B255" s="7"/>
      <c r="C255" s="19"/>
      <c r="D255" s="7"/>
      <c r="E255" s="7"/>
      <c r="F255" s="7"/>
      <c r="G255" s="7"/>
      <c r="H255" s="6"/>
      <c r="I255" s="7"/>
      <c r="J255" s="7"/>
      <c r="K255" s="7"/>
      <c r="L255" s="7"/>
      <c r="M255" s="52"/>
      <c r="N255" s="7"/>
      <c r="O255" s="7"/>
      <c r="P255" s="47"/>
      <c r="Q255" s="47"/>
      <c r="R255" s="7"/>
      <c r="S255" s="51"/>
      <c r="T255" s="51"/>
      <c r="U255" s="7"/>
      <c r="V255" s="57"/>
      <c r="W255" s="57"/>
      <c r="X255" s="57"/>
    </row>
    <row r="256" spans="1:24" ht="12.5" x14ac:dyDescent="0.25">
      <c r="A256" s="34"/>
      <c r="B256" s="7"/>
      <c r="C256" s="19"/>
      <c r="D256" s="7"/>
      <c r="E256" s="7"/>
      <c r="F256" s="7"/>
      <c r="G256" s="7"/>
      <c r="H256" s="6"/>
      <c r="I256" s="7"/>
      <c r="J256" s="7"/>
      <c r="K256" s="7"/>
      <c r="L256" s="7"/>
      <c r="M256" s="52"/>
      <c r="N256" s="7"/>
      <c r="O256" s="7"/>
      <c r="P256" s="47"/>
      <c r="Q256" s="47"/>
      <c r="R256" s="7"/>
      <c r="S256" s="51"/>
      <c r="T256" s="51"/>
      <c r="U256" s="7"/>
      <c r="V256" s="57"/>
      <c r="W256" s="57"/>
      <c r="X256" s="57"/>
    </row>
    <row r="257" spans="1:24" ht="12.5" x14ac:dyDescent="0.25">
      <c r="A257" s="34"/>
      <c r="B257" s="7"/>
      <c r="C257" s="19"/>
      <c r="D257" s="7"/>
      <c r="E257" s="7"/>
      <c r="F257" s="7"/>
      <c r="G257" s="7"/>
      <c r="H257" s="6"/>
      <c r="I257" s="7"/>
      <c r="J257" s="7"/>
      <c r="K257" s="7"/>
      <c r="L257" s="7"/>
      <c r="M257" s="52"/>
      <c r="N257" s="7"/>
      <c r="O257" s="7"/>
      <c r="P257" s="47"/>
      <c r="Q257" s="47"/>
      <c r="R257" s="7"/>
      <c r="S257" s="51"/>
      <c r="T257" s="51"/>
      <c r="U257" s="7"/>
      <c r="V257" s="57"/>
      <c r="W257" s="57"/>
      <c r="X257" s="57"/>
    </row>
    <row r="258" spans="1:24" ht="12.5" x14ac:dyDescent="0.25">
      <c r="A258" s="34"/>
      <c r="B258" s="7"/>
      <c r="C258" s="19"/>
      <c r="D258" s="7"/>
      <c r="E258" s="7"/>
      <c r="F258" s="7"/>
      <c r="G258" s="7"/>
      <c r="H258" s="6"/>
      <c r="I258" s="7"/>
      <c r="J258" s="7"/>
      <c r="K258" s="7"/>
      <c r="L258" s="7"/>
      <c r="M258" s="52"/>
      <c r="N258" s="7"/>
      <c r="O258" s="7"/>
      <c r="P258" s="47"/>
      <c r="Q258" s="47"/>
      <c r="R258" s="7"/>
      <c r="S258" s="51"/>
      <c r="T258" s="51"/>
      <c r="U258" s="7"/>
      <c r="V258" s="57"/>
      <c r="W258" s="57"/>
      <c r="X258" s="57"/>
    </row>
    <row r="259" spans="1:24" ht="12.5" x14ac:dyDescent="0.25">
      <c r="A259" s="34"/>
      <c r="B259" s="7"/>
      <c r="C259" s="19"/>
      <c r="D259" s="7"/>
      <c r="E259" s="7"/>
      <c r="F259" s="7"/>
      <c r="G259" s="7"/>
      <c r="H259" s="6"/>
      <c r="I259" s="7"/>
      <c r="J259" s="7"/>
      <c r="K259" s="7"/>
      <c r="L259" s="7"/>
      <c r="M259" s="52"/>
      <c r="N259" s="7"/>
      <c r="O259" s="7"/>
      <c r="P259" s="47"/>
      <c r="Q259" s="47"/>
      <c r="R259" s="7"/>
      <c r="S259" s="51"/>
      <c r="T259" s="51"/>
      <c r="U259" s="7"/>
      <c r="V259" s="57"/>
      <c r="W259" s="57"/>
      <c r="X259" s="57"/>
    </row>
    <row r="260" spans="1:24" ht="12.5" x14ac:dyDescent="0.25">
      <c r="A260" s="34"/>
      <c r="B260" s="7"/>
      <c r="C260" s="19"/>
      <c r="D260" s="7"/>
      <c r="E260" s="7"/>
      <c r="F260" s="7"/>
      <c r="G260" s="7"/>
      <c r="H260" s="6"/>
      <c r="I260" s="7"/>
      <c r="J260" s="7"/>
      <c r="K260" s="7"/>
      <c r="L260" s="7"/>
      <c r="M260" s="52"/>
      <c r="N260" s="7"/>
      <c r="O260" s="7"/>
      <c r="P260" s="47"/>
      <c r="Q260" s="47"/>
      <c r="R260" s="7"/>
      <c r="S260" s="51"/>
      <c r="T260" s="51"/>
      <c r="U260" s="7"/>
      <c r="V260" s="57"/>
      <c r="W260" s="57"/>
      <c r="X260" s="57"/>
    </row>
    <row r="261" spans="1:24" ht="12.5" x14ac:dyDescent="0.25">
      <c r="A261" s="34"/>
      <c r="B261" s="7"/>
      <c r="C261" s="19"/>
      <c r="D261" s="7"/>
      <c r="E261" s="7"/>
      <c r="F261" s="7"/>
      <c r="G261" s="7"/>
      <c r="H261" s="6"/>
      <c r="I261" s="7"/>
      <c r="J261" s="7"/>
      <c r="K261" s="7"/>
      <c r="L261" s="7"/>
      <c r="M261" s="52"/>
      <c r="N261" s="7"/>
      <c r="O261" s="7"/>
      <c r="P261" s="47"/>
      <c r="Q261" s="47"/>
      <c r="R261" s="7"/>
      <c r="S261" s="51"/>
      <c r="T261" s="51"/>
      <c r="U261" s="7"/>
      <c r="V261" s="57"/>
      <c r="W261" s="57"/>
      <c r="X261" s="57"/>
    </row>
    <row r="262" spans="1:24" ht="12.5" x14ac:dyDescent="0.25">
      <c r="A262" s="34"/>
      <c r="B262" s="7"/>
      <c r="C262" s="19"/>
      <c r="D262" s="7"/>
      <c r="E262" s="7"/>
      <c r="F262" s="7"/>
      <c r="G262" s="7"/>
      <c r="H262" s="6"/>
      <c r="I262" s="7"/>
      <c r="J262" s="7"/>
      <c r="K262" s="7"/>
      <c r="L262" s="7"/>
      <c r="M262" s="52"/>
      <c r="N262" s="7"/>
      <c r="O262" s="7"/>
      <c r="P262" s="47"/>
      <c r="Q262" s="47"/>
      <c r="R262" s="7"/>
      <c r="S262" s="51"/>
      <c r="T262" s="51"/>
      <c r="U262" s="7"/>
      <c r="V262" s="57"/>
      <c r="W262" s="57"/>
      <c r="X262" s="57"/>
    </row>
    <row r="263" spans="1:24" ht="12.5" x14ac:dyDescent="0.25">
      <c r="A263" s="34"/>
      <c r="B263" s="7"/>
      <c r="C263" s="19"/>
      <c r="D263" s="7"/>
      <c r="E263" s="7"/>
      <c r="F263" s="7"/>
      <c r="G263" s="7"/>
      <c r="H263" s="6"/>
      <c r="I263" s="7"/>
      <c r="J263" s="7"/>
      <c r="K263" s="7"/>
      <c r="L263" s="7"/>
      <c r="M263" s="52"/>
      <c r="N263" s="7"/>
      <c r="O263" s="7"/>
      <c r="P263" s="47"/>
      <c r="Q263" s="47"/>
      <c r="R263" s="7"/>
      <c r="S263" s="51"/>
      <c r="T263" s="51"/>
      <c r="U263" s="7"/>
      <c r="V263" s="57"/>
      <c r="W263" s="57"/>
      <c r="X263" s="57"/>
    </row>
    <row r="264" spans="1:24" ht="12.5" x14ac:dyDescent="0.25">
      <c r="A264" s="34"/>
      <c r="B264" s="7"/>
      <c r="C264" s="19"/>
      <c r="D264" s="7"/>
      <c r="E264" s="7"/>
      <c r="F264" s="7"/>
      <c r="G264" s="7"/>
      <c r="H264" s="6"/>
      <c r="I264" s="7"/>
      <c r="J264" s="7"/>
      <c r="K264" s="7"/>
      <c r="L264" s="7"/>
      <c r="M264" s="52"/>
      <c r="N264" s="7"/>
      <c r="O264" s="7"/>
      <c r="P264" s="47"/>
      <c r="Q264" s="47"/>
      <c r="R264" s="7"/>
      <c r="S264" s="51"/>
      <c r="T264" s="51"/>
      <c r="U264" s="7"/>
      <c r="V264" s="57"/>
      <c r="W264" s="57"/>
      <c r="X264" s="57"/>
    </row>
    <row r="265" spans="1:24" ht="12.5" x14ac:dyDescent="0.25">
      <c r="A265" s="34"/>
      <c r="B265" s="7"/>
      <c r="C265" s="19"/>
      <c r="D265" s="7"/>
      <c r="E265" s="7"/>
      <c r="F265" s="7"/>
      <c r="G265" s="7"/>
      <c r="H265" s="6"/>
      <c r="I265" s="7"/>
      <c r="J265" s="7"/>
      <c r="K265" s="7"/>
      <c r="L265" s="7"/>
      <c r="M265" s="52"/>
      <c r="N265" s="7"/>
      <c r="O265" s="7"/>
      <c r="P265" s="47"/>
      <c r="Q265" s="47"/>
      <c r="R265" s="7"/>
      <c r="S265" s="51"/>
      <c r="T265" s="51"/>
      <c r="U265" s="7"/>
      <c r="V265" s="57"/>
      <c r="W265" s="57"/>
      <c r="X265" s="57"/>
    </row>
    <row r="266" spans="1:24" ht="12.5" x14ac:dyDescent="0.25">
      <c r="A266" s="34"/>
      <c r="B266" s="7"/>
      <c r="C266" s="19"/>
      <c r="D266" s="7"/>
      <c r="E266" s="7"/>
      <c r="F266" s="7"/>
      <c r="G266" s="7"/>
      <c r="H266" s="6"/>
      <c r="I266" s="7"/>
      <c r="J266" s="7"/>
      <c r="K266" s="7"/>
      <c r="L266" s="7"/>
      <c r="M266" s="52"/>
      <c r="N266" s="7"/>
      <c r="O266" s="7"/>
      <c r="P266" s="47"/>
      <c r="Q266" s="47"/>
      <c r="R266" s="7"/>
      <c r="S266" s="51"/>
      <c r="T266" s="51"/>
      <c r="U266" s="7"/>
      <c r="V266" s="57"/>
      <c r="W266" s="57"/>
      <c r="X266" s="57"/>
    </row>
    <row r="267" spans="1:24" ht="12.5" x14ac:dyDescent="0.25">
      <c r="A267" s="34"/>
      <c r="B267" s="7"/>
      <c r="C267" s="19"/>
      <c r="D267" s="7"/>
      <c r="E267" s="7"/>
      <c r="F267" s="7"/>
      <c r="G267" s="7"/>
      <c r="H267" s="6"/>
      <c r="I267" s="7"/>
      <c r="J267" s="7"/>
      <c r="K267" s="7"/>
      <c r="L267" s="7"/>
      <c r="M267" s="52"/>
      <c r="N267" s="7"/>
      <c r="O267" s="7"/>
      <c r="P267" s="47"/>
      <c r="Q267" s="47"/>
      <c r="R267" s="7"/>
      <c r="S267" s="51"/>
      <c r="T267" s="51"/>
      <c r="U267" s="7"/>
      <c r="V267" s="57"/>
      <c r="W267" s="57"/>
      <c r="X267" s="57"/>
    </row>
    <row r="268" spans="1:24" ht="12.5" x14ac:dyDescent="0.25">
      <c r="A268" s="34"/>
      <c r="B268" s="7"/>
      <c r="C268" s="19"/>
      <c r="D268" s="7"/>
      <c r="E268" s="7"/>
      <c r="F268" s="7"/>
      <c r="G268" s="7"/>
      <c r="H268" s="6"/>
      <c r="I268" s="7"/>
      <c r="J268" s="7"/>
      <c r="K268" s="7"/>
      <c r="L268" s="7"/>
      <c r="M268" s="52"/>
      <c r="N268" s="7"/>
      <c r="O268" s="7"/>
      <c r="P268" s="47"/>
      <c r="Q268" s="47"/>
      <c r="R268" s="7"/>
      <c r="S268" s="51"/>
      <c r="T268" s="51"/>
      <c r="U268" s="7"/>
      <c r="V268" s="57"/>
      <c r="W268" s="57"/>
      <c r="X268" s="57"/>
    </row>
    <row r="269" spans="1:24" ht="12.5" x14ac:dyDescent="0.25">
      <c r="A269" s="34"/>
      <c r="B269" s="7"/>
      <c r="C269" s="19"/>
      <c r="D269" s="7"/>
      <c r="E269" s="7"/>
      <c r="F269" s="7"/>
      <c r="G269" s="7"/>
      <c r="H269" s="6"/>
      <c r="I269" s="7"/>
      <c r="J269" s="7"/>
      <c r="K269" s="7"/>
      <c r="L269" s="7"/>
      <c r="M269" s="52"/>
      <c r="N269" s="7"/>
      <c r="O269" s="7"/>
      <c r="P269" s="47"/>
      <c r="Q269" s="47"/>
      <c r="R269" s="7"/>
      <c r="S269" s="51"/>
      <c r="T269" s="51"/>
      <c r="U269" s="7"/>
      <c r="V269" s="57"/>
      <c r="W269" s="57"/>
      <c r="X269" s="57"/>
    </row>
    <row r="270" spans="1:24" ht="12.5" x14ac:dyDescent="0.25">
      <c r="A270" s="34"/>
      <c r="B270" s="7"/>
      <c r="C270" s="19"/>
      <c r="D270" s="7"/>
      <c r="E270" s="7"/>
      <c r="F270" s="7"/>
      <c r="G270" s="7"/>
      <c r="H270" s="6"/>
      <c r="I270" s="7"/>
      <c r="J270" s="7"/>
      <c r="K270" s="7"/>
      <c r="L270" s="7"/>
      <c r="M270" s="52"/>
      <c r="N270" s="7"/>
      <c r="O270" s="7"/>
      <c r="P270" s="47"/>
      <c r="Q270" s="47"/>
      <c r="R270" s="7"/>
      <c r="S270" s="51"/>
      <c r="T270" s="51"/>
      <c r="U270" s="7"/>
      <c r="V270" s="57"/>
      <c r="W270" s="57"/>
      <c r="X270" s="57"/>
    </row>
    <row r="271" spans="1:24" ht="12.5" x14ac:dyDescent="0.25">
      <c r="A271" s="34"/>
      <c r="B271" s="7"/>
      <c r="C271" s="19"/>
      <c r="D271" s="7"/>
      <c r="E271" s="7"/>
      <c r="F271" s="7"/>
      <c r="G271" s="7"/>
      <c r="H271" s="6"/>
      <c r="I271" s="7"/>
      <c r="J271" s="7"/>
      <c r="K271" s="7"/>
      <c r="L271" s="7"/>
      <c r="M271" s="52"/>
      <c r="N271" s="7"/>
      <c r="O271" s="7"/>
      <c r="P271" s="47"/>
      <c r="Q271" s="47"/>
      <c r="R271" s="7"/>
      <c r="S271" s="51"/>
      <c r="T271" s="51"/>
      <c r="U271" s="7"/>
      <c r="V271" s="57"/>
      <c r="W271" s="57"/>
      <c r="X271" s="57"/>
    </row>
    <row r="272" spans="1:24" ht="12.5" x14ac:dyDescent="0.25">
      <c r="A272" s="34"/>
      <c r="B272" s="7"/>
      <c r="C272" s="19"/>
      <c r="D272" s="7"/>
      <c r="E272" s="7"/>
      <c r="F272" s="7"/>
      <c r="G272" s="7"/>
      <c r="H272" s="6"/>
      <c r="I272" s="7"/>
      <c r="J272" s="7"/>
      <c r="K272" s="7"/>
      <c r="L272" s="7"/>
      <c r="M272" s="52"/>
      <c r="N272" s="7"/>
      <c r="O272" s="7"/>
      <c r="P272" s="47"/>
      <c r="Q272" s="47"/>
      <c r="R272" s="7"/>
      <c r="S272" s="51"/>
      <c r="T272" s="51"/>
      <c r="U272" s="7"/>
      <c r="V272" s="57"/>
      <c r="W272" s="57"/>
      <c r="X272" s="57"/>
    </row>
    <row r="273" spans="1:24" ht="12.5" x14ac:dyDescent="0.25">
      <c r="A273" s="34"/>
      <c r="B273" s="7"/>
      <c r="C273" s="19"/>
      <c r="D273" s="7"/>
      <c r="E273" s="7"/>
      <c r="F273" s="7"/>
      <c r="G273" s="7"/>
      <c r="H273" s="6"/>
      <c r="I273" s="7"/>
      <c r="J273" s="7"/>
      <c r="K273" s="7"/>
      <c r="L273" s="7"/>
      <c r="M273" s="52"/>
      <c r="N273" s="7"/>
      <c r="O273" s="7"/>
      <c r="P273" s="47"/>
      <c r="Q273" s="47"/>
      <c r="R273" s="7"/>
      <c r="S273" s="51"/>
      <c r="T273" s="51"/>
      <c r="U273" s="7"/>
      <c r="V273" s="57"/>
      <c r="W273" s="57"/>
      <c r="X273" s="57"/>
    </row>
    <row r="274" spans="1:24" ht="12.5" x14ac:dyDescent="0.25">
      <c r="A274" s="34"/>
      <c r="B274" s="7"/>
      <c r="C274" s="19"/>
      <c r="D274" s="7"/>
      <c r="E274" s="7"/>
      <c r="F274" s="7"/>
      <c r="G274" s="7"/>
      <c r="H274" s="6"/>
      <c r="I274" s="7"/>
      <c r="J274" s="7"/>
      <c r="K274" s="7"/>
      <c r="L274" s="7"/>
      <c r="M274" s="52"/>
      <c r="N274" s="7"/>
      <c r="O274" s="7"/>
      <c r="P274" s="47"/>
      <c r="Q274" s="47"/>
      <c r="R274" s="7"/>
      <c r="S274" s="51"/>
      <c r="T274" s="51"/>
      <c r="U274" s="7"/>
      <c r="V274" s="57"/>
      <c r="W274" s="57"/>
      <c r="X274" s="57"/>
    </row>
    <row r="275" spans="1:24" ht="12.5" x14ac:dyDescent="0.25">
      <c r="A275" s="34"/>
      <c r="B275" s="7"/>
      <c r="C275" s="19"/>
      <c r="D275" s="7"/>
      <c r="E275" s="7"/>
      <c r="F275" s="7"/>
      <c r="G275" s="7"/>
      <c r="H275" s="6"/>
      <c r="I275" s="7"/>
      <c r="J275" s="7"/>
      <c r="K275" s="7"/>
      <c r="L275" s="7"/>
      <c r="M275" s="52"/>
      <c r="N275" s="7"/>
      <c r="O275" s="7"/>
      <c r="P275" s="47"/>
      <c r="Q275" s="47"/>
      <c r="R275" s="7"/>
      <c r="S275" s="51"/>
      <c r="T275" s="51"/>
      <c r="U275" s="7"/>
      <c r="V275" s="57"/>
      <c r="W275" s="57"/>
      <c r="X275" s="57"/>
    </row>
    <row r="276" spans="1:24" ht="12.5" x14ac:dyDescent="0.25">
      <c r="A276" s="34"/>
      <c r="B276" s="7"/>
      <c r="C276" s="19"/>
      <c r="D276" s="7"/>
      <c r="E276" s="7"/>
      <c r="F276" s="7"/>
      <c r="G276" s="7"/>
      <c r="H276" s="6"/>
      <c r="I276" s="7"/>
      <c r="J276" s="7"/>
      <c r="K276" s="7"/>
      <c r="L276" s="7"/>
      <c r="M276" s="52"/>
      <c r="N276" s="7"/>
      <c r="O276" s="7"/>
      <c r="P276" s="47"/>
      <c r="Q276" s="47"/>
      <c r="R276" s="7"/>
      <c r="S276" s="51"/>
      <c r="T276" s="51"/>
      <c r="U276" s="7"/>
      <c r="V276" s="57"/>
      <c r="W276" s="57"/>
      <c r="X276" s="57"/>
    </row>
    <row r="277" spans="1:24" ht="12.5" x14ac:dyDescent="0.25">
      <c r="A277" s="34"/>
      <c r="B277" s="7"/>
      <c r="C277" s="19"/>
      <c r="D277" s="7"/>
      <c r="E277" s="7"/>
      <c r="F277" s="7"/>
      <c r="G277" s="7"/>
      <c r="H277" s="6"/>
      <c r="I277" s="7"/>
      <c r="J277" s="7"/>
      <c r="K277" s="7"/>
      <c r="L277" s="7"/>
      <c r="M277" s="52"/>
      <c r="N277" s="7"/>
      <c r="O277" s="7"/>
      <c r="P277" s="47"/>
      <c r="Q277" s="47"/>
      <c r="R277" s="7"/>
      <c r="S277" s="51"/>
      <c r="T277" s="51"/>
      <c r="U277" s="7"/>
      <c r="V277" s="57"/>
      <c r="W277" s="57"/>
      <c r="X277" s="57"/>
    </row>
    <row r="278" spans="1:24" ht="12.5" x14ac:dyDescent="0.25">
      <c r="A278" s="34"/>
      <c r="B278" s="7"/>
      <c r="C278" s="19"/>
      <c r="D278" s="7"/>
      <c r="E278" s="7"/>
      <c r="F278" s="7"/>
      <c r="G278" s="7"/>
      <c r="H278" s="6"/>
      <c r="I278" s="7"/>
      <c r="J278" s="7"/>
      <c r="K278" s="7"/>
      <c r="L278" s="7"/>
      <c r="M278" s="52"/>
      <c r="N278" s="7"/>
      <c r="O278" s="7"/>
      <c r="P278" s="47"/>
      <c r="Q278" s="47"/>
      <c r="R278" s="7"/>
      <c r="S278" s="51"/>
      <c r="T278" s="51"/>
      <c r="U278" s="7"/>
      <c r="V278" s="57"/>
      <c r="W278" s="57"/>
      <c r="X278" s="57"/>
    </row>
    <row r="279" spans="1:24" ht="12.5" x14ac:dyDescent="0.25">
      <c r="A279" s="34"/>
      <c r="B279" s="7"/>
      <c r="C279" s="19"/>
      <c r="D279" s="7"/>
      <c r="E279" s="7"/>
      <c r="F279" s="7"/>
      <c r="G279" s="7"/>
      <c r="H279" s="6"/>
      <c r="I279" s="7"/>
      <c r="J279" s="7"/>
      <c r="K279" s="7"/>
      <c r="L279" s="7"/>
      <c r="M279" s="52"/>
      <c r="N279" s="7"/>
      <c r="O279" s="7"/>
      <c r="P279" s="47"/>
      <c r="Q279" s="47"/>
      <c r="R279" s="7"/>
      <c r="S279" s="51"/>
      <c r="T279" s="51"/>
      <c r="U279" s="7"/>
      <c r="V279" s="57"/>
      <c r="W279" s="57"/>
      <c r="X279" s="57"/>
    </row>
    <row r="280" spans="1:24" ht="12.5" x14ac:dyDescent="0.25">
      <c r="A280" s="34"/>
      <c r="B280" s="7"/>
      <c r="C280" s="19"/>
      <c r="D280" s="7"/>
      <c r="E280" s="7"/>
      <c r="F280" s="7"/>
      <c r="G280" s="7"/>
      <c r="H280" s="6"/>
      <c r="I280" s="7"/>
      <c r="J280" s="7"/>
      <c r="K280" s="7"/>
      <c r="L280" s="7"/>
      <c r="M280" s="52"/>
      <c r="N280" s="7"/>
      <c r="O280" s="7"/>
      <c r="P280" s="47"/>
      <c r="Q280" s="47"/>
      <c r="R280" s="7"/>
      <c r="S280" s="51"/>
      <c r="T280" s="51"/>
      <c r="U280" s="7"/>
      <c r="V280" s="57"/>
      <c r="W280" s="57"/>
      <c r="X280" s="57"/>
    </row>
    <row r="281" spans="1:24" ht="12.5" x14ac:dyDescent="0.25">
      <c r="A281" s="34"/>
      <c r="B281" s="7"/>
      <c r="C281" s="19"/>
      <c r="D281" s="7"/>
      <c r="E281" s="7"/>
      <c r="F281" s="7"/>
      <c r="G281" s="7"/>
      <c r="H281" s="6"/>
      <c r="I281" s="7"/>
      <c r="J281" s="7"/>
      <c r="K281" s="7"/>
      <c r="L281" s="7"/>
      <c r="M281" s="52"/>
      <c r="N281" s="7"/>
      <c r="O281" s="7"/>
      <c r="P281" s="47"/>
      <c r="Q281" s="47"/>
      <c r="R281" s="7"/>
      <c r="S281" s="51"/>
      <c r="T281" s="51"/>
      <c r="U281" s="7"/>
      <c r="V281" s="57"/>
      <c r="W281" s="57"/>
      <c r="X281" s="57"/>
    </row>
    <row r="282" spans="1:24" ht="12.5" x14ac:dyDescent="0.25">
      <c r="A282" s="34"/>
      <c r="B282" s="7"/>
      <c r="C282" s="19"/>
      <c r="D282" s="7"/>
      <c r="E282" s="7"/>
      <c r="F282" s="7"/>
      <c r="G282" s="7"/>
      <c r="H282" s="6"/>
      <c r="I282" s="7"/>
      <c r="J282" s="7"/>
      <c r="K282" s="7"/>
      <c r="L282" s="7"/>
      <c r="M282" s="52"/>
      <c r="N282" s="7"/>
      <c r="O282" s="7"/>
      <c r="P282" s="47"/>
      <c r="Q282" s="47"/>
      <c r="R282" s="7"/>
      <c r="S282" s="51"/>
      <c r="T282" s="51"/>
      <c r="U282" s="7"/>
      <c r="V282" s="57"/>
      <c r="W282" s="57"/>
      <c r="X282" s="57"/>
    </row>
    <row r="283" spans="1:24" ht="12.5" x14ac:dyDescent="0.25">
      <c r="A283" s="34"/>
      <c r="B283" s="7"/>
      <c r="C283" s="19"/>
      <c r="D283" s="7"/>
      <c r="E283" s="7"/>
      <c r="F283" s="7"/>
      <c r="G283" s="7"/>
      <c r="H283" s="6"/>
      <c r="I283" s="7"/>
      <c r="J283" s="7"/>
      <c r="K283" s="7"/>
      <c r="L283" s="7"/>
      <c r="M283" s="52"/>
      <c r="N283" s="7"/>
      <c r="O283" s="7"/>
      <c r="P283" s="47"/>
      <c r="Q283" s="47"/>
      <c r="R283" s="7"/>
      <c r="S283" s="51"/>
      <c r="T283" s="51"/>
      <c r="U283" s="7"/>
      <c r="V283" s="57"/>
      <c r="W283" s="57"/>
      <c r="X283" s="57"/>
    </row>
    <row r="284" spans="1:24" ht="12.5" x14ac:dyDescent="0.25">
      <c r="A284" s="34"/>
      <c r="B284" s="7"/>
      <c r="C284" s="19"/>
      <c r="D284" s="7"/>
      <c r="E284" s="7"/>
      <c r="F284" s="7"/>
      <c r="G284" s="7"/>
      <c r="H284" s="6"/>
      <c r="I284" s="7"/>
      <c r="J284" s="7"/>
      <c r="K284" s="7"/>
      <c r="L284" s="7"/>
      <c r="M284" s="52"/>
      <c r="N284" s="7"/>
      <c r="O284" s="7"/>
      <c r="P284" s="47"/>
      <c r="Q284" s="47"/>
      <c r="R284" s="7"/>
      <c r="S284" s="51"/>
      <c r="T284" s="51"/>
      <c r="U284" s="7"/>
      <c r="V284" s="57"/>
      <c r="W284" s="57"/>
      <c r="X284" s="57"/>
    </row>
    <row r="285" spans="1:24" ht="12.5" x14ac:dyDescent="0.25">
      <c r="A285" s="34"/>
      <c r="B285" s="7"/>
      <c r="C285" s="19"/>
      <c r="D285" s="7"/>
      <c r="E285" s="7"/>
      <c r="F285" s="7"/>
      <c r="G285" s="7"/>
      <c r="H285" s="6"/>
      <c r="I285" s="7"/>
      <c r="J285" s="7"/>
      <c r="K285" s="7"/>
      <c r="L285" s="7"/>
      <c r="M285" s="52"/>
      <c r="N285" s="7"/>
      <c r="O285" s="7"/>
      <c r="P285" s="47"/>
      <c r="Q285" s="47"/>
      <c r="R285" s="7"/>
      <c r="S285" s="51"/>
      <c r="T285" s="51"/>
      <c r="U285" s="7"/>
      <c r="V285" s="57"/>
      <c r="W285" s="57"/>
      <c r="X285" s="57"/>
    </row>
    <row r="286" spans="1:24" ht="12.5" x14ac:dyDescent="0.25">
      <c r="A286" s="34"/>
      <c r="B286" s="7"/>
      <c r="C286" s="19"/>
      <c r="D286" s="7"/>
      <c r="E286" s="7"/>
      <c r="F286" s="7"/>
      <c r="G286" s="7"/>
      <c r="H286" s="6"/>
      <c r="I286" s="7"/>
      <c r="J286" s="7"/>
      <c r="K286" s="7"/>
      <c r="L286" s="7"/>
      <c r="M286" s="52"/>
      <c r="N286" s="7"/>
      <c r="O286" s="7"/>
      <c r="P286" s="47"/>
      <c r="Q286" s="47"/>
      <c r="R286" s="7"/>
      <c r="S286" s="51"/>
      <c r="T286" s="51"/>
      <c r="U286" s="7"/>
      <c r="V286" s="57"/>
      <c r="W286" s="57"/>
      <c r="X286" s="57"/>
    </row>
    <row r="287" spans="1:24" ht="12.5" x14ac:dyDescent="0.25">
      <c r="A287" s="34"/>
      <c r="B287" s="7"/>
      <c r="C287" s="19"/>
      <c r="D287" s="7"/>
      <c r="E287" s="7"/>
      <c r="F287" s="7"/>
      <c r="G287" s="7"/>
      <c r="H287" s="6"/>
      <c r="I287" s="7"/>
      <c r="J287" s="7"/>
      <c r="K287" s="7"/>
      <c r="L287" s="7"/>
      <c r="M287" s="52"/>
      <c r="N287" s="7"/>
      <c r="O287" s="7"/>
      <c r="P287" s="47"/>
      <c r="Q287" s="47"/>
      <c r="R287" s="7"/>
      <c r="S287" s="51"/>
      <c r="T287" s="51"/>
      <c r="U287" s="7"/>
      <c r="V287" s="57"/>
      <c r="W287" s="57"/>
      <c r="X287" s="57"/>
    </row>
    <row r="288" spans="1:24" ht="12.5" x14ac:dyDescent="0.25">
      <c r="A288" s="34"/>
      <c r="B288" s="7"/>
      <c r="C288" s="19"/>
      <c r="D288" s="7"/>
      <c r="E288" s="7"/>
      <c r="F288" s="7"/>
      <c r="G288" s="7"/>
      <c r="H288" s="6"/>
      <c r="I288" s="7"/>
      <c r="J288" s="7"/>
      <c r="K288" s="7"/>
      <c r="L288" s="7"/>
      <c r="M288" s="52"/>
      <c r="N288" s="7"/>
      <c r="O288" s="7"/>
      <c r="P288" s="47"/>
      <c r="Q288" s="47"/>
      <c r="R288" s="7"/>
      <c r="S288" s="51"/>
      <c r="T288" s="51"/>
      <c r="U288" s="7"/>
      <c r="V288" s="57"/>
      <c r="W288" s="57"/>
      <c r="X288" s="57"/>
    </row>
    <row r="289" spans="1:24" ht="12.5" x14ac:dyDescent="0.25">
      <c r="A289" s="34"/>
      <c r="B289" s="7"/>
      <c r="C289" s="19"/>
      <c r="D289" s="7"/>
      <c r="E289" s="7"/>
      <c r="F289" s="7"/>
      <c r="G289" s="7"/>
      <c r="H289" s="6"/>
      <c r="I289" s="7"/>
      <c r="J289" s="7"/>
      <c r="K289" s="7"/>
      <c r="L289" s="7"/>
      <c r="M289" s="52"/>
      <c r="N289" s="7"/>
      <c r="O289" s="7"/>
      <c r="P289" s="47"/>
      <c r="Q289" s="47"/>
      <c r="R289" s="7"/>
      <c r="S289" s="51"/>
      <c r="T289" s="51"/>
      <c r="U289" s="7"/>
      <c r="V289" s="57"/>
      <c r="W289" s="57"/>
      <c r="X289" s="57"/>
    </row>
    <row r="290" spans="1:24" ht="12.5" x14ac:dyDescent="0.25">
      <c r="A290" s="34"/>
      <c r="B290" s="7"/>
      <c r="C290" s="19"/>
      <c r="D290" s="7"/>
      <c r="E290" s="7"/>
      <c r="F290" s="7"/>
      <c r="G290" s="7"/>
      <c r="H290" s="6"/>
      <c r="I290" s="7"/>
      <c r="J290" s="7"/>
      <c r="K290" s="7"/>
      <c r="L290" s="7"/>
      <c r="M290" s="52"/>
      <c r="N290" s="7"/>
      <c r="O290" s="7"/>
      <c r="P290" s="47"/>
      <c r="Q290" s="47"/>
      <c r="R290" s="7"/>
      <c r="S290" s="51"/>
      <c r="T290" s="51"/>
      <c r="U290" s="7"/>
      <c r="V290" s="57"/>
      <c r="W290" s="57"/>
      <c r="X290" s="57"/>
    </row>
    <row r="291" spans="1:24" ht="12.5" x14ac:dyDescent="0.25">
      <c r="A291" s="34"/>
      <c r="B291" s="7"/>
      <c r="C291" s="19"/>
      <c r="D291" s="7"/>
      <c r="E291" s="7"/>
      <c r="F291" s="7"/>
      <c r="G291" s="7"/>
      <c r="H291" s="6"/>
      <c r="I291" s="7"/>
      <c r="J291" s="7"/>
      <c r="K291" s="7"/>
      <c r="L291" s="7"/>
      <c r="M291" s="52"/>
      <c r="N291" s="7"/>
      <c r="O291" s="7"/>
      <c r="P291" s="47"/>
      <c r="Q291" s="47"/>
      <c r="R291" s="7"/>
      <c r="S291" s="51"/>
      <c r="T291" s="51"/>
      <c r="U291" s="7"/>
      <c r="V291" s="57"/>
      <c r="W291" s="57"/>
      <c r="X291" s="57"/>
    </row>
    <row r="292" spans="1:24" ht="12.5" x14ac:dyDescent="0.25">
      <c r="A292" s="34"/>
      <c r="B292" s="7"/>
      <c r="C292" s="19"/>
      <c r="D292" s="7"/>
      <c r="E292" s="7"/>
      <c r="F292" s="7"/>
      <c r="G292" s="7"/>
      <c r="H292" s="6"/>
      <c r="I292" s="7"/>
      <c r="J292" s="7"/>
      <c r="K292" s="7"/>
      <c r="L292" s="7"/>
      <c r="M292" s="52"/>
      <c r="N292" s="7"/>
      <c r="O292" s="7"/>
      <c r="P292" s="47"/>
      <c r="Q292" s="47"/>
      <c r="R292" s="7"/>
      <c r="S292" s="51"/>
      <c r="T292" s="51"/>
      <c r="U292" s="7"/>
      <c r="V292" s="57"/>
      <c r="W292" s="57"/>
      <c r="X292" s="57"/>
    </row>
    <row r="293" spans="1:24" ht="12.5" x14ac:dyDescent="0.25">
      <c r="A293" s="34"/>
      <c r="B293" s="7"/>
      <c r="C293" s="19"/>
      <c r="D293" s="7"/>
      <c r="E293" s="7"/>
      <c r="F293" s="7"/>
      <c r="G293" s="7"/>
      <c r="H293" s="6"/>
      <c r="I293" s="7"/>
      <c r="J293" s="7"/>
      <c r="K293" s="7"/>
      <c r="L293" s="7"/>
      <c r="M293" s="52"/>
      <c r="N293" s="7"/>
      <c r="O293" s="7"/>
      <c r="P293" s="47"/>
      <c r="Q293" s="47"/>
      <c r="R293" s="7"/>
      <c r="S293" s="51"/>
      <c r="T293" s="51"/>
      <c r="U293" s="7"/>
      <c r="V293" s="57"/>
      <c r="W293" s="57"/>
      <c r="X293" s="57"/>
    </row>
    <row r="294" spans="1:24" ht="12.5" x14ac:dyDescent="0.25">
      <c r="A294" s="34"/>
      <c r="B294" s="7"/>
      <c r="C294" s="19"/>
      <c r="D294" s="7"/>
      <c r="E294" s="7"/>
      <c r="F294" s="7"/>
      <c r="G294" s="7"/>
      <c r="H294" s="6"/>
      <c r="I294" s="7"/>
      <c r="J294" s="7"/>
      <c r="K294" s="7"/>
      <c r="L294" s="7"/>
      <c r="M294" s="52"/>
      <c r="N294" s="7"/>
      <c r="O294" s="7"/>
      <c r="P294" s="47"/>
      <c r="Q294" s="47"/>
      <c r="R294" s="7"/>
      <c r="S294" s="51"/>
      <c r="T294" s="51"/>
      <c r="U294" s="7"/>
      <c r="V294" s="57"/>
      <c r="W294" s="57"/>
      <c r="X294" s="57"/>
    </row>
    <row r="295" spans="1:24" ht="12.5" x14ac:dyDescent="0.25">
      <c r="A295" s="34"/>
      <c r="B295" s="7"/>
      <c r="C295" s="19"/>
      <c r="D295" s="7"/>
      <c r="E295" s="7"/>
      <c r="F295" s="7"/>
      <c r="G295" s="7"/>
      <c r="H295" s="6"/>
      <c r="I295" s="7"/>
      <c r="J295" s="7"/>
      <c r="K295" s="7"/>
      <c r="L295" s="7"/>
      <c r="M295" s="52"/>
      <c r="N295" s="7"/>
      <c r="O295" s="7"/>
      <c r="P295" s="47"/>
      <c r="Q295" s="47"/>
      <c r="R295" s="7"/>
      <c r="S295" s="51"/>
      <c r="T295" s="51"/>
      <c r="U295" s="7"/>
      <c r="V295" s="57"/>
      <c r="W295" s="57"/>
      <c r="X295" s="57"/>
    </row>
    <row r="296" spans="1:24" ht="12.5" x14ac:dyDescent="0.25">
      <c r="A296" s="34"/>
      <c r="B296" s="7"/>
      <c r="C296" s="19"/>
      <c r="D296" s="7"/>
      <c r="E296" s="7"/>
      <c r="F296" s="7"/>
      <c r="G296" s="7"/>
      <c r="H296" s="6"/>
      <c r="I296" s="7"/>
      <c r="J296" s="7"/>
      <c r="K296" s="7"/>
      <c r="L296" s="7"/>
      <c r="M296" s="52"/>
      <c r="N296" s="7"/>
      <c r="O296" s="7"/>
      <c r="P296" s="47"/>
      <c r="Q296" s="47"/>
      <c r="R296" s="7"/>
      <c r="S296" s="51"/>
      <c r="T296" s="51"/>
      <c r="U296" s="7"/>
      <c r="V296" s="57"/>
      <c r="W296" s="57"/>
      <c r="X296" s="57"/>
    </row>
    <row r="297" spans="1:24" ht="12.5" x14ac:dyDescent="0.25">
      <c r="A297" s="34"/>
      <c r="B297" s="7"/>
      <c r="C297" s="19"/>
      <c r="D297" s="7"/>
      <c r="E297" s="7"/>
      <c r="F297" s="7"/>
      <c r="G297" s="7"/>
      <c r="H297" s="6"/>
      <c r="I297" s="7"/>
      <c r="J297" s="7"/>
      <c r="K297" s="7"/>
      <c r="L297" s="7"/>
      <c r="M297" s="52"/>
      <c r="N297" s="7"/>
      <c r="O297" s="7"/>
      <c r="P297" s="47"/>
      <c r="Q297" s="47"/>
      <c r="R297" s="7"/>
      <c r="S297" s="51"/>
      <c r="T297" s="51"/>
      <c r="U297" s="7"/>
      <c r="V297" s="57"/>
      <c r="W297" s="57"/>
      <c r="X297" s="57"/>
    </row>
    <row r="298" spans="1:24" ht="12.5" x14ac:dyDescent="0.25">
      <c r="A298" s="34"/>
      <c r="B298" s="7"/>
      <c r="C298" s="19"/>
      <c r="D298" s="7"/>
      <c r="E298" s="7"/>
      <c r="F298" s="7"/>
      <c r="G298" s="7"/>
      <c r="H298" s="6"/>
      <c r="I298" s="7"/>
      <c r="J298" s="7"/>
      <c r="K298" s="7"/>
      <c r="L298" s="7"/>
      <c r="M298" s="52"/>
      <c r="N298" s="7"/>
      <c r="O298" s="7"/>
      <c r="P298" s="47"/>
      <c r="Q298" s="47"/>
      <c r="R298" s="7"/>
      <c r="S298" s="51"/>
      <c r="T298" s="51"/>
      <c r="U298" s="7"/>
      <c r="V298" s="57"/>
      <c r="W298" s="57"/>
      <c r="X298" s="57"/>
    </row>
    <row r="299" spans="1:24" ht="12.5" x14ac:dyDescent="0.25">
      <c r="A299" s="34"/>
      <c r="B299" s="7"/>
      <c r="C299" s="19"/>
      <c r="D299" s="7"/>
      <c r="E299" s="7"/>
      <c r="F299" s="7"/>
      <c r="G299" s="7"/>
      <c r="H299" s="6"/>
      <c r="I299" s="7"/>
      <c r="J299" s="7"/>
      <c r="K299" s="7"/>
      <c r="L299" s="7"/>
      <c r="M299" s="52"/>
      <c r="N299" s="7"/>
      <c r="O299" s="7"/>
      <c r="P299" s="47"/>
      <c r="Q299" s="47"/>
      <c r="R299" s="7"/>
      <c r="S299" s="51"/>
      <c r="T299" s="51"/>
      <c r="U299" s="7"/>
      <c r="V299" s="57"/>
      <c r="W299" s="57"/>
      <c r="X299" s="57"/>
    </row>
    <row r="300" spans="1:24" ht="12.5" x14ac:dyDescent="0.25">
      <c r="A300" s="34"/>
      <c r="B300" s="7"/>
      <c r="C300" s="19"/>
      <c r="D300" s="7"/>
      <c r="E300" s="7"/>
      <c r="F300" s="7"/>
      <c r="G300" s="7"/>
      <c r="H300" s="6"/>
      <c r="I300" s="7"/>
      <c r="J300" s="7"/>
      <c r="K300" s="7"/>
      <c r="L300" s="7"/>
      <c r="M300" s="52"/>
      <c r="N300" s="7"/>
      <c r="O300" s="7"/>
      <c r="P300" s="47"/>
      <c r="Q300" s="47"/>
      <c r="R300" s="7"/>
      <c r="S300" s="51"/>
      <c r="T300" s="51"/>
      <c r="U300" s="7"/>
      <c r="V300" s="57"/>
      <c r="W300" s="57"/>
      <c r="X300" s="57"/>
    </row>
    <row r="301" spans="1:24" ht="12.5" x14ac:dyDescent="0.25">
      <c r="A301" s="34"/>
      <c r="B301" s="7"/>
      <c r="C301" s="19"/>
      <c r="D301" s="7"/>
      <c r="E301" s="7"/>
      <c r="F301" s="7"/>
      <c r="G301" s="7"/>
      <c r="H301" s="6"/>
      <c r="I301" s="7"/>
      <c r="J301" s="7"/>
      <c r="K301" s="7"/>
      <c r="L301" s="7"/>
      <c r="M301" s="52"/>
      <c r="N301" s="7"/>
      <c r="O301" s="7"/>
      <c r="P301" s="47"/>
      <c r="Q301" s="47"/>
      <c r="R301" s="7"/>
      <c r="S301" s="51"/>
      <c r="T301" s="51"/>
      <c r="U301" s="7"/>
      <c r="V301" s="57"/>
      <c r="W301" s="57"/>
      <c r="X301" s="57"/>
    </row>
    <row r="302" spans="1:24" ht="12.5" x14ac:dyDescent="0.25">
      <c r="A302" s="34"/>
      <c r="B302" s="7"/>
      <c r="C302" s="19"/>
      <c r="D302" s="7"/>
      <c r="E302" s="7"/>
      <c r="F302" s="7"/>
      <c r="G302" s="7"/>
      <c r="H302" s="6"/>
      <c r="I302" s="7"/>
      <c r="J302" s="7"/>
      <c r="K302" s="7"/>
      <c r="L302" s="7"/>
      <c r="M302" s="52"/>
      <c r="N302" s="7"/>
      <c r="O302" s="7"/>
      <c r="P302" s="47"/>
      <c r="Q302" s="47"/>
      <c r="R302" s="7"/>
      <c r="S302" s="51"/>
      <c r="T302" s="51"/>
      <c r="U302" s="7"/>
      <c r="V302" s="57"/>
      <c r="W302" s="57"/>
      <c r="X302" s="57"/>
    </row>
    <row r="303" spans="1:24" ht="12.5" x14ac:dyDescent="0.25">
      <c r="A303" s="34"/>
      <c r="B303" s="7"/>
      <c r="C303" s="19"/>
      <c r="D303" s="7"/>
      <c r="E303" s="7"/>
      <c r="F303" s="7"/>
      <c r="G303" s="7"/>
      <c r="H303" s="6"/>
      <c r="I303" s="7"/>
      <c r="J303" s="7"/>
      <c r="K303" s="7"/>
      <c r="L303" s="7"/>
      <c r="M303" s="52"/>
      <c r="N303" s="7"/>
      <c r="O303" s="7"/>
      <c r="P303" s="47"/>
      <c r="Q303" s="47"/>
      <c r="R303" s="7"/>
      <c r="S303" s="51"/>
      <c r="T303" s="51"/>
      <c r="U303" s="7"/>
      <c r="V303" s="57"/>
      <c r="W303" s="57"/>
      <c r="X303" s="57"/>
    </row>
    <row r="304" spans="1:24" ht="12.5" x14ac:dyDescent="0.25">
      <c r="A304" s="34"/>
      <c r="B304" s="7"/>
      <c r="C304" s="19"/>
      <c r="D304" s="7"/>
      <c r="E304" s="7"/>
      <c r="F304" s="7"/>
      <c r="G304" s="7"/>
      <c r="H304" s="6"/>
      <c r="I304" s="7"/>
      <c r="J304" s="7"/>
      <c r="K304" s="7"/>
      <c r="L304" s="7"/>
      <c r="M304" s="52"/>
      <c r="N304" s="7"/>
      <c r="O304" s="7"/>
      <c r="P304" s="47"/>
      <c r="Q304" s="47"/>
      <c r="R304" s="7"/>
      <c r="S304" s="51"/>
      <c r="T304" s="51"/>
      <c r="U304" s="7"/>
      <c r="V304" s="57"/>
      <c r="W304" s="57"/>
      <c r="X304" s="57"/>
    </row>
    <row r="305" spans="1:24" ht="12.5" x14ac:dyDescent="0.25">
      <c r="A305" s="34"/>
      <c r="B305" s="7"/>
      <c r="C305" s="19"/>
      <c r="D305" s="7"/>
      <c r="E305" s="7"/>
      <c r="F305" s="7"/>
      <c r="G305" s="7"/>
      <c r="H305" s="6"/>
      <c r="I305" s="7"/>
      <c r="J305" s="7"/>
      <c r="K305" s="7"/>
      <c r="L305" s="7"/>
      <c r="M305" s="52"/>
      <c r="N305" s="7"/>
      <c r="O305" s="7"/>
      <c r="P305" s="47"/>
      <c r="Q305" s="47"/>
      <c r="R305" s="7"/>
      <c r="S305" s="51"/>
      <c r="T305" s="51"/>
      <c r="U305" s="7"/>
      <c r="V305" s="57"/>
      <c r="W305" s="57"/>
      <c r="X305" s="57"/>
    </row>
    <row r="306" spans="1:24" ht="12.5" x14ac:dyDescent="0.25">
      <c r="A306" s="34"/>
      <c r="B306" s="7"/>
      <c r="C306" s="19"/>
      <c r="D306" s="7"/>
      <c r="E306" s="7"/>
      <c r="F306" s="7"/>
      <c r="G306" s="7"/>
      <c r="H306" s="6"/>
      <c r="I306" s="7"/>
      <c r="J306" s="7"/>
      <c r="K306" s="7"/>
      <c r="L306" s="7"/>
      <c r="M306" s="52"/>
      <c r="N306" s="7"/>
      <c r="O306" s="7"/>
      <c r="P306" s="47"/>
      <c r="Q306" s="47"/>
      <c r="R306" s="7"/>
      <c r="S306" s="51"/>
      <c r="T306" s="51"/>
      <c r="U306" s="7"/>
      <c r="V306" s="57"/>
      <c r="W306" s="57"/>
      <c r="X306" s="57"/>
    </row>
    <row r="307" spans="1:24" ht="12.5" x14ac:dyDescent="0.25">
      <c r="A307" s="34"/>
      <c r="B307" s="7"/>
      <c r="C307" s="19"/>
      <c r="D307" s="7"/>
      <c r="E307" s="7"/>
      <c r="F307" s="7"/>
      <c r="G307" s="7"/>
      <c r="H307" s="6"/>
      <c r="I307" s="7"/>
      <c r="J307" s="7"/>
      <c r="K307" s="7"/>
      <c r="L307" s="7"/>
      <c r="M307" s="52"/>
      <c r="N307" s="7"/>
      <c r="O307" s="7"/>
      <c r="P307" s="47"/>
      <c r="Q307" s="47"/>
      <c r="R307" s="7"/>
      <c r="S307" s="51"/>
      <c r="T307" s="51"/>
      <c r="U307" s="7"/>
      <c r="V307" s="57"/>
      <c r="W307" s="57"/>
      <c r="X307" s="57"/>
    </row>
    <row r="308" spans="1:24" ht="12.5" x14ac:dyDescent="0.25">
      <c r="A308" s="34"/>
      <c r="B308" s="7"/>
      <c r="C308" s="19"/>
      <c r="D308" s="7"/>
      <c r="E308" s="7"/>
      <c r="F308" s="7"/>
      <c r="G308" s="7"/>
      <c r="H308" s="6"/>
      <c r="I308" s="7"/>
      <c r="J308" s="7"/>
      <c r="K308" s="7"/>
      <c r="L308" s="7"/>
      <c r="M308" s="52"/>
      <c r="N308" s="7"/>
      <c r="O308" s="7"/>
      <c r="P308" s="47"/>
      <c r="Q308" s="47"/>
      <c r="R308" s="7"/>
      <c r="S308" s="51"/>
      <c r="T308" s="51"/>
      <c r="U308" s="7"/>
      <c r="V308" s="57"/>
      <c r="W308" s="57"/>
      <c r="X308" s="57"/>
    </row>
    <row r="309" spans="1:24" ht="12.5" x14ac:dyDescent="0.25">
      <c r="A309" s="34"/>
      <c r="B309" s="7"/>
      <c r="C309" s="19"/>
      <c r="D309" s="7"/>
      <c r="E309" s="7"/>
      <c r="F309" s="7"/>
      <c r="G309" s="7"/>
      <c r="H309" s="6"/>
      <c r="I309" s="7"/>
      <c r="J309" s="7"/>
      <c r="K309" s="7"/>
      <c r="L309" s="7"/>
      <c r="M309" s="52"/>
      <c r="N309" s="7"/>
      <c r="O309" s="7"/>
      <c r="P309" s="47"/>
      <c r="Q309" s="47"/>
      <c r="R309" s="7"/>
      <c r="S309" s="51"/>
      <c r="T309" s="51"/>
      <c r="U309" s="7"/>
      <c r="V309" s="57"/>
      <c r="W309" s="57"/>
      <c r="X309" s="57"/>
    </row>
    <row r="310" spans="1:24" ht="12.5" x14ac:dyDescent="0.25">
      <c r="A310" s="34"/>
      <c r="B310" s="7"/>
      <c r="C310" s="19"/>
      <c r="D310" s="7"/>
      <c r="E310" s="7"/>
      <c r="F310" s="7"/>
      <c r="G310" s="7"/>
      <c r="H310" s="6"/>
      <c r="I310" s="7"/>
      <c r="J310" s="7"/>
      <c r="K310" s="7"/>
      <c r="L310" s="7"/>
      <c r="M310" s="52"/>
      <c r="N310" s="7"/>
      <c r="O310" s="7"/>
      <c r="P310" s="47"/>
      <c r="Q310" s="47"/>
      <c r="R310" s="7"/>
      <c r="S310" s="51"/>
      <c r="T310" s="51"/>
      <c r="U310" s="7"/>
      <c r="V310" s="57"/>
      <c r="W310" s="57"/>
      <c r="X310" s="57"/>
    </row>
    <row r="311" spans="1:24" ht="12.5" x14ac:dyDescent="0.25">
      <c r="A311" s="34"/>
      <c r="B311" s="7"/>
      <c r="C311" s="19"/>
      <c r="D311" s="7"/>
      <c r="E311" s="7"/>
      <c r="F311" s="7"/>
      <c r="G311" s="7"/>
      <c r="H311" s="6"/>
      <c r="I311" s="7"/>
      <c r="J311" s="7"/>
      <c r="K311" s="7"/>
      <c r="L311" s="7"/>
      <c r="M311" s="52"/>
      <c r="N311" s="7"/>
      <c r="O311" s="7"/>
      <c r="P311" s="47"/>
      <c r="Q311" s="47"/>
      <c r="R311" s="7"/>
      <c r="S311" s="51"/>
      <c r="T311" s="51"/>
      <c r="U311" s="7"/>
      <c r="V311" s="57"/>
      <c r="W311" s="57"/>
      <c r="X311" s="57"/>
    </row>
    <row r="312" spans="1:24" ht="12.5" x14ac:dyDescent="0.25">
      <c r="A312" s="34"/>
      <c r="B312" s="7"/>
      <c r="C312" s="19"/>
      <c r="D312" s="7"/>
      <c r="E312" s="7"/>
      <c r="F312" s="7"/>
      <c r="G312" s="7"/>
      <c r="H312" s="6"/>
      <c r="I312" s="7"/>
      <c r="J312" s="7"/>
      <c r="K312" s="7"/>
      <c r="L312" s="7"/>
      <c r="M312" s="52"/>
      <c r="N312" s="7"/>
      <c r="O312" s="7"/>
      <c r="P312" s="47"/>
      <c r="Q312" s="47"/>
      <c r="R312" s="7"/>
      <c r="S312" s="51"/>
      <c r="T312" s="51"/>
      <c r="U312" s="7"/>
      <c r="V312" s="57"/>
      <c r="W312" s="57"/>
      <c r="X312" s="57"/>
    </row>
    <row r="313" spans="1:24" ht="12.5" x14ac:dyDescent="0.25">
      <c r="A313" s="34"/>
      <c r="B313" s="7"/>
      <c r="C313" s="19"/>
      <c r="D313" s="7"/>
      <c r="E313" s="7"/>
      <c r="F313" s="7"/>
      <c r="G313" s="7"/>
      <c r="H313" s="6"/>
      <c r="I313" s="7"/>
      <c r="J313" s="7"/>
      <c r="K313" s="7"/>
      <c r="L313" s="7"/>
      <c r="M313" s="52"/>
      <c r="N313" s="7"/>
      <c r="O313" s="7"/>
      <c r="P313" s="47"/>
      <c r="Q313" s="47"/>
      <c r="R313" s="7"/>
      <c r="S313" s="51"/>
      <c r="T313" s="51"/>
      <c r="U313" s="7"/>
      <c r="V313" s="57"/>
      <c r="W313" s="57"/>
      <c r="X313" s="57"/>
    </row>
    <row r="314" spans="1:24" ht="12.5" x14ac:dyDescent="0.25">
      <c r="A314" s="34"/>
      <c r="B314" s="7"/>
      <c r="C314" s="19"/>
      <c r="D314" s="7"/>
      <c r="E314" s="7"/>
      <c r="F314" s="7"/>
      <c r="G314" s="7"/>
      <c r="H314" s="6"/>
      <c r="I314" s="7"/>
      <c r="J314" s="7"/>
      <c r="K314" s="7"/>
      <c r="L314" s="7"/>
      <c r="M314" s="52"/>
      <c r="N314" s="7"/>
      <c r="O314" s="7"/>
      <c r="P314" s="47"/>
      <c r="Q314" s="47"/>
      <c r="R314" s="7"/>
      <c r="S314" s="51"/>
      <c r="T314" s="51"/>
      <c r="U314" s="7"/>
      <c r="V314" s="57"/>
      <c r="W314" s="57"/>
      <c r="X314" s="57"/>
    </row>
    <row r="315" spans="1:24" ht="12.5" x14ac:dyDescent="0.25">
      <c r="A315" s="34"/>
      <c r="B315" s="7"/>
      <c r="C315" s="19"/>
      <c r="D315" s="7"/>
      <c r="E315" s="7"/>
      <c r="F315" s="7"/>
      <c r="G315" s="7"/>
      <c r="H315" s="6"/>
      <c r="I315" s="7"/>
      <c r="J315" s="7"/>
      <c r="K315" s="7"/>
      <c r="L315" s="7"/>
      <c r="M315" s="52"/>
      <c r="N315" s="7"/>
      <c r="O315" s="7"/>
      <c r="P315" s="47"/>
      <c r="Q315" s="47"/>
      <c r="R315" s="7"/>
      <c r="S315" s="51"/>
      <c r="T315" s="51"/>
      <c r="U315" s="7"/>
      <c r="V315" s="57"/>
      <c r="W315" s="57"/>
      <c r="X315" s="57"/>
    </row>
    <row r="316" spans="1:24" ht="12.5" x14ac:dyDescent="0.25">
      <c r="A316" s="34"/>
      <c r="B316" s="7"/>
      <c r="C316" s="19"/>
      <c r="D316" s="7"/>
      <c r="E316" s="7"/>
      <c r="F316" s="7"/>
      <c r="G316" s="7"/>
      <c r="H316" s="6"/>
      <c r="I316" s="7"/>
      <c r="J316" s="7"/>
      <c r="K316" s="7"/>
      <c r="L316" s="7"/>
      <c r="M316" s="52"/>
      <c r="N316" s="7"/>
      <c r="O316" s="7"/>
      <c r="P316" s="47"/>
      <c r="Q316" s="47"/>
      <c r="R316" s="7"/>
      <c r="S316" s="51"/>
      <c r="T316" s="51"/>
      <c r="U316" s="7"/>
      <c r="V316" s="57"/>
      <c r="W316" s="57"/>
      <c r="X316" s="57"/>
    </row>
    <row r="317" spans="1:24" ht="12.5" x14ac:dyDescent="0.25">
      <c r="A317" s="34"/>
      <c r="B317" s="7"/>
      <c r="C317" s="19"/>
      <c r="D317" s="7"/>
      <c r="E317" s="7"/>
      <c r="F317" s="7"/>
      <c r="G317" s="7"/>
      <c r="H317" s="6"/>
      <c r="I317" s="7"/>
      <c r="J317" s="7"/>
      <c r="K317" s="7"/>
      <c r="L317" s="7"/>
      <c r="M317" s="52"/>
      <c r="N317" s="7"/>
      <c r="O317" s="7"/>
      <c r="P317" s="47"/>
      <c r="Q317" s="47"/>
      <c r="R317" s="7"/>
      <c r="S317" s="51"/>
      <c r="T317" s="51"/>
      <c r="U317" s="7"/>
      <c r="V317" s="57"/>
      <c r="W317" s="57"/>
      <c r="X317" s="57"/>
    </row>
    <row r="318" spans="1:24" ht="12.5" x14ac:dyDescent="0.25">
      <c r="A318" s="34"/>
      <c r="B318" s="7"/>
      <c r="C318" s="19"/>
      <c r="D318" s="7"/>
      <c r="E318" s="7"/>
      <c r="F318" s="7"/>
      <c r="G318" s="7"/>
      <c r="H318" s="6"/>
      <c r="I318" s="7"/>
      <c r="J318" s="7"/>
      <c r="K318" s="7"/>
      <c r="L318" s="7"/>
      <c r="M318" s="52"/>
      <c r="N318" s="7"/>
      <c r="O318" s="7"/>
      <c r="P318" s="47"/>
      <c r="Q318" s="47"/>
      <c r="R318" s="7"/>
      <c r="S318" s="51"/>
      <c r="T318" s="51"/>
      <c r="U318" s="7"/>
      <c r="V318" s="57"/>
      <c r="W318" s="57"/>
      <c r="X318" s="57"/>
    </row>
    <row r="319" spans="1:24" ht="12.5" x14ac:dyDescent="0.25">
      <c r="A319" s="34"/>
      <c r="B319" s="7"/>
      <c r="C319" s="19"/>
      <c r="D319" s="7"/>
      <c r="E319" s="7"/>
      <c r="F319" s="7"/>
      <c r="G319" s="7"/>
      <c r="H319" s="6"/>
      <c r="I319" s="7"/>
      <c r="J319" s="7"/>
      <c r="K319" s="7"/>
      <c r="L319" s="7"/>
      <c r="M319" s="52"/>
      <c r="N319" s="7"/>
      <c r="O319" s="7"/>
      <c r="P319" s="47"/>
      <c r="Q319" s="47"/>
      <c r="R319" s="7"/>
      <c r="S319" s="51"/>
      <c r="T319" s="51"/>
      <c r="U319" s="7"/>
      <c r="V319" s="57"/>
      <c r="W319" s="57"/>
      <c r="X319" s="57"/>
    </row>
    <row r="320" spans="1:24" ht="12.5" x14ac:dyDescent="0.25">
      <c r="A320" s="34"/>
      <c r="B320" s="7"/>
      <c r="C320" s="19"/>
      <c r="D320" s="7"/>
      <c r="E320" s="7"/>
      <c r="F320" s="7"/>
      <c r="G320" s="7"/>
      <c r="H320" s="6"/>
      <c r="I320" s="7"/>
      <c r="J320" s="7"/>
      <c r="K320" s="7"/>
      <c r="L320" s="7"/>
      <c r="M320" s="52"/>
      <c r="N320" s="7"/>
      <c r="O320" s="7"/>
      <c r="P320" s="47"/>
      <c r="Q320" s="47"/>
      <c r="R320" s="7"/>
      <c r="S320" s="51"/>
      <c r="T320" s="51"/>
      <c r="U320" s="7"/>
      <c r="V320" s="57"/>
      <c r="W320" s="57"/>
      <c r="X320" s="57"/>
    </row>
    <row r="321" spans="1:24" ht="12.5" x14ac:dyDescent="0.25">
      <c r="A321" s="34"/>
      <c r="B321" s="7"/>
      <c r="C321" s="19"/>
      <c r="D321" s="7"/>
      <c r="E321" s="7"/>
      <c r="F321" s="7"/>
      <c r="G321" s="7"/>
      <c r="H321" s="6"/>
      <c r="I321" s="7"/>
      <c r="J321" s="7"/>
      <c r="K321" s="7"/>
      <c r="L321" s="7"/>
      <c r="M321" s="52"/>
      <c r="N321" s="7"/>
      <c r="O321" s="7"/>
      <c r="P321" s="47"/>
      <c r="Q321" s="47"/>
      <c r="R321" s="7"/>
      <c r="S321" s="51"/>
      <c r="T321" s="51"/>
      <c r="U321" s="7"/>
      <c r="V321" s="57"/>
      <c r="W321" s="57"/>
      <c r="X321" s="57"/>
    </row>
    <row r="322" spans="1:24" ht="12.5" x14ac:dyDescent="0.25">
      <c r="A322" s="34"/>
      <c r="B322" s="7"/>
      <c r="C322" s="19"/>
      <c r="D322" s="7"/>
      <c r="E322" s="7"/>
      <c r="F322" s="7"/>
      <c r="G322" s="7"/>
      <c r="H322" s="6"/>
      <c r="I322" s="7"/>
      <c r="J322" s="7"/>
      <c r="K322" s="7"/>
      <c r="L322" s="7"/>
      <c r="M322" s="52"/>
      <c r="N322" s="7"/>
      <c r="O322" s="7"/>
      <c r="P322" s="47"/>
      <c r="Q322" s="47"/>
      <c r="R322" s="7"/>
      <c r="S322" s="51"/>
      <c r="T322" s="51"/>
      <c r="U322" s="7"/>
      <c r="V322" s="57"/>
      <c r="W322" s="57"/>
      <c r="X322" s="57"/>
    </row>
    <row r="323" spans="1:24" ht="12.5" x14ac:dyDescent="0.25">
      <c r="A323" s="34"/>
      <c r="B323" s="7"/>
      <c r="C323" s="19"/>
      <c r="D323" s="7"/>
      <c r="E323" s="7"/>
      <c r="F323" s="7"/>
      <c r="G323" s="7"/>
      <c r="H323" s="6"/>
      <c r="I323" s="7"/>
      <c r="J323" s="7"/>
      <c r="K323" s="7"/>
      <c r="L323" s="7"/>
      <c r="M323" s="52"/>
      <c r="N323" s="7"/>
      <c r="O323" s="7"/>
      <c r="P323" s="47"/>
      <c r="Q323" s="47"/>
      <c r="R323" s="7"/>
      <c r="S323" s="51"/>
      <c r="T323" s="51"/>
      <c r="U323" s="7"/>
      <c r="V323" s="57"/>
      <c r="W323" s="57"/>
      <c r="X323" s="57"/>
    </row>
    <row r="324" spans="1:24" ht="12.5" x14ac:dyDescent="0.25">
      <c r="A324" s="34"/>
      <c r="B324" s="7"/>
      <c r="C324" s="19"/>
      <c r="D324" s="7"/>
      <c r="E324" s="7"/>
      <c r="F324" s="7"/>
      <c r="G324" s="7"/>
      <c r="H324" s="6"/>
      <c r="I324" s="7"/>
      <c r="J324" s="7"/>
      <c r="K324" s="7"/>
      <c r="L324" s="7"/>
      <c r="M324" s="52"/>
      <c r="N324" s="7"/>
      <c r="O324" s="7"/>
      <c r="P324" s="47"/>
      <c r="Q324" s="47"/>
      <c r="R324" s="7"/>
      <c r="S324" s="51"/>
      <c r="T324" s="51"/>
      <c r="U324" s="7"/>
      <c r="V324" s="57"/>
      <c r="W324" s="57"/>
      <c r="X324" s="57"/>
    </row>
    <row r="325" spans="1:24" ht="12.5" x14ac:dyDescent="0.25">
      <c r="A325" s="34"/>
      <c r="B325" s="7"/>
      <c r="C325" s="19"/>
      <c r="D325" s="7"/>
      <c r="E325" s="7"/>
      <c r="F325" s="7"/>
      <c r="G325" s="7"/>
      <c r="H325" s="6"/>
      <c r="I325" s="7"/>
      <c r="J325" s="7"/>
      <c r="K325" s="7"/>
      <c r="L325" s="7"/>
      <c r="M325" s="52"/>
      <c r="N325" s="7"/>
      <c r="O325" s="7"/>
      <c r="P325" s="47"/>
      <c r="Q325" s="47"/>
      <c r="R325" s="7"/>
      <c r="S325" s="51"/>
      <c r="T325" s="51"/>
      <c r="U325" s="7"/>
      <c r="V325" s="57"/>
      <c r="W325" s="57"/>
      <c r="X325" s="57"/>
    </row>
    <row r="326" spans="1:24" ht="12.5" x14ac:dyDescent="0.25">
      <c r="A326" s="34"/>
      <c r="B326" s="7"/>
      <c r="C326" s="19"/>
      <c r="D326" s="7"/>
      <c r="E326" s="7"/>
      <c r="F326" s="7"/>
      <c r="G326" s="7"/>
      <c r="H326" s="6"/>
      <c r="I326" s="7"/>
      <c r="J326" s="7"/>
      <c r="K326" s="7"/>
      <c r="L326" s="7"/>
      <c r="M326" s="52"/>
      <c r="N326" s="7"/>
      <c r="O326" s="7"/>
      <c r="P326" s="47"/>
      <c r="Q326" s="47"/>
      <c r="R326" s="7"/>
      <c r="S326" s="51"/>
      <c r="T326" s="51"/>
      <c r="U326" s="7"/>
      <c r="V326" s="57"/>
      <c r="W326" s="57"/>
      <c r="X326" s="57"/>
    </row>
    <row r="327" spans="1:24" ht="12.5" x14ac:dyDescent="0.25">
      <c r="A327" s="34"/>
      <c r="B327" s="7"/>
      <c r="C327" s="19"/>
      <c r="D327" s="7"/>
      <c r="E327" s="7"/>
      <c r="F327" s="7"/>
      <c r="G327" s="7"/>
      <c r="H327" s="6"/>
      <c r="I327" s="7"/>
      <c r="J327" s="7"/>
      <c r="K327" s="7"/>
      <c r="L327" s="7"/>
      <c r="M327" s="52"/>
      <c r="N327" s="7"/>
      <c r="O327" s="7"/>
      <c r="P327" s="47"/>
      <c r="Q327" s="47"/>
      <c r="R327" s="7"/>
      <c r="S327" s="51"/>
      <c r="T327" s="51"/>
      <c r="U327" s="7"/>
      <c r="V327" s="57"/>
      <c r="W327" s="57"/>
      <c r="X327" s="57"/>
    </row>
    <row r="328" spans="1:24" ht="12.5" x14ac:dyDescent="0.25">
      <c r="A328" s="34"/>
      <c r="B328" s="7"/>
      <c r="C328" s="19"/>
      <c r="D328" s="7"/>
      <c r="E328" s="7"/>
      <c r="F328" s="7"/>
      <c r="G328" s="7"/>
      <c r="H328" s="6"/>
      <c r="I328" s="7"/>
      <c r="J328" s="7"/>
      <c r="K328" s="7"/>
      <c r="L328" s="7"/>
      <c r="M328" s="52"/>
      <c r="N328" s="7"/>
      <c r="O328" s="7"/>
      <c r="P328" s="47"/>
      <c r="Q328" s="47"/>
      <c r="R328" s="7"/>
      <c r="S328" s="51"/>
      <c r="T328" s="51"/>
      <c r="U328" s="7"/>
      <c r="V328" s="57"/>
      <c r="W328" s="57"/>
      <c r="X328" s="57"/>
    </row>
    <row r="329" spans="1:24" ht="12.5" x14ac:dyDescent="0.25">
      <c r="A329" s="34"/>
      <c r="B329" s="7"/>
      <c r="C329" s="19"/>
      <c r="D329" s="7"/>
      <c r="E329" s="7"/>
      <c r="F329" s="7"/>
      <c r="G329" s="7"/>
      <c r="H329" s="6"/>
      <c r="I329" s="7"/>
      <c r="J329" s="7"/>
      <c r="K329" s="7"/>
      <c r="L329" s="7"/>
      <c r="M329" s="52"/>
      <c r="N329" s="7"/>
      <c r="O329" s="7"/>
      <c r="P329" s="47"/>
      <c r="Q329" s="47"/>
      <c r="R329" s="7"/>
      <c r="S329" s="51"/>
      <c r="T329" s="51"/>
      <c r="U329" s="7"/>
      <c r="V329" s="57"/>
      <c r="W329" s="57"/>
      <c r="X329" s="57"/>
    </row>
    <row r="330" spans="1:24" ht="12.5" x14ac:dyDescent="0.25">
      <c r="A330" s="34"/>
      <c r="B330" s="7"/>
      <c r="C330" s="19"/>
      <c r="D330" s="7"/>
      <c r="E330" s="7"/>
      <c r="F330" s="7"/>
      <c r="G330" s="7"/>
      <c r="H330" s="6"/>
      <c r="I330" s="7"/>
      <c r="J330" s="7"/>
      <c r="K330" s="7"/>
      <c r="L330" s="7"/>
      <c r="M330" s="52"/>
      <c r="N330" s="7"/>
      <c r="O330" s="7"/>
      <c r="P330" s="47"/>
      <c r="Q330" s="47"/>
      <c r="R330" s="7"/>
      <c r="S330" s="51"/>
      <c r="T330" s="51"/>
      <c r="U330" s="7"/>
      <c r="V330" s="57"/>
      <c r="W330" s="57"/>
      <c r="X330" s="57"/>
    </row>
    <row r="331" spans="1:24" ht="12.5" x14ac:dyDescent="0.25">
      <c r="A331" s="34"/>
      <c r="B331" s="7"/>
      <c r="C331" s="19"/>
      <c r="D331" s="7"/>
      <c r="E331" s="7"/>
      <c r="F331" s="7"/>
      <c r="G331" s="7"/>
      <c r="H331" s="6"/>
      <c r="I331" s="7"/>
      <c r="J331" s="7"/>
      <c r="K331" s="7"/>
      <c r="L331" s="7"/>
      <c r="M331" s="52"/>
      <c r="N331" s="7"/>
      <c r="O331" s="7"/>
      <c r="P331" s="47"/>
      <c r="Q331" s="47"/>
      <c r="R331" s="7"/>
      <c r="S331" s="51"/>
      <c r="T331" s="51"/>
      <c r="U331" s="7"/>
      <c r="V331" s="57"/>
      <c r="W331" s="57"/>
      <c r="X331" s="57"/>
    </row>
    <row r="332" spans="1:24" ht="12.5" x14ac:dyDescent="0.25">
      <c r="A332" s="34"/>
      <c r="B332" s="7"/>
      <c r="C332" s="19"/>
      <c r="D332" s="7"/>
      <c r="E332" s="7"/>
      <c r="F332" s="7"/>
      <c r="G332" s="7"/>
      <c r="H332" s="6"/>
      <c r="I332" s="7"/>
      <c r="J332" s="7"/>
      <c r="K332" s="7"/>
      <c r="L332" s="7"/>
      <c r="M332" s="52"/>
      <c r="N332" s="7"/>
      <c r="O332" s="7"/>
      <c r="P332" s="47"/>
      <c r="Q332" s="47"/>
      <c r="R332" s="7"/>
      <c r="S332" s="51"/>
      <c r="T332" s="51"/>
      <c r="U332" s="7"/>
      <c r="V332" s="57"/>
      <c r="W332" s="57"/>
      <c r="X332" s="57"/>
    </row>
    <row r="333" spans="1:24" ht="12.5" x14ac:dyDescent="0.25">
      <c r="A333" s="34"/>
      <c r="B333" s="7"/>
      <c r="C333" s="19"/>
      <c r="D333" s="7"/>
      <c r="E333" s="7"/>
      <c r="F333" s="7"/>
      <c r="G333" s="7"/>
      <c r="H333" s="6"/>
      <c r="I333" s="7"/>
      <c r="J333" s="7"/>
      <c r="K333" s="7"/>
      <c r="L333" s="7"/>
      <c r="M333" s="52"/>
      <c r="N333" s="7"/>
      <c r="O333" s="7"/>
      <c r="P333" s="47"/>
      <c r="Q333" s="47"/>
      <c r="R333" s="7"/>
      <c r="S333" s="51"/>
      <c r="T333" s="51"/>
      <c r="U333" s="7"/>
      <c r="V333" s="57"/>
      <c r="W333" s="57"/>
      <c r="X333" s="57"/>
    </row>
    <row r="334" spans="1:24" ht="12.5" x14ac:dyDescent="0.25">
      <c r="A334" s="34"/>
      <c r="B334" s="7"/>
      <c r="C334" s="19"/>
      <c r="D334" s="7"/>
      <c r="E334" s="7"/>
      <c r="F334" s="7"/>
      <c r="G334" s="7"/>
      <c r="H334" s="6"/>
      <c r="I334" s="7"/>
      <c r="J334" s="7"/>
      <c r="K334" s="7"/>
      <c r="L334" s="7"/>
      <c r="M334" s="52"/>
      <c r="N334" s="7"/>
      <c r="O334" s="7"/>
      <c r="P334" s="47"/>
      <c r="Q334" s="47"/>
      <c r="R334" s="7"/>
      <c r="S334" s="51"/>
      <c r="T334" s="51"/>
      <c r="U334" s="7"/>
      <c r="V334" s="57"/>
      <c r="W334" s="57"/>
      <c r="X334" s="57"/>
    </row>
    <row r="335" spans="1:24" ht="12.5" x14ac:dyDescent="0.25">
      <c r="A335" s="34"/>
      <c r="B335" s="7"/>
      <c r="C335" s="19"/>
      <c r="D335" s="7"/>
      <c r="E335" s="7"/>
      <c r="F335" s="7"/>
      <c r="G335" s="7"/>
      <c r="H335" s="6"/>
      <c r="I335" s="7"/>
      <c r="J335" s="7"/>
      <c r="K335" s="7"/>
      <c r="L335" s="7"/>
      <c r="M335" s="52"/>
      <c r="N335" s="7"/>
      <c r="O335" s="7"/>
      <c r="P335" s="47"/>
      <c r="Q335" s="47"/>
      <c r="R335" s="7"/>
      <c r="S335" s="51"/>
      <c r="T335" s="51"/>
      <c r="U335" s="7"/>
      <c r="V335" s="57"/>
      <c r="W335" s="57"/>
      <c r="X335" s="57"/>
    </row>
    <row r="336" spans="1:24" ht="12.5" x14ac:dyDescent="0.25">
      <c r="A336" s="34"/>
      <c r="B336" s="7"/>
      <c r="C336" s="19"/>
      <c r="D336" s="7"/>
      <c r="E336" s="7"/>
      <c r="F336" s="7"/>
      <c r="G336" s="7"/>
      <c r="H336" s="6"/>
      <c r="I336" s="7"/>
      <c r="J336" s="7"/>
      <c r="K336" s="7"/>
      <c r="L336" s="7"/>
      <c r="M336" s="52"/>
      <c r="N336" s="7"/>
      <c r="O336" s="7"/>
      <c r="P336" s="47"/>
      <c r="Q336" s="47"/>
      <c r="R336" s="7"/>
      <c r="S336" s="51"/>
      <c r="T336" s="51"/>
      <c r="U336" s="7"/>
      <c r="V336" s="57"/>
      <c r="W336" s="57"/>
      <c r="X336" s="57"/>
    </row>
    <row r="337" spans="1:24" ht="12.5" x14ac:dyDescent="0.25">
      <c r="A337" s="34"/>
      <c r="B337" s="7"/>
      <c r="C337" s="19"/>
      <c r="D337" s="7"/>
      <c r="E337" s="7"/>
      <c r="F337" s="7"/>
      <c r="G337" s="7"/>
      <c r="H337" s="6"/>
      <c r="I337" s="7"/>
      <c r="J337" s="7"/>
      <c r="K337" s="7"/>
      <c r="L337" s="7"/>
      <c r="M337" s="52"/>
      <c r="N337" s="7"/>
      <c r="O337" s="7"/>
      <c r="P337" s="47"/>
      <c r="Q337" s="47"/>
      <c r="R337" s="7"/>
      <c r="S337" s="51"/>
      <c r="T337" s="51"/>
      <c r="U337" s="7"/>
      <c r="V337" s="57"/>
      <c r="W337" s="57"/>
      <c r="X337" s="57"/>
    </row>
    <row r="338" spans="1:24" ht="12.5" x14ac:dyDescent="0.25">
      <c r="A338" s="34"/>
      <c r="B338" s="7"/>
      <c r="C338" s="19"/>
      <c r="D338" s="7"/>
      <c r="E338" s="7"/>
      <c r="F338" s="7"/>
      <c r="G338" s="7"/>
      <c r="H338" s="6"/>
      <c r="I338" s="7"/>
      <c r="J338" s="7"/>
      <c r="K338" s="7"/>
      <c r="L338" s="7"/>
      <c r="M338" s="52"/>
      <c r="N338" s="7"/>
      <c r="O338" s="7"/>
      <c r="P338" s="47"/>
      <c r="Q338" s="47"/>
      <c r="R338" s="7"/>
      <c r="S338" s="51"/>
      <c r="T338" s="51"/>
      <c r="U338" s="7"/>
      <c r="V338" s="57"/>
      <c r="W338" s="57"/>
      <c r="X338" s="57"/>
    </row>
    <row r="339" spans="1:24" ht="12.5" x14ac:dyDescent="0.25">
      <c r="A339" s="34"/>
      <c r="B339" s="7"/>
      <c r="C339" s="19"/>
      <c r="D339" s="7"/>
      <c r="E339" s="7"/>
      <c r="F339" s="7"/>
      <c r="G339" s="7"/>
      <c r="H339" s="6"/>
      <c r="I339" s="7"/>
      <c r="J339" s="7"/>
      <c r="K339" s="7"/>
      <c r="L339" s="7"/>
      <c r="M339" s="52"/>
      <c r="N339" s="7"/>
      <c r="O339" s="7"/>
      <c r="P339" s="47"/>
      <c r="Q339" s="47"/>
      <c r="R339" s="7"/>
      <c r="S339" s="51"/>
      <c r="T339" s="51"/>
      <c r="U339" s="7"/>
      <c r="V339" s="57"/>
      <c r="W339" s="57"/>
      <c r="X339" s="57"/>
    </row>
    <row r="340" spans="1:24" ht="12.5" x14ac:dyDescent="0.25">
      <c r="A340" s="34"/>
      <c r="B340" s="7"/>
      <c r="C340" s="19"/>
      <c r="D340" s="7"/>
      <c r="E340" s="7"/>
      <c r="F340" s="7"/>
      <c r="G340" s="7"/>
      <c r="H340" s="6"/>
      <c r="I340" s="7"/>
      <c r="J340" s="7"/>
      <c r="K340" s="7"/>
      <c r="L340" s="7"/>
      <c r="M340" s="52"/>
      <c r="N340" s="7"/>
      <c r="O340" s="7"/>
      <c r="P340" s="47"/>
      <c r="Q340" s="47"/>
      <c r="R340" s="7"/>
      <c r="S340" s="51"/>
      <c r="T340" s="51"/>
      <c r="U340" s="7"/>
      <c r="V340" s="57"/>
      <c r="W340" s="57"/>
      <c r="X340" s="57"/>
    </row>
    <row r="341" spans="1:24" ht="12.5" x14ac:dyDescent="0.25">
      <c r="A341" s="34"/>
      <c r="B341" s="7"/>
      <c r="C341" s="19"/>
      <c r="D341" s="7"/>
      <c r="E341" s="7"/>
      <c r="F341" s="7"/>
      <c r="G341" s="7"/>
      <c r="H341" s="6"/>
      <c r="I341" s="7"/>
      <c r="J341" s="7"/>
      <c r="K341" s="7"/>
      <c r="L341" s="7"/>
      <c r="M341" s="52"/>
      <c r="N341" s="7"/>
      <c r="O341" s="7"/>
      <c r="P341" s="47"/>
      <c r="Q341" s="47"/>
      <c r="R341" s="7"/>
      <c r="S341" s="51"/>
      <c r="T341" s="51"/>
      <c r="U341" s="7"/>
      <c r="V341" s="57"/>
      <c r="W341" s="57"/>
      <c r="X341" s="57"/>
    </row>
    <row r="342" spans="1:24" ht="12.5" x14ac:dyDescent="0.25">
      <c r="A342" s="34"/>
      <c r="B342" s="7"/>
      <c r="C342" s="19"/>
      <c r="D342" s="7"/>
      <c r="E342" s="7"/>
      <c r="F342" s="7"/>
      <c r="G342" s="7"/>
      <c r="H342" s="6"/>
      <c r="I342" s="7"/>
      <c r="J342" s="7"/>
      <c r="K342" s="7"/>
      <c r="L342" s="7"/>
      <c r="M342" s="52"/>
      <c r="N342" s="7"/>
      <c r="O342" s="7"/>
      <c r="P342" s="47"/>
      <c r="Q342" s="47"/>
      <c r="R342" s="7"/>
      <c r="S342" s="51"/>
      <c r="T342" s="51"/>
      <c r="U342" s="7"/>
      <c r="V342" s="57"/>
      <c r="W342" s="57"/>
      <c r="X342" s="57"/>
    </row>
    <row r="343" spans="1:24" ht="12.5" x14ac:dyDescent="0.25">
      <c r="A343" s="34"/>
      <c r="B343" s="7"/>
      <c r="C343" s="19"/>
      <c r="D343" s="7"/>
      <c r="E343" s="7"/>
      <c r="F343" s="7"/>
      <c r="G343" s="7"/>
      <c r="H343" s="6"/>
      <c r="I343" s="7"/>
      <c r="J343" s="7"/>
      <c r="K343" s="7"/>
      <c r="L343" s="7"/>
      <c r="M343" s="52"/>
      <c r="N343" s="7"/>
      <c r="O343" s="7"/>
      <c r="P343" s="47"/>
      <c r="Q343" s="47"/>
      <c r="R343" s="7"/>
      <c r="S343" s="51"/>
      <c r="T343" s="51"/>
      <c r="U343" s="7"/>
      <c r="V343" s="57"/>
      <c r="W343" s="57"/>
      <c r="X343" s="57"/>
    </row>
    <row r="344" spans="1:24" ht="12.5" x14ac:dyDescent="0.25">
      <c r="A344" s="34"/>
      <c r="B344" s="7"/>
      <c r="C344" s="19"/>
      <c r="D344" s="7"/>
      <c r="E344" s="7"/>
      <c r="F344" s="7"/>
      <c r="G344" s="7"/>
      <c r="H344" s="6"/>
      <c r="I344" s="7"/>
      <c r="J344" s="7"/>
      <c r="K344" s="7"/>
      <c r="L344" s="7"/>
      <c r="M344" s="52"/>
      <c r="N344" s="7"/>
      <c r="O344" s="7"/>
      <c r="P344" s="47"/>
      <c r="Q344" s="47"/>
      <c r="R344" s="7"/>
      <c r="S344" s="51"/>
      <c r="T344" s="51"/>
      <c r="U344" s="7"/>
      <c r="V344" s="57"/>
      <c r="W344" s="57"/>
      <c r="X344" s="57"/>
    </row>
    <row r="345" spans="1:24" ht="12.5" x14ac:dyDescent="0.25">
      <c r="A345" s="34"/>
      <c r="B345" s="7"/>
      <c r="C345" s="19"/>
      <c r="D345" s="7"/>
      <c r="E345" s="7"/>
      <c r="F345" s="7"/>
      <c r="G345" s="7"/>
      <c r="H345" s="6"/>
      <c r="I345" s="7"/>
      <c r="J345" s="7"/>
      <c r="K345" s="7"/>
      <c r="L345" s="7"/>
      <c r="M345" s="52"/>
      <c r="N345" s="7"/>
      <c r="O345" s="7"/>
      <c r="P345" s="47"/>
      <c r="Q345" s="47"/>
      <c r="R345" s="7"/>
      <c r="S345" s="51"/>
      <c r="T345" s="51"/>
      <c r="U345" s="7"/>
      <c r="V345" s="57"/>
      <c r="W345" s="57"/>
      <c r="X345" s="57"/>
    </row>
    <row r="346" spans="1:24" ht="12.5" x14ac:dyDescent="0.25">
      <c r="A346" s="34"/>
      <c r="B346" s="7"/>
      <c r="C346" s="19"/>
      <c r="D346" s="7"/>
      <c r="E346" s="7"/>
      <c r="F346" s="7"/>
      <c r="G346" s="7"/>
      <c r="H346" s="6"/>
      <c r="I346" s="7"/>
      <c r="J346" s="7"/>
      <c r="K346" s="7"/>
      <c r="L346" s="7"/>
      <c r="M346" s="52"/>
      <c r="N346" s="7"/>
      <c r="O346" s="7"/>
      <c r="P346" s="47"/>
      <c r="Q346" s="47"/>
      <c r="R346" s="7"/>
      <c r="S346" s="51"/>
      <c r="T346" s="51"/>
      <c r="U346" s="7"/>
      <c r="V346" s="57"/>
      <c r="W346" s="57"/>
      <c r="X346" s="57"/>
    </row>
    <row r="347" spans="1:24" ht="12.5" x14ac:dyDescent="0.25">
      <c r="A347" s="34"/>
      <c r="B347" s="7"/>
      <c r="C347" s="19"/>
      <c r="D347" s="7"/>
      <c r="E347" s="7"/>
      <c r="F347" s="7"/>
      <c r="G347" s="7"/>
      <c r="H347" s="6"/>
      <c r="I347" s="7"/>
      <c r="J347" s="7"/>
      <c r="K347" s="7"/>
      <c r="L347" s="7"/>
      <c r="M347" s="52"/>
      <c r="N347" s="7"/>
      <c r="O347" s="7"/>
      <c r="P347" s="47"/>
      <c r="Q347" s="47"/>
      <c r="R347" s="7"/>
      <c r="S347" s="51"/>
      <c r="T347" s="51"/>
      <c r="U347" s="7"/>
      <c r="V347" s="57"/>
      <c r="W347" s="57"/>
      <c r="X347" s="57"/>
    </row>
    <row r="348" spans="1:24" ht="12.5" x14ac:dyDescent="0.25">
      <c r="A348" s="34"/>
      <c r="B348" s="7"/>
      <c r="C348" s="19"/>
      <c r="D348" s="7"/>
      <c r="E348" s="7"/>
      <c r="F348" s="7"/>
      <c r="G348" s="7"/>
      <c r="H348" s="6"/>
      <c r="I348" s="7"/>
      <c r="J348" s="7"/>
      <c r="K348" s="7"/>
      <c r="L348" s="7"/>
      <c r="M348" s="52"/>
      <c r="N348" s="7"/>
      <c r="O348" s="7"/>
      <c r="P348" s="47"/>
      <c r="Q348" s="47"/>
      <c r="R348" s="7"/>
      <c r="S348" s="51"/>
      <c r="T348" s="51"/>
      <c r="U348" s="7"/>
      <c r="V348" s="57"/>
      <c r="W348" s="57"/>
      <c r="X348" s="57"/>
    </row>
    <row r="349" spans="1:24" ht="12.5" x14ac:dyDescent="0.25">
      <c r="A349" s="34"/>
      <c r="B349" s="7"/>
      <c r="C349" s="19"/>
      <c r="D349" s="7"/>
      <c r="E349" s="7"/>
      <c r="F349" s="7"/>
      <c r="G349" s="7"/>
      <c r="H349" s="6"/>
      <c r="I349" s="7"/>
      <c r="J349" s="7"/>
      <c r="K349" s="7"/>
      <c r="L349" s="7"/>
      <c r="M349" s="52"/>
      <c r="N349" s="7"/>
      <c r="O349" s="7"/>
      <c r="P349" s="47"/>
      <c r="Q349" s="47"/>
      <c r="R349" s="7"/>
      <c r="S349" s="51"/>
      <c r="T349" s="51"/>
      <c r="U349" s="7"/>
      <c r="V349" s="57"/>
      <c r="W349" s="57"/>
      <c r="X349" s="57"/>
    </row>
    <row r="350" spans="1:24" ht="12.5" x14ac:dyDescent="0.25">
      <c r="A350" s="34"/>
      <c r="B350" s="7"/>
      <c r="C350" s="19"/>
      <c r="D350" s="7"/>
      <c r="E350" s="7"/>
      <c r="F350" s="7"/>
      <c r="G350" s="7"/>
      <c r="H350" s="6"/>
      <c r="I350" s="7"/>
      <c r="J350" s="7"/>
      <c r="K350" s="7"/>
      <c r="L350" s="7"/>
      <c r="M350" s="52"/>
      <c r="N350" s="7"/>
      <c r="O350" s="7"/>
      <c r="P350" s="47"/>
      <c r="Q350" s="47"/>
      <c r="R350" s="7"/>
      <c r="S350" s="51"/>
      <c r="T350" s="51"/>
      <c r="U350" s="7"/>
      <c r="V350" s="57"/>
      <c r="W350" s="57"/>
      <c r="X350" s="57"/>
    </row>
    <row r="351" spans="1:24" ht="12.5" x14ac:dyDescent="0.25">
      <c r="A351" s="34"/>
      <c r="B351" s="7"/>
      <c r="C351" s="19"/>
      <c r="D351" s="7"/>
      <c r="E351" s="7"/>
      <c r="F351" s="7"/>
      <c r="G351" s="7"/>
      <c r="H351" s="6"/>
      <c r="I351" s="7"/>
      <c r="J351" s="7"/>
      <c r="K351" s="7"/>
      <c r="L351" s="7"/>
      <c r="M351" s="52"/>
      <c r="N351" s="7"/>
      <c r="O351" s="7"/>
      <c r="P351" s="47"/>
      <c r="Q351" s="47"/>
      <c r="R351" s="7"/>
      <c r="S351" s="51"/>
      <c r="T351" s="51"/>
      <c r="U351" s="7"/>
      <c r="V351" s="57"/>
      <c r="W351" s="57"/>
      <c r="X351" s="57"/>
    </row>
    <row r="352" spans="1:24" ht="12.5" x14ac:dyDescent="0.25">
      <c r="A352" s="34"/>
      <c r="B352" s="7"/>
      <c r="C352" s="19"/>
      <c r="D352" s="7"/>
      <c r="E352" s="7"/>
      <c r="F352" s="7"/>
      <c r="G352" s="7"/>
      <c r="H352" s="6"/>
      <c r="I352" s="7"/>
      <c r="J352" s="7"/>
      <c r="K352" s="7"/>
      <c r="L352" s="7"/>
      <c r="M352" s="52"/>
      <c r="N352" s="7"/>
      <c r="O352" s="7"/>
      <c r="P352" s="47"/>
      <c r="Q352" s="47"/>
      <c r="R352" s="7"/>
      <c r="S352" s="51"/>
      <c r="T352" s="51"/>
      <c r="U352" s="7"/>
      <c r="V352" s="57"/>
      <c r="W352" s="57"/>
      <c r="X352" s="57"/>
    </row>
    <row r="353" spans="1:24" ht="12.5" x14ac:dyDescent="0.25">
      <c r="A353" s="34"/>
      <c r="B353" s="7"/>
      <c r="C353" s="19"/>
      <c r="D353" s="7"/>
      <c r="E353" s="7"/>
      <c r="F353" s="7"/>
      <c r="G353" s="7"/>
      <c r="H353" s="6"/>
      <c r="I353" s="7"/>
      <c r="J353" s="7"/>
      <c r="K353" s="7"/>
      <c r="L353" s="7"/>
      <c r="M353" s="52"/>
      <c r="N353" s="7"/>
      <c r="O353" s="7"/>
      <c r="P353" s="47"/>
      <c r="Q353" s="47"/>
      <c r="R353" s="7"/>
      <c r="S353" s="51"/>
      <c r="T353" s="51"/>
      <c r="U353" s="7"/>
      <c r="V353" s="57"/>
      <c r="W353" s="57"/>
      <c r="X353" s="57"/>
    </row>
    <row r="354" spans="1:24" ht="12.5" x14ac:dyDescent="0.25">
      <c r="A354" s="34"/>
      <c r="B354" s="7"/>
      <c r="C354" s="19"/>
      <c r="D354" s="7"/>
      <c r="E354" s="7"/>
      <c r="F354" s="7"/>
      <c r="G354" s="7"/>
      <c r="H354" s="6"/>
      <c r="I354" s="7"/>
      <c r="J354" s="7"/>
      <c r="K354" s="7"/>
      <c r="L354" s="7"/>
      <c r="M354" s="52"/>
      <c r="N354" s="7"/>
      <c r="O354" s="7"/>
      <c r="P354" s="47"/>
      <c r="Q354" s="47"/>
      <c r="R354" s="7"/>
      <c r="S354" s="51"/>
      <c r="T354" s="51"/>
      <c r="U354" s="7"/>
      <c r="V354" s="57"/>
      <c r="W354" s="57"/>
      <c r="X354" s="57"/>
    </row>
    <row r="355" spans="1:24" ht="12.5" x14ac:dyDescent="0.25">
      <c r="A355" s="34"/>
      <c r="B355" s="7"/>
      <c r="C355" s="19"/>
      <c r="D355" s="7"/>
      <c r="E355" s="7"/>
      <c r="F355" s="7"/>
      <c r="G355" s="7"/>
      <c r="H355" s="6"/>
      <c r="I355" s="7"/>
      <c r="J355" s="7"/>
      <c r="K355" s="7"/>
      <c r="L355" s="7"/>
      <c r="M355" s="52"/>
      <c r="N355" s="7"/>
      <c r="O355" s="7"/>
      <c r="P355" s="47"/>
      <c r="Q355" s="47"/>
      <c r="R355" s="7"/>
      <c r="S355" s="51"/>
      <c r="T355" s="51"/>
      <c r="U355" s="7"/>
      <c r="V355" s="57"/>
      <c r="W355" s="57"/>
      <c r="X355" s="57"/>
    </row>
    <row r="356" spans="1:24" ht="12.5" x14ac:dyDescent="0.25">
      <c r="A356" s="34"/>
      <c r="B356" s="7"/>
      <c r="C356" s="19"/>
      <c r="D356" s="7"/>
      <c r="E356" s="7"/>
      <c r="F356" s="7"/>
      <c r="G356" s="7"/>
      <c r="H356" s="6"/>
      <c r="I356" s="7"/>
      <c r="J356" s="7"/>
      <c r="K356" s="7"/>
      <c r="L356" s="7"/>
      <c r="M356" s="52"/>
      <c r="N356" s="7"/>
      <c r="O356" s="7"/>
      <c r="P356" s="47"/>
      <c r="Q356" s="47"/>
      <c r="R356" s="7"/>
      <c r="S356" s="51"/>
      <c r="T356" s="51"/>
      <c r="U356" s="7"/>
      <c r="V356" s="57"/>
      <c r="W356" s="57"/>
      <c r="X356" s="57"/>
    </row>
    <row r="357" spans="1:24" ht="12.5" x14ac:dyDescent="0.25">
      <c r="A357" s="34"/>
      <c r="B357" s="7"/>
      <c r="C357" s="19"/>
      <c r="D357" s="7"/>
      <c r="E357" s="7"/>
      <c r="F357" s="7"/>
      <c r="G357" s="7"/>
      <c r="H357" s="6"/>
      <c r="I357" s="7"/>
      <c r="J357" s="7"/>
      <c r="K357" s="7"/>
      <c r="L357" s="7"/>
      <c r="M357" s="52"/>
      <c r="N357" s="7"/>
      <c r="O357" s="7"/>
      <c r="P357" s="47"/>
      <c r="Q357" s="47"/>
      <c r="R357" s="7"/>
      <c r="S357" s="51"/>
      <c r="T357" s="51"/>
      <c r="U357" s="7"/>
      <c r="V357" s="57"/>
      <c r="W357" s="57"/>
      <c r="X357" s="57"/>
    </row>
    <row r="358" spans="1:24" ht="12.5" x14ac:dyDescent="0.25">
      <c r="A358" s="34"/>
      <c r="B358" s="7"/>
      <c r="C358" s="19"/>
      <c r="D358" s="7"/>
      <c r="E358" s="7"/>
      <c r="F358" s="7"/>
      <c r="G358" s="7"/>
      <c r="H358" s="6"/>
      <c r="I358" s="7"/>
      <c r="J358" s="7"/>
      <c r="K358" s="7"/>
      <c r="L358" s="7"/>
      <c r="M358" s="52"/>
      <c r="N358" s="7"/>
      <c r="O358" s="7"/>
      <c r="P358" s="47"/>
      <c r="Q358" s="47"/>
      <c r="R358" s="7"/>
      <c r="S358" s="51"/>
      <c r="T358" s="51"/>
      <c r="U358" s="7"/>
      <c r="V358" s="57"/>
      <c r="W358" s="57"/>
      <c r="X358" s="57"/>
    </row>
    <row r="359" spans="1:24" ht="12.5" x14ac:dyDescent="0.25">
      <c r="A359" s="34"/>
      <c r="B359" s="7"/>
      <c r="C359" s="19"/>
      <c r="D359" s="7"/>
      <c r="E359" s="7"/>
      <c r="F359" s="7"/>
      <c r="G359" s="7"/>
      <c r="H359" s="6"/>
      <c r="I359" s="7"/>
      <c r="J359" s="7"/>
      <c r="K359" s="7"/>
      <c r="L359" s="7"/>
      <c r="M359" s="52"/>
      <c r="N359" s="7"/>
      <c r="O359" s="7"/>
      <c r="P359" s="47"/>
      <c r="Q359" s="47"/>
      <c r="R359" s="7"/>
      <c r="S359" s="51"/>
      <c r="T359" s="51"/>
      <c r="U359" s="7"/>
      <c r="V359" s="57"/>
      <c r="W359" s="57"/>
      <c r="X359" s="57"/>
    </row>
    <row r="360" spans="1:24" ht="12.5" x14ac:dyDescent="0.25">
      <c r="A360" s="34"/>
      <c r="B360" s="7"/>
      <c r="C360" s="19"/>
      <c r="D360" s="7"/>
      <c r="E360" s="7"/>
      <c r="F360" s="7"/>
      <c r="G360" s="7"/>
      <c r="H360" s="6"/>
      <c r="I360" s="7"/>
      <c r="J360" s="7"/>
      <c r="K360" s="7"/>
      <c r="L360" s="7"/>
      <c r="M360" s="52"/>
      <c r="N360" s="7"/>
      <c r="O360" s="7"/>
      <c r="P360" s="47"/>
      <c r="Q360" s="47"/>
      <c r="R360" s="7"/>
      <c r="S360" s="51"/>
      <c r="T360" s="51"/>
      <c r="U360" s="7"/>
      <c r="V360" s="57"/>
      <c r="W360" s="57"/>
      <c r="X360" s="57"/>
    </row>
    <row r="361" spans="1:24" ht="12.5" x14ac:dyDescent="0.25">
      <c r="A361" s="34"/>
      <c r="B361" s="7"/>
      <c r="C361" s="19"/>
      <c r="D361" s="7"/>
      <c r="E361" s="7"/>
      <c r="F361" s="7"/>
      <c r="G361" s="7"/>
      <c r="H361" s="6"/>
      <c r="I361" s="7"/>
      <c r="J361" s="7"/>
      <c r="K361" s="7"/>
      <c r="L361" s="7"/>
      <c r="M361" s="52"/>
      <c r="N361" s="7"/>
      <c r="O361" s="7"/>
      <c r="P361" s="47"/>
      <c r="Q361" s="47"/>
      <c r="R361" s="7"/>
      <c r="S361" s="51"/>
      <c r="T361" s="51"/>
      <c r="U361" s="7"/>
      <c r="V361" s="57"/>
      <c r="W361" s="57"/>
      <c r="X361" s="57"/>
    </row>
    <row r="362" spans="1:24" ht="12.5" x14ac:dyDescent="0.25">
      <c r="A362" s="34"/>
      <c r="B362" s="7"/>
      <c r="C362" s="19"/>
      <c r="D362" s="7"/>
      <c r="E362" s="7"/>
      <c r="F362" s="7"/>
      <c r="G362" s="7"/>
      <c r="H362" s="6"/>
      <c r="I362" s="7"/>
      <c r="J362" s="7"/>
      <c r="K362" s="7"/>
      <c r="L362" s="7"/>
      <c r="M362" s="52"/>
      <c r="N362" s="7"/>
      <c r="O362" s="7"/>
      <c r="P362" s="47"/>
      <c r="Q362" s="47"/>
      <c r="R362" s="7"/>
      <c r="S362" s="51"/>
      <c r="T362" s="51"/>
      <c r="U362" s="7"/>
      <c r="V362" s="57"/>
      <c r="W362" s="57"/>
      <c r="X362" s="57"/>
    </row>
    <row r="363" spans="1:24" ht="12.5" x14ac:dyDescent="0.25">
      <c r="A363" s="34"/>
      <c r="B363" s="7"/>
      <c r="C363" s="19"/>
      <c r="D363" s="7"/>
      <c r="E363" s="7"/>
      <c r="F363" s="7"/>
      <c r="G363" s="7"/>
      <c r="H363" s="6"/>
      <c r="I363" s="7"/>
      <c r="J363" s="7"/>
      <c r="K363" s="7"/>
      <c r="L363" s="7"/>
      <c r="M363" s="52"/>
      <c r="N363" s="7"/>
      <c r="O363" s="7"/>
      <c r="P363" s="47"/>
      <c r="Q363" s="47"/>
      <c r="R363" s="7"/>
      <c r="S363" s="51"/>
      <c r="T363" s="51"/>
      <c r="U363" s="7"/>
      <c r="V363" s="57"/>
      <c r="W363" s="57"/>
      <c r="X363" s="57"/>
    </row>
    <row r="364" spans="1:24" ht="12.5" x14ac:dyDescent="0.25">
      <c r="A364" s="34"/>
      <c r="B364" s="7"/>
      <c r="C364" s="19"/>
      <c r="D364" s="7"/>
      <c r="E364" s="7"/>
      <c r="F364" s="7"/>
      <c r="G364" s="7"/>
      <c r="H364" s="6"/>
      <c r="I364" s="7"/>
      <c r="J364" s="7"/>
      <c r="K364" s="7"/>
      <c r="L364" s="7"/>
      <c r="M364" s="52"/>
      <c r="N364" s="7"/>
      <c r="O364" s="7"/>
      <c r="P364" s="47"/>
      <c r="Q364" s="47"/>
      <c r="R364" s="7"/>
      <c r="S364" s="51"/>
      <c r="T364" s="51"/>
      <c r="U364" s="7"/>
      <c r="V364" s="57"/>
      <c r="W364" s="57"/>
      <c r="X364" s="57"/>
    </row>
    <row r="365" spans="1:24" ht="12.5" x14ac:dyDescent="0.25">
      <c r="A365" s="34"/>
      <c r="B365" s="7"/>
      <c r="C365" s="19"/>
      <c r="D365" s="7"/>
      <c r="E365" s="7"/>
      <c r="F365" s="7"/>
      <c r="G365" s="7"/>
      <c r="H365" s="6"/>
      <c r="I365" s="7"/>
      <c r="J365" s="7"/>
      <c r="K365" s="7"/>
      <c r="L365" s="7"/>
      <c r="M365" s="52"/>
      <c r="N365" s="7"/>
      <c r="O365" s="7"/>
      <c r="P365" s="47"/>
      <c r="Q365" s="47"/>
      <c r="R365" s="7"/>
      <c r="S365" s="51"/>
      <c r="T365" s="51"/>
      <c r="U365" s="7"/>
      <c r="V365" s="57"/>
      <c r="W365" s="57"/>
      <c r="X365" s="57"/>
    </row>
    <row r="366" spans="1:24" ht="12.5" x14ac:dyDescent="0.25">
      <c r="A366" s="34"/>
      <c r="B366" s="7"/>
      <c r="C366" s="19"/>
      <c r="D366" s="7"/>
      <c r="E366" s="7"/>
      <c r="F366" s="7"/>
      <c r="G366" s="7"/>
      <c r="H366" s="6"/>
      <c r="I366" s="7"/>
      <c r="J366" s="7"/>
      <c r="K366" s="7"/>
      <c r="L366" s="7"/>
      <c r="M366" s="52"/>
      <c r="N366" s="7"/>
      <c r="O366" s="7"/>
      <c r="P366" s="47"/>
      <c r="Q366" s="47"/>
      <c r="R366" s="7"/>
      <c r="S366" s="51"/>
      <c r="T366" s="51"/>
      <c r="U366" s="7"/>
      <c r="V366" s="57"/>
      <c r="W366" s="57"/>
      <c r="X366" s="57"/>
    </row>
    <row r="367" spans="1:24" ht="12.5" x14ac:dyDescent="0.25">
      <c r="A367" s="34"/>
      <c r="B367" s="7"/>
      <c r="C367" s="19"/>
      <c r="D367" s="7"/>
      <c r="E367" s="7"/>
      <c r="F367" s="7"/>
      <c r="G367" s="7"/>
      <c r="H367" s="6"/>
      <c r="I367" s="7"/>
      <c r="J367" s="7"/>
      <c r="K367" s="7"/>
      <c r="L367" s="7"/>
      <c r="M367" s="52"/>
      <c r="N367" s="7"/>
      <c r="O367" s="7"/>
      <c r="P367" s="47"/>
      <c r="Q367" s="47"/>
      <c r="R367" s="7"/>
      <c r="S367" s="51"/>
      <c r="T367" s="51"/>
      <c r="U367" s="7"/>
      <c r="V367" s="57"/>
      <c r="W367" s="57"/>
      <c r="X367" s="57"/>
    </row>
    <row r="368" spans="1:24" ht="12.5" x14ac:dyDescent="0.25">
      <c r="A368" s="34"/>
      <c r="B368" s="7"/>
      <c r="C368" s="19"/>
      <c r="D368" s="7"/>
      <c r="E368" s="7"/>
      <c r="F368" s="7"/>
      <c r="G368" s="7"/>
      <c r="H368" s="6"/>
      <c r="I368" s="7"/>
      <c r="J368" s="7"/>
      <c r="K368" s="7"/>
      <c r="L368" s="7"/>
      <c r="M368" s="52"/>
      <c r="N368" s="7"/>
      <c r="O368" s="7"/>
      <c r="P368" s="47"/>
      <c r="Q368" s="47"/>
      <c r="R368" s="7"/>
      <c r="S368" s="51"/>
      <c r="T368" s="51"/>
      <c r="U368" s="7"/>
      <c r="V368" s="57"/>
      <c r="W368" s="57"/>
      <c r="X368" s="57"/>
    </row>
    <row r="369" spans="1:24" ht="12.5" x14ac:dyDescent="0.25">
      <c r="A369" s="34"/>
      <c r="B369" s="7"/>
      <c r="C369" s="19"/>
      <c r="D369" s="7"/>
      <c r="E369" s="7"/>
      <c r="F369" s="7"/>
      <c r="G369" s="7"/>
      <c r="H369" s="6"/>
      <c r="I369" s="7"/>
      <c r="J369" s="7"/>
      <c r="K369" s="7"/>
      <c r="L369" s="7"/>
      <c r="M369" s="52"/>
      <c r="N369" s="7"/>
      <c r="O369" s="7"/>
      <c r="P369" s="47"/>
      <c r="Q369" s="47"/>
      <c r="R369" s="7"/>
      <c r="S369" s="51"/>
      <c r="T369" s="51"/>
      <c r="U369" s="7"/>
      <c r="V369" s="57"/>
      <c r="W369" s="57"/>
      <c r="X369" s="57"/>
    </row>
    <row r="370" spans="1:24" ht="12.5" x14ac:dyDescent="0.25">
      <c r="A370" s="34"/>
      <c r="B370" s="7"/>
      <c r="C370" s="19"/>
      <c r="D370" s="7"/>
      <c r="E370" s="7"/>
      <c r="F370" s="7"/>
      <c r="G370" s="7"/>
      <c r="H370" s="6"/>
      <c r="I370" s="7"/>
      <c r="J370" s="7"/>
      <c r="K370" s="7"/>
      <c r="L370" s="7"/>
      <c r="M370" s="52"/>
      <c r="N370" s="7"/>
      <c r="O370" s="7"/>
      <c r="P370" s="47"/>
      <c r="Q370" s="47"/>
      <c r="R370" s="7"/>
      <c r="S370" s="51"/>
      <c r="T370" s="51"/>
      <c r="U370" s="7"/>
      <c r="V370" s="57"/>
      <c r="W370" s="57"/>
      <c r="X370" s="57"/>
    </row>
    <row r="371" spans="1:24" ht="12.5" x14ac:dyDescent="0.25">
      <c r="A371" s="34"/>
      <c r="B371" s="7"/>
      <c r="C371" s="19"/>
      <c r="D371" s="7"/>
      <c r="E371" s="7"/>
      <c r="F371" s="7"/>
      <c r="G371" s="7"/>
      <c r="H371" s="6"/>
      <c r="I371" s="7"/>
      <c r="J371" s="7"/>
      <c r="K371" s="7"/>
      <c r="L371" s="7"/>
      <c r="M371" s="52"/>
      <c r="N371" s="7"/>
      <c r="O371" s="7"/>
      <c r="P371" s="47"/>
      <c r="Q371" s="47"/>
      <c r="R371" s="7"/>
      <c r="S371" s="51"/>
      <c r="T371" s="51"/>
      <c r="U371" s="7"/>
      <c r="V371" s="57"/>
      <c r="W371" s="57"/>
      <c r="X371" s="57"/>
    </row>
    <row r="372" spans="1:24" ht="12.5" x14ac:dyDescent="0.25">
      <c r="A372" s="34"/>
      <c r="B372" s="7"/>
      <c r="C372" s="19"/>
      <c r="D372" s="7"/>
      <c r="E372" s="7"/>
      <c r="F372" s="7"/>
      <c r="G372" s="7"/>
      <c r="H372" s="6"/>
      <c r="I372" s="7"/>
      <c r="J372" s="7"/>
      <c r="K372" s="7"/>
      <c r="L372" s="7"/>
      <c r="M372" s="52"/>
      <c r="N372" s="7"/>
      <c r="O372" s="7"/>
      <c r="P372" s="47"/>
      <c r="Q372" s="47"/>
      <c r="R372" s="7"/>
      <c r="S372" s="51"/>
      <c r="T372" s="51"/>
      <c r="U372" s="7"/>
      <c r="V372" s="57"/>
      <c r="W372" s="57"/>
      <c r="X372" s="57"/>
    </row>
    <row r="373" spans="1:24" ht="12.5" x14ac:dyDescent="0.25">
      <c r="A373" s="34"/>
      <c r="B373" s="7"/>
      <c r="C373" s="19"/>
      <c r="D373" s="7"/>
      <c r="E373" s="7"/>
      <c r="F373" s="7"/>
      <c r="G373" s="7"/>
      <c r="H373" s="6"/>
      <c r="I373" s="7"/>
      <c r="J373" s="7"/>
      <c r="K373" s="7"/>
      <c r="L373" s="7"/>
      <c r="M373" s="52"/>
      <c r="N373" s="7"/>
      <c r="O373" s="7"/>
      <c r="P373" s="47"/>
      <c r="Q373" s="47"/>
      <c r="R373" s="7"/>
      <c r="S373" s="51"/>
      <c r="T373" s="51"/>
      <c r="U373" s="7"/>
      <c r="V373" s="57"/>
      <c r="W373" s="57"/>
      <c r="X373" s="57"/>
    </row>
    <row r="374" spans="1:24" ht="12.5" x14ac:dyDescent="0.25">
      <c r="A374" s="34"/>
      <c r="B374" s="7"/>
      <c r="C374" s="19"/>
      <c r="D374" s="7"/>
      <c r="E374" s="7"/>
      <c r="F374" s="7"/>
      <c r="G374" s="7"/>
      <c r="H374" s="6"/>
      <c r="I374" s="7"/>
      <c r="J374" s="7"/>
      <c r="K374" s="7"/>
      <c r="L374" s="7"/>
      <c r="M374" s="52"/>
      <c r="N374" s="7"/>
      <c r="O374" s="7"/>
      <c r="P374" s="47"/>
      <c r="Q374" s="47"/>
      <c r="R374" s="7"/>
      <c r="S374" s="51"/>
      <c r="T374" s="51"/>
      <c r="U374" s="7"/>
      <c r="V374" s="57"/>
      <c r="W374" s="57"/>
      <c r="X374" s="57"/>
    </row>
    <row r="375" spans="1:24" ht="12.5" x14ac:dyDescent="0.25">
      <c r="A375" s="34"/>
      <c r="B375" s="7"/>
      <c r="C375" s="19"/>
      <c r="D375" s="7"/>
      <c r="E375" s="7"/>
      <c r="F375" s="7"/>
      <c r="G375" s="7"/>
      <c r="H375" s="6"/>
      <c r="I375" s="7"/>
      <c r="J375" s="7"/>
      <c r="K375" s="7"/>
      <c r="L375" s="7"/>
      <c r="M375" s="52"/>
      <c r="N375" s="7"/>
      <c r="O375" s="7"/>
      <c r="P375" s="47"/>
      <c r="Q375" s="47"/>
      <c r="R375" s="7"/>
      <c r="S375" s="51"/>
      <c r="T375" s="51"/>
      <c r="U375" s="7"/>
      <c r="V375" s="57"/>
      <c r="W375" s="57"/>
      <c r="X375" s="57"/>
    </row>
    <row r="376" spans="1:24" ht="12.5" x14ac:dyDescent="0.25">
      <c r="A376" s="34"/>
      <c r="B376" s="7"/>
      <c r="C376" s="19"/>
      <c r="D376" s="7"/>
      <c r="E376" s="7"/>
      <c r="F376" s="7"/>
      <c r="G376" s="7"/>
      <c r="H376" s="6"/>
      <c r="I376" s="7"/>
      <c r="J376" s="7"/>
      <c r="K376" s="7"/>
      <c r="L376" s="7"/>
      <c r="M376" s="52"/>
      <c r="N376" s="7"/>
      <c r="O376" s="7"/>
      <c r="P376" s="47"/>
      <c r="Q376" s="47"/>
      <c r="R376" s="7"/>
      <c r="S376" s="51"/>
      <c r="T376" s="51"/>
      <c r="U376" s="7"/>
      <c r="V376" s="57"/>
      <c r="W376" s="57"/>
      <c r="X376" s="57"/>
    </row>
    <row r="377" spans="1:24" ht="12.5" x14ac:dyDescent="0.25">
      <c r="A377" s="34"/>
      <c r="B377" s="7"/>
      <c r="C377" s="19"/>
      <c r="D377" s="7"/>
      <c r="E377" s="7"/>
      <c r="F377" s="7"/>
      <c r="G377" s="7"/>
      <c r="H377" s="6"/>
      <c r="I377" s="7"/>
      <c r="J377" s="7"/>
      <c r="K377" s="7"/>
      <c r="L377" s="7"/>
      <c r="M377" s="52"/>
      <c r="N377" s="7"/>
      <c r="O377" s="7"/>
      <c r="P377" s="47"/>
      <c r="Q377" s="47"/>
      <c r="R377" s="7"/>
      <c r="S377" s="51"/>
      <c r="T377" s="51"/>
      <c r="U377" s="7"/>
      <c r="V377" s="57"/>
      <c r="W377" s="57"/>
      <c r="X377" s="57"/>
    </row>
    <row r="378" spans="1:24" ht="12.5" x14ac:dyDescent="0.25">
      <c r="A378" s="34"/>
      <c r="B378" s="7"/>
      <c r="C378" s="19"/>
      <c r="D378" s="7"/>
      <c r="E378" s="7"/>
      <c r="F378" s="7"/>
      <c r="G378" s="7"/>
      <c r="H378" s="6"/>
      <c r="I378" s="7"/>
      <c r="J378" s="7"/>
      <c r="K378" s="7"/>
      <c r="L378" s="7"/>
      <c r="M378" s="52"/>
      <c r="N378" s="7"/>
      <c r="O378" s="7"/>
      <c r="P378" s="47"/>
      <c r="Q378" s="47"/>
      <c r="R378" s="7"/>
      <c r="S378" s="51"/>
      <c r="T378" s="51"/>
      <c r="U378" s="7"/>
      <c r="V378" s="57"/>
      <c r="W378" s="57"/>
      <c r="X378" s="57"/>
    </row>
    <row r="379" spans="1:24" ht="12.5" x14ac:dyDescent="0.25">
      <c r="A379" s="34"/>
      <c r="B379" s="7"/>
      <c r="C379" s="19"/>
      <c r="D379" s="7"/>
      <c r="E379" s="7"/>
      <c r="F379" s="7"/>
      <c r="G379" s="7"/>
      <c r="H379" s="6"/>
      <c r="I379" s="7"/>
      <c r="J379" s="7"/>
      <c r="K379" s="7"/>
      <c r="L379" s="7"/>
      <c r="M379" s="52"/>
      <c r="N379" s="7"/>
      <c r="O379" s="7"/>
      <c r="P379" s="47"/>
      <c r="Q379" s="47"/>
      <c r="R379" s="7"/>
      <c r="S379" s="51"/>
      <c r="T379" s="51"/>
      <c r="U379" s="7"/>
      <c r="V379" s="57"/>
      <c r="W379" s="57"/>
      <c r="X379" s="57"/>
    </row>
    <row r="380" spans="1:24" ht="12.5" x14ac:dyDescent="0.25">
      <c r="A380" s="34"/>
      <c r="B380" s="7"/>
      <c r="C380" s="19"/>
      <c r="D380" s="7"/>
      <c r="E380" s="7"/>
      <c r="F380" s="7"/>
      <c r="G380" s="7"/>
      <c r="H380" s="6"/>
      <c r="I380" s="7"/>
      <c r="J380" s="7"/>
      <c r="K380" s="7"/>
      <c r="L380" s="7"/>
      <c r="M380" s="52"/>
      <c r="N380" s="7"/>
      <c r="O380" s="7"/>
      <c r="P380" s="47"/>
      <c r="Q380" s="47"/>
      <c r="R380" s="7"/>
      <c r="S380" s="51"/>
      <c r="T380" s="51"/>
      <c r="U380" s="7"/>
      <c r="V380" s="57"/>
      <c r="W380" s="57"/>
      <c r="X380" s="57"/>
    </row>
    <row r="381" spans="1:24" ht="12.5" x14ac:dyDescent="0.25">
      <c r="A381" s="34"/>
      <c r="B381" s="7"/>
      <c r="C381" s="19"/>
      <c r="D381" s="7"/>
      <c r="E381" s="7"/>
      <c r="F381" s="7"/>
      <c r="G381" s="7"/>
      <c r="H381" s="6"/>
      <c r="I381" s="7"/>
      <c r="J381" s="7"/>
      <c r="K381" s="7"/>
      <c r="L381" s="7"/>
      <c r="M381" s="52"/>
      <c r="N381" s="7"/>
      <c r="O381" s="7"/>
      <c r="P381" s="47"/>
      <c r="Q381" s="47"/>
      <c r="R381" s="7"/>
      <c r="S381" s="51"/>
      <c r="T381" s="51"/>
      <c r="U381" s="7"/>
      <c r="V381" s="57"/>
      <c r="W381" s="57"/>
      <c r="X381" s="57"/>
    </row>
    <row r="382" spans="1:24" ht="12.5" x14ac:dyDescent="0.25">
      <c r="A382" s="34"/>
      <c r="B382" s="7"/>
      <c r="C382" s="19"/>
      <c r="D382" s="7"/>
      <c r="E382" s="7"/>
      <c r="F382" s="7"/>
      <c r="G382" s="7"/>
      <c r="H382" s="6"/>
      <c r="I382" s="7"/>
      <c r="J382" s="7"/>
      <c r="K382" s="7"/>
      <c r="L382" s="7"/>
      <c r="M382" s="52"/>
      <c r="N382" s="7"/>
      <c r="O382" s="7"/>
      <c r="P382" s="47"/>
      <c r="Q382" s="47"/>
      <c r="R382" s="7"/>
      <c r="S382" s="51"/>
      <c r="T382" s="51"/>
      <c r="U382" s="7"/>
      <c r="V382" s="57"/>
      <c r="W382" s="57"/>
      <c r="X382" s="57"/>
    </row>
    <row r="383" spans="1:24" ht="12.5" x14ac:dyDescent="0.25">
      <c r="A383" s="34"/>
      <c r="B383" s="7"/>
      <c r="C383" s="19"/>
      <c r="D383" s="7"/>
      <c r="E383" s="7"/>
      <c r="F383" s="7"/>
      <c r="G383" s="7"/>
      <c r="H383" s="6"/>
      <c r="I383" s="7"/>
      <c r="J383" s="7"/>
      <c r="K383" s="7"/>
      <c r="L383" s="7"/>
      <c r="M383" s="52"/>
      <c r="N383" s="7"/>
      <c r="O383" s="7"/>
      <c r="P383" s="47"/>
      <c r="Q383" s="47"/>
      <c r="R383" s="7"/>
      <c r="S383" s="51"/>
      <c r="T383" s="51"/>
      <c r="U383" s="7"/>
      <c r="V383" s="57"/>
      <c r="W383" s="57"/>
      <c r="X383" s="57"/>
    </row>
    <row r="384" spans="1:24" ht="12.5" x14ac:dyDescent="0.25">
      <c r="A384" s="34"/>
      <c r="B384" s="7"/>
      <c r="C384" s="19"/>
      <c r="D384" s="7"/>
      <c r="E384" s="7"/>
      <c r="F384" s="7"/>
      <c r="G384" s="7"/>
      <c r="H384" s="6"/>
      <c r="I384" s="7"/>
      <c r="J384" s="7"/>
      <c r="K384" s="7"/>
      <c r="L384" s="7"/>
      <c r="M384" s="52"/>
      <c r="N384" s="7"/>
      <c r="O384" s="7"/>
      <c r="P384" s="47"/>
      <c r="Q384" s="47"/>
      <c r="R384" s="7"/>
      <c r="S384" s="51"/>
      <c r="T384" s="51"/>
      <c r="U384" s="7"/>
      <c r="V384" s="57"/>
      <c r="W384" s="57"/>
      <c r="X384" s="57"/>
    </row>
    <row r="385" spans="1:24" ht="12.5" x14ac:dyDescent="0.25">
      <c r="A385" s="34"/>
      <c r="B385" s="7"/>
      <c r="C385" s="19"/>
      <c r="D385" s="7"/>
      <c r="E385" s="7"/>
      <c r="F385" s="7"/>
      <c r="G385" s="7"/>
      <c r="H385" s="6"/>
      <c r="I385" s="7"/>
      <c r="J385" s="7"/>
      <c r="K385" s="7"/>
      <c r="L385" s="7"/>
      <c r="M385" s="52"/>
      <c r="N385" s="7"/>
      <c r="O385" s="7"/>
      <c r="P385" s="47"/>
      <c r="Q385" s="47"/>
      <c r="R385" s="7"/>
      <c r="S385" s="51"/>
      <c r="T385" s="51"/>
      <c r="U385" s="7"/>
      <c r="V385" s="57"/>
      <c r="W385" s="57"/>
      <c r="X385" s="57"/>
    </row>
    <row r="386" spans="1:24" ht="12.5" x14ac:dyDescent="0.25">
      <c r="A386" s="34"/>
      <c r="B386" s="7"/>
      <c r="C386" s="19"/>
      <c r="D386" s="7"/>
      <c r="E386" s="7"/>
      <c r="F386" s="7"/>
      <c r="G386" s="7"/>
      <c r="H386" s="6"/>
      <c r="I386" s="7"/>
      <c r="J386" s="7"/>
      <c r="K386" s="7"/>
      <c r="L386" s="7"/>
      <c r="M386" s="52"/>
      <c r="N386" s="7"/>
      <c r="O386" s="7"/>
      <c r="P386" s="47"/>
      <c r="Q386" s="47"/>
      <c r="R386" s="7"/>
      <c r="S386" s="51"/>
      <c r="T386" s="51"/>
      <c r="U386" s="7"/>
      <c r="V386" s="57"/>
      <c r="W386" s="57"/>
      <c r="X386" s="57"/>
    </row>
    <row r="387" spans="1:24" ht="12.5" x14ac:dyDescent="0.25">
      <c r="A387" s="34"/>
      <c r="B387" s="7"/>
      <c r="C387" s="19"/>
      <c r="D387" s="7"/>
      <c r="E387" s="7"/>
      <c r="F387" s="7"/>
      <c r="G387" s="7"/>
      <c r="H387" s="6"/>
      <c r="I387" s="7"/>
      <c r="J387" s="7"/>
      <c r="K387" s="7"/>
      <c r="L387" s="7"/>
      <c r="M387" s="52"/>
      <c r="N387" s="7"/>
      <c r="O387" s="7"/>
      <c r="P387" s="47"/>
      <c r="Q387" s="47"/>
      <c r="R387" s="7"/>
      <c r="S387" s="51"/>
      <c r="T387" s="51"/>
      <c r="U387" s="7"/>
      <c r="V387" s="57"/>
      <c r="W387" s="57"/>
      <c r="X387" s="57"/>
    </row>
    <row r="388" spans="1:24" ht="12.5" x14ac:dyDescent="0.25">
      <c r="A388" s="34"/>
      <c r="B388" s="7"/>
      <c r="C388" s="19"/>
      <c r="D388" s="7"/>
      <c r="E388" s="7"/>
      <c r="F388" s="7"/>
      <c r="G388" s="7"/>
      <c r="H388" s="6"/>
      <c r="I388" s="7"/>
      <c r="J388" s="7"/>
      <c r="K388" s="7"/>
      <c r="L388" s="7"/>
      <c r="M388" s="52"/>
      <c r="N388" s="7"/>
      <c r="O388" s="7"/>
      <c r="P388" s="47"/>
      <c r="Q388" s="47"/>
      <c r="R388" s="7"/>
      <c r="S388" s="51"/>
      <c r="T388" s="51"/>
      <c r="U388" s="7"/>
      <c r="V388" s="57"/>
      <c r="W388" s="57"/>
      <c r="X388" s="57"/>
    </row>
    <row r="389" spans="1:24" ht="12.5" x14ac:dyDescent="0.25">
      <c r="A389" s="34"/>
      <c r="B389" s="7"/>
      <c r="C389" s="19"/>
      <c r="D389" s="7"/>
      <c r="E389" s="7"/>
      <c r="F389" s="7"/>
      <c r="G389" s="7"/>
      <c r="H389" s="6"/>
      <c r="I389" s="7"/>
      <c r="J389" s="7"/>
      <c r="K389" s="7"/>
      <c r="L389" s="7"/>
      <c r="M389" s="52"/>
      <c r="N389" s="7"/>
      <c r="O389" s="7"/>
      <c r="P389" s="47"/>
      <c r="Q389" s="47"/>
      <c r="R389" s="7"/>
      <c r="S389" s="51"/>
      <c r="T389" s="51"/>
      <c r="U389" s="7"/>
      <c r="V389" s="57"/>
      <c r="W389" s="57"/>
      <c r="X389" s="57"/>
    </row>
    <row r="390" spans="1:24" ht="12.5" x14ac:dyDescent="0.25">
      <c r="A390" s="34"/>
      <c r="B390" s="7"/>
      <c r="C390" s="19"/>
      <c r="D390" s="7"/>
      <c r="E390" s="7"/>
      <c r="F390" s="7"/>
      <c r="G390" s="7"/>
      <c r="H390" s="6"/>
      <c r="I390" s="7"/>
      <c r="J390" s="7"/>
      <c r="K390" s="7"/>
      <c r="L390" s="7"/>
      <c r="M390" s="52"/>
      <c r="N390" s="7"/>
      <c r="O390" s="7"/>
      <c r="P390" s="47"/>
      <c r="Q390" s="47"/>
      <c r="R390" s="7"/>
      <c r="S390" s="51"/>
      <c r="T390" s="51"/>
      <c r="U390" s="7"/>
      <c r="V390" s="57"/>
      <c r="W390" s="57"/>
      <c r="X390" s="57"/>
    </row>
    <row r="391" spans="1:24" ht="12.5" x14ac:dyDescent="0.25">
      <c r="A391" s="34"/>
      <c r="B391" s="7"/>
      <c r="C391" s="19"/>
      <c r="D391" s="7"/>
      <c r="E391" s="7"/>
      <c r="F391" s="7"/>
      <c r="G391" s="7"/>
      <c r="H391" s="6"/>
      <c r="I391" s="7"/>
      <c r="J391" s="7"/>
      <c r="K391" s="7"/>
      <c r="L391" s="7"/>
      <c r="M391" s="52"/>
      <c r="N391" s="7"/>
      <c r="O391" s="7"/>
      <c r="P391" s="47"/>
      <c r="Q391" s="47"/>
      <c r="R391" s="7"/>
      <c r="S391" s="51"/>
      <c r="T391" s="51"/>
      <c r="U391" s="7"/>
      <c r="V391" s="57"/>
      <c r="W391" s="57"/>
      <c r="X391" s="57"/>
    </row>
    <row r="392" spans="1:24" ht="12.5" x14ac:dyDescent="0.25">
      <c r="A392" s="34"/>
      <c r="B392" s="7"/>
      <c r="C392" s="19"/>
      <c r="D392" s="7"/>
      <c r="E392" s="7"/>
      <c r="F392" s="7"/>
      <c r="G392" s="7"/>
      <c r="H392" s="6"/>
      <c r="I392" s="7"/>
      <c r="J392" s="7"/>
      <c r="K392" s="7"/>
      <c r="L392" s="7"/>
      <c r="M392" s="52"/>
      <c r="N392" s="7"/>
      <c r="O392" s="7"/>
      <c r="P392" s="47"/>
      <c r="Q392" s="47"/>
      <c r="R392" s="7"/>
      <c r="S392" s="51"/>
      <c r="T392" s="51"/>
      <c r="U392" s="7"/>
      <c r="V392" s="57"/>
      <c r="W392" s="57"/>
      <c r="X392" s="57"/>
    </row>
    <row r="393" spans="1:24" ht="12.5" x14ac:dyDescent="0.25">
      <c r="A393" s="34"/>
      <c r="B393" s="7"/>
      <c r="C393" s="19"/>
      <c r="D393" s="7"/>
      <c r="E393" s="7"/>
      <c r="F393" s="7"/>
      <c r="G393" s="7"/>
      <c r="H393" s="6"/>
      <c r="I393" s="7"/>
      <c r="J393" s="7"/>
      <c r="K393" s="7"/>
      <c r="L393" s="7"/>
      <c r="M393" s="52"/>
      <c r="N393" s="7"/>
      <c r="O393" s="7"/>
      <c r="P393" s="47"/>
      <c r="Q393" s="47"/>
      <c r="R393" s="7"/>
      <c r="S393" s="51"/>
      <c r="T393" s="51"/>
      <c r="U393" s="7"/>
      <c r="V393" s="57"/>
      <c r="W393" s="57"/>
      <c r="X393" s="57"/>
    </row>
    <row r="394" spans="1:24" ht="12.5" x14ac:dyDescent="0.25">
      <c r="A394" s="34"/>
      <c r="B394" s="7"/>
      <c r="C394" s="19"/>
      <c r="D394" s="7"/>
      <c r="E394" s="7"/>
      <c r="F394" s="7"/>
      <c r="G394" s="7"/>
      <c r="H394" s="6"/>
      <c r="I394" s="7"/>
      <c r="J394" s="7"/>
      <c r="K394" s="7"/>
      <c r="L394" s="7"/>
      <c r="M394" s="52"/>
      <c r="N394" s="7"/>
      <c r="O394" s="7"/>
      <c r="P394" s="47"/>
      <c r="Q394" s="47"/>
      <c r="R394" s="7"/>
      <c r="S394" s="51"/>
      <c r="T394" s="51"/>
      <c r="U394" s="7"/>
      <c r="V394" s="57"/>
      <c r="W394" s="57"/>
      <c r="X394" s="57"/>
    </row>
    <row r="395" spans="1:24" ht="12.5" x14ac:dyDescent="0.25">
      <c r="A395" s="34"/>
      <c r="B395" s="7"/>
      <c r="C395" s="19"/>
      <c r="D395" s="7"/>
      <c r="E395" s="7"/>
      <c r="F395" s="7"/>
      <c r="G395" s="7"/>
      <c r="H395" s="6"/>
      <c r="I395" s="7"/>
      <c r="J395" s="7"/>
      <c r="K395" s="7"/>
      <c r="L395" s="7"/>
      <c r="M395" s="52"/>
      <c r="N395" s="7"/>
      <c r="O395" s="7"/>
      <c r="P395" s="47"/>
      <c r="Q395" s="47"/>
      <c r="R395" s="7"/>
      <c r="S395" s="51"/>
      <c r="T395" s="51"/>
      <c r="U395" s="7"/>
      <c r="V395" s="57"/>
      <c r="W395" s="57"/>
      <c r="X395" s="57"/>
    </row>
    <row r="396" spans="1:24" ht="12.5" x14ac:dyDescent="0.25">
      <c r="A396" s="34"/>
      <c r="B396" s="7"/>
      <c r="C396" s="19"/>
      <c r="D396" s="7"/>
      <c r="E396" s="7"/>
      <c r="F396" s="7"/>
      <c r="G396" s="7"/>
      <c r="H396" s="6"/>
      <c r="I396" s="7"/>
      <c r="J396" s="7"/>
      <c r="K396" s="7"/>
      <c r="L396" s="7"/>
      <c r="M396" s="52"/>
      <c r="N396" s="7"/>
      <c r="O396" s="7"/>
      <c r="P396" s="47"/>
      <c r="Q396" s="47"/>
      <c r="R396" s="7"/>
      <c r="S396" s="51"/>
      <c r="T396" s="51"/>
      <c r="U396" s="7"/>
      <c r="V396" s="57"/>
      <c r="W396" s="57"/>
      <c r="X396" s="57"/>
    </row>
    <row r="397" spans="1:24" ht="12.5" x14ac:dyDescent="0.25">
      <c r="A397" s="34"/>
      <c r="B397" s="7"/>
      <c r="C397" s="19"/>
      <c r="D397" s="7"/>
      <c r="E397" s="7"/>
      <c r="F397" s="7"/>
      <c r="G397" s="7"/>
      <c r="H397" s="6"/>
      <c r="I397" s="7"/>
      <c r="J397" s="7"/>
      <c r="K397" s="7"/>
      <c r="L397" s="7"/>
      <c r="M397" s="52"/>
      <c r="N397" s="7"/>
      <c r="O397" s="7"/>
      <c r="P397" s="47"/>
      <c r="Q397" s="47"/>
      <c r="R397" s="7"/>
      <c r="S397" s="51"/>
      <c r="T397" s="51"/>
      <c r="U397" s="7"/>
      <c r="V397" s="57"/>
      <c r="W397" s="57"/>
      <c r="X397" s="57"/>
    </row>
    <row r="398" spans="1:24" ht="12.5" x14ac:dyDescent="0.25">
      <c r="A398" s="34"/>
      <c r="B398" s="7"/>
      <c r="C398" s="19"/>
      <c r="D398" s="7"/>
      <c r="E398" s="7"/>
      <c r="F398" s="7"/>
      <c r="G398" s="7"/>
      <c r="H398" s="6"/>
      <c r="I398" s="7"/>
      <c r="J398" s="7"/>
      <c r="K398" s="7"/>
      <c r="L398" s="7"/>
      <c r="M398" s="52"/>
      <c r="N398" s="7"/>
      <c r="O398" s="7"/>
      <c r="P398" s="47"/>
      <c r="Q398" s="47"/>
      <c r="R398" s="7"/>
      <c r="S398" s="51"/>
      <c r="T398" s="51"/>
      <c r="U398" s="7"/>
      <c r="V398" s="57"/>
      <c r="W398" s="57"/>
      <c r="X398" s="57"/>
    </row>
    <row r="399" spans="1:24" ht="12.5" x14ac:dyDescent="0.25">
      <c r="A399" s="34"/>
      <c r="B399" s="7"/>
      <c r="C399" s="19"/>
      <c r="D399" s="7"/>
      <c r="E399" s="7"/>
      <c r="F399" s="7"/>
      <c r="G399" s="7"/>
      <c r="H399" s="6"/>
      <c r="I399" s="7"/>
      <c r="J399" s="7"/>
      <c r="K399" s="7"/>
      <c r="L399" s="7"/>
      <c r="M399" s="52"/>
      <c r="N399" s="7"/>
      <c r="O399" s="7"/>
      <c r="P399" s="47"/>
      <c r="Q399" s="47"/>
      <c r="R399" s="7"/>
      <c r="S399" s="51"/>
      <c r="T399" s="51"/>
      <c r="U399" s="7"/>
      <c r="V399" s="57"/>
      <c r="W399" s="57"/>
      <c r="X399" s="57"/>
    </row>
    <row r="400" spans="1:24" ht="12.5" x14ac:dyDescent="0.25">
      <c r="A400" s="34"/>
      <c r="B400" s="7"/>
      <c r="C400" s="19"/>
      <c r="D400" s="7"/>
      <c r="E400" s="7"/>
      <c r="F400" s="7"/>
      <c r="G400" s="7"/>
      <c r="H400" s="6"/>
      <c r="I400" s="7"/>
      <c r="J400" s="7"/>
      <c r="K400" s="7"/>
      <c r="L400" s="7"/>
      <c r="M400" s="52"/>
      <c r="N400" s="7"/>
      <c r="O400" s="7"/>
      <c r="P400" s="47"/>
      <c r="Q400" s="47"/>
      <c r="R400" s="7"/>
      <c r="S400" s="51"/>
      <c r="T400" s="51"/>
      <c r="U400" s="7"/>
      <c r="V400" s="57"/>
      <c r="W400" s="57"/>
      <c r="X400" s="57"/>
    </row>
    <row r="401" spans="1:24" ht="12.5" x14ac:dyDescent="0.25">
      <c r="A401" s="34"/>
      <c r="B401" s="7"/>
      <c r="C401" s="19"/>
      <c r="D401" s="7"/>
      <c r="E401" s="7"/>
      <c r="F401" s="7"/>
      <c r="G401" s="7"/>
      <c r="H401" s="6"/>
      <c r="I401" s="7"/>
      <c r="J401" s="7"/>
      <c r="K401" s="7"/>
      <c r="L401" s="7"/>
      <c r="M401" s="52"/>
      <c r="N401" s="7"/>
      <c r="O401" s="7"/>
      <c r="P401" s="47"/>
      <c r="Q401" s="47"/>
      <c r="R401" s="7"/>
      <c r="S401" s="51"/>
      <c r="T401" s="51"/>
      <c r="U401" s="7"/>
      <c r="V401" s="57"/>
      <c r="W401" s="57"/>
      <c r="X401" s="57"/>
    </row>
    <row r="402" spans="1:24" ht="12.5" x14ac:dyDescent="0.25">
      <c r="A402" s="34"/>
      <c r="B402" s="7"/>
      <c r="C402" s="19"/>
      <c r="D402" s="7"/>
      <c r="E402" s="7"/>
      <c r="F402" s="7"/>
      <c r="G402" s="7"/>
      <c r="H402" s="6"/>
      <c r="I402" s="7"/>
      <c r="J402" s="7"/>
      <c r="K402" s="7"/>
      <c r="L402" s="7"/>
      <c r="M402" s="52"/>
      <c r="N402" s="7"/>
      <c r="O402" s="7"/>
      <c r="P402" s="47"/>
      <c r="Q402" s="47"/>
      <c r="R402" s="7"/>
      <c r="S402" s="51"/>
      <c r="T402" s="51"/>
      <c r="U402" s="7"/>
      <c r="V402" s="57"/>
      <c r="W402" s="57"/>
      <c r="X402" s="57"/>
    </row>
    <row r="403" spans="1:24" ht="12.5" x14ac:dyDescent="0.25">
      <c r="A403" s="34"/>
      <c r="B403" s="7"/>
      <c r="C403" s="19"/>
      <c r="D403" s="7"/>
      <c r="E403" s="7"/>
      <c r="F403" s="7"/>
      <c r="G403" s="7"/>
      <c r="H403" s="6"/>
      <c r="I403" s="7"/>
      <c r="J403" s="7"/>
      <c r="K403" s="7"/>
      <c r="L403" s="7"/>
      <c r="M403" s="52"/>
      <c r="N403" s="7"/>
      <c r="O403" s="7"/>
      <c r="P403" s="47"/>
      <c r="Q403" s="47"/>
      <c r="R403" s="7"/>
      <c r="S403" s="51"/>
      <c r="T403" s="51"/>
      <c r="U403" s="7"/>
      <c r="V403" s="57"/>
      <c r="W403" s="57"/>
      <c r="X403" s="57"/>
    </row>
    <row r="404" spans="1:24" ht="12.5" x14ac:dyDescent="0.25">
      <c r="A404" s="34"/>
      <c r="B404" s="7"/>
      <c r="C404" s="19"/>
      <c r="D404" s="7"/>
      <c r="E404" s="7"/>
      <c r="F404" s="7"/>
      <c r="G404" s="7"/>
      <c r="H404" s="6"/>
      <c r="I404" s="7"/>
      <c r="J404" s="7"/>
      <c r="K404" s="7"/>
      <c r="L404" s="7"/>
      <c r="M404" s="52"/>
      <c r="N404" s="7"/>
      <c r="O404" s="7"/>
      <c r="P404" s="47"/>
      <c r="Q404" s="47"/>
      <c r="R404" s="7"/>
      <c r="S404" s="51"/>
      <c r="T404" s="51"/>
      <c r="U404" s="7"/>
      <c r="V404" s="57"/>
      <c r="W404" s="57"/>
      <c r="X404" s="57"/>
    </row>
    <row r="405" spans="1:24" ht="12.5" x14ac:dyDescent="0.25">
      <c r="A405" s="34"/>
      <c r="B405" s="7"/>
      <c r="C405" s="19"/>
      <c r="D405" s="7"/>
      <c r="E405" s="7"/>
      <c r="F405" s="7"/>
      <c r="G405" s="7"/>
      <c r="H405" s="6"/>
      <c r="I405" s="7"/>
      <c r="J405" s="7"/>
      <c r="K405" s="7"/>
      <c r="L405" s="7"/>
      <c r="M405" s="52"/>
      <c r="N405" s="7"/>
      <c r="O405" s="7"/>
      <c r="P405" s="47"/>
      <c r="Q405" s="47"/>
      <c r="R405" s="7"/>
      <c r="S405" s="51"/>
      <c r="T405" s="51"/>
      <c r="U405" s="7"/>
      <c r="V405" s="57"/>
      <c r="W405" s="57"/>
      <c r="X405" s="57"/>
    </row>
    <row r="406" spans="1:24" ht="12.5" x14ac:dyDescent="0.25">
      <c r="A406" s="34"/>
      <c r="B406" s="7"/>
      <c r="C406" s="19"/>
      <c r="D406" s="7"/>
      <c r="E406" s="7"/>
      <c r="F406" s="7"/>
      <c r="G406" s="7"/>
      <c r="H406" s="6"/>
      <c r="I406" s="7"/>
      <c r="J406" s="7"/>
      <c r="K406" s="7"/>
      <c r="L406" s="7"/>
      <c r="M406" s="52"/>
      <c r="N406" s="7"/>
      <c r="O406" s="7"/>
      <c r="P406" s="47"/>
      <c r="Q406" s="47"/>
      <c r="R406" s="7"/>
      <c r="S406" s="51"/>
      <c r="T406" s="51"/>
      <c r="U406" s="7"/>
      <c r="V406" s="57"/>
      <c r="W406" s="57"/>
      <c r="X406" s="57"/>
    </row>
    <row r="407" spans="1:24" ht="12.5" x14ac:dyDescent="0.25">
      <c r="A407" s="34"/>
      <c r="B407" s="7"/>
      <c r="C407" s="19"/>
      <c r="D407" s="7"/>
      <c r="E407" s="7"/>
      <c r="F407" s="7"/>
      <c r="G407" s="7"/>
      <c r="H407" s="6"/>
      <c r="I407" s="7"/>
      <c r="J407" s="7"/>
      <c r="K407" s="7"/>
      <c r="L407" s="7"/>
      <c r="M407" s="52"/>
      <c r="N407" s="7"/>
      <c r="O407" s="7"/>
      <c r="P407" s="47"/>
      <c r="Q407" s="47"/>
      <c r="R407" s="7"/>
      <c r="S407" s="51"/>
      <c r="T407" s="51"/>
      <c r="U407" s="7"/>
      <c r="V407" s="57"/>
      <c r="W407" s="57"/>
      <c r="X407" s="57"/>
    </row>
    <row r="408" spans="1:24" ht="12.5" x14ac:dyDescent="0.25">
      <c r="A408" s="34"/>
      <c r="B408" s="7"/>
      <c r="C408" s="19"/>
      <c r="D408" s="7"/>
      <c r="E408" s="7"/>
      <c r="F408" s="7"/>
      <c r="G408" s="7"/>
      <c r="H408" s="6"/>
      <c r="I408" s="7"/>
      <c r="J408" s="7"/>
      <c r="K408" s="7"/>
      <c r="L408" s="7"/>
      <c r="M408" s="52"/>
      <c r="N408" s="7"/>
      <c r="O408" s="7"/>
      <c r="P408" s="47"/>
      <c r="Q408" s="47"/>
      <c r="R408" s="7"/>
      <c r="S408" s="51"/>
      <c r="T408" s="51"/>
      <c r="U408" s="7"/>
      <c r="V408" s="57"/>
      <c r="W408" s="57"/>
      <c r="X408" s="57"/>
    </row>
    <row r="409" spans="1:24" ht="12.5" x14ac:dyDescent="0.25">
      <c r="A409" s="34"/>
      <c r="B409" s="7"/>
      <c r="C409" s="19"/>
      <c r="D409" s="7"/>
      <c r="E409" s="7"/>
      <c r="F409" s="7"/>
      <c r="G409" s="7"/>
      <c r="H409" s="6"/>
      <c r="I409" s="7"/>
      <c r="J409" s="7"/>
      <c r="K409" s="7"/>
      <c r="L409" s="7"/>
      <c r="M409" s="52"/>
      <c r="N409" s="7"/>
      <c r="O409" s="7"/>
      <c r="P409" s="47"/>
      <c r="Q409" s="47"/>
      <c r="R409" s="7"/>
      <c r="S409" s="51"/>
      <c r="T409" s="51"/>
      <c r="U409" s="7"/>
      <c r="V409" s="57"/>
      <c r="W409" s="57"/>
      <c r="X409" s="57"/>
    </row>
    <row r="410" spans="1:24" ht="12.5" x14ac:dyDescent="0.25">
      <c r="A410" s="34"/>
      <c r="B410" s="7"/>
      <c r="C410" s="19"/>
      <c r="D410" s="7"/>
      <c r="E410" s="7"/>
      <c r="F410" s="7"/>
      <c r="G410" s="7"/>
      <c r="H410" s="6"/>
      <c r="I410" s="7"/>
      <c r="J410" s="7"/>
      <c r="K410" s="7"/>
      <c r="L410" s="7"/>
      <c r="M410" s="52"/>
      <c r="N410" s="7"/>
      <c r="O410" s="7"/>
      <c r="P410" s="47"/>
      <c r="Q410" s="47"/>
      <c r="R410" s="7"/>
      <c r="S410" s="51"/>
      <c r="T410" s="51"/>
      <c r="U410" s="7"/>
      <c r="V410" s="57"/>
      <c r="W410" s="57"/>
      <c r="X410" s="57"/>
    </row>
    <row r="411" spans="1:24" ht="12.5" x14ac:dyDescent="0.25">
      <c r="A411" s="34"/>
      <c r="B411" s="7"/>
      <c r="C411" s="19"/>
      <c r="D411" s="7"/>
      <c r="E411" s="7"/>
      <c r="F411" s="7"/>
      <c r="G411" s="7"/>
      <c r="H411" s="6"/>
      <c r="I411" s="7"/>
      <c r="J411" s="7"/>
      <c r="K411" s="7"/>
      <c r="L411" s="7"/>
      <c r="M411" s="52"/>
      <c r="N411" s="7"/>
      <c r="O411" s="7"/>
      <c r="P411" s="47"/>
      <c r="Q411" s="47"/>
      <c r="R411" s="7"/>
      <c r="S411" s="51"/>
      <c r="T411" s="51"/>
      <c r="U411" s="7"/>
      <c r="V411" s="57"/>
      <c r="W411" s="57"/>
      <c r="X411" s="57"/>
    </row>
    <row r="412" spans="1:24" ht="12.5" x14ac:dyDescent="0.25">
      <c r="A412" s="34"/>
      <c r="B412" s="7"/>
      <c r="C412" s="19"/>
      <c r="D412" s="7"/>
      <c r="E412" s="7"/>
      <c r="F412" s="7"/>
      <c r="G412" s="7"/>
      <c r="H412" s="6"/>
      <c r="I412" s="7"/>
      <c r="J412" s="7"/>
      <c r="K412" s="7"/>
      <c r="L412" s="7"/>
      <c r="M412" s="52"/>
      <c r="N412" s="7"/>
      <c r="O412" s="7"/>
      <c r="P412" s="47"/>
      <c r="Q412" s="47"/>
      <c r="R412" s="7"/>
      <c r="S412" s="51"/>
      <c r="T412" s="51"/>
      <c r="U412" s="7"/>
      <c r="V412" s="57"/>
      <c r="W412" s="57"/>
      <c r="X412" s="57"/>
    </row>
    <row r="413" spans="1:24" ht="12.5" x14ac:dyDescent="0.25">
      <c r="A413" s="34"/>
      <c r="B413" s="7"/>
      <c r="C413" s="19"/>
      <c r="D413" s="7"/>
      <c r="E413" s="7"/>
      <c r="F413" s="7"/>
      <c r="G413" s="7"/>
      <c r="H413" s="6"/>
      <c r="I413" s="7"/>
      <c r="J413" s="7"/>
      <c r="K413" s="7"/>
      <c r="L413" s="7"/>
      <c r="M413" s="52"/>
      <c r="N413" s="7"/>
      <c r="O413" s="7"/>
      <c r="P413" s="47"/>
      <c r="Q413" s="47"/>
      <c r="R413" s="7"/>
      <c r="S413" s="51"/>
      <c r="T413" s="51"/>
      <c r="U413" s="7"/>
      <c r="V413" s="57"/>
      <c r="W413" s="57"/>
      <c r="X413" s="57"/>
    </row>
    <row r="414" spans="1:24" ht="12.5" x14ac:dyDescent="0.25">
      <c r="A414" s="34"/>
      <c r="B414" s="7"/>
      <c r="C414" s="19"/>
      <c r="D414" s="7"/>
      <c r="E414" s="7"/>
      <c r="F414" s="7"/>
      <c r="G414" s="7"/>
      <c r="H414" s="6"/>
      <c r="I414" s="7"/>
      <c r="J414" s="7"/>
      <c r="K414" s="7"/>
      <c r="L414" s="7"/>
      <c r="M414" s="52"/>
      <c r="N414" s="7"/>
      <c r="O414" s="7"/>
      <c r="P414" s="47"/>
      <c r="Q414" s="47"/>
      <c r="R414" s="7"/>
      <c r="S414" s="51"/>
      <c r="T414" s="51"/>
      <c r="U414" s="7"/>
      <c r="V414" s="57"/>
      <c r="W414" s="57"/>
      <c r="X414" s="57"/>
    </row>
    <row r="415" spans="1:24" ht="12.5" x14ac:dyDescent="0.25">
      <c r="A415" s="34"/>
      <c r="B415" s="7"/>
      <c r="C415" s="19"/>
      <c r="D415" s="7"/>
      <c r="E415" s="7"/>
      <c r="F415" s="7"/>
      <c r="G415" s="7"/>
      <c r="H415" s="6"/>
      <c r="I415" s="7"/>
      <c r="J415" s="7"/>
      <c r="K415" s="7"/>
      <c r="L415" s="7"/>
      <c r="M415" s="52"/>
      <c r="N415" s="7"/>
      <c r="O415" s="7"/>
      <c r="P415" s="47"/>
      <c r="Q415" s="47"/>
      <c r="R415" s="7"/>
      <c r="S415" s="51"/>
      <c r="T415" s="51"/>
      <c r="U415" s="7"/>
      <c r="V415" s="57"/>
      <c r="W415" s="57"/>
      <c r="X415" s="57"/>
    </row>
    <row r="416" spans="1:24" ht="12.5" x14ac:dyDescent="0.25">
      <c r="A416" s="34"/>
      <c r="B416" s="7"/>
      <c r="C416" s="19"/>
      <c r="D416" s="7"/>
      <c r="E416" s="7"/>
      <c r="F416" s="7"/>
      <c r="G416" s="7"/>
      <c r="H416" s="6"/>
      <c r="I416" s="7"/>
      <c r="J416" s="7"/>
      <c r="K416" s="7"/>
      <c r="L416" s="7"/>
      <c r="M416" s="52"/>
      <c r="N416" s="7"/>
      <c r="O416" s="7"/>
      <c r="P416" s="47"/>
      <c r="Q416" s="47"/>
      <c r="R416" s="7"/>
      <c r="S416" s="51"/>
      <c r="T416" s="51"/>
      <c r="U416" s="7"/>
      <c r="V416" s="57"/>
      <c r="W416" s="57"/>
      <c r="X416" s="57"/>
    </row>
    <row r="417" spans="1:24" ht="12.5" x14ac:dyDescent="0.25">
      <c r="A417" s="34"/>
      <c r="B417" s="7"/>
      <c r="C417" s="19"/>
      <c r="D417" s="7"/>
      <c r="E417" s="7"/>
      <c r="F417" s="7"/>
      <c r="G417" s="7"/>
      <c r="H417" s="6"/>
      <c r="I417" s="7"/>
      <c r="J417" s="7"/>
      <c r="K417" s="7"/>
      <c r="L417" s="7"/>
      <c r="M417" s="52"/>
      <c r="N417" s="7"/>
      <c r="O417" s="7"/>
      <c r="P417" s="47"/>
      <c r="Q417" s="47"/>
      <c r="R417" s="7"/>
      <c r="S417" s="51"/>
      <c r="T417" s="51"/>
      <c r="U417" s="7"/>
      <c r="V417" s="57"/>
      <c r="W417" s="57"/>
      <c r="X417" s="57"/>
    </row>
    <row r="418" spans="1:24" ht="12.5" x14ac:dyDescent="0.25">
      <c r="A418" s="34"/>
      <c r="B418" s="7"/>
      <c r="C418" s="19"/>
      <c r="D418" s="7"/>
      <c r="E418" s="7"/>
      <c r="F418" s="7"/>
      <c r="G418" s="7"/>
      <c r="H418" s="6"/>
      <c r="I418" s="7"/>
      <c r="J418" s="7"/>
      <c r="K418" s="7"/>
      <c r="L418" s="7"/>
      <c r="M418" s="52"/>
      <c r="N418" s="7"/>
      <c r="O418" s="7"/>
      <c r="P418" s="47"/>
      <c r="Q418" s="47"/>
      <c r="R418" s="7"/>
      <c r="S418" s="51"/>
      <c r="T418" s="51"/>
      <c r="U418" s="7"/>
      <c r="V418" s="57"/>
      <c r="W418" s="57"/>
      <c r="X418" s="57"/>
    </row>
    <row r="419" spans="1:24" ht="12.5" x14ac:dyDescent="0.25">
      <c r="A419" s="34"/>
      <c r="B419" s="7"/>
      <c r="C419" s="19"/>
      <c r="D419" s="7"/>
      <c r="E419" s="7"/>
      <c r="F419" s="7"/>
      <c r="G419" s="7"/>
      <c r="H419" s="6"/>
      <c r="I419" s="7"/>
      <c r="J419" s="7"/>
      <c r="K419" s="7"/>
      <c r="L419" s="7"/>
      <c r="M419" s="52"/>
      <c r="N419" s="7"/>
      <c r="O419" s="7"/>
      <c r="P419" s="47"/>
      <c r="Q419" s="47"/>
      <c r="R419" s="7"/>
      <c r="S419" s="51"/>
      <c r="T419" s="51"/>
      <c r="U419" s="7"/>
      <c r="V419" s="57"/>
      <c r="W419" s="57"/>
      <c r="X419" s="57"/>
    </row>
    <row r="420" spans="1:24" ht="12.5" x14ac:dyDescent="0.25">
      <c r="A420" s="34"/>
      <c r="B420" s="7"/>
      <c r="C420" s="19"/>
      <c r="D420" s="7"/>
      <c r="E420" s="7"/>
      <c r="F420" s="7"/>
      <c r="G420" s="7"/>
      <c r="H420" s="6"/>
      <c r="I420" s="7"/>
      <c r="J420" s="7"/>
      <c r="K420" s="7"/>
      <c r="L420" s="7"/>
      <c r="M420" s="52"/>
      <c r="N420" s="7"/>
      <c r="O420" s="7"/>
      <c r="P420" s="47"/>
      <c r="Q420" s="47"/>
      <c r="R420" s="7"/>
      <c r="S420" s="51"/>
      <c r="T420" s="51"/>
      <c r="U420" s="7"/>
      <c r="V420" s="57"/>
      <c r="W420" s="57"/>
      <c r="X420" s="57"/>
    </row>
    <row r="421" spans="1:24" ht="12.5" x14ac:dyDescent="0.25">
      <c r="A421" s="34"/>
      <c r="B421" s="7"/>
      <c r="C421" s="19"/>
      <c r="D421" s="7"/>
      <c r="E421" s="7"/>
      <c r="F421" s="7"/>
      <c r="G421" s="7"/>
      <c r="H421" s="6"/>
      <c r="I421" s="7"/>
      <c r="J421" s="7"/>
      <c r="K421" s="7"/>
      <c r="L421" s="7"/>
      <c r="M421" s="52"/>
      <c r="N421" s="7"/>
      <c r="O421" s="7"/>
      <c r="P421" s="47"/>
      <c r="Q421" s="47"/>
      <c r="R421" s="7"/>
      <c r="S421" s="51"/>
      <c r="T421" s="51"/>
      <c r="U421" s="7"/>
      <c r="V421" s="57"/>
      <c r="W421" s="57"/>
      <c r="X421" s="57"/>
    </row>
    <row r="422" spans="1:24" ht="12.5" x14ac:dyDescent="0.25">
      <c r="A422" s="34"/>
      <c r="B422" s="7"/>
      <c r="C422" s="19"/>
      <c r="D422" s="7"/>
      <c r="E422" s="7"/>
      <c r="F422" s="7"/>
      <c r="G422" s="7"/>
      <c r="H422" s="6"/>
      <c r="I422" s="7"/>
      <c r="J422" s="7"/>
      <c r="K422" s="7"/>
      <c r="L422" s="7"/>
      <c r="M422" s="52"/>
      <c r="N422" s="7"/>
      <c r="O422" s="7"/>
      <c r="P422" s="47"/>
      <c r="Q422" s="47"/>
      <c r="R422" s="7"/>
      <c r="S422" s="51"/>
      <c r="T422" s="51"/>
      <c r="U422" s="7"/>
      <c r="V422" s="57"/>
      <c r="W422" s="57"/>
      <c r="X422" s="57"/>
    </row>
    <row r="423" spans="1:24" ht="12.5" x14ac:dyDescent="0.25">
      <c r="A423" s="34"/>
      <c r="B423" s="7"/>
      <c r="C423" s="19"/>
      <c r="D423" s="7"/>
      <c r="E423" s="7"/>
      <c r="F423" s="7"/>
      <c r="G423" s="7"/>
      <c r="H423" s="6"/>
      <c r="I423" s="7"/>
      <c r="J423" s="7"/>
      <c r="K423" s="7"/>
      <c r="L423" s="7"/>
      <c r="M423" s="52"/>
      <c r="N423" s="7"/>
      <c r="O423" s="7"/>
      <c r="P423" s="47"/>
      <c r="Q423" s="47"/>
      <c r="R423" s="7"/>
      <c r="S423" s="51"/>
      <c r="T423" s="51"/>
      <c r="U423" s="7"/>
      <c r="V423" s="57"/>
      <c r="W423" s="57"/>
      <c r="X423" s="57"/>
    </row>
    <row r="424" spans="1:24" ht="12.5" x14ac:dyDescent="0.25">
      <c r="A424" s="34"/>
      <c r="B424" s="7"/>
      <c r="C424" s="19"/>
      <c r="D424" s="7"/>
      <c r="E424" s="7"/>
      <c r="F424" s="7"/>
      <c r="G424" s="7"/>
      <c r="H424" s="6"/>
      <c r="I424" s="7"/>
      <c r="J424" s="7"/>
      <c r="K424" s="7"/>
      <c r="L424" s="7"/>
      <c r="M424" s="52"/>
      <c r="N424" s="7"/>
      <c r="O424" s="7"/>
      <c r="P424" s="47"/>
      <c r="Q424" s="47"/>
      <c r="R424" s="7"/>
      <c r="S424" s="51"/>
      <c r="T424" s="51"/>
      <c r="U424" s="7"/>
      <c r="V424" s="57"/>
      <c r="W424" s="57"/>
      <c r="X424" s="57"/>
    </row>
    <row r="425" spans="1:24" ht="12.5" x14ac:dyDescent="0.25">
      <c r="A425" s="34"/>
      <c r="B425" s="7"/>
      <c r="C425" s="19"/>
      <c r="D425" s="7"/>
      <c r="E425" s="7"/>
      <c r="F425" s="7"/>
      <c r="G425" s="7"/>
      <c r="H425" s="6"/>
      <c r="I425" s="7"/>
      <c r="J425" s="7"/>
      <c r="K425" s="7"/>
      <c r="L425" s="7"/>
      <c r="M425" s="52"/>
      <c r="N425" s="7"/>
      <c r="O425" s="7"/>
      <c r="P425" s="47"/>
      <c r="Q425" s="47"/>
      <c r="R425" s="7"/>
      <c r="S425" s="51"/>
      <c r="T425" s="51"/>
      <c r="U425" s="7"/>
      <c r="V425" s="57"/>
      <c r="W425" s="57"/>
      <c r="X425" s="57"/>
    </row>
    <row r="426" spans="1:24" ht="12.5" x14ac:dyDescent="0.25">
      <c r="A426" s="34"/>
      <c r="B426" s="7"/>
      <c r="C426" s="19"/>
      <c r="D426" s="7"/>
      <c r="E426" s="7"/>
      <c r="F426" s="7"/>
      <c r="G426" s="7"/>
      <c r="H426" s="6"/>
      <c r="I426" s="7"/>
      <c r="J426" s="7"/>
      <c r="K426" s="7"/>
      <c r="L426" s="7"/>
      <c r="M426" s="52"/>
      <c r="N426" s="7"/>
      <c r="O426" s="7"/>
      <c r="P426" s="47"/>
      <c r="Q426" s="47"/>
      <c r="R426" s="7"/>
      <c r="S426" s="51"/>
      <c r="T426" s="51"/>
      <c r="U426" s="7"/>
      <c r="V426" s="57"/>
      <c r="W426" s="57"/>
      <c r="X426" s="57"/>
    </row>
    <row r="427" spans="1:24" ht="12.5" x14ac:dyDescent="0.25">
      <c r="A427" s="34"/>
      <c r="B427" s="7"/>
      <c r="C427" s="19"/>
      <c r="D427" s="7"/>
      <c r="E427" s="7"/>
      <c r="F427" s="7"/>
      <c r="G427" s="7"/>
      <c r="H427" s="6"/>
      <c r="I427" s="7"/>
      <c r="J427" s="7"/>
      <c r="K427" s="7"/>
      <c r="L427" s="7"/>
      <c r="M427" s="52"/>
      <c r="N427" s="7"/>
      <c r="O427" s="7"/>
      <c r="P427" s="47"/>
      <c r="Q427" s="47"/>
      <c r="R427" s="7"/>
      <c r="S427" s="51"/>
      <c r="T427" s="51"/>
      <c r="U427" s="7"/>
      <c r="V427" s="57"/>
      <c r="W427" s="57"/>
      <c r="X427" s="57"/>
    </row>
    <row r="428" spans="1:24" ht="12.5" x14ac:dyDescent="0.25">
      <c r="A428" s="34"/>
      <c r="B428" s="7"/>
      <c r="C428" s="19"/>
      <c r="D428" s="7"/>
      <c r="E428" s="7"/>
      <c r="F428" s="7"/>
      <c r="G428" s="7"/>
      <c r="H428" s="6"/>
      <c r="I428" s="7"/>
      <c r="J428" s="7"/>
      <c r="K428" s="7"/>
      <c r="L428" s="7"/>
      <c r="M428" s="52"/>
      <c r="N428" s="7"/>
      <c r="O428" s="7"/>
      <c r="P428" s="47"/>
      <c r="Q428" s="47"/>
      <c r="R428" s="7"/>
      <c r="S428" s="51"/>
      <c r="T428" s="51"/>
      <c r="U428" s="7"/>
      <c r="V428" s="57"/>
      <c r="W428" s="57"/>
      <c r="X428" s="57"/>
    </row>
    <row r="429" spans="1:24" ht="12.5" x14ac:dyDescent="0.25">
      <c r="A429" s="34"/>
      <c r="B429" s="7"/>
      <c r="C429" s="19"/>
      <c r="D429" s="7"/>
      <c r="E429" s="7"/>
      <c r="F429" s="7"/>
      <c r="G429" s="7"/>
      <c r="H429" s="6"/>
      <c r="I429" s="7"/>
      <c r="J429" s="7"/>
      <c r="K429" s="7"/>
      <c r="L429" s="7"/>
      <c r="M429" s="52"/>
      <c r="N429" s="7"/>
      <c r="O429" s="7"/>
      <c r="P429" s="47"/>
      <c r="Q429" s="47"/>
      <c r="R429" s="7"/>
      <c r="S429" s="51"/>
      <c r="T429" s="51"/>
      <c r="U429" s="7"/>
      <c r="V429" s="57"/>
      <c r="W429" s="57"/>
      <c r="X429" s="57"/>
    </row>
    <row r="430" spans="1:24" ht="12.5" x14ac:dyDescent="0.25">
      <c r="A430" s="34"/>
      <c r="B430" s="7"/>
      <c r="C430" s="19"/>
      <c r="D430" s="7"/>
      <c r="E430" s="7"/>
      <c r="F430" s="7"/>
      <c r="G430" s="7"/>
      <c r="H430" s="6"/>
      <c r="I430" s="7"/>
      <c r="J430" s="7"/>
      <c r="K430" s="7"/>
      <c r="L430" s="7"/>
      <c r="M430" s="52"/>
      <c r="N430" s="7"/>
      <c r="O430" s="7"/>
      <c r="P430" s="47"/>
      <c r="Q430" s="47"/>
      <c r="R430" s="7"/>
      <c r="S430" s="51"/>
      <c r="T430" s="51"/>
      <c r="U430" s="7"/>
      <c r="V430" s="57"/>
      <c r="W430" s="57"/>
      <c r="X430" s="57"/>
    </row>
    <row r="431" spans="1:24" ht="12.5" x14ac:dyDescent="0.25">
      <c r="A431" s="34"/>
      <c r="B431" s="7"/>
      <c r="C431" s="19"/>
      <c r="D431" s="7"/>
      <c r="E431" s="7"/>
      <c r="F431" s="7"/>
      <c r="G431" s="7"/>
      <c r="H431" s="6"/>
      <c r="I431" s="7"/>
      <c r="J431" s="7"/>
      <c r="K431" s="7"/>
      <c r="L431" s="7"/>
      <c r="M431" s="52"/>
      <c r="N431" s="7"/>
      <c r="O431" s="7"/>
      <c r="P431" s="47"/>
      <c r="Q431" s="47"/>
      <c r="R431" s="7"/>
      <c r="S431" s="51"/>
      <c r="T431" s="51"/>
      <c r="U431" s="7"/>
      <c r="V431" s="57"/>
      <c r="W431" s="57"/>
      <c r="X431" s="57"/>
    </row>
    <row r="432" spans="1:24" ht="12.5" x14ac:dyDescent="0.25">
      <c r="A432" s="34"/>
      <c r="B432" s="7"/>
      <c r="C432" s="19"/>
      <c r="D432" s="7"/>
      <c r="E432" s="7"/>
      <c r="F432" s="7"/>
      <c r="G432" s="7"/>
      <c r="H432" s="6"/>
      <c r="I432" s="7"/>
      <c r="J432" s="7"/>
      <c r="K432" s="7"/>
      <c r="L432" s="7"/>
      <c r="M432" s="52"/>
      <c r="N432" s="7"/>
      <c r="O432" s="7"/>
      <c r="P432" s="47"/>
      <c r="Q432" s="47"/>
      <c r="R432" s="7"/>
      <c r="S432" s="51"/>
      <c r="T432" s="51"/>
      <c r="U432" s="7"/>
      <c r="V432" s="57"/>
      <c r="W432" s="57"/>
      <c r="X432" s="57"/>
    </row>
    <row r="433" spans="1:24" ht="12.5" x14ac:dyDescent="0.25">
      <c r="A433" s="34"/>
      <c r="B433" s="7"/>
      <c r="C433" s="19"/>
      <c r="D433" s="7"/>
      <c r="E433" s="7"/>
      <c r="F433" s="7"/>
      <c r="G433" s="7"/>
      <c r="H433" s="6"/>
      <c r="I433" s="7"/>
      <c r="J433" s="7"/>
      <c r="K433" s="7"/>
      <c r="L433" s="7"/>
      <c r="M433" s="52"/>
      <c r="N433" s="7"/>
      <c r="O433" s="7"/>
      <c r="P433" s="47"/>
      <c r="Q433" s="47"/>
      <c r="R433" s="7"/>
      <c r="S433" s="51"/>
      <c r="T433" s="51"/>
      <c r="U433" s="7"/>
      <c r="V433" s="57"/>
      <c r="W433" s="57"/>
      <c r="X433" s="57"/>
    </row>
    <row r="434" spans="1:24" ht="12.5" x14ac:dyDescent="0.25">
      <c r="A434" s="34"/>
      <c r="B434" s="7"/>
      <c r="C434" s="19"/>
      <c r="D434" s="7"/>
      <c r="E434" s="7"/>
      <c r="F434" s="7"/>
      <c r="G434" s="7"/>
      <c r="H434" s="6"/>
      <c r="I434" s="7"/>
      <c r="J434" s="7"/>
      <c r="K434" s="7"/>
      <c r="L434" s="7"/>
      <c r="M434" s="52"/>
      <c r="N434" s="7"/>
      <c r="O434" s="7"/>
      <c r="P434" s="47"/>
      <c r="Q434" s="47"/>
      <c r="R434" s="7"/>
      <c r="S434" s="51"/>
      <c r="T434" s="51"/>
      <c r="U434" s="7"/>
      <c r="V434" s="57"/>
      <c r="W434" s="57"/>
      <c r="X434" s="57"/>
    </row>
    <row r="435" spans="1:24" ht="12.5" x14ac:dyDescent="0.25">
      <c r="A435" s="34"/>
      <c r="B435" s="7"/>
      <c r="C435" s="19"/>
      <c r="D435" s="7"/>
      <c r="E435" s="7"/>
      <c r="F435" s="7"/>
      <c r="G435" s="7"/>
      <c r="H435" s="6"/>
      <c r="I435" s="7"/>
      <c r="J435" s="7"/>
      <c r="K435" s="7"/>
      <c r="L435" s="7"/>
      <c r="M435" s="52"/>
      <c r="N435" s="7"/>
      <c r="O435" s="7"/>
      <c r="P435" s="47"/>
      <c r="Q435" s="47"/>
      <c r="R435" s="7"/>
      <c r="S435" s="51"/>
      <c r="T435" s="51"/>
      <c r="U435" s="7"/>
      <c r="V435" s="57"/>
      <c r="W435" s="57"/>
      <c r="X435" s="57"/>
    </row>
    <row r="436" spans="1:24" ht="12.5" x14ac:dyDescent="0.25">
      <c r="A436" s="34"/>
      <c r="B436" s="7"/>
      <c r="C436" s="19"/>
      <c r="D436" s="7"/>
      <c r="E436" s="7"/>
      <c r="F436" s="7"/>
      <c r="G436" s="7"/>
      <c r="H436" s="6"/>
      <c r="I436" s="7"/>
      <c r="J436" s="7"/>
      <c r="K436" s="7"/>
      <c r="L436" s="7"/>
      <c r="M436" s="52"/>
      <c r="N436" s="7"/>
      <c r="O436" s="7"/>
      <c r="P436" s="47"/>
      <c r="Q436" s="47"/>
      <c r="R436" s="7"/>
      <c r="S436" s="51"/>
      <c r="T436" s="51"/>
      <c r="U436" s="7"/>
      <c r="V436" s="57"/>
      <c r="W436" s="57"/>
      <c r="X436" s="57"/>
    </row>
    <row r="437" spans="1:24" ht="12.5" x14ac:dyDescent="0.25">
      <c r="A437" s="34"/>
      <c r="B437" s="7"/>
      <c r="C437" s="19"/>
      <c r="D437" s="7"/>
      <c r="E437" s="7"/>
      <c r="F437" s="7"/>
      <c r="G437" s="7"/>
      <c r="H437" s="6"/>
      <c r="I437" s="7"/>
      <c r="J437" s="7"/>
      <c r="K437" s="7"/>
      <c r="L437" s="7"/>
      <c r="M437" s="52"/>
      <c r="N437" s="7"/>
      <c r="O437" s="7"/>
      <c r="P437" s="47"/>
      <c r="Q437" s="47"/>
      <c r="R437" s="7"/>
      <c r="S437" s="51"/>
      <c r="T437" s="51"/>
      <c r="U437" s="7"/>
      <c r="V437" s="57"/>
      <c r="W437" s="57"/>
      <c r="X437" s="57"/>
    </row>
    <row r="438" spans="1:24" ht="12.5" x14ac:dyDescent="0.25">
      <c r="A438" s="34"/>
      <c r="B438" s="7"/>
      <c r="C438" s="19"/>
      <c r="D438" s="7"/>
      <c r="E438" s="7"/>
      <c r="F438" s="7"/>
      <c r="G438" s="7"/>
      <c r="H438" s="6"/>
      <c r="I438" s="7"/>
      <c r="J438" s="7"/>
      <c r="K438" s="7"/>
      <c r="L438" s="7"/>
      <c r="M438" s="52"/>
      <c r="N438" s="7"/>
      <c r="O438" s="7"/>
      <c r="P438" s="47"/>
      <c r="Q438" s="47"/>
      <c r="R438" s="7"/>
      <c r="S438" s="51"/>
      <c r="T438" s="51"/>
      <c r="U438" s="7"/>
      <c r="V438" s="57"/>
      <c r="W438" s="57"/>
      <c r="X438" s="57"/>
    </row>
    <row r="439" spans="1:24" ht="12.5" x14ac:dyDescent="0.25">
      <c r="A439" s="34"/>
      <c r="B439" s="7"/>
      <c r="C439" s="19"/>
      <c r="D439" s="7"/>
      <c r="E439" s="7"/>
      <c r="F439" s="7"/>
      <c r="G439" s="7"/>
      <c r="H439" s="6"/>
      <c r="I439" s="7"/>
      <c r="J439" s="7"/>
      <c r="K439" s="7"/>
      <c r="L439" s="7"/>
      <c r="M439" s="52"/>
      <c r="N439" s="7"/>
      <c r="O439" s="7"/>
      <c r="P439" s="47"/>
      <c r="Q439" s="47"/>
      <c r="R439" s="7"/>
      <c r="S439" s="51"/>
      <c r="T439" s="51"/>
      <c r="U439" s="7"/>
      <c r="V439" s="57"/>
      <c r="W439" s="57"/>
      <c r="X439" s="57"/>
    </row>
    <row r="440" spans="1:24" ht="12.5" x14ac:dyDescent="0.25">
      <c r="A440" s="34"/>
      <c r="B440" s="7"/>
      <c r="C440" s="19"/>
      <c r="D440" s="7"/>
      <c r="E440" s="7"/>
      <c r="F440" s="7"/>
      <c r="G440" s="7"/>
      <c r="H440" s="6"/>
      <c r="I440" s="7"/>
      <c r="J440" s="7"/>
      <c r="K440" s="7"/>
      <c r="L440" s="7"/>
      <c r="M440" s="52"/>
      <c r="N440" s="7"/>
      <c r="O440" s="7"/>
      <c r="P440" s="47"/>
      <c r="Q440" s="47"/>
      <c r="R440" s="7"/>
      <c r="S440" s="51"/>
      <c r="T440" s="51"/>
      <c r="U440" s="7"/>
      <c r="V440" s="57"/>
      <c r="W440" s="57"/>
      <c r="X440" s="57"/>
    </row>
    <row r="441" spans="1:24" ht="12.5" x14ac:dyDescent="0.25">
      <c r="A441" s="34"/>
      <c r="B441" s="7"/>
      <c r="C441" s="19"/>
      <c r="D441" s="7"/>
      <c r="E441" s="7"/>
      <c r="F441" s="7"/>
      <c r="G441" s="7"/>
      <c r="H441" s="6"/>
      <c r="I441" s="7"/>
      <c r="J441" s="7"/>
      <c r="K441" s="7"/>
      <c r="L441" s="7"/>
      <c r="M441" s="52"/>
      <c r="N441" s="7"/>
      <c r="O441" s="7"/>
      <c r="P441" s="47"/>
      <c r="Q441" s="47"/>
      <c r="R441" s="7"/>
      <c r="S441" s="51"/>
      <c r="T441" s="51"/>
      <c r="U441" s="7"/>
      <c r="V441" s="57"/>
      <c r="W441" s="57"/>
      <c r="X441" s="57"/>
    </row>
    <row r="442" spans="1:24" ht="12.5" x14ac:dyDescent="0.25">
      <c r="A442" s="34"/>
      <c r="B442" s="7"/>
      <c r="C442" s="19"/>
      <c r="D442" s="7"/>
      <c r="E442" s="7"/>
      <c r="F442" s="7"/>
      <c r="G442" s="7"/>
      <c r="H442" s="6"/>
      <c r="I442" s="7"/>
      <c r="J442" s="7"/>
      <c r="K442" s="7"/>
      <c r="L442" s="7"/>
      <c r="M442" s="52"/>
      <c r="N442" s="7"/>
      <c r="O442" s="7"/>
      <c r="P442" s="47"/>
      <c r="Q442" s="47"/>
      <c r="R442" s="7"/>
      <c r="S442" s="51"/>
      <c r="T442" s="51"/>
      <c r="U442" s="7"/>
      <c r="V442" s="57"/>
      <c r="W442" s="57"/>
      <c r="X442" s="57"/>
    </row>
    <row r="443" spans="1:24" ht="12.5" x14ac:dyDescent="0.25">
      <c r="A443" s="34"/>
      <c r="B443" s="7"/>
      <c r="C443" s="19"/>
      <c r="D443" s="7"/>
      <c r="E443" s="7"/>
      <c r="F443" s="7"/>
      <c r="G443" s="7"/>
      <c r="H443" s="6"/>
      <c r="I443" s="7"/>
      <c r="J443" s="7"/>
      <c r="K443" s="7"/>
      <c r="L443" s="7"/>
      <c r="M443" s="52"/>
      <c r="N443" s="7"/>
      <c r="O443" s="7"/>
      <c r="P443" s="47"/>
      <c r="Q443" s="47"/>
      <c r="R443" s="7"/>
      <c r="S443" s="51"/>
      <c r="T443" s="51"/>
      <c r="U443" s="7"/>
      <c r="V443" s="57"/>
      <c r="W443" s="57"/>
      <c r="X443" s="57"/>
    </row>
    <row r="444" spans="1:24" ht="12.5" x14ac:dyDescent="0.25">
      <c r="A444" s="34"/>
      <c r="B444" s="7"/>
      <c r="C444" s="19"/>
      <c r="D444" s="7"/>
      <c r="E444" s="7"/>
      <c r="F444" s="7"/>
      <c r="G444" s="7"/>
      <c r="H444" s="6"/>
      <c r="I444" s="7"/>
      <c r="J444" s="7"/>
      <c r="K444" s="7"/>
      <c r="L444" s="7"/>
      <c r="M444" s="52"/>
      <c r="N444" s="7"/>
      <c r="O444" s="7"/>
      <c r="P444" s="47"/>
      <c r="Q444" s="47"/>
      <c r="R444" s="7"/>
      <c r="S444" s="51"/>
      <c r="T444" s="51"/>
      <c r="U444" s="7"/>
      <c r="V444" s="57"/>
      <c r="W444" s="57"/>
      <c r="X444" s="57"/>
    </row>
    <row r="445" spans="1:24" ht="12.5" x14ac:dyDescent="0.25">
      <c r="A445" s="34"/>
      <c r="B445" s="7"/>
      <c r="C445" s="19"/>
      <c r="D445" s="7"/>
      <c r="E445" s="7"/>
      <c r="F445" s="7"/>
      <c r="G445" s="7"/>
      <c r="H445" s="6"/>
      <c r="I445" s="7"/>
      <c r="J445" s="7"/>
      <c r="K445" s="7"/>
      <c r="L445" s="7"/>
      <c r="M445" s="52"/>
      <c r="N445" s="7"/>
      <c r="O445" s="7"/>
      <c r="P445" s="47"/>
      <c r="Q445" s="47"/>
      <c r="R445" s="7"/>
      <c r="S445" s="51"/>
      <c r="T445" s="51"/>
      <c r="U445" s="7"/>
      <c r="V445" s="57"/>
      <c r="W445" s="57"/>
      <c r="X445" s="57"/>
    </row>
    <row r="446" spans="1:24" ht="12.5" x14ac:dyDescent="0.25">
      <c r="A446" s="34"/>
      <c r="B446" s="7"/>
      <c r="C446" s="19"/>
      <c r="D446" s="7"/>
      <c r="E446" s="7"/>
      <c r="F446" s="7"/>
      <c r="G446" s="7"/>
      <c r="H446" s="6"/>
      <c r="I446" s="7"/>
      <c r="J446" s="7"/>
      <c r="K446" s="7"/>
      <c r="L446" s="7"/>
      <c r="M446" s="52"/>
      <c r="N446" s="7"/>
      <c r="O446" s="7"/>
      <c r="P446" s="47"/>
      <c r="Q446" s="47"/>
      <c r="R446" s="7"/>
      <c r="S446" s="51"/>
      <c r="T446" s="51"/>
      <c r="U446" s="7"/>
      <c r="V446" s="57"/>
      <c r="W446" s="57"/>
      <c r="X446" s="57"/>
    </row>
    <row r="447" spans="1:24" ht="12.5" x14ac:dyDescent="0.25">
      <c r="A447" s="34"/>
      <c r="B447" s="7"/>
      <c r="C447" s="19"/>
      <c r="D447" s="7"/>
      <c r="E447" s="7"/>
      <c r="F447" s="7"/>
      <c r="G447" s="7"/>
      <c r="H447" s="6"/>
      <c r="I447" s="7"/>
      <c r="J447" s="7"/>
      <c r="K447" s="7"/>
      <c r="L447" s="7"/>
      <c r="M447" s="52"/>
      <c r="N447" s="7"/>
      <c r="O447" s="7"/>
      <c r="P447" s="47"/>
      <c r="Q447" s="47"/>
      <c r="R447" s="7"/>
      <c r="S447" s="51"/>
      <c r="T447" s="51"/>
      <c r="U447" s="7"/>
      <c r="V447" s="57"/>
      <c r="W447" s="57"/>
      <c r="X447" s="57"/>
    </row>
    <row r="448" spans="1:24" ht="12.5" x14ac:dyDescent="0.25">
      <c r="A448" s="34"/>
      <c r="B448" s="7"/>
      <c r="C448" s="19"/>
      <c r="D448" s="7"/>
      <c r="E448" s="7"/>
      <c r="F448" s="7"/>
      <c r="G448" s="7"/>
      <c r="H448" s="6"/>
      <c r="I448" s="7"/>
      <c r="J448" s="7"/>
      <c r="K448" s="7"/>
      <c r="L448" s="7"/>
      <c r="M448" s="52"/>
      <c r="N448" s="7"/>
      <c r="O448" s="7"/>
      <c r="P448" s="47"/>
      <c r="Q448" s="47"/>
      <c r="R448" s="7"/>
      <c r="S448" s="51"/>
      <c r="T448" s="51"/>
      <c r="U448" s="7"/>
      <c r="V448" s="57"/>
      <c r="W448" s="57"/>
      <c r="X448" s="57"/>
    </row>
    <row r="449" spans="1:24" ht="12.5" x14ac:dyDescent="0.25">
      <c r="A449" s="34"/>
      <c r="B449" s="7"/>
      <c r="C449" s="19"/>
      <c r="D449" s="7"/>
      <c r="E449" s="7"/>
      <c r="F449" s="7"/>
      <c r="G449" s="7"/>
      <c r="H449" s="6"/>
      <c r="I449" s="7"/>
      <c r="J449" s="7"/>
      <c r="K449" s="7"/>
      <c r="L449" s="7"/>
      <c r="M449" s="52"/>
      <c r="N449" s="7"/>
      <c r="O449" s="7"/>
      <c r="P449" s="47"/>
      <c r="Q449" s="47"/>
      <c r="R449" s="7"/>
      <c r="S449" s="51"/>
      <c r="T449" s="51"/>
      <c r="U449" s="7"/>
      <c r="V449" s="57"/>
      <c r="W449" s="57"/>
      <c r="X449" s="57"/>
    </row>
    <row r="450" spans="1:24" ht="12.5" x14ac:dyDescent="0.25">
      <c r="A450" s="34"/>
      <c r="B450" s="7"/>
      <c r="C450" s="19"/>
      <c r="D450" s="7"/>
      <c r="E450" s="7"/>
      <c r="F450" s="7"/>
      <c r="G450" s="7"/>
      <c r="H450" s="6"/>
      <c r="I450" s="7"/>
      <c r="J450" s="7"/>
      <c r="K450" s="7"/>
      <c r="L450" s="7"/>
      <c r="M450" s="52"/>
      <c r="N450" s="7"/>
      <c r="O450" s="7"/>
      <c r="P450" s="47"/>
      <c r="Q450" s="47"/>
      <c r="R450" s="7"/>
      <c r="S450" s="51"/>
      <c r="T450" s="51"/>
      <c r="U450" s="7"/>
      <c r="V450" s="57"/>
      <c r="W450" s="57"/>
      <c r="X450" s="57"/>
    </row>
    <row r="451" spans="1:24" ht="12.5" x14ac:dyDescent="0.25">
      <c r="A451" s="34"/>
      <c r="B451" s="7"/>
      <c r="C451" s="19"/>
      <c r="D451" s="7"/>
      <c r="E451" s="7"/>
      <c r="F451" s="7"/>
      <c r="G451" s="7"/>
      <c r="H451" s="6"/>
      <c r="I451" s="7"/>
      <c r="J451" s="7"/>
      <c r="K451" s="7"/>
      <c r="L451" s="7"/>
      <c r="M451" s="52"/>
      <c r="N451" s="7"/>
      <c r="O451" s="7"/>
      <c r="P451" s="47"/>
      <c r="Q451" s="47"/>
      <c r="R451" s="7"/>
      <c r="S451" s="51"/>
      <c r="T451" s="51"/>
      <c r="U451" s="7"/>
      <c r="V451" s="57"/>
      <c r="W451" s="57"/>
      <c r="X451" s="57"/>
    </row>
    <row r="452" spans="1:24" ht="12.5" x14ac:dyDescent="0.25">
      <c r="A452" s="34"/>
      <c r="B452" s="7"/>
      <c r="C452" s="19"/>
      <c r="D452" s="7"/>
      <c r="E452" s="7"/>
      <c r="F452" s="7"/>
      <c r="G452" s="7"/>
      <c r="H452" s="6"/>
      <c r="I452" s="7"/>
      <c r="J452" s="7"/>
      <c r="K452" s="7"/>
      <c r="L452" s="7"/>
      <c r="M452" s="52"/>
      <c r="N452" s="7"/>
      <c r="O452" s="7"/>
      <c r="P452" s="47"/>
      <c r="Q452" s="47"/>
      <c r="R452" s="7"/>
      <c r="S452" s="51"/>
      <c r="T452" s="51"/>
      <c r="U452" s="7"/>
      <c r="V452" s="57"/>
      <c r="W452" s="57"/>
      <c r="X452" s="57"/>
    </row>
    <row r="453" spans="1:24" ht="12.5" x14ac:dyDescent="0.25">
      <c r="A453" s="34"/>
      <c r="B453" s="7"/>
      <c r="C453" s="19"/>
      <c r="D453" s="7"/>
      <c r="E453" s="7"/>
      <c r="F453" s="7"/>
      <c r="G453" s="7"/>
      <c r="H453" s="6"/>
      <c r="I453" s="7"/>
      <c r="J453" s="7"/>
      <c r="K453" s="7"/>
      <c r="L453" s="7"/>
      <c r="M453" s="52"/>
      <c r="N453" s="7"/>
      <c r="O453" s="7"/>
      <c r="P453" s="47"/>
      <c r="Q453" s="47"/>
      <c r="R453" s="7"/>
      <c r="S453" s="51"/>
      <c r="T453" s="51"/>
      <c r="U453" s="7"/>
      <c r="V453" s="57"/>
      <c r="W453" s="57"/>
      <c r="X453" s="57"/>
    </row>
    <row r="454" spans="1:24" ht="12.5" x14ac:dyDescent="0.25">
      <c r="A454" s="34"/>
      <c r="B454" s="7"/>
      <c r="C454" s="19"/>
      <c r="D454" s="7"/>
      <c r="E454" s="7"/>
      <c r="F454" s="7"/>
      <c r="G454" s="7"/>
      <c r="H454" s="6"/>
      <c r="I454" s="7"/>
      <c r="J454" s="7"/>
      <c r="K454" s="7"/>
      <c r="L454" s="7"/>
      <c r="M454" s="52"/>
      <c r="N454" s="7"/>
      <c r="O454" s="7"/>
      <c r="P454" s="47"/>
      <c r="Q454" s="47"/>
      <c r="R454" s="7"/>
      <c r="S454" s="51"/>
      <c r="T454" s="51"/>
      <c r="U454" s="7"/>
      <c r="V454" s="57"/>
      <c r="W454" s="57"/>
      <c r="X454" s="57"/>
    </row>
    <row r="455" spans="1:24" ht="12.5" x14ac:dyDescent="0.25">
      <c r="A455" s="34"/>
      <c r="B455" s="7"/>
      <c r="C455" s="19"/>
      <c r="D455" s="7"/>
      <c r="E455" s="7"/>
      <c r="F455" s="7"/>
      <c r="G455" s="7"/>
      <c r="H455" s="6"/>
      <c r="I455" s="7"/>
      <c r="J455" s="7"/>
      <c r="K455" s="7"/>
      <c r="L455" s="7"/>
      <c r="M455" s="52"/>
      <c r="N455" s="7"/>
      <c r="O455" s="7"/>
      <c r="P455" s="47"/>
      <c r="Q455" s="47"/>
      <c r="R455" s="7"/>
      <c r="S455" s="51"/>
      <c r="T455" s="51"/>
      <c r="U455" s="7"/>
      <c r="V455" s="57"/>
      <c r="W455" s="57"/>
      <c r="X455" s="57"/>
    </row>
    <row r="456" spans="1:24" ht="12.5" x14ac:dyDescent="0.25">
      <c r="A456" s="34"/>
      <c r="B456" s="7"/>
      <c r="C456" s="19"/>
      <c r="D456" s="7"/>
      <c r="E456" s="7"/>
      <c r="F456" s="7"/>
      <c r="G456" s="7"/>
      <c r="H456" s="6"/>
      <c r="I456" s="7"/>
      <c r="J456" s="7"/>
      <c r="K456" s="7"/>
      <c r="L456" s="7"/>
      <c r="M456" s="52"/>
      <c r="N456" s="7"/>
      <c r="O456" s="7"/>
      <c r="P456" s="47"/>
      <c r="Q456" s="47"/>
      <c r="R456" s="7"/>
      <c r="S456" s="51"/>
      <c r="T456" s="51"/>
      <c r="U456" s="7"/>
      <c r="V456" s="57"/>
      <c r="W456" s="57"/>
      <c r="X456" s="57"/>
    </row>
    <row r="457" spans="1:24" ht="12.5" x14ac:dyDescent="0.25">
      <c r="A457" s="34"/>
      <c r="B457" s="7"/>
      <c r="C457" s="19"/>
      <c r="D457" s="7"/>
      <c r="E457" s="7"/>
      <c r="F457" s="7"/>
      <c r="G457" s="7"/>
      <c r="H457" s="6"/>
      <c r="I457" s="7"/>
      <c r="J457" s="7"/>
      <c r="K457" s="7"/>
      <c r="L457" s="7"/>
      <c r="M457" s="52"/>
      <c r="N457" s="7"/>
      <c r="O457" s="7"/>
      <c r="P457" s="47"/>
      <c r="Q457" s="47"/>
      <c r="R457" s="7"/>
      <c r="S457" s="51"/>
      <c r="T457" s="51"/>
      <c r="U457" s="7"/>
      <c r="V457" s="57"/>
      <c r="W457" s="57"/>
      <c r="X457" s="57"/>
    </row>
    <row r="458" spans="1:24" ht="12.5" x14ac:dyDescent="0.25">
      <c r="A458" s="34"/>
      <c r="B458" s="7"/>
      <c r="C458" s="19"/>
      <c r="D458" s="7"/>
      <c r="E458" s="7"/>
      <c r="F458" s="7"/>
      <c r="G458" s="7"/>
      <c r="H458" s="6"/>
      <c r="I458" s="7"/>
      <c r="J458" s="7"/>
      <c r="K458" s="7"/>
      <c r="L458" s="7"/>
      <c r="M458" s="52"/>
      <c r="N458" s="7"/>
      <c r="O458" s="7"/>
      <c r="P458" s="47"/>
      <c r="Q458" s="47"/>
      <c r="R458" s="7"/>
      <c r="S458" s="51"/>
      <c r="T458" s="51"/>
      <c r="U458" s="7"/>
      <c r="V458" s="57"/>
      <c r="W458" s="57"/>
      <c r="X458" s="57"/>
    </row>
    <row r="459" spans="1:24" ht="12.5" x14ac:dyDescent="0.25">
      <c r="A459" s="34"/>
      <c r="B459" s="7"/>
      <c r="C459" s="19"/>
      <c r="D459" s="7"/>
      <c r="E459" s="7"/>
      <c r="F459" s="7"/>
      <c r="G459" s="7"/>
      <c r="H459" s="6"/>
      <c r="I459" s="7"/>
      <c r="J459" s="7"/>
      <c r="K459" s="7"/>
      <c r="L459" s="7"/>
      <c r="M459" s="52"/>
      <c r="N459" s="7"/>
      <c r="O459" s="7"/>
      <c r="P459" s="47"/>
      <c r="Q459" s="47"/>
      <c r="R459" s="7"/>
      <c r="S459" s="51"/>
      <c r="T459" s="51"/>
      <c r="U459" s="7"/>
      <c r="V459" s="57"/>
      <c r="W459" s="57"/>
      <c r="X459" s="57"/>
    </row>
    <row r="460" spans="1:24" ht="12.5" x14ac:dyDescent="0.25">
      <c r="A460" s="34"/>
      <c r="B460" s="7"/>
      <c r="C460" s="19"/>
      <c r="D460" s="7"/>
      <c r="E460" s="7"/>
      <c r="F460" s="7"/>
      <c r="G460" s="7"/>
      <c r="H460" s="6"/>
      <c r="I460" s="7"/>
      <c r="J460" s="7"/>
      <c r="K460" s="7"/>
      <c r="L460" s="7"/>
      <c r="M460" s="52"/>
      <c r="N460" s="7"/>
      <c r="O460" s="7"/>
      <c r="P460" s="47"/>
      <c r="Q460" s="47"/>
      <c r="R460" s="7"/>
      <c r="S460" s="51"/>
      <c r="T460" s="51"/>
      <c r="U460" s="7"/>
      <c r="V460" s="57"/>
      <c r="W460" s="57"/>
      <c r="X460" s="57"/>
    </row>
    <row r="461" spans="1:24" ht="12.5" x14ac:dyDescent="0.25">
      <c r="A461" s="34"/>
      <c r="B461" s="7"/>
      <c r="C461" s="19"/>
      <c r="D461" s="7"/>
      <c r="E461" s="7"/>
      <c r="F461" s="7"/>
      <c r="G461" s="7"/>
      <c r="H461" s="6"/>
      <c r="I461" s="7"/>
      <c r="J461" s="7"/>
      <c r="K461" s="7"/>
      <c r="L461" s="7"/>
      <c r="M461" s="52"/>
      <c r="N461" s="7"/>
      <c r="O461" s="7"/>
      <c r="P461" s="47"/>
      <c r="Q461" s="47"/>
      <c r="R461" s="7"/>
      <c r="S461" s="51"/>
      <c r="T461" s="51"/>
      <c r="U461" s="7"/>
      <c r="V461" s="57"/>
      <c r="W461" s="57"/>
      <c r="X461" s="57"/>
    </row>
    <row r="462" spans="1:24" ht="12.5" x14ac:dyDescent="0.25">
      <c r="A462" s="34"/>
      <c r="B462" s="7"/>
      <c r="C462" s="19"/>
      <c r="D462" s="7"/>
      <c r="E462" s="7"/>
      <c r="F462" s="7"/>
      <c r="G462" s="7"/>
      <c r="H462" s="6"/>
      <c r="I462" s="7"/>
      <c r="J462" s="7"/>
      <c r="K462" s="7"/>
      <c r="L462" s="7"/>
      <c r="M462" s="52"/>
      <c r="N462" s="7"/>
      <c r="O462" s="7"/>
      <c r="P462" s="47"/>
      <c r="Q462" s="47"/>
      <c r="R462" s="7"/>
      <c r="S462" s="51"/>
      <c r="T462" s="51"/>
      <c r="U462" s="7"/>
      <c r="V462" s="57"/>
      <c r="W462" s="57"/>
      <c r="X462" s="57"/>
    </row>
    <row r="463" spans="1:24" ht="12.5" x14ac:dyDescent="0.25">
      <c r="A463" s="34"/>
      <c r="B463" s="7"/>
      <c r="C463" s="19"/>
      <c r="D463" s="7"/>
      <c r="E463" s="7"/>
      <c r="F463" s="7"/>
      <c r="G463" s="7"/>
      <c r="H463" s="6"/>
      <c r="I463" s="7"/>
      <c r="J463" s="7"/>
      <c r="K463" s="7"/>
      <c r="L463" s="7"/>
      <c r="M463" s="52"/>
      <c r="N463" s="7"/>
      <c r="O463" s="7"/>
      <c r="P463" s="47"/>
      <c r="Q463" s="47"/>
      <c r="R463" s="7"/>
      <c r="S463" s="51"/>
      <c r="T463" s="51"/>
      <c r="U463" s="7"/>
      <c r="V463" s="57"/>
      <c r="W463" s="57"/>
      <c r="X463" s="57"/>
    </row>
    <row r="464" spans="1:24" ht="12.5" x14ac:dyDescent="0.25">
      <c r="A464" s="34"/>
      <c r="B464" s="7"/>
      <c r="C464" s="19"/>
      <c r="D464" s="7"/>
      <c r="E464" s="7"/>
      <c r="F464" s="7"/>
      <c r="G464" s="7"/>
      <c r="H464" s="6"/>
      <c r="I464" s="7"/>
      <c r="J464" s="7"/>
      <c r="K464" s="7"/>
      <c r="L464" s="7"/>
      <c r="M464" s="52"/>
      <c r="N464" s="7"/>
      <c r="O464" s="7"/>
      <c r="P464" s="47"/>
      <c r="Q464" s="47"/>
      <c r="R464" s="7"/>
      <c r="S464" s="51"/>
      <c r="T464" s="51"/>
      <c r="U464" s="7"/>
      <c r="V464" s="57"/>
      <c r="W464" s="57"/>
      <c r="X464" s="57"/>
    </row>
    <row r="465" spans="1:24" ht="12.5" x14ac:dyDescent="0.25">
      <c r="A465" s="34"/>
      <c r="B465" s="7"/>
      <c r="C465" s="19"/>
      <c r="D465" s="7"/>
      <c r="E465" s="7"/>
      <c r="F465" s="7"/>
      <c r="G465" s="7"/>
      <c r="H465" s="6"/>
      <c r="I465" s="7"/>
      <c r="J465" s="7"/>
      <c r="K465" s="7"/>
      <c r="L465" s="7"/>
      <c r="M465" s="52"/>
      <c r="N465" s="7"/>
      <c r="O465" s="7"/>
      <c r="P465" s="47"/>
      <c r="Q465" s="47"/>
      <c r="R465" s="7"/>
      <c r="S465" s="51"/>
      <c r="T465" s="51"/>
      <c r="U465" s="7"/>
      <c r="V465" s="57"/>
      <c r="W465" s="57"/>
      <c r="X465" s="57"/>
    </row>
    <row r="466" spans="1:24" ht="12.5" x14ac:dyDescent="0.25">
      <c r="A466" s="34"/>
      <c r="B466" s="7"/>
      <c r="C466" s="19"/>
      <c r="D466" s="7"/>
      <c r="E466" s="7"/>
      <c r="F466" s="7"/>
      <c r="G466" s="7"/>
      <c r="H466" s="6"/>
      <c r="I466" s="7"/>
      <c r="J466" s="7"/>
      <c r="K466" s="7"/>
      <c r="L466" s="7"/>
      <c r="M466" s="52"/>
      <c r="N466" s="7"/>
      <c r="O466" s="7"/>
      <c r="P466" s="47"/>
      <c r="Q466" s="47"/>
      <c r="R466" s="7"/>
      <c r="S466" s="51"/>
      <c r="T466" s="51"/>
      <c r="U466" s="7"/>
      <c r="V466" s="57"/>
      <c r="W466" s="57"/>
      <c r="X466" s="57"/>
    </row>
    <row r="467" spans="1:24" ht="12.5" x14ac:dyDescent="0.25">
      <c r="A467" s="34"/>
      <c r="B467" s="7"/>
      <c r="C467" s="19"/>
      <c r="D467" s="7"/>
      <c r="E467" s="7"/>
      <c r="F467" s="7"/>
      <c r="G467" s="7"/>
      <c r="H467" s="6"/>
      <c r="I467" s="7"/>
      <c r="J467" s="7"/>
      <c r="K467" s="7"/>
      <c r="L467" s="7"/>
      <c r="M467" s="52"/>
      <c r="N467" s="7"/>
      <c r="O467" s="7"/>
      <c r="P467" s="47"/>
      <c r="Q467" s="47"/>
      <c r="R467" s="7"/>
      <c r="S467" s="51"/>
      <c r="T467" s="51"/>
      <c r="U467" s="7"/>
      <c r="V467" s="57"/>
      <c r="W467" s="57"/>
      <c r="X467" s="57"/>
    </row>
    <row r="468" spans="1:24" ht="12.5" x14ac:dyDescent="0.25">
      <c r="A468" s="34"/>
      <c r="B468" s="7"/>
      <c r="C468" s="19"/>
      <c r="D468" s="7"/>
      <c r="E468" s="7"/>
      <c r="F468" s="7"/>
      <c r="G468" s="7"/>
      <c r="H468" s="6"/>
      <c r="I468" s="7"/>
      <c r="J468" s="7"/>
      <c r="K468" s="7"/>
      <c r="L468" s="7"/>
      <c r="M468" s="52"/>
      <c r="N468" s="7"/>
      <c r="O468" s="7"/>
      <c r="P468" s="47"/>
      <c r="Q468" s="47"/>
      <c r="R468" s="7"/>
      <c r="S468" s="51"/>
      <c r="T468" s="51"/>
      <c r="U468" s="7"/>
      <c r="V468" s="57"/>
      <c r="W468" s="57"/>
      <c r="X468" s="57"/>
    </row>
    <row r="469" spans="1:24" ht="12.5" x14ac:dyDescent="0.25">
      <c r="A469" s="34"/>
      <c r="B469" s="7"/>
      <c r="C469" s="19"/>
      <c r="D469" s="7"/>
      <c r="E469" s="7"/>
      <c r="F469" s="7"/>
      <c r="G469" s="7"/>
      <c r="H469" s="6"/>
      <c r="I469" s="7"/>
      <c r="J469" s="7"/>
      <c r="K469" s="7"/>
      <c r="L469" s="7"/>
      <c r="M469" s="52"/>
      <c r="N469" s="7"/>
      <c r="O469" s="7"/>
      <c r="P469" s="47"/>
      <c r="Q469" s="47"/>
      <c r="R469" s="7"/>
      <c r="S469" s="51"/>
      <c r="T469" s="51"/>
      <c r="U469" s="7"/>
      <c r="V469" s="57"/>
      <c r="W469" s="57"/>
      <c r="X469" s="57"/>
    </row>
    <row r="470" spans="1:24" ht="12.5" x14ac:dyDescent="0.25">
      <c r="A470" s="34"/>
      <c r="B470" s="7"/>
      <c r="C470" s="19"/>
      <c r="D470" s="7"/>
      <c r="E470" s="7"/>
      <c r="F470" s="7"/>
      <c r="G470" s="7"/>
      <c r="H470" s="6"/>
      <c r="I470" s="7"/>
      <c r="J470" s="7"/>
      <c r="K470" s="7"/>
      <c r="L470" s="7"/>
      <c r="M470" s="52"/>
      <c r="N470" s="7"/>
      <c r="O470" s="7"/>
      <c r="P470" s="47"/>
      <c r="Q470" s="47"/>
      <c r="R470" s="7"/>
      <c r="S470" s="51"/>
      <c r="T470" s="51"/>
      <c r="U470" s="7"/>
      <c r="V470" s="57"/>
      <c r="W470" s="57"/>
      <c r="X470" s="57"/>
    </row>
    <row r="471" spans="1:24" ht="12.5" x14ac:dyDescent="0.25">
      <c r="A471" s="34"/>
      <c r="B471" s="7"/>
      <c r="C471" s="19"/>
      <c r="D471" s="7"/>
      <c r="E471" s="7"/>
      <c r="F471" s="7"/>
      <c r="G471" s="7"/>
      <c r="H471" s="6"/>
      <c r="I471" s="7"/>
      <c r="J471" s="7"/>
      <c r="K471" s="7"/>
      <c r="L471" s="7"/>
      <c r="M471" s="52"/>
      <c r="N471" s="7"/>
      <c r="O471" s="7"/>
      <c r="P471" s="47"/>
      <c r="Q471" s="47"/>
      <c r="R471" s="7"/>
      <c r="S471" s="51"/>
      <c r="T471" s="51"/>
      <c r="U471" s="7"/>
      <c r="V471" s="57"/>
      <c r="W471" s="57"/>
      <c r="X471" s="57"/>
    </row>
    <row r="472" spans="1:24" ht="12.5" x14ac:dyDescent="0.25">
      <c r="A472" s="34"/>
      <c r="B472" s="7"/>
      <c r="C472" s="19"/>
      <c r="D472" s="7"/>
      <c r="E472" s="7"/>
      <c r="F472" s="7"/>
      <c r="G472" s="7"/>
      <c r="H472" s="6"/>
      <c r="I472" s="7"/>
      <c r="J472" s="7"/>
      <c r="K472" s="7"/>
      <c r="L472" s="7"/>
      <c r="M472" s="52"/>
      <c r="N472" s="7"/>
      <c r="O472" s="7"/>
      <c r="P472" s="47"/>
      <c r="Q472" s="47"/>
      <c r="R472" s="7"/>
      <c r="S472" s="51"/>
      <c r="T472" s="51"/>
      <c r="U472" s="7"/>
      <c r="V472" s="57"/>
      <c r="W472" s="57"/>
      <c r="X472" s="57"/>
    </row>
    <row r="473" spans="1:24" ht="12.5" x14ac:dyDescent="0.25">
      <c r="A473" s="34"/>
      <c r="B473" s="7"/>
      <c r="C473" s="19"/>
      <c r="D473" s="7"/>
      <c r="E473" s="7"/>
      <c r="F473" s="7"/>
      <c r="G473" s="7"/>
      <c r="H473" s="6"/>
      <c r="I473" s="7"/>
      <c r="J473" s="7"/>
      <c r="K473" s="7"/>
      <c r="L473" s="7"/>
      <c r="M473" s="52"/>
      <c r="N473" s="7"/>
      <c r="O473" s="7"/>
      <c r="P473" s="47"/>
      <c r="Q473" s="47"/>
      <c r="R473" s="7"/>
      <c r="S473" s="51"/>
      <c r="T473" s="51"/>
      <c r="U473" s="7"/>
      <c r="V473" s="57"/>
      <c r="W473" s="57"/>
      <c r="X473" s="57"/>
    </row>
    <row r="474" spans="1:24" ht="12.5" x14ac:dyDescent="0.25">
      <c r="A474" s="34"/>
      <c r="B474" s="7"/>
      <c r="C474" s="19"/>
      <c r="D474" s="7"/>
      <c r="E474" s="7"/>
      <c r="F474" s="7"/>
      <c r="G474" s="7"/>
      <c r="H474" s="6"/>
      <c r="I474" s="7"/>
      <c r="J474" s="7"/>
      <c r="K474" s="7"/>
      <c r="L474" s="7"/>
      <c r="M474" s="52"/>
      <c r="N474" s="7"/>
      <c r="O474" s="7"/>
      <c r="P474" s="47"/>
      <c r="Q474" s="47"/>
      <c r="R474" s="7"/>
      <c r="S474" s="51"/>
      <c r="T474" s="51"/>
      <c r="U474" s="7"/>
      <c r="V474" s="57"/>
      <c r="W474" s="57"/>
      <c r="X474" s="57"/>
    </row>
    <row r="475" spans="1:24" ht="12.5" x14ac:dyDescent="0.25">
      <c r="A475" s="34"/>
      <c r="B475" s="7"/>
      <c r="C475" s="19"/>
      <c r="D475" s="7"/>
      <c r="E475" s="7"/>
      <c r="F475" s="7"/>
      <c r="G475" s="7"/>
      <c r="H475" s="6"/>
      <c r="I475" s="7"/>
      <c r="J475" s="7"/>
      <c r="K475" s="7"/>
      <c r="L475" s="7"/>
      <c r="M475" s="52"/>
      <c r="N475" s="7"/>
      <c r="O475" s="7"/>
      <c r="P475" s="47"/>
      <c r="Q475" s="47"/>
      <c r="R475" s="7"/>
      <c r="S475" s="51"/>
      <c r="T475" s="51"/>
      <c r="U475" s="7"/>
      <c r="V475" s="57"/>
      <c r="W475" s="57"/>
      <c r="X475" s="57"/>
    </row>
    <row r="476" spans="1:24" ht="12.5" x14ac:dyDescent="0.25">
      <c r="A476" s="34"/>
      <c r="B476" s="7"/>
      <c r="C476" s="19"/>
      <c r="D476" s="7"/>
      <c r="E476" s="7"/>
      <c r="F476" s="7"/>
      <c r="G476" s="7"/>
      <c r="H476" s="6"/>
      <c r="I476" s="7"/>
      <c r="J476" s="7"/>
      <c r="K476" s="7"/>
      <c r="L476" s="7"/>
      <c r="M476" s="52"/>
      <c r="N476" s="7"/>
      <c r="O476" s="7"/>
      <c r="P476" s="47"/>
      <c r="Q476" s="47"/>
      <c r="R476" s="7"/>
      <c r="S476" s="51"/>
      <c r="T476" s="51"/>
      <c r="U476" s="7"/>
      <c r="V476" s="57"/>
      <c r="W476" s="57"/>
      <c r="X476" s="57"/>
    </row>
    <row r="477" spans="1:24" ht="12.5" x14ac:dyDescent="0.25">
      <c r="A477" s="34"/>
      <c r="B477" s="7"/>
      <c r="C477" s="19"/>
      <c r="D477" s="7"/>
      <c r="E477" s="7"/>
      <c r="F477" s="7"/>
      <c r="G477" s="7"/>
      <c r="H477" s="6"/>
      <c r="I477" s="7"/>
      <c r="J477" s="7"/>
      <c r="K477" s="7"/>
      <c r="L477" s="7"/>
      <c r="M477" s="52"/>
      <c r="N477" s="7"/>
      <c r="O477" s="7"/>
      <c r="P477" s="47"/>
      <c r="Q477" s="47"/>
      <c r="R477" s="7"/>
      <c r="S477" s="51"/>
      <c r="T477" s="51"/>
      <c r="U477" s="7"/>
      <c r="V477" s="57"/>
      <c r="W477" s="57"/>
      <c r="X477" s="57"/>
    </row>
    <row r="478" spans="1:24" ht="12.5" x14ac:dyDescent="0.25">
      <c r="A478" s="34"/>
      <c r="B478" s="7"/>
      <c r="C478" s="19"/>
      <c r="D478" s="7"/>
      <c r="E478" s="7"/>
      <c r="F478" s="7"/>
      <c r="G478" s="7"/>
      <c r="H478" s="6"/>
      <c r="I478" s="7"/>
      <c r="J478" s="7"/>
      <c r="K478" s="7"/>
      <c r="L478" s="7"/>
      <c r="M478" s="52"/>
      <c r="N478" s="7"/>
      <c r="O478" s="7"/>
      <c r="P478" s="47"/>
      <c r="Q478" s="47"/>
      <c r="R478" s="7"/>
      <c r="S478" s="51"/>
      <c r="T478" s="51"/>
      <c r="U478" s="7"/>
      <c r="V478" s="57"/>
      <c r="W478" s="57"/>
      <c r="X478" s="57"/>
    </row>
    <row r="479" spans="1:24" ht="12.5" x14ac:dyDescent="0.25">
      <c r="A479" s="34"/>
      <c r="B479" s="7"/>
      <c r="C479" s="19"/>
      <c r="D479" s="7"/>
      <c r="E479" s="7"/>
      <c r="F479" s="7"/>
      <c r="G479" s="7"/>
      <c r="H479" s="6"/>
      <c r="I479" s="7"/>
      <c r="J479" s="7"/>
      <c r="K479" s="7"/>
      <c r="L479" s="7"/>
      <c r="M479" s="52"/>
      <c r="N479" s="7"/>
      <c r="O479" s="7"/>
      <c r="P479" s="47"/>
      <c r="Q479" s="47"/>
      <c r="R479" s="7"/>
      <c r="S479" s="51"/>
      <c r="T479" s="51"/>
      <c r="U479" s="7"/>
      <c r="V479" s="57"/>
      <c r="W479" s="57"/>
      <c r="X479" s="57"/>
    </row>
    <row r="480" spans="1:24" ht="12.5" x14ac:dyDescent="0.25">
      <c r="A480" s="34"/>
      <c r="B480" s="7"/>
      <c r="C480" s="19"/>
      <c r="D480" s="7"/>
      <c r="E480" s="7"/>
      <c r="F480" s="7"/>
      <c r="G480" s="7"/>
      <c r="H480" s="6"/>
      <c r="I480" s="7"/>
      <c r="J480" s="7"/>
      <c r="K480" s="7"/>
      <c r="L480" s="7"/>
      <c r="M480" s="52"/>
      <c r="N480" s="7"/>
      <c r="O480" s="7"/>
      <c r="P480" s="47"/>
      <c r="Q480" s="47"/>
      <c r="R480" s="7"/>
      <c r="S480" s="51"/>
      <c r="T480" s="51"/>
      <c r="U480" s="7"/>
      <c r="V480" s="57"/>
      <c r="W480" s="57"/>
      <c r="X480" s="57"/>
    </row>
    <row r="481" spans="1:24" ht="12.5" x14ac:dyDescent="0.25">
      <c r="A481" s="34"/>
      <c r="B481" s="7"/>
      <c r="C481" s="19"/>
      <c r="D481" s="7"/>
      <c r="E481" s="7"/>
      <c r="F481" s="7"/>
      <c r="G481" s="7"/>
      <c r="H481" s="6"/>
      <c r="I481" s="7"/>
      <c r="J481" s="7"/>
      <c r="K481" s="7"/>
      <c r="L481" s="7"/>
      <c r="M481" s="52"/>
      <c r="N481" s="7"/>
      <c r="O481" s="7"/>
      <c r="P481" s="47"/>
      <c r="Q481" s="47"/>
      <c r="R481" s="7"/>
      <c r="S481" s="51"/>
      <c r="T481" s="51"/>
      <c r="U481" s="7"/>
      <c r="V481" s="57"/>
      <c r="W481" s="57"/>
      <c r="X481" s="57"/>
    </row>
    <row r="482" spans="1:24" ht="12.5" x14ac:dyDescent="0.25">
      <c r="A482" s="34"/>
      <c r="B482" s="7"/>
      <c r="C482" s="19"/>
      <c r="D482" s="7"/>
      <c r="E482" s="7"/>
      <c r="F482" s="7"/>
      <c r="G482" s="7"/>
      <c r="H482" s="6"/>
      <c r="I482" s="7"/>
      <c r="J482" s="7"/>
      <c r="K482" s="7"/>
      <c r="L482" s="7"/>
      <c r="M482" s="52"/>
      <c r="N482" s="7"/>
      <c r="O482" s="7"/>
      <c r="P482" s="47"/>
      <c r="Q482" s="47"/>
      <c r="R482" s="7"/>
      <c r="S482" s="51"/>
      <c r="T482" s="51"/>
      <c r="U482" s="7"/>
      <c r="V482" s="57"/>
      <c r="W482" s="57"/>
      <c r="X482" s="57"/>
    </row>
    <row r="483" spans="1:24" ht="12.5" x14ac:dyDescent="0.25">
      <c r="A483" s="34"/>
      <c r="B483" s="7"/>
      <c r="C483" s="19"/>
      <c r="D483" s="7"/>
      <c r="E483" s="7"/>
      <c r="F483" s="7"/>
      <c r="G483" s="7"/>
      <c r="H483" s="6"/>
      <c r="I483" s="7"/>
      <c r="J483" s="7"/>
      <c r="K483" s="7"/>
      <c r="L483" s="7"/>
      <c r="M483" s="52"/>
      <c r="N483" s="7"/>
      <c r="O483" s="7"/>
      <c r="P483" s="47"/>
      <c r="Q483" s="47"/>
      <c r="R483" s="7"/>
      <c r="S483" s="51"/>
      <c r="T483" s="51"/>
      <c r="U483" s="7"/>
      <c r="V483" s="57"/>
      <c r="W483" s="57"/>
      <c r="X483" s="57"/>
    </row>
    <row r="484" spans="1:24" ht="12.5" x14ac:dyDescent="0.25">
      <c r="A484" s="34"/>
      <c r="B484" s="7"/>
      <c r="C484" s="19"/>
      <c r="D484" s="7"/>
      <c r="E484" s="7"/>
      <c r="F484" s="7"/>
      <c r="G484" s="7"/>
      <c r="H484" s="6"/>
      <c r="I484" s="7"/>
      <c r="J484" s="7"/>
      <c r="K484" s="7"/>
      <c r="L484" s="7"/>
      <c r="M484" s="52"/>
      <c r="N484" s="7"/>
      <c r="O484" s="7"/>
      <c r="P484" s="47"/>
      <c r="Q484" s="47"/>
      <c r="R484" s="7"/>
      <c r="S484" s="51"/>
      <c r="T484" s="51"/>
      <c r="U484" s="7"/>
      <c r="V484" s="57"/>
      <c r="W484" s="57"/>
      <c r="X484" s="57"/>
    </row>
    <row r="485" spans="1:24" ht="12.5" x14ac:dyDescent="0.25">
      <c r="A485" s="34"/>
      <c r="B485" s="7"/>
      <c r="C485" s="19"/>
      <c r="D485" s="7"/>
      <c r="E485" s="7"/>
      <c r="F485" s="7"/>
      <c r="G485" s="7"/>
      <c r="H485" s="6"/>
      <c r="I485" s="7"/>
      <c r="J485" s="7"/>
      <c r="K485" s="7"/>
      <c r="L485" s="7"/>
      <c r="M485" s="52"/>
      <c r="N485" s="7"/>
      <c r="O485" s="7"/>
      <c r="P485" s="47"/>
      <c r="Q485" s="47"/>
      <c r="R485" s="7"/>
      <c r="S485" s="51"/>
      <c r="T485" s="51"/>
      <c r="U485" s="7"/>
      <c r="V485" s="57"/>
      <c r="W485" s="57"/>
      <c r="X485" s="57"/>
    </row>
    <row r="486" spans="1:24" ht="12.5" x14ac:dyDescent="0.25">
      <c r="A486" s="34"/>
      <c r="B486" s="7"/>
      <c r="C486" s="19"/>
      <c r="D486" s="7"/>
      <c r="E486" s="7"/>
      <c r="F486" s="7"/>
      <c r="G486" s="7"/>
      <c r="H486" s="6"/>
      <c r="I486" s="7"/>
      <c r="J486" s="7"/>
      <c r="K486" s="7"/>
      <c r="L486" s="7"/>
      <c r="M486" s="52"/>
      <c r="N486" s="7"/>
      <c r="O486" s="7"/>
      <c r="P486" s="47"/>
      <c r="Q486" s="47"/>
      <c r="R486" s="7"/>
      <c r="S486" s="51"/>
      <c r="T486" s="51"/>
      <c r="U486" s="7"/>
      <c r="V486" s="57"/>
      <c r="W486" s="57"/>
      <c r="X486" s="57"/>
    </row>
    <row r="487" spans="1:24" ht="12.5" x14ac:dyDescent="0.25">
      <c r="A487" s="34"/>
      <c r="B487" s="7"/>
      <c r="C487" s="19"/>
      <c r="D487" s="7"/>
      <c r="E487" s="7"/>
      <c r="F487" s="7"/>
      <c r="G487" s="7"/>
      <c r="H487" s="6"/>
      <c r="I487" s="7"/>
      <c r="J487" s="7"/>
      <c r="K487" s="7"/>
      <c r="L487" s="7"/>
      <c r="M487" s="52"/>
      <c r="N487" s="7"/>
      <c r="O487" s="7"/>
      <c r="P487" s="47"/>
      <c r="Q487" s="47"/>
      <c r="R487" s="7"/>
      <c r="S487" s="51"/>
      <c r="T487" s="51"/>
      <c r="U487" s="7"/>
      <c r="V487" s="57"/>
      <c r="W487" s="57"/>
      <c r="X487" s="57"/>
    </row>
    <row r="488" spans="1:24" ht="12.5" x14ac:dyDescent="0.25">
      <c r="A488" s="34"/>
      <c r="B488" s="7"/>
      <c r="C488" s="19"/>
      <c r="D488" s="7"/>
      <c r="E488" s="7"/>
      <c r="F488" s="7"/>
      <c r="G488" s="7"/>
      <c r="H488" s="6"/>
      <c r="I488" s="7"/>
      <c r="J488" s="7"/>
      <c r="K488" s="7"/>
      <c r="L488" s="7"/>
      <c r="M488" s="52"/>
      <c r="N488" s="7"/>
      <c r="O488" s="7"/>
      <c r="P488" s="47"/>
      <c r="Q488" s="47"/>
      <c r="R488" s="7"/>
      <c r="S488" s="51"/>
      <c r="T488" s="51"/>
      <c r="U488" s="7"/>
      <c r="V488" s="57"/>
      <c r="W488" s="57"/>
      <c r="X488" s="57"/>
    </row>
    <row r="489" spans="1:24" ht="12.5" x14ac:dyDescent="0.25">
      <c r="A489" s="34"/>
      <c r="B489" s="7"/>
      <c r="C489" s="19"/>
      <c r="D489" s="7"/>
      <c r="E489" s="7"/>
      <c r="F489" s="7"/>
      <c r="G489" s="7"/>
      <c r="H489" s="6"/>
      <c r="I489" s="7"/>
      <c r="J489" s="7"/>
      <c r="K489" s="7"/>
      <c r="L489" s="7"/>
      <c r="M489" s="52"/>
      <c r="N489" s="7"/>
      <c r="O489" s="7"/>
      <c r="P489" s="47"/>
      <c r="Q489" s="47"/>
      <c r="R489" s="7"/>
      <c r="S489" s="51"/>
      <c r="T489" s="51"/>
      <c r="U489" s="7"/>
      <c r="V489" s="57"/>
      <c r="W489" s="57"/>
      <c r="X489" s="57"/>
    </row>
    <row r="490" spans="1:24" ht="12.5" x14ac:dyDescent="0.25">
      <c r="A490" s="34"/>
      <c r="B490" s="7"/>
      <c r="C490" s="19"/>
      <c r="D490" s="7"/>
      <c r="E490" s="7"/>
      <c r="F490" s="7"/>
      <c r="G490" s="7"/>
      <c r="H490" s="6"/>
      <c r="I490" s="7"/>
      <c r="J490" s="7"/>
      <c r="K490" s="7"/>
      <c r="L490" s="7"/>
      <c r="M490" s="52"/>
      <c r="N490" s="7"/>
      <c r="O490" s="7"/>
      <c r="P490" s="47"/>
      <c r="Q490" s="47"/>
      <c r="R490" s="7"/>
      <c r="S490" s="51"/>
      <c r="T490" s="51"/>
      <c r="U490" s="7"/>
      <c r="V490" s="57"/>
      <c r="W490" s="57"/>
      <c r="X490" s="57"/>
    </row>
    <row r="491" spans="1:24" ht="12.5" x14ac:dyDescent="0.25">
      <c r="A491" s="34"/>
      <c r="B491" s="7"/>
      <c r="C491" s="19"/>
      <c r="D491" s="7"/>
      <c r="E491" s="7"/>
      <c r="F491" s="7"/>
      <c r="G491" s="7"/>
      <c r="H491" s="6"/>
      <c r="I491" s="7"/>
      <c r="J491" s="7"/>
      <c r="K491" s="7"/>
      <c r="L491" s="7"/>
      <c r="M491" s="52"/>
      <c r="N491" s="7"/>
      <c r="O491" s="7"/>
      <c r="P491" s="47"/>
      <c r="Q491" s="47"/>
      <c r="R491" s="7"/>
      <c r="S491" s="51"/>
      <c r="T491" s="51"/>
      <c r="U491" s="7"/>
      <c r="V491" s="57"/>
      <c r="W491" s="57"/>
      <c r="X491" s="57"/>
    </row>
    <row r="492" spans="1:24" ht="12.5" x14ac:dyDescent="0.25">
      <c r="A492" s="34"/>
      <c r="B492" s="7"/>
      <c r="C492" s="19"/>
      <c r="D492" s="7"/>
      <c r="E492" s="7"/>
      <c r="F492" s="7"/>
      <c r="G492" s="7"/>
      <c r="H492" s="6"/>
      <c r="I492" s="7"/>
      <c r="J492" s="7"/>
      <c r="K492" s="7"/>
      <c r="L492" s="7"/>
      <c r="M492" s="52"/>
      <c r="N492" s="7"/>
      <c r="O492" s="7"/>
      <c r="P492" s="47"/>
      <c r="Q492" s="47"/>
      <c r="R492" s="7"/>
      <c r="S492" s="51"/>
      <c r="T492" s="51"/>
      <c r="U492" s="7"/>
      <c r="V492" s="57"/>
      <c r="W492" s="57"/>
      <c r="X492" s="57"/>
    </row>
    <row r="493" spans="1:24" ht="12.5" x14ac:dyDescent="0.25">
      <c r="A493" s="34"/>
      <c r="B493" s="7"/>
      <c r="C493" s="19"/>
      <c r="D493" s="7"/>
      <c r="E493" s="7"/>
      <c r="F493" s="7"/>
      <c r="G493" s="7"/>
      <c r="H493" s="6"/>
      <c r="I493" s="7"/>
      <c r="J493" s="7"/>
      <c r="K493" s="7"/>
      <c r="L493" s="7"/>
      <c r="M493" s="52"/>
      <c r="N493" s="7"/>
      <c r="O493" s="7"/>
      <c r="P493" s="47"/>
      <c r="Q493" s="47"/>
      <c r="R493" s="7"/>
      <c r="S493" s="51"/>
      <c r="T493" s="51"/>
      <c r="U493" s="7"/>
      <c r="V493" s="57"/>
      <c r="W493" s="57"/>
      <c r="X493" s="57"/>
    </row>
    <row r="494" spans="1:24" ht="12.5" x14ac:dyDescent="0.25">
      <c r="A494" s="34"/>
      <c r="B494" s="7"/>
      <c r="C494" s="19"/>
      <c r="D494" s="7"/>
      <c r="E494" s="7"/>
      <c r="F494" s="7"/>
      <c r="G494" s="7"/>
      <c r="H494" s="6"/>
      <c r="I494" s="7"/>
      <c r="J494" s="7"/>
      <c r="K494" s="7"/>
      <c r="L494" s="7"/>
      <c r="M494" s="52"/>
      <c r="N494" s="7"/>
      <c r="O494" s="7"/>
      <c r="P494" s="47"/>
      <c r="Q494" s="47"/>
      <c r="R494" s="7"/>
      <c r="S494" s="51"/>
      <c r="T494" s="51"/>
      <c r="U494" s="7"/>
      <c r="V494" s="57"/>
      <c r="W494" s="57"/>
      <c r="X494" s="57"/>
    </row>
    <row r="495" spans="1:24" ht="12.5" x14ac:dyDescent="0.25">
      <c r="A495" s="34"/>
      <c r="B495" s="7"/>
      <c r="C495" s="19"/>
      <c r="D495" s="7"/>
      <c r="E495" s="7"/>
      <c r="F495" s="7"/>
      <c r="G495" s="7"/>
      <c r="H495" s="6"/>
      <c r="I495" s="7"/>
      <c r="J495" s="7"/>
      <c r="K495" s="7"/>
      <c r="L495" s="7"/>
      <c r="M495" s="52"/>
      <c r="N495" s="7"/>
      <c r="O495" s="7"/>
      <c r="P495" s="47"/>
      <c r="Q495" s="47"/>
      <c r="R495" s="7"/>
      <c r="S495" s="51"/>
      <c r="T495" s="51"/>
      <c r="U495" s="7"/>
      <c r="V495" s="57"/>
      <c r="W495" s="57"/>
      <c r="X495" s="57"/>
    </row>
    <row r="496" spans="1:24" ht="12.5" x14ac:dyDescent="0.25">
      <c r="A496" s="34"/>
      <c r="B496" s="7"/>
      <c r="C496" s="19"/>
      <c r="D496" s="7"/>
      <c r="E496" s="7"/>
      <c r="F496" s="7"/>
      <c r="G496" s="7"/>
      <c r="H496" s="6"/>
      <c r="I496" s="7"/>
      <c r="J496" s="7"/>
      <c r="K496" s="7"/>
      <c r="L496" s="7"/>
      <c r="M496" s="52"/>
      <c r="N496" s="7"/>
      <c r="O496" s="7"/>
      <c r="P496" s="47"/>
      <c r="Q496" s="47"/>
      <c r="R496" s="7"/>
      <c r="S496" s="51"/>
      <c r="T496" s="51"/>
      <c r="U496" s="7"/>
      <c r="V496" s="57"/>
      <c r="W496" s="57"/>
      <c r="X496" s="57"/>
    </row>
    <row r="497" spans="1:24" ht="12.5" x14ac:dyDescent="0.25">
      <c r="A497" s="34"/>
      <c r="B497" s="7"/>
      <c r="C497" s="19"/>
      <c r="D497" s="7"/>
      <c r="E497" s="7"/>
      <c r="F497" s="7"/>
      <c r="G497" s="7"/>
      <c r="H497" s="6"/>
      <c r="I497" s="7"/>
      <c r="J497" s="7"/>
      <c r="K497" s="7"/>
      <c r="L497" s="7"/>
      <c r="M497" s="52"/>
      <c r="N497" s="7"/>
      <c r="O497" s="7"/>
      <c r="P497" s="47"/>
      <c r="Q497" s="47"/>
      <c r="R497" s="7"/>
      <c r="S497" s="51"/>
      <c r="T497" s="51"/>
      <c r="U497" s="7"/>
      <c r="V497" s="57"/>
      <c r="W497" s="57"/>
      <c r="X497" s="57"/>
    </row>
    <row r="498" spans="1:24" ht="12.5" x14ac:dyDescent="0.25">
      <c r="A498" s="34"/>
      <c r="B498" s="7"/>
      <c r="C498" s="19"/>
      <c r="D498" s="7"/>
      <c r="E498" s="7"/>
      <c r="F498" s="7"/>
      <c r="G498" s="7"/>
      <c r="H498" s="6"/>
      <c r="I498" s="7"/>
      <c r="J498" s="7"/>
      <c r="K498" s="7"/>
      <c r="L498" s="7"/>
      <c r="M498" s="52"/>
      <c r="N498" s="7"/>
      <c r="O498" s="7"/>
      <c r="P498" s="47"/>
      <c r="Q498" s="47"/>
      <c r="R498" s="7"/>
      <c r="S498" s="51"/>
      <c r="T498" s="51"/>
      <c r="U498" s="7"/>
      <c r="V498" s="57"/>
      <c r="W498" s="57"/>
      <c r="X498" s="57"/>
    </row>
    <row r="499" spans="1:24" ht="12.5" x14ac:dyDescent="0.25">
      <c r="A499" s="34"/>
      <c r="B499" s="7"/>
      <c r="C499" s="19"/>
      <c r="D499" s="7"/>
      <c r="E499" s="7"/>
      <c r="F499" s="7"/>
      <c r="G499" s="7"/>
      <c r="H499" s="6"/>
      <c r="I499" s="7"/>
      <c r="J499" s="7"/>
      <c r="K499" s="7"/>
      <c r="L499" s="7"/>
      <c r="M499" s="52"/>
      <c r="N499" s="7"/>
      <c r="O499" s="7"/>
      <c r="P499" s="47"/>
      <c r="Q499" s="47"/>
      <c r="R499" s="7"/>
      <c r="S499" s="51"/>
      <c r="T499" s="51"/>
      <c r="U499" s="7"/>
      <c r="V499" s="57"/>
      <c r="W499" s="57"/>
      <c r="X499" s="57"/>
    </row>
    <row r="500" spans="1:24" ht="12.5" x14ac:dyDescent="0.25">
      <c r="A500" s="34"/>
      <c r="B500" s="7"/>
      <c r="C500" s="19"/>
      <c r="D500" s="7"/>
      <c r="E500" s="7"/>
      <c r="F500" s="7"/>
      <c r="G500" s="7"/>
      <c r="H500" s="6"/>
      <c r="I500" s="7"/>
      <c r="J500" s="7"/>
      <c r="K500" s="7"/>
      <c r="L500" s="7"/>
      <c r="M500" s="52"/>
      <c r="N500" s="7"/>
      <c r="O500" s="7"/>
      <c r="P500" s="47"/>
      <c r="Q500" s="47"/>
      <c r="R500" s="7"/>
      <c r="S500" s="51"/>
      <c r="T500" s="51"/>
      <c r="U500" s="7"/>
      <c r="V500" s="57"/>
      <c r="W500" s="57"/>
      <c r="X500" s="57"/>
    </row>
    <row r="501" spans="1:24" ht="12.5" x14ac:dyDescent="0.25">
      <c r="A501" s="34"/>
      <c r="B501" s="7"/>
      <c r="C501" s="19"/>
      <c r="D501" s="7"/>
      <c r="E501" s="7"/>
      <c r="F501" s="7"/>
      <c r="G501" s="7"/>
      <c r="H501" s="6"/>
      <c r="I501" s="7"/>
      <c r="J501" s="7"/>
      <c r="K501" s="7"/>
      <c r="L501" s="7"/>
      <c r="M501" s="52"/>
      <c r="N501" s="7"/>
      <c r="O501" s="7"/>
      <c r="P501" s="47"/>
      <c r="Q501" s="47"/>
      <c r="R501" s="7"/>
      <c r="S501" s="51"/>
      <c r="T501" s="51"/>
      <c r="U501" s="7"/>
      <c r="V501" s="57"/>
      <c r="W501" s="57"/>
      <c r="X501" s="57"/>
    </row>
    <row r="502" spans="1:24" ht="12.5" x14ac:dyDescent="0.25">
      <c r="A502" s="34"/>
      <c r="B502" s="7"/>
      <c r="C502" s="19"/>
      <c r="D502" s="7"/>
      <c r="E502" s="7"/>
      <c r="F502" s="7"/>
      <c r="G502" s="7"/>
      <c r="H502" s="6"/>
      <c r="I502" s="7"/>
      <c r="J502" s="7"/>
      <c r="K502" s="7"/>
      <c r="L502" s="7"/>
      <c r="M502" s="52"/>
      <c r="N502" s="7"/>
      <c r="O502" s="7"/>
      <c r="P502" s="47"/>
      <c r="Q502" s="47"/>
      <c r="R502" s="7"/>
      <c r="S502" s="51"/>
      <c r="T502" s="51"/>
      <c r="U502" s="7"/>
      <c r="V502" s="57"/>
      <c r="W502" s="57"/>
      <c r="X502" s="57"/>
    </row>
    <row r="503" spans="1:24" ht="12.5" x14ac:dyDescent="0.25">
      <c r="A503" s="34"/>
      <c r="B503" s="7"/>
      <c r="C503" s="19"/>
      <c r="D503" s="7"/>
      <c r="E503" s="7"/>
      <c r="F503" s="7"/>
      <c r="G503" s="7"/>
      <c r="H503" s="6"/>
      <c r="I503" s="7"/>
      <c r="J503" s="7"/>
      <c r="K503" s="7"/>
      <c r="L503" s="7"/>
      <c r="M503" s="52"/>
      <c r="N503" s="7"/>
      <c r="O503" s="7"/>
      <c r="P503" s="47"/>
      <c r="Q503" s="47"/>
      <c r="R503" s="7"/>
      <c r="S503" s="51"/>
      <c r="T503" s="51"/>
      <c r="U503" s="7"/>
      <c r="V503" s="57"/>
      <c r="W503" s="57"/>
      <c r="X503" s="57"/>
    </row>
    <row r="504" spans="1:24" ht="12.5" x14ac:dyDescent="0.25">
      <c r="A504" s="34"/>
      <c r="B504" s="7"/>
      <c r="C504" s="19"/>
      <c r="D504" s="7"/>
      <c r="E504" s="7"/>
      <c r="F504" s="7"/>
      <c r="G504" s="7"/>
      <c r="H504" s="6"/>
      <c r="I504" s="7"/>
      <c r="J504" s="7"/>
      <c r="K504" s="7"/>
      <c r="L504" s="7"/>
      <c r="M504" s="52"/>
      <c r="N504" s="7"/>
      <c r="O504" s="7"/>
      <c r="P504" s="47"/>
      <c r="Q504" s="47"/>
      <c r="R504" s="7"/>
      <c r="S504" s="51"/>
      <c r="T504" s="51"/>
      <c r="U504" s="7"/>
      <c r="V504" s="57"/>
      <c r="W504" s="57"/>
      <c r="X504" s="57"/>
    </row>
    <row r="505" spans="1:24" ht="12.5" x14ac:dyDescent="0.25">
      <c r="A505" s="34"/>
      <c r="B505" s="7"/>
      <c r="C505" s="19"/>
      <c r="D505" s="7"/>
      <c r="E505" s="7"/>
      <c r="F505" s="7"/>
      <c r="G505" s="7"/>
      <c r="H505" s="6"/>
      <c r="I505" s="7"/>
      <c r="J505" s="7"/>
      <c r="K505" s="7"/>
      <c r="L505" s="7"/>
      <c r="M505" s="52"/>
      <c r="N505" s="7"/>
      <c r="O505" s="7"/>
      <c r="P505" s="47"/>
      <c r="Q505" s="47"/>
      <c r="R505" s="7"/>
      <c r="S505" s="51"/>
      <c r="T505" s="51"/>
      <c r="U505" s="7"/>
      <c r="V505" s="57"/>
      <c r="W505" s="57"/>
      <c r="X505" s="57"/>
    </row>
    <row r="506" spans="1:24" ht="12.5" x14ac:dyDescent="0.25">
      <c r="A506" s="34"/>
      <c r="B506" s="7"/>
      <c r="C506" s="19"/>
      <c r="D506" s="7"/>
      <c r="E506" s="7"/>
      <c r="F506" s="7"/>
      <c r="G506" s="7"/>
      <c r="H506" s="6"/>
      <c r="I506" s="7"/>
      <c r="J506" s="7"/>
      <c r="K506" s="7"/>
      <c r="L506" s="7"/>
      <c r="M506" s="52"/>
      <c r="N506" s="7"/>
      <c r="O506" s="7"/>
      <c r="P506" s="47"/>
      <c r="Q506" s="47"/>
      <c r="R506" s="7"/>
      <c r="S506" s="51"/>
      <c r="T506" s="51"/>
      <c r="U506" s="7"/>
      <c r="V506" s="57"/>
      <c r="W506" s="57"/>
      <c r="X506" s="57"/>
    </row>
    <row r="507" spans="1:24" ht="12.5" x14ac:dyDescent="0.25">
      <c r="A507" s="34"/>
      <c r="B507" s="7"/>
      <c r="C507" s="19"/>
      <c r="D507" s="7"/>
      <c r="E507" s="7"/>
      <c r="F507" s="7"/>
      <c r="G507" s="7"/>
      <c r="H507" s="6"/>
      <c r="I507" s="7"/>
      <c r="J507" s="7"/>
      <c r="K507" s="7"/>
      <c r="L507" s="7"/>
      <c r="M507" s="52"/>
      <c r="N507" s="7"/>
      <c r="O507" s="7"/>
      <c r="P507" s="47"/>
      <c r="Q507" s="47"/>
      <c r="R507" s="7"/>
      <c r="S507" s="51"/>
      <c r="T507" s="51"/>
      <c r="U507" s="7"/>
      <c r="V507" s="57"/>
      <c r="W507" s="57"/>
      <c r="X507" s="57"/>
    </row>
    <row r="508" spans="1:24" ht="12.5" x14ac:dyDescent="0.25">
      <c r="A508" s="34"/>
      <c r="B508" s="7"/>
      <c r="C508" s="19"/>
      <c r="D508" s="7"/>
      <c r="E508" s="7"/>
      <c r="F508" s="7"/>
      <c r="G508" s="7"/>
      <c r="H508" s="6"/>
      <c r="I508" s="7"/>
      <c r="J508" s="7"/>
      <c r="K508" s="7"/>
      <c r="L508" s="7"/>
      <c r="M508" s="52"/>
      <c r="N508" s="7"/>
      <c r="O508" s="7"/>
      <c r="P508" s="47"/>
      <c r="Q508" s="47"/>
      <c r="R508" s="7"/>
      <c r="S508" s="51"/>
      <c r="T508" s="51"/>
      <c r="U508" s="7"/>
      <c r="V508" s="57"/>
      <c r="W508" s="57"/>
      <c r="X508" s="57"/>
    </row>
    <row r="509" spans="1:24" ht="12.5" x14ac:dyDescent="0.25">
      <c r="A509" s="34"/>
      <c r="B509" s="7"/>
      <c r="C509" s="19"/>
      <c r="D509" s="7"/>
      <c r="E509" s="7"/>
      <c r="F509" s="7"/>
      <c r="G509" s="7"/>
      <c r="H509" s="6"/>
      <c r="I509" s="7"/>
      <c r="J509" s="7"/>
      <c r="K509" s="7"/>
      <c r="L509" s="7"/>
      <c r="M509" s="52"/>
      <c r="N509" s="7"/>
      <c r="O509" s="7"/>
      <c r="P509" s="47"/>
      <c r="Q509" s="47"/>
      <c r="R509" s="7"/>
      <c r="S509" s="51"/>
      <c r="T509" s="51"/>
      <c r="U509" s="7"/>
      <c r="V509" s="57"/>
      <c r="W509" s="57"/>
      <c r="X509" s="57"/>
    </row>
    <row r="510" spans="1:24" ht="12.5" x14ac:dyDescent="0.25">
      <c r="A510" s="34"/>
      <c r="B510" s="7"/>
      <c r="C510" s="19"/>
      <c r="D510" s="7"/>
      <c r="E510" s="7"/>
      <c r="F510" s="7"/>
      <c r="G510" s="7"/>
      <c r="H510" s="6"/>
      <c r="I510" s="7"/>
      <c r="J510" s="7"/>
      <c r="K510" s="7"/>
      <c r="L510" s="7"/>
      <c r="M510" s="52"/>
      <c r="N510" s="7"/>
      <c r="O510" s="7"/>
      <c r="P510" s="47"/>
      <c r="Q510" s="47"/>
      <c r="R510" s="7"/>
      <c r="S510" s="51"/>
      <c r="T510" s="51"/>
      <c r="U510" s="7"/>
      <c r="V510" s="57"/>
      <c r="W510" s="57"/>
      <c r="X510" s="57"/>
    </row>
    <row r="511" spans="1:24" ht="12.5" x14ac:dyDescent="0.25">
      <c r="A511" s="34"/>
      <c r="B511" s="7"/>
      <c r="C511" s="19"/>
      <c r="D511" s="7"/>
      <c r="E511" s="7"/>
      <c r="F511" s="7"/>
      <c r="G511" s="7"/>
      <c r="H511" s="6"/>
      <c r="I511" s="7"/>
      <c r="J511" s="7"/>
      <c r="K511" s="7"/>
      <c r="L511" s="7"/>
      <c r="M511" s="52"/>
      <c r="N511" s="7"/>
      <c r="O511" s="7"/>
      <c r="P511" s="47"/>
      <c r="Q511" s="47"/>
      <c r="R511" s="7"/>
      <c r="S511" s="51"/>
      <c r="T511" s="51"/>
      <c r="U511" s="7"/>
      <c r="V511" s="57"/>
      <c r="W511" s="57"/>
      <c r="X511" s="57"/>
    </row>
    <row r="512" spans="1:24" ht="12.5" x14ac:dyDescent="0.25">
      <c r="A512" s="34"/>
      <c r="B512" s="7"/>
      <c r="C512" s="19"/>
      <c r="D512" s="7"/>
      <c r="E512" s="7"/>
      <c r="F512" s="7"/>
      <c r="G512" s="7"/>
      <c r="H512" s="6"/>
      <c r="I512" s="7"/>
      <c r="J512" s="7"/>
      <c r="K512" s="7"/>
      <c r="L512" s="7"/>
      <c r="M512" s="52"/>
      <c r="N512" s="7"/>
      <c r="O512" s="7"/>
      <c r="P512" s="47"/>
      <c r="Q512" s="47"/>
      <c r="R512" s="7"/>
      <c r="S512" s="51"/>
      <c r="T512" s="51"/>
      <c r="U512" s="7"/>
      <c r="V512" s="57"/>
      <c r="W512" s="57"/>
      <c r="X512" s="57"/>
    </row>
    <row r="513" spans="1:24" ht="12.5" x14ac:dyDescent="0.25">
      <c r="A513" s="34"/>
      <c r="B513" s="7"/>
      <c r="C513" s="19"/>
      <c r="D513" s="7"/>
      <c r="E513" s="7"/>
      <c r="F513" s="7"/>
      <c r="G513" s="7"/>
      <c r="H513" s="6"/>
      <c r="I513" s="7"/>
      <c r="J513" s="7"/>
      <c r="K513" s="7"/>
      <c r="L513" s="7"/>
      <c r="M513" s="52"/>
      <c r="N513" s="7"/>
      <c r="O513" s="7"/>
      <c r="P513" s="47"/>
      <c r="Q513" s="47"/>
      <c r="R513" s="7"/>
      <c r="S513" s="51"/>
      <c r="T513" s="51"/>
      <c r="U513" s="7"/>
      <c r="V513" s="57"/>
      <c r="W513" s="57"/>
      <c r="X513" s="57"/>
    </row>
    <row r="514" spans="1:24" ht="12.5" x14ac:dyDescent="0.25">
      <c r="A514" s="34"/>
      <c r="B514" s="7"/>
      <c r="C514" s="19"/>
      <c r="D514" s="7"/>
      <c r="E514" s="7"/>
      <c r="F514" s="7"/>
      <c r="G514" s="7"/>
      <c r="H514" s="6"/>
      <c r="I514" s="7"/>
      <c r="J514" s="7"/>
      <c r="K514" s="7"/>
      <c r="L514" s="7"/>
      <c r="M514" s="52"/>
      <c r="N514" s="7"/>
      <c r="O514" s="7"/>
      <c r="P514" s="47"/>
      <c r="Q514" s="47"/>
      <c r="R514" s="7"/>
      <c r="S514" s="51"/>
      <c r="T514" s="51"/>
      <c r="U514" s="7"/>
      <c r="V514" s="57"/>
      <c r="W514" s="57"/>
      <c r="X514" s="57"/>
    </row>
    <row r="515" spans="1:24" ht="12.5" x14ac:dyDescent="0.25">
      <c r="A515" s="34"/>
      <c r="B515" s="7"/>
      <c r="C515" s="19"/>
      <c r="D515" s="7"/>
      <c r="E515" s="7"/>
      <c r="F515" s="7"/>
      <c r="G515" s="7"/>
      <c r="H515" s="6"/>
      <c r="I515" s="7"/>
      <c r="J515" s="7"/>
      <c r="K515" s="7"/>
      <c r="L515" s="7"/>
      <c r="M515" s="52"/>
      <c r="N515" s="7"/>
      <c r="O515" s="7"/>
      <c r="P515" s="47"/>
      <c r="Q515" s="47"/>
      <c r="R515" s="7"/>
      <c r="S515" s="51"/>
      <c r="T515" s="51"/>
      <c r="U515" s="7"/>
      <c r="V515" s="57"/>
      <c r="W515" s="57"/>
      <c r="X515" s="57"/>
    </row>
    <row r="516" spans="1:24" ht="12.5" x14ac:dyDescent="0.25">
      <c r="A516" s="34"/>
      <c r="B516" s="7"/>
      <c r="C516" s="19"/>
      <c r="D516" s="7"/>
      <c r="E516" s="7"/>
      <c r="F516" s="7"/>
      <c r="G516" s="7"/>
      <c r="H516" s="6"/>
      <c r="I516" s="7"/>
      <c r="J516" s="7"/>
      <c r="K516" s="7"/>
      <c r="L516" s="7"/>
      <c r="M516" s="52"/>
      <c r="N516" s="7"/>
      <c r="O516" s="7"/>
      <c r="P516" s="47"/>
      <c r="Q516" s="47"/>
      <c r="R516" s="7"/>
      <c r="S516" s="51"/>
      <c r="T516" s="51"/>
      <c r="U516" s="7"/>
      <c r="V516" s="57"/>
      <c r="W516" s="57"/>
      <c r="X516" s="57"/>
    </row>
    <row r="517" spans="1:24" ht="12.5" x14ac:dyDescent="0.25">
      <c r="A517" s="34"/>
      <c r="B517" s="7"/>
      <c r="C517" s="19"/>
      <c r="D517" s="7"/>
      <c r="E517" s="7"/>
      <c r="F517" s="7"/>
      <c r="G517" s="7"/>
      <c r="H517" s="6"/>
      <c r="I517" s="7"/>
      <c r="J517" s="7"/>
      <c r="K517" s="7"/>
      <c r="L517" s="7"/>
      <c r="M517" s="52"/>
      <c r="N517" s="7"/>
      <c r="O517" s="7"/>
      <c r="P517" s="47"/>
      <c r="Q517" s="47"/>
      <c r="R517" s="7"/>
      <c r="S517" s="51"/>
      <c r="T517" s="51"/>
      <c r="U517" s="7"/>
      <c r="V517" s="57"/>
      <c r="W517" s="57"/>
      <c r="X517" s="57"/>
    </row>
    <row r="518" spans="1:24" ht="12.5" x14ac:dyDescent="0.25">
      <c r="A518" s="34"/>
      <c r="B518" s="7"/>
      <c r="C518" s="19"/>
      <c r="D518" s="7"/>
      <c r="E518" s="7"/>
      <c r="F518" s="7"/>
      <c r="G518" s="7"/>
      <c r="H518" s="6"/>
      <c r="I518" s="7"/>
      <c r="J518" s="7"/>
      <c r="K518" s="7"/>
      <c r="L518" s="7"/>
      <c r="M518" s="52"/>
      <c r="N518" s="7"/>
      <c r="O518" s="7"/>
      <c r="P518" s="47"/>
      <c r="Q518" s="47"/>
      <c r="R518" s="7"/>
      <c r="S518" s="51"/>
      <c r="T518" s="51"/>
      <c r="U518" s="7"/>
      <c r="V518" s="57"/>
      <c r="W518" s="57"/>
      <c r="X518" s="57"/>
    </row>
    <row r="519" spans="1:24" ht="12.5" x14ac:dyDescent="0.25">
      <c r="A519" s="34"/>
      <c r="B519" s="7"/>
      <c r="C519" s="19"/>
      <c r="D519" s="7"/>
      <c r="E519" s="7"/>
      <c r="F519" s="7"/>
      <c r="G519" s="7"/>
      <c r="H519" s="6"/>
      <c r="I519" s="7"/>
      <c r="J519" s="7"/>
      <c r="K519" s="7"/>
      <c r="L519" s="7"/>
      <c r="M519" s="52"/>
      <c r="N519" s="7"/>
      <c r="O519" s="7"/>
      <c r="P519" s="47"/>
      <c r="Q519" s="47"/>
      <c r="R519" s="7"/>
      <c r="S519" s="51"/>
      <c r="T519" s="51"/>
      <c r="U519" s="7"/>
      <c r="V519" s="57"/>
      <c r="W519" s="57"/>
      <c r="X519" s="57"/>
    </row>
    <row r="520" spans="1:24" ht="12.5" x14ac:dyDescent="0.25">
      <c r="A520" s="34"/>
      <c r="B520" s="7"/>
      <c r="C520" s="19"/>
      <c r="D520" s="7"/>
      <c r="E520" s="7"/>
      <c r="F520" s="7"/>
      <c r="G520" s="7"/>
      <c r="H520" s="6"/>
      <c r="I520" s="7"/>
      <c r="J520" s="7"/>
      <c r="K520" s="7"/>
      <c r="L520" s="7"/>
      <c r="M520" s="52"/>
      <c r="N520" s="7"/>
      <c r="O520" s="7"/>
      <c r="P520" s="47"/>
      <c r="Q520" s="47"/>
      <c r="R520" s="7"/>
      <c r="S520" s="51"/>
      <c r="T520" s="51"/>
      <c r="U520" s="7"/>
      <c r="V520" s="57"/>
      <c r="W520" s="57"/>
      <c r="X520" s="57"/>
    </row>
    <row r="521" spans="1:24" ht="12.5" x14ac:dyDescent="0.25">
      <c r="A521" s="34"/>
      <c r="B521" s="7"/>
      <c r="C521" s="19"/>
      <c r="D521" s="7"/>
      <c r="E521" s="7"/>
      <c r="F521" s="7"/>
      <c r="G521" s="7"/>
      <c r="H521" s="6"/>
      <c r="I521" s="7"/>
      <c r="J521" s="7"/>
      <c r="K521" s="7"/>
      <c r="L521" s="7"/>
      <c r="M521" s="52"/>
      <c r="N521" s="7"/>
      <c r="O521" s="7"/>
      <c r="P521" s="47"/>
      <c r="Q521" s="47"/>
      <c r="R521" s="7"/>
      <c r="S521" s="51"/>
      <c r="T521" s="51"/>
      <c r="U521" s="7"/>
      <c r="V521" s="57"/>
      <c r="W521" s="57"/>
      <c r="X521" s="57"/>
    </row>
    <row r="522" spans="1:24" ht="12.5" x14ac:dyDescent="0.25">
      <c r="A522" s="34"/>
      <c r="B522" s="7"/>
      <c r="C522" s="19"/>
      <c r="D522" s="7"/>
      <c r="E522" s="7"/>
      <c r="F522" s="7"/>
      <c r="G522" s="7"/>
      <c r="H522" s="6"/>
      <c r="I522" s="7"/>
      <c r="J522" s="7"/>
      <c r="K522" s="7"/>
      <c r="L522" s="7"/>
      <c r="M522" s="52"/>
      <c r="N522" s="7"/>
      <c r="O522" s="7"/>
      <c r="P522" s="47"/>
      <c r="Q522" s="47"/>
      <c r="R522" s="7"/>
      <c r="S522" s="51"/>
      <c r="T522" s="51"/>
      <c r="U522" s="7"/>
      <c r="V522" s="57"/>
      <c r="W522" s="57"/>
      <c r="X522" s="57"/>
    </row>
    <row r="523" spans="1:24" ht="12.5" x14ac:dyDescent="0.25">
      <c r="A523" s="34"/>
      <c r="B523" s="7"/>
      <c r="C523" s="19"/>
      <c r="D523" s="7"/>
      <c r="E523" s="7"/>
      <c r="F523" s="7"/>
      <c r="G523" s="7"/>
      <c r="H523" s="6"/>
      <c r="I523" s="7"/>
      <c r="J523" s="7"/>
      <c r="K523" s="7"/>
      <c r="L523" s="7"/>
      <c r="M523" s="52"/>
      <c r="N523" s="7"/>
      <c r="O523" s="7"/>
      <c r="P523" s="47"/>
      <c r="Q523" s="47"/>
      <c r="R523" s="7"/>
      <c r="S523" s="51"/>
      <c r="T523" s="51"/>
      <c r="U523" s="7"/>
      <c r="V523" s="57"/>
      <c r="W523" s="57"/>
      <c r="X523" s="57"/>
    </row>
    <row r="524" spans="1:24" ht="12.5" x14ac:dyDescent="0.25">
      <c r="A524" s="34"/>
      <c r="B524" s="7"/>
      <c r="C524" s="19"/>
      <c r="D524" s="7"/>
      <c r="E524" s="7"/>
      <c r="F524" s="7"/>
      <c r="G524" s="7"/>
      <c r="H524" s="6"/>
      <c r="I524" s="7"/>
      <c r="J524" s="7"/>
      <c r="K524" s="7"/>
      <c r="L524" s="7"/>
      <c r="M524" s="52"/>
      <c r="N524" s="7"/>
      <c r="O524" s="7"/>
      <c r="P524" s="47"/>
      <c r="Q524" s="47"/>
      <c r="R524" s="7"/>
      <c r="S524" s="51"/>
      <c r="T524" s="51"/>
      <c r="U524" s="7"/>
      <c r="V524" s="57"/>
      <c r="W524" s="57"/>
      <c r="X524" s="57"/>
    </row>
    <row r="525" spans="1:24" ht="12.5" x14ac:dyDescent="0.25">
      <c r="A525" s="34"/>
      <c r="B525" s="7"/>
      <c r="C525" s="19"/>
      <c r="D525" s="7"/>
      <c r="E525" s="7"/>
      <c r="F525" s="7"/>
      <c r="G525" s="7"/>
      <c r="H525" s="6"/>
      <c r="I525" s="7"/>
      <c r="J525" s="7"/>
      <c r="K525" s="7"/>
      <c r="L525" s="7"/>
      <c r="M525" s="52"/>
      <c r="N525" s="7"/>
      <c r="O525" s="7"/>
      <c r="P525" s="47"/>
      <c r="Q525" s="47"/>
      <c r="R525" s="7"/>
      <c r="S525" s="51"/>
      <c r="T525" s="51"/>
      <c r="U525" s="7"/>
      <c r="V525" s="57"/>
      <c r="W525" s="57"/>
      <c r="X525" s="57"/>
    </row>
    <row r="526" spans="1:24" ht="12.5" x14ac:dyDescent="0.25">
      <c r="A526" s="34"/>
      <c r="B526" s="7"/>
      <c r="C526" s="19"/>
      <c r="D526" s="7"/>
      <c r="E526" s="7"/>
      <c r="F526" s="7"/>
      <c r="G526" s="7"/>
      <c r="H526" s="6"/>
      <c r="I526" s="7"/>
      <c r="J526" s="7"/>
      <c r="K526" s="7"/>
      <c r="L526" s="7"/>
      <c r="M526" s="52"/>
      <c r="N526" s="7"/>
      <c r="O526" s="7"/>
      <c r="P526" s="47"/>
      <c r="Q526" s="47"/>
      <c r="R526" s="7"/>
      <c r="S526" s="51"/>
      <c r="T526" s="51"/>
      <c r="U526" s="7"/>
      <c r="V526" s="57"/>
      <c r="W526" s="57"/>
      <c r="X526" s="57"/>
    </row>
    <row r="527" spans="1:24" ht="12.5" x14ac:dyDescent="0.25">
      <c r="A527" s="34"/>
      <c r="B527" s="7"/>
      <c r="C527" s="19"/>
      <c r="D527" s="7"/>
      <c r="E527" s="7"/>
      <c r="F527" s="7"/>
      <c r="G527" s="7"/>
      <c r="H527" s="6"/>
      <c r="I527" s="7"/>
      <c r="J527" s="7"/>
      <c r="K527" s="7"/>
      <c r="L527" s="7"/>
      <c r="M527" s="52"/>
      <c r="N527" s="7"/>
      <c r="O527" s="7"/>
      <c r="P527" s="47"/>
      <c r="Q527" s="47"/>
      <c r="R527" s="7"/>
      <c r="S527" s="51"/>
      <c r="T527" s="51"/>
      <c r="U527" s="7"/>
      <c r="V527" s="57"/>
      <c r="W527" s="57"/>
      <c r="X527" s="57"/>
    </row>
    <row r="528" spans="1:24" ht="12.5" x14ac:dyDescent="0.25">
      <c r="A528" s="34"/>
      <c r="B528" s="7"/>
      <c r="C528" s="19"/>
      <c r="D528" s="7"/>
      <c r="E528" s="7"/>
      <c r="F528" s="7"/>
      <c r="G528" s="7"/>
      <c r="H528" s="6"/>
      <c r="I528" s="7"/>
      <c r="J528" s="7"/>
      <c r="K528" s="7"/>
      <c r="L528" s="7"/>
      <c r="M528" s="52"/>
      <c r="N528" s="7"/>
      <c r="O528" s="7"/>
      <c r="P528" s="47"/>
      <c r="Q528" s="47"/>
      <c r="R528" s="7"/>
      <c r="S528" s="51"/>
      <c r="T528" s="51"/>
      <c r="U528" s="7"/>
      <c r="V528" s="57"/>
      <c r="W528" s="57"/>
      <c r="X528" s="57"/>
    </row>
    <row r="529" spans="1:24" ht="12.5" x14ac:dyDescent="0.25">
      <c r="A529" s="34"/>
      <c r="B529" s="7"/>
      <c r="C529" s="19"/>
      <c r="D529" s="7"/>
      <c r="E529" s="7"/>
      <c r="F529" s="7"/>
      <c r="G529" s="7"/>
      <c r="H529" s="6"/>
      <c r="I529" s="7"/>
      <c r="J529" s="7"/>
      <c r="K529" s="7"/>
      <c r="L529" s="7"/>
      <c r="M529" s="52"/>
      <c r="N529" s="7"/>
      <c r="O529" s="7"/>
      <c r="P529" s="47"/>
      <c r="Q529" s="47"/>
      <c r="R529" s="7"/>
      <c r="S529" s="51"/>
      <c r="T529" s="51"/>
      <c r="U529" s="7"/>
      <c r="V529" s="57"/>
      <c r="W529" s="57"/>
      <c r="X529" s="57"/>
    </row>
    <row r="530" spans="1:24" ht="12.5" x14ac:dyDescent="0.25">
      <c r="A530" s="34"/>
      <c r="B530" s="7"/>
      <c r="C530" s="19"/>
      <c r="D530" s="7"/>
      <c r="E530" s="7"/>
      <c r="F530" s="7"/>
      <c r="G530" s="7"/>
      <c r="H530" s="6"/>
      <c r="I530" s="7"/>
      <c r="J530" s="7"/>
      <c r="K530" s="7"/>
      <c r="L530" s="7"/>
      <c r="M530" s="52"/>
      <c r="N530" s="7"/>
      <c r="O530" s="7"/>
      <c r="P530" s="47"/>
      <c r="Q530" s="47"/>
      <c r="R530" s="7"/>
      <c r="S530" s="51"/>
      <c r="T530" s="51"/>
      <c r="U530" s="7"/>
      <c r="V530" s="57"/>
      <c r="W530" s="57"/>
      <c r="X530" s="57"/>
    </row>
    <row r="531" spans="1:24" ht="12.5" x14ac:dyDescent="0.25">
      <c r="A531" s="34"/>
      <c r="B531" s="7"/>
      <c r="C531" s="19"/>
      <c r="D531" s="7"/>
      <c r="E531" s="7"/>
      <c r="F531" s="7"/>
      <c r="G531" s="7"/>
      <c r="H531" s="6"/>
      <c r="I531" s="7"/>
      <c r="J531" s="7"/>
      <c r="K531" s="7"/>
      <c r="L531" s="7"/>
      <c r="M531" s="52"/>
      <c r="N531" s="7"/>
      <c r="O531" s="7"/>
      <c r="P531" s="47"/>
      <c r="Q531" s="47"/>
      <c r="R531" s="7"/>
      <c r="S531" s="51"/>
      <c r="T531" s="51"/>
      <c r="U531" s="7"/>
      <c r="V531" s="57"/>
      <c r="W531" s="57"/>
      <c r="X531" s="57"/>
    </row>
    <row r="532" spans="1:24" ht="12.5" x14ac:dyDescent="0.25">
      <c r="A532" s="34"/>
      <c r="B532" s="7"/>
      <c r="C532" s="19"/>
      <c r="D532" s="7"/>
      <c r="E532" s="7"/>
      <c r="F532" s="7"/>
      <c r="G532" s="7"/>
      <c r="H532" s="6"/>
      <c r="I532" s="7"/>
      <c r="J532" s="7"/>
      <c r="K532" s="7"/>
      <c r="L532" s="7"/>
      <c r="M532" s="52"/>
      <c r="N532" s="7"/>
      <c r="O532" s="7"/>
      <c r="P532" s="47"/>
      <c r="Q532" s="47"/>
      <c r="R532" s="7"/>
      <c r="S532" s="51"/>
      <c r="T532" s="51"/>
      <c r="U532" s="7"/>
      <c r="V532" s="57"/>
      <c r="W532" s="57"/>
      <c r="X532" s="57"/>
    </row>
    <row r="533" spans="1:24" ht="12.5" x14ac:dyDescent="0.25">
      <c r="A533" s="34"/>
      <c r="B533" s="7"/>
      <c r="C533" s="19"/>
      <c r="D533" s="7"/>
      <c r="E533" s="7"/>
      <c r="F533" s="7"/>
      <c r="G533" s="7"/>
      <c r="H533" s="6"/>
      <c r="I533" s="7"/>
      <c r="J533" s="7"/>
      <c r="K533" s="7"/>
      <c r="L533" s="7"/>
      <c r="M533" s="52"/>
      <c r="N533" s="7"/>
      <c r="O533" s="7"/>
      <c r="P533" s="47"/>
      <c r="Q533" s="47"/>
      <c r="R533" s="7"/>
      <c r="S533" s="51"/>
      <c r="T533" s="51"/>
      <c r="U533" s="7"/>
      <c r="V533" s="57"/>
      <c r="W533" s="57"/>
      <c r="X533" s="57"/>
    </row>
    <row r="534" spans="1:24" ht="12.5" x14ac:dyDescent="0.25">
      <c r="A534" s="34"/>
      <c r="B534" s="7"/>
      <c r="C534" s="19"/>
      <c r="D534" s="7"/>
      <c r="E534" s="7"/>
      <c r="F534" s="7"/>
      <c r="G534" s="7"/>
      <c r="H534" s="6"/>
      <c r="I534" s="7"/>
      <c r="J534" s="7"/>
      <c r="K534" s="7"/>
      <c r="L534" s="7"/>
      <c r="M534" s="52"/>
      <c r="N534" s="7"/>
      <c r="O534" s="7"/>
      <c r="P534" s="47"/>
      <c r="Q534" s="47"/>
      <c r="R534" s="7"/>
      <c r="S534" s="51"/>
      <c r="T534" s="51"/>
      <c r="U534" s="7"/>
      <c r="V534" s="57"/>
      <c r="W534" s="57"/>
      <c r="X534" s="57"/>
    </row>
    <row r="535" spans="1:24" ht="12.5" x14ac:dyDescent="0.25">
      <c r="A535" s="34"/>
      <c r="B535" s="7"/>
      <c r="C535" s="19"/>
      <c r="D535" s="7"/>
      <c r="E535" s="7"/>
      <c r="F535" s="7"/>
      <c r="G535" s="7"/>
      <c r="H535" s="6"/>
      <c r="I535" s="7"/>
      <c r="J535" s="7"/>
      <c r="K535" s="7"/>
      <c r="L535" s="7"/>
      <c r="M535" s="52"/>
      <c r="N535" s="7"/>
      <c r="O535" s="7"/>
      <c r="P535" s="47"/>
      <c r="Q535" s="47"/>
      <c r="R535" s="7"/>
      <c r="S535" s="51"/>
      <c r="T535" s="51"/>
      <c r="U535" s="7"/>
      <c r="V535" s="57"/>
      <c r="W535" s="57"/>
      <c r="X535" s="57"/>
    </row>
    <row r="536" spans="1:24" ht="12.5" x14ac:dyDescent="0.25">
      <c r="A536" s="34"/>
      <c r="B536" s="7"/>
      <c r="C536" s="19"/>
      <c r="D536" s="7"/>
      <c r="E536" s="7"/>
      <c r="F536" s="7"/>
      <c r="G536" s="7"/>
      <c r="H536" s="6"/>
      <c r="I536" s="7"/>
      <c r="J536" s="7"/>
      <c r="K536" s="7"/>
      <c r="L536" s="7"/>
      <c r="M536" s="52"/>
      <c r="N536" s="7"/>
      <c r="O536" s="7"/>
      <c r="P536" s="47"/>
      <c r="Q536" s="47"/>
      <c r="R536" s="7"/>
      <c r="S536" s="51"/>
      <c r="T536" s="51"/>
      <c r="U536" s="7"/>
      <c r="V536" s="57"/>
      <c r="W536" s="57"/>
      <c r="X536" s="57"/>
    </row>
    <row r="537" spans="1:24" ht="12.5" x14ac:dyDescent="0.25">
      <c r="A537" s="34"/>
      <c r="B537" s="7"/>
      <c r="C537" s="19"/>
      <c r="D537" s="7"/>
      <c r="E537" s="7"/>
      <c r="F537" s="7"/>
      <c r="G537" s="7"/>
      <c r="H537" s="6"/>
      <c r="I537" s="7"/>
      <c r="J537" s="7"/>
      <c r="K537" s="7"/>
      <c r="L537" s="7"/>
      <c r="M537" s="52"/>
      <c r="N537" s="7"/>
      <c r="O537" s="7"/>
      <c r="P537" s="47"/>
      <c r="Q537" s="47"/>
      <c r="R537" s="7"/>
      <c r="S537" s="51"/>
      <c r="T537" s="51"/>
      <c r="U537" s="7"/>
      <c r="V537" s="57"/>
      <c r="W537" s="57"/>
      <c r="X537" s="57"/>
    </row>
    <row r="538" spans="1:24" ht="12.5" x14ac:dyDescent="0.25">
      <c r="A538" s="34"/>
      <c r="B538" s="7"/>
      <c r="C538" s="19"/>
      <c r="D538" s="7"/>
      <c r="E538" s="7"/>
      <c r="F538" s="7"/>
      <c r="G538" s="7"/>
      <c r="H538" s="6"/>
      <c r="I538" s="7"/>
      <c r="J538" s="7"/>
      <c r="K538" s="7"/>
      <c r="L538" s="7"/>
      <c r="M538" s="52"/>
      <c r="N538" s="7"/>
      <c r="O538" s="7"/>
      <c r="P538" s="47"/>
      <c r="Q538" s="47"/>
      <c r="R538" s="7"/>
      <c r="S538" s="51"/>
      <c r="T538" s="51"/>
      <c r="U538" s="7"/>
      <c r="V538" s="57"/>
      <c r="W538" s="57"/>
      <c r="X538" s="57"/>
    </row>
    <row r="539" spans="1:24" ht="12.5" x14ac:dyDescent="0.25">
      <c r="A539" s="34"/>
      <c r="B539" s="7"/>
      <c r="C539" s="19"/>
      <c r="D539" s="7"/>
      <c r="E539" s="7"/>
      <c r="F539" s="7"/>
      <c r="G539" s="7"/>
      <c r="H539" s="6"/>
      <c r="I539" s="7"/>
      <c r="J539" s="7"/>
      <c r="K539" s="7"/>
      <c r="L539" s="7"/>
      <c r="M539" s="52"/>
      <c r="N539" s="7"/>
      <c r="O539" s="7"/>
      <c r="P539" s="47"/>
      <c r="Q539" s="47"/>
      <c r="R539" s="7"/>
      <c r="S539" s="51"/>
      <c r="T539" s="51"/>
      <c r="U539" s="7"/>
      <c r="V539" s="57"/>
      <c r="W539" s="57"/>
      <c r="X539" s="57"/>
    </row>
    <row r="540" spans="1:24" ht="12.5" x14ac:dyDescent="0.25">
      <c r="A540" s="34"/>
      <c r="B540" s="7"/>
      <c r="C540" s="19"/>
      <c r="D540" s="7"/>
      <c r="E540" s="7"/>
      <c r="F540" s="7"/>
      <c r="G540" s="7"/>
      <c r="H540" s="6"/>
      <c r="I540" s="7"/>
      <c r="J540" s="7"/>
      <c r="K540" s="7"/>
      <c r="L540" s="7"/>
      <c r="M540" s="52"/>
      <c r="N540" s="7"/>
      <c r="O540" s="7"/>
      <c r="P540" s="47"/>
      <c r="Q540" s="47"/>
      <c r="R540" s="7"/>
      <c r="S540" s="51"/>
      <c r="T540" s="51"/>
      <c r="U540" s="7"/>
      <c r="V540" s="57"/>
      <c r="W540" s="57"/>
      <c r="X540" s="57"/>
    </row>
    <row r="541" spans="1:24" ht="12.5" x14ac:dyDescent="0.25">
      <c r="A541" s="34"/>
      <c r="B541" s="7"/>
      <c r="C541" s="19"/>
      <c r="D541" s="7"/>
      <c r="E541" s="7"/>
      <c r="F541" s="7"/>
      <c r="G541" s="7"/>
      <c r="H541" s="6"/>
      <c r="I541" s="7"/>
      <c r="J541" s="7"/>
      <c r="K541" s="7"/>
      <c r="L541" s="7"/>
      <c r="M541" s="52"/>
      <c r="N541" s="7"/>
      <c r="O541" s="7"/>
      <c r="P541" s="47"/>
      <c r="Q541" s="47"/>
      <c r="R541" s="7"/>
      <c r="S541" s="51"/>
      <c r="T541" s="51"/>
      <c r="U541" s="7"/>
      <c r="V541" s="57"/>
      <c r="W541" s="57"/>
      <c r="X541" s="57"/>
    </row>
    <row r="542" spans="1:24" ht="12.5" x14ac:dyDescent="0.25">
      <c r="A542" s="34"/>
      <c r="B542" s="7"/>
      <c r="C542" s="19"/>
      <c r="D542" s="7"/>
      <c r="E542" s="7"/>
      <c r="F542" s="7"/>
      <c r="G542" s="7"/>
      <c r="H542" s="6"/>
      <c r="I542" s="7"/>
      <c r="J542" s="7"/>
      <c r="K542" s="7"/>
      <c r="L542" s="7"/>
      <c r="M542" s="52"/>
      <c r="N542" s="7"/>
      <c r="O542" s="7"/>
      <c r="P542" s="47"/>
      <c r="Q542" s="47"/>
      <c r="R542" s="7"/>
      <c r="S542" s="51"/>
      <c r="T542" s="51"/>
      <c r="U542" s="7"/>
      <c r="V542" s="57"/>
      <c r="W542" s="57"/>
      <c r="X542" s="57"/>
    </row>
    <row r="543" spans="1:24" ht="12.5" x14ac:dyDescent="0.25">
      <c r="A543" s="34"/>
      <c r="B543" s="7"/>
      <c r="C543" s="19"/>
      <c r="D543" s="7"/>
      <c r="E543" s="7"/>
      <c r="F543" s="7"/>
      <c r="G543" s="7"/>
      <c r="H543" s="6"/>
      <c r="I543" s="7"/>
      <c r="J543" s="7"/>
      <c r="K543" s="7"/>
      <c r="L543" s="7"/>
      <c r="M543" s="52"/>
      <c r="N543" s="7"/>
      <c r="O543" s="7"/>
      <c r="P543" s="47"/>
      <c r="Q543" s="47"/>
      <c r="R543" s="7"/>
      <c r="S543" s="51"/>
      <c r="T543" s="51"/>
      <c r="U543" s="7"/>
      <c r="V543" s="57"/>
      <c r="W543" s="57"/>
      <c r="X543" s="57"/>
    </row>
    <row r="544" spans="1:24" ht="12.5" x14ac:dyDescent="0.25">
      <c r="A544" s="34"/>
      <c r="B544" s="7"/>
      <c r="C544" s="19"/>
      <c r="D544" s="7"/>
      <c r="E544" s="7"/>
      <c r="F544" s="7"/>
      <c r="G544" s="7"/>
      <c r="H544" s="6"/>
      <c r="I544" s="7"/>
      <c r="J544" s="7"/>
      <c r="K544" s="7"/>
      <c r="L544" s="7"/>
      <c r="M544" s="52"/>
      <c r="N544" s="7"/>
      <c r="O544" s="7"/>
      <c r="P544" s="47"/>
      <c r="Q544" s="47"/>
      <c r="R544" s="7"/>
      <c r="S544" s="51"/>
      <c r="T544" s="51"/>
      <c r="U544" s="7"/>
      <c r="V544" s="57"/>
      <c r="W544" s="57"/>
      <c r="X544" s="57"/>
    </row>
    <row r="545" spans="1:24" ht="12.5" x14ac:dyDescent="0.25">
      <c r="A545" s="34"/>
      <c r="B545" s="7"/>
      <c r="C545" s="19"/>
      <c r="D545" s="7"/>
      <c r="E545" s="7"/>
      <c r="F545" s="7"/>
      <c r="G545" s="7"/>
      <c r="H545" s="6"/>
      <c r="I545" s="7"/>
      <c r="J545" s="7"/>
      <c r="K545" s="7"/>
      <c r="L545" s="7"/>
      <c r="M545" s="52"/>
      <c r="N545" s="7"/>
      <c r="O545" s="7"/>
      <c r="P545" s="47"/>
      <c r="Q545" s="47"/>
      <c r="R545" s="7"/>
      <c r="S545" s="51"/>
      <c r="T545" s="51"/>
      <c r="U545" s="7"/>
      <c r="V545" s="57"/>
      <c r="W545" s="57"/>
      <c r="X545" s="57"/>
    </row>
    <row r="546" spans="1:24" ht="12.5" x14ac:dyDescent="0.25">
      <c r="A546" s="34"/>
      <c r="B546" s="7"/>
      <c r="C546" s="19"/>
      <c r="D546" s="7"/>
      <c r="E546" s="7"/>
      <c r="F546" s="7"/>
      <c r="G546" s="7"/>
      <c r="H546" s="6"/>
      <c r="I546" s="7"/>
      <c r="J546" s="7"/>
      <c r="K546" s="7"/>
      <c r="L546" s="7"/>
      <c r="M546" s="52"/>
      <c r="N546" s="7"/>
      <c r="O546" s="7"/>
      <c r="P546" s="47"/>
      <c r="Q546" s="47"/>
      <c r="R546" s="7"/>
      <c r="S546" s="51"/>
      <c r="T546" s="51"/>
      <c r="U546" s="7"/>
      <c r="V546" s="57"/>
      <c r="W546" s="57"/>
      <c r="X546" s="57"/>
    </row>
    <row r="547" spans="1:24" ht="12.5" x14ac:dyDescent="0.25">
      <c r="A547" s="34"/>
      <c r="B547" s="7"/>
      <c r="C547" s="19"/>
      <c r="D547" s="7"/>
      <c r="E547" s="7"/>
      <c r="F547" s="7"/>
      <c r="G547" s="7"/>
      <c r="H547" s="6"/>
      <c r="I547" s="7"/>
      <c r="J547" s="7"/>
      <c r="K547" s="7"/>
      <c r="L547" s="7"/>
      <c r="M547" s="52"/>
      <c r="N547" s="7"/>
      <c r="O547" s="7"/>
      <c r="P547" s="47"/>
      <c r="Q547" s="47"/>
      <c r="R547" s="7"/>
      <c r="S547" s="51"/>
      <c r="T547" s="51"/>
      <c r="U547" s="7"/>
      <c r="V547" s="57"/>
      <c r="W547" s="57"/>
      <c r="X547" s="57"/>
    </row>
    <row r="548" spans="1:24" ht="12.5" x14ac:dyDescent="0.25">
      <c r="A548" s="34"/>
      <c r="B548" s="7"/>
      <c r="C548" s="19"/>
      <c r="D548" s="7"/>
      <c r="E548" s="7"/>
      <c r="F548" s="7"/>
      <c r="G548" s="7"/>
      <c r="H548" s="6"/>
      <c r="I548" s="7"/>
      <c r="J548" s="7"/>
      <c r="K548" s="7"/>
      <c r="L548" s="7"/>
      <c r="M548" s="52"/>
      <c r="N548" s="7"/>
      <c r="O548" s="7"/>
      <c r="P548" s="47"/>
      <c r="Q548" s="47"/>
      <c r="R548" s="7"/>
      <c r="S548" s="51"/>
      <c r="T548" s="51"/>
      <c r="U548" s="7"/>
      <c r="V548" s="57"/>
      <c r="W548" s="57"/>
      <c r="X548" s="57"/>
    </row>
    <row r="549" spans="1:24" ht="12.5" x14ac:dyDescent="0.25">
      <c r="A549" s="34"/>
      <c r="B549" s="7"/>
      <c r="C549" s="19"/>
      <c r="D549" s="7"/>
      <c r="E549" s="7"/>
      <c r="F549" s="7"/>
      <c r="G549" s="7"/>
      <c r="H549" s="6"/>
      <c r="I549" s="7"/>
      <c r="J549" s="7"/>
      <c r="K549" s="7"/>
      <c r="L549" s="7"/>
      <c r="M549" s="52"/>
      <c r="N549" s="7"/>
      <c r="O549" s="7"/>
      <c r="P549" s="47"/>
      <c r="Q549" s="47"/>
      <c r="R549" s="7"/>
      <c r="S549" s="51"/>
      <c r="T549" s="51"/>
      <c r="U549" s="7"/>
      <c r="V549" s="57"/>
      <c r="W549" s="57"/>
      <c r="X549" s="57"/>
    </row>
    <row r="550" spans="1:24" ht="12.5" x14ac:dyDescent="0.25">
      <c r="A550" s="34"/>
      <c r="B550" s="7"/>
      <c r="C550" s="19"/>
      <c r="D550" s="7"/>
      <c r="E550" s="7"/>
      <c r="F550" s="7"/>
      <c r="G550" s="7"/>
      <c r="H550" s="6"/>
      <c r="I550" s="7"/>
      <c r="J550" s="7"/>
      <c r="K550" s="7"/>
      <c r="L550" s="7"/>
      <c r="M550" s="52"/>
      <c r="N550" s="7"/>
      <c r="O550" s="7"/>
      <c r="P550" s="47"/>
      <c r="Q550" s="47"/>
      <c r="R550" s="7"/>
      <c r="S550" s="51"/>
      <c r="T550" s="51"/>
      <c r="U550" s="7"/>
      <c r="V550" s="57"/>
      <c r="W550" s="57"/>
      <c r="X550" s="57"/>
    </row>
    <row r="551" spans="1:24" ht="12.5" x14ac:dyDescent="0.25">
      <c r="A551" s="34"/>
      <c r="B551" s="7"/>
      <c r="C551" s="19"/>
      <c r="D551" s="7"/>
      <c r="E551" s="7"/>
      <c r="F551" s="7"/>
      <c r="G551" s="7"/>
      <c r="H551" s="6"/>
      <c r="I551" s="7"/>
      <c r="J551" s="7"/>
      <c r="K551" s="7"/>
      <c r="L551" s="7"/>
      <c r="M551" s="52"/>
      <c r="N551" s="7"/>
      <c r="O551" s="7"/>
      <c r="P551" s="47"/>
      <c r="Q551" s="47"/>
      <c r="R551" s="7"/>
      <c r="S551" s="51"/>
      <c r="T551" s="51"/>
      <c r="U551" s="7"/>
      <c r="V551" s="57"/>
      <c r="W551" s="57"/>
      <c r="X551" s="57"/>
    </row>
    <row r="552" spans="1:24" ht="12.5" x14ac:dyDescent="0.25">
      <c r="A552" s="34"/>
      <c r="B552" s="7"/>
      <c r="C552" s="19"/>
      <c r="D552" s="7"/>
      <c r="E552" s="7"/>
      <c r="F552" s="7"/>
      <c r="G552" s="7"/>
      <c r="H552" s="6"/>
      <c r="I552" s="7"/>
      <c r="J552" s="7"/>
      <c r="K552" s="7"/>
      <c r="L552" s="7"/>
      <c r="M552" s="52"/>
      <c r="N552" s="7"/>
      <c r="O552" s="7"/>
      <c r="P552" s="47"/>
      <c r="Q552" s="47"/>
      <c r="R552" s="7"/>
      <c r="S552" s="51"/>
      <c r="T552" s="51"/>
      <c r="U552" s="7"/>
      <c r="V552" s="57"/>
      <c r="W552" s="57"/>
      <c r="X552" s="57"/>
    </row>
    <row r="553" spans="1:24" ht="12.5" x14ac:dyDescent="0.25">
      <c r="A553" s="34"/>
      <c r="B553" s="7"/>
      <c r="C553" s="19"/>
      <c r="D553" s="7"/>
      <c r="E553" s="7"/>
      <c r="F553" s="7"/>
      <c r="G553" s="7"/>
      <c r="H553" s="6"/>
      <c r="I553" s="7"/>
      <c r="J553" s="7"/>
      <c r="K553" s="7"/>
      <c r="L553" s="7"/>
      <c r="M553" s="52"/>
      <c r="N553" s="7"/>
      <c r="O553" s="7"/>
      <c r="P553" s="47"/>
      <c r="Q553" s="47"/>
      <c r="R553" s="7"/>
      <c r="S553" s="51"/>
      <c r="T553" s="51"/>
      <c r="U553" s="7"/>
      <c r="V553" s="57"/>
      <c r="W553" s="57"/>
      <c r="X553" s="57"/>
    </row>
    <row r="554" spans="1:24" ht="12.5" x14ac:dyDescent="0.25">
      <c r="A554" s="34"/>
      <c r="B554" s="7"/>
      <c r="C554" s="19"/>
      <c r="D554" s="7"/>
      <c r="E554" s="7"/>
      <c r="F554" s="7"/>
      <c r="G554" s="7"/>
      <c r="H554" s="6"/>
      <c r="I554" s="7"/>
      <c r="J554" s="7"/>
      <c r="K554" s="7"/>
      <c r="L554" s="7"/>
      <c r="M554" s="52"/>
      <c r="N554" s="7"/>
      <c r="O554" s="7"/>
      <c r="P554" s="47"/>
      <c r="Q554" s="47"/>
      <c r="R554" s="7"/>
      <c r="S554" s="51"/>
      <c r="T554" s="51"/>
      <c r="U554" s="7"/>
      <c r="V554" s="57"/>
      <c r="W554" s="57"/>
      <c r="X554" s="57"/>
    </row>
    <row r="555" spans="1:24" ht="12.5" x14ac:dyDescent="0.25">
      <c r="A555" s="34"/>
      <c r="B555" s="7"/>
      <c r="C555" s="19"/>
      <c r="D555" s="7"/>
      <c r="E555" s="7"/>
      <c r="F555" s="7"/>
      <c r="G555" s="7"/>
      <c r="H555" s="6"/>
      <c r="I555" s="7"/>
      <c r="J555" s="7"/>
      <c r="K555" s="7"/>
      <c r="L555" s="7"/>
      <c r="M555" s="52"/>
      <c r="N555" s="7"/>
      <c r="O555" s="7"/>
      <c r="P555" s="47"/>
      <c r="Q555" s="47"/>
      <c r="R555" s="7"/>
      <c r="S555" s="51"/>
      <c r="T555" s="51"/>
      <c r="U555" s="7"/>
      <c r="V555" s="57"/>
      <c r="W555" s="57"/>
      <c r="X555" s="57"/>
    </row>
    <row r="556" spans="1:24" ht="12.5" x14ac:dyDescent="0.25">
      <c r="A556" s="34"/>
      <c r="B556" s="7"/>
      <c r="C556" s="19"/>
      <c r="D556" s="7"/>
      <c r="E556" s="7"/>
      <c r="F556" s="7"/>
      <c r="G556" s="7"/>
      <c r="H556" s="6"/>
      <c r="I556" s="7"/>
      <c r="J556" s="7"/>
      <c r="K556" s="7"/>
      <c r="L556" s="7"/>
      <c r="M556" s="52"/>
      <c r="N556" s="7"/>
      <c r="O556" s="7"/>
      <c r="P556" s="47"/>
      <c r="Q556" s="47"/>
      <c r="R556" s="7"/>
      <c r="S556" s="51"/>
      <c r="T556" s="51"/>
      <c r="U556" s="7"/>
      <c r="V556" s="57"/>
      <c r="W556" s="57"/>
      <c r="X556" s="57"/>
    </row>
    <row r="557" spans="1:24" ht="12.5" x14ac:dyDescent="0.25">
      <c r="A557" s="34"/>
      <c r="B557" s="7"/>
      <c r="C557" s="19"/>
      <c r="D557" s="7"/>
      <c r="E557" s="7"/>
      <c r="F557" s="7"/>
      <c r="G557" s="7"/>
      <c r="H557" s="6"/>
      <c r="I557" s="7"/>
      <c r="J557" s="7"/>
      <c r="K557" s="7"/>
      <c r="L557" s="7"/>
      <c r="M557" s="52"/>
      <c r="N557" s="7"/>
      <c r="O557" s="7"/>
      <c r="P557" s="47"/>
      <c r="Q557" s="47"/>
      <c r="R557" s="7"/>
      <c r="S557" s="51"/>
      <c r="T557" s="51"/>
      <c r="U557" s="7"/>
      <c r="V557" s="57"/>
      <c r="W557" s="57"/>
      <c r="X557" s="57"/>
    </row>
    <row r="558" spans="1:24" ht="12.5" x14ac:dyDescent="0.25">
      <c r="A558" s="34"/>
      <c r="B558" s="7"/>
      <c r="C558" s="19"/>
      <c r="D558" s="7"/>
      <c r="E558" s="7"/>
      <c r="F558" s="7"/>
      <c r="G558" s="7"/>
      <c r="H558" s="6"/>
      <c r="I558" s="7"/>
      <c r="J558" s="7"/>
      <c r="K558" s="7"/>
      <c r="L558" s="7"/>
      <c r="M558" s="52"/>
      <c r="N558" s="7"/>
      <c r="O558" s="7"/>
      <c r="P558" s="47"/>
      <c r="Q558" s="47"/>
      <c r="R558" s="7"/>
      <c r="S558" s="51"/>
      <c r="T558" s="51"/>
      <c r="U558" s="7"/>
      <c r="V558" s="57"/>
      <c r="W558" s="57"/>
      <c r="X558" s="57"/>
    </row>
    <row r="559" spans="1:24" ht="12.5" x14ac:dyDescent="0.25">
      <c r="A559" s="34"/>
      <c r="B559" s="7"/>
      <c r="C559" s="19"/>
      <c r="D559" s="7"/>
      <c r="E559" s="7"/>
      <c r="F559" s="7"/>
      <c r="G559" s="7"/>
      <c r="H559" s="6"/>
      <c r="I559" s="7"/>
      <c r="J559" s="7"/>
      <c r="K559" s="7"/>
      <c r="L559" s="7"/>
      <c r="M559" s="52"/>
      <c r="N559" s="7"/>
      <c r="O559" s="7"/>
      <c r="P559" s="47"/>
      <c r="Q559" s="47"/>
      <c r="R559" s="7"/>
      <c r="S559" s="51"/>
      <c r="T559" s="51"/>
      <c r="U559" s="7"/>
      <c r="V559" s="57"/>
      <c r="W559" s="57"/>
      <c r="X559" s="57"/>
    </row>
    <row r="560" spans="1:24" ht="12.5" x14ac:dyDescent="0.25">
      <c r="A560" s="34"/>
      <c r="B560" s="7"/>
      <c r="C560" s="19"/>
      <c r="D560" s="7"/>
      <c r="E560" s="7"/>
      <c r="F560" s="7"/>
      <c r="G560" s="7"/>
      <c r="H560" s="6"/>
      <c r="I560" s="7"/>
      <c r="J560" s="7"/>
      <c r="K560" s="7"/>
      <c r="L560" s="7"/>
      <c r="M560" s="52"/>
      <c r="N560" s="7"/>
      <c r="O560" s="7"/>
      <c r="P560" s="47"/>
      <c r="Q560" s="47"/>
      <c r="R560" s="7"/>
      <c r="S560" s="51"/>
      <c r="T560" s="51"/>
      <c r="U560" s="7"/>
      <c r="V560" s="57"/>
      <c r="W560" s="57"/>
      <c r="X560" s="57"/>
    </row>
    <row r="561" spans="1:24" ht="12.5" x14ac:dyDescent="0.25">
      <c r="A561" s="34"/>
      <c r="B561" s="7"/>
      <c r="C561" s="19"/>
      <c r="D561" s="7"/>
      <c r="E561" s="7"/>
      <c r="F561" s="7"/>
      <c r="G561" s="7"/>
      <c r="H561" s="6"/>
      <c r="I561" s="7"/>
      <c r="J561" s="7"/>
      <c r="K561" s="7"/>
      <c r="L561" s="7"/>
      <c r="M561" s="52"/>
      <c r="N561" s="7"/>
      <c r="O561" s="7"/>
      <c r="P561" s="47"/>
      <c r="Q561" s="47"/>
      <c r="R561" s="7"/>
      <c r="S561" s="51"/>
      <c r="T561" s="51"/>
      <c r="U561" s="7"/>
      <c r="V561" s="57"/>
      <c r="W561" s="57"/>
      <c r="X561" s="57"/>
    </row>
    <row r="562" spans="1:24" ht="12.5" x14ac:dyDescent="0.25">
      <c r="A562" s="34"/>
      <c r="B562" s="7"/>
      <c r="C562" s="19"/>
      <c r="D562" s="7"/>
      <c r="E562" s="7"/>
      <c r="F562" s="7"/>
      <c r="G562" s="7"/>
      <c r="H562" s="6"/>
      <c r="I562" s="7"/>
      <c r="J562" s="7"/>
      <c r="K562" s="7"/>
      <c r="L562" s="7"/>
      <c r="M562" s="52"/>
      <c r="N562" s="7"/>
      <c r="O562" s="7"/>
      <c r="P562" s="47"/>
      <c r="Q562" s="47"/>
      <c r="R562" s="7"/>
      <c r="S562" s="51"/>
      <c r="T562" s="51"/>
      <c r="U562" s="7"/>
      <c r="V562" s="57"/>
      <c r="W562" s="57"/>
      <c r="X562" s="57"/>
    </row>
    <row r="563" spans="1:24" ht="12.5" x14ac:dyDescent="0.25">
      <c r="A563" s="34"/>
      <c r="B563" s="7"/>
      <c r="C563" s="19"/>
      <c r="D563" s="7"/>
      <c r="E563" s="7"/>
      <c r="F563" s="7"/>
      <c r="G563" s="7"/>
      <c r="H563" s="6"/>
      <c r="I563" s="7"/>
      <c r="J563" s="7"/>
      <c r="K563" s="7"/>
      <c r="L563" s="7"/>
      <c r="M563" s="52"/>
      <c r="N563" s="7"/>
      <c r="O563" s="7"/>
      <c r="P563" s="47"/>
      <c r="Q563" s="47"/>
      <c r="R563" s="7"/>
      <c r="S563" s="51"/>
      <c r="T563" s="51"/>
      <c r="U563" s="7"/>
      <c r="V563" s="57"/>
      <c r="W563" s="57"/>
      <c r="X563" s="57"/>
    </row>
    <row r="564" spans="1:24" ht="12.5" x14ac:dyDescent="0.25">
      <c r="A564" s="34"/>
      <c r="B564" s="7"/>
      <c r="C564" s="19"/>
      <c r="D564" s="7"/>
      <c r="E564" s="7"/>
      <c r="F564" s="7"/>
      <c r="G564" s="7"/>
      <c r="H564" s="6"/>
      <c r="I564" s="7"/>
      <c r="J564" s="7"/>
      <c r="K564" s="7"/>
      <c r="L564" s="7"/>
      <c r="M564" s="52"/>
      <c r="N564" s="7"/>
      <c r="O564" s="7"/>
      <c r="P564" s="47"/>
      <c r="Q564" s="47"/>
      <c r="R564" s="7"/>
      <c r="S564" s="51"/>
      <c r="T564" s="51"/>
      <c r="U564" s="7"/>
      <c r="V564" s="57"/>
      <c r="W564" s="57"/>
      <c r="X564" s="57"/>
    </row>
    <row r="565" spans="1:24" ht="12.5" x14ac:dyDescent="0.25">
      <c r="A565" s="34"/>
      <c r="B565" s="7"/>
      <c r="C565" s="19"/>
      <c r="D565" s="7"/>
      <c r="E565" s="7"/>
      <c r="F565" s="7"/>
      <c r="G565" s="7"/>
      <c r="H565" s="6"/>
      <c r="I565" s="7"/>
      <c r="J565" s="7"/>
      <c r="K565" s="7"/>
      <c r="L565" s="7"/>
      <c r="M565" s="52"/>
      <c r="N565" s="7"/>
      <c r="O565" s="7"/>
      <c r="P565" s="47"/>
      <c r="Q565" s="47"/>
      <c r="R565" s="7"/>
      <c r="S565" s="51"/>
      <c r="T565" s="51"/>
      <c r="U565" s="7"/>
      <c r="V565" s="57"/>
      <c r="W565" s="57"/>
      <c r="X565" s="57"/>
    </row>
    <row r="566" spans="1:24" ht="12.5" x14ac:dyDescent="0.25">
      <c r="A566" s="34"/>
      <c r="B566" s="7"/>
      <c r="C566" s="19"/>
      <c r="D566" s="7"/>
      <c r="E566" s="7"/>
      <c r="F566" s="7"/>
      <c r="G566" s="7"/>
      <c r="H566" s="6"/>
      <c r="I566" s="7"/>
      <c r="J566" s="7"/>
      <c r="K566" s="7"/>
      <c r="L566" s="7"/>
      <c r="M566" s="52"/>
      <c r="N566" s="7"/>
      <c r="O566" s="7"/>
      <c r="P566" s="47"/>
      <c r="Q566" s="47"/>
      <c r="R566" s="7"/>
      <c r="S566" s="51"/>
      <c r="T566" s="51"/>
      <c r="U566" s="7"/>
      <c r="V566" s="57"/>
      <c r="W566" s="57"/>
      <c r="X566" s="57"/>
    </row>
    <row r="567" spans="1:24" ht="12.5" x14ac:dyDescent="0.25">
      <c r="A567" s="34"/>
      <c r="B567" s="7"/>
      <c r="C567" s="19"/>
      <c r="D567" s="7"/>
      <c r="E567" s="7"/>
      <c r="F567" s="7"/>
      <c r="G567" s="7"/>
      <c r="H567" s="6"/>
      <c r="I567" s="7"/>
      <c r="J567" s="7"/>
      <c r="K567" s="7"/>
      <c r="L567" s="7"/>
      <c r="M567" s="52"/>
      <c r="N567" s="7"/>
      <c r="O567" s="7"/>
      <c r="P567" s="47"/>
      <c r="Q567" s="47"/>
      <c r="R567" s="7"/>
      <c r="S567" s="51"/>
      <c r="T567" s="51"/>
      <c r="U567" s="7"/>
      <c r="V567" s="57"/>
      <c r="W567" s="57"/>
      <c r="X567" s="57"/>
    </row>
    <row r="568" spans="1:24" ht="12.5" x14ac:dyDescent="0.25">
      <c r="A568" s="34"/>
      <c r="B568" s="7"/>
      <c r="C568" s="19"/>
      <c r="D568" s="7"/>
      <c r="E568" s="7"/>
      <c r="F568" s="7"/>
      <c r="G568" s="7"/>
      <c r="H568" s="6"/>
      <c r="I568" s="7"/>
      <c r="J568" s="7"/>
      <c r="K568" s="7"/>
      <c r="L568" s="7"/>
      <c r="M568" s="52"/>
      <c r="N568" s="7"/>
      <c r="O568" s="7"/>
      <c r="P568" s="47"/>
      <c r="Q568" s="47"/>
      <c r="R568" s="7"/>
      <c r="S568" s="51"/>
      <c r="T568" s="51"/>
      <c r="U568" s="7"/>
      <c r="V568" s="57"/>
      <c r="W568" s="57"/>
      <c r="X568" s="57"/>
    </row>
    <row r="569" spans="1:24" ht="12.5" x14ac:dyDescent="0.25">
      <c r="A569" s="34"/>
      <c r="B569" s="7"/>
      <c r="C569" s="19"/>
      <c r="D569" s="7"/>
      <c r="E569" s="7"/>
      <c r="F569" s="7"/>
      <c r="G569" s="7"/>
      <c r="H569" s="6"/>
      <c r="I569" s="7"/>
      <c r="J569" s="7"/>
      <c r="K569" s="7"/>
      <c r="L569" s="7"/>
      <c r="M569" s="52"/>
      <c r="N569" s="7"/>
      <c r="O569" s="7"/>
      <c r="P569" s="47"/>
      <c r="Q569" s="47"/>
      <c r="R569" s="7"/>
      <c r="S569" s="51"/>
      <c r="T569" s="51"/>
      <c r="U569" s="7"/>
      <c r="V569" s="57"/>
      <c r="W569" s="57"/>
      <c r="X569" s="57"/>
    </row>
    <row r="570" spans="1:24" ht="12.5" x14ac:dyDescent="0.25">
      <c r="A570" s="34"/>
      <c r="B570" s="7"/>
      <c r="C570" s="19"/>
      <c r="D570" s="7"/>
      <c r="E570" s="7"/>
      <c r="F570" s="7"/>
      <c r="G570" s="7"/>
      <c r="H570" s="6"/>
      <c r="I570" s="7"/>
      <c r="J570" s="7"/>
      <c r="K570" s="7"/>
      <c r="L570" s="7"/>
      <c r="M570" s="52"/>
      <c r="N570" s="7"/>
      <c r="O570" s="7"/>
      <c r="P570" s="47"/>
      <c r="Q570" s="47"/>
      <c r="R570" s="7"/>
      <c r="S570" s="51"/>
      <c r="T570" s="51"/>
      <c r="U570" s="7"/>
      <c r="V570" s="57"/>
      <c r="W570" s="57"/>
      <c r="X570" s="57"/>
    </row>
    <row r="571" spans="1:24" ht="12.5" x14ac:dyDescent="0.25">
      <c r="A571" s="34"/>
      <c r="B571" s="7"/>
      <c r="C571" s="19"/>
      <c r="D571" s="7"/>
      <c r="E571" s="7"/>
      <c r="F571" s="7"/>
      <c r="G571" s="7"/>
      <c r="H571" s="6"/>
      <c r="I571" s="7"/>
      <c r="J571" s="7"/>
      <c r="K571" s="7"/>
      <c r="L571" s="7"/>
      <c r="M571" s="52"/>
      <c r="N571" s="7"/>
      <c r="O571" s="7"/>
      <c r="P571" s="47"/>
      <c r="Q571" s="47"/>
      <c r="R571" s="7"/>
      <c r="S571" s="51"/>
      <c r="T571" s="51"/>
      <c r="U571" s="7"/>
      <c r="V571" s="57"/>
      <c r="W571" s="57"/>
      <c r="X571" s="57"/>
    </row>
    <row r="572" spans="1:24" ht="12.5" x14ac:dyDescent="0.25">
      <c r="A572" s="34"/>
      <c r="B572" s="7"/>
      <c r="C572" s="19"/>
      <c r="D572" s="7"/>
      <c r="E572" s="7"/>
      <c r="F572" s="7"/>
      <c r="G572" s="7"/>
      <c r="H572" s="6"/>
      <c r="I572" s="7"/>
      <c r="J572" s="7"/>
      <c r="K572" s="7"/>
      <c r="L572" s="7"/>
      <c r="M572" s="52"/>
      <c r="N572" s="7"/>
      <c r="O572" s="7"/>
      <c r="P572" s="47"/>
      <c r="Q572" s="47"/>
      <c r="R572" s="7"/>
      <c r="S572" s="51"/>
      <c r="T572" s="51"/>
      <c r="U572" s="7"/>
      <c r="V572" s="57"/>
      <c r="W572" s="57"/>
      <c r="X572" s="57"/>
    </row>
    <row r="573" spans="1:24" ht="12.5" x14ac:dyDescent="0.25">
      <c r="A573" s="34"/>
      <c r="B573" s="7"/>
      <c r="C573" s="19"/>
      <c r="D573" s="7"/>
      <c r="E573" s="7"/>
      <c r="F573" s="7"/>
      <c r="G573" s="7"/>
      <c r="H573" s="6"/>
      <c r="I573" s="7"/>
      <c r="J573" s="7"/>
      <c r="K573" s="7"/>
      <c r="L573" s="7"/>
      <c r="M573" s="52"/>
      <c r="N573" s="7"/>
      <c r="O573" s="7"/>
      <c r="P573" s="47"/>
      <c r="Q573" s="47"/>
      <c r="R573" s="7"/>
      <c r="S573" s="51"/>
      <c r="T573" s="51"/>
      <c r="U573" s="7"/>
      <c r="V573" s="57"/>
      <c r="W573" s="57"/>
      <c r="X573" s="57"/>
    </row>
    <row r="574" spans="1:24" ht="12.5" x14ac:dyDescent="0.25">
      <c r="A574" s="34"/>
      <c r="B574" s="7"/>
      <c r="C574" s="19"/>
      <c r="D574" s="7"/>
      <c r="E574" s="7"/>
      <c r="F574" s="7"/>
      <c r="G574" s="7"/>
      <c r="H574" s="6"/>
      <c r="I574" s="7"/>
      <c r="J574" s="7"/>
      <c r="K574" s="7"/>
      <c r="L574" s="7"/>
      <c r="M574" s="52"/>
      <c r="N574" s="7"/>
      <c r="O574" s="7"/>
      <c r="P574" s="47"/>
      <c r="Q574" s="47"/>
      <c r="R574" s="7"/>
      <c r="S574" s="51"/>
      <c r="T574" s="51"/>
      <c r="U574" s="7"/>
      <c r="V574" s="57"/>
      <c r="W574" s="57"/>
      <c r="X574" s="57"/>
    </row>
    <row r="575" spans="1:24" ht="12.5" x14ac:dyDescent="0.25">
      <c r="A575" s="34"/>
      <c r="B575" s="7"/>
      <c r="C575" s="19"/>
      <c r="D575" s="7"/>
      <c r="E575" s="7"/>
      <c r="F575" s="7"/>
      <c r="G575" s="7"/>
      <c r="H575" s="6"/>
      <c r="I575" s="7"/>
      <c r="J575" s="7"/>
      <c r="K575" s="7"/>
      <c r="L575" s="7"/>
      <c r="M575" s="52"/>
      <c r="N575" s="7"/>
      <c r="O575" s="7"/>
      <c r="P575" s="47"/>
      <c r="Q575" s="47"/>
      <c r="R575" s="7"/>
      <c r="S575" s="51"/>
      <c r="T575" s="51"/>
      <c r="U575" s="7"/>
      <c r="V575" s="57"/>
      <c r="W575" s="57"/>
      <c r="X575" s="57"/>
    </row>
    <row r="576" spans="1:24" ht="12.5" x14ac:dyDescent="0.25">
      <c r="A576" s="34"/>
      <c r="B576" s="7"/>
      <c r="C576" s="19"/>
      <c r="D576" s="7"/>
      <c r="E576" s="7"/>
      <c r="F576" s="7"/>
      <c r="G576" s="7"/>
      <c r="H576" s="6"/>
      <c r="I576" s="7"/>
      <c r="J576" s="7"/>
      <c r="K576" s="7"/>
      <c r="L576" s="7"/>
      <c r="M576" s="52"/>
      <c r="N576" s="7"/>
      <c r="O576" s="7"/>
      <c r="P576" s="47"/>
      <c r="Q576" s="47"/>
      <c r="R576" s="7"/>
      <c r="S576" s="51"/>
      <c r="T576" s="51"/>
      <c r="U576" s="7"/>
      <c r="V576" s="57"/>
      <c r="W576" s="57"/>
      <c r="X576" s="57"/>
    </row>
    <row r="577" spans="1:24" ht="12.5" x14ac:dyDescent="0.25">
      <c r="A577" s="34"/>
      <c r="B577" s="7"/>
      <c r="C577" s="19"/>
      <c r="D577" s="7"/>
      <c r="E577" s="7"/>
      <c r="F577" s="7"/>
      <c r="G577" s="7"/>
      <c r="H577" s="6"/>
      <c r="I577" s="7"/>
      <c r="J577" s="7"/>
      <c r="K577" s="7"/>
      <c r="L577" s="7"/>
      <c r="M577" s="52"/>
      <c r="N577" s="7"/>
      <c r="O577" s="7"/>
      <c r="P577" s="47"/>
      <c r="Q577" s="47"/>
      <c r="R577" s="7"/>
      <c r="S577" s="51"/>
      <c r="T577" s="51"/>
      <c r="U577" s="7"/>
      <c r="V577" s="57"/>
      <c r="W577" s="57"/>
      <c r="X577" s="57"/>
    </row>
    <row r="578" spans="1:24" ht="12.5" x14ac:dyDescent="0.25">
      <c r="A578" s="34"/>
      <c r="B578" s="7"/>
      <c r="C578" s="19"/>
      <c r="D578" s="7"/>
      <c r="E578" s="7"/>
      <c r="F578" s="7"/>
      <c r="G578" s="7"/>
      <c r="H578" s="6"/>
      <c r="I578" s="7"/>
      <c r="J578" s="7"/>
      <c r="K578" s="7"/>
      <c r="L578" s="7"/>
      <c r="M578" s="52"/>
      <c r="N578" s="7"/>
      <c r="O578" s="7"/>
      <c r="P578" s="47"/>
      <c r="Q578" s="47"/>
      <c r="R578" s="7"/>
      <c r="S578" s="51"/>
      <c r="T578" s="51"/>
      <c r="U578" s="7"/>
      <c r="V578" s="57"/>
      <c r="W578" s="57"/>
      <c r="X578" s="57"/>
    </row>
    <row r="579" spans="1:24" ht="12.5" x14ac:dyDescent="0.25">
      <c r="A579" s="34"/>
      <c r="B579" s="7"/>
      <c r="C579" s="19"/>
      <c r="D579" s="7"/>
      <c r="E579" s="7"/>
      <c r="F579" s="7"/>
      <c r="G579" s="7"/>
      <c r="H579" s="6"/>
      <c r="I579" s="7"/>
      <c r="J579" s="7"/>
      <c r="K579" s="7"/>
      <c r="L579" s="7"/>
      <c r="M579" s="52"/>
      <c r="N579" s="7"/>
      <c r="O579" s="7"/>
      <c r="P579" s="47"/>
      <c r="Q579" s="47"/>
      <c r="R579" s="7"/>
      <c r="S579" s="51"/>
      <c r="T579" s="51"/>
      <c r="U579" s="7"/>
      <c r="V579" s="57"/>
      <c r="W579" s="57"/>
      <c r="X579" s="57"/>
    </row>
    <row r="580" spans="1:24" ht="12.5" x14ac:dyDescent="0.25">
      <c r="A580" s="34"/>
      <c r="B580" s="7"/>
      <c r="C580" s="19"/>
      <c r="D580" s="7"/>
      <c r="E580" s="7"/>
      <c r="F580" s="7"/>
      <c r="G580" s="7"/>
      <c r="H580" s="6"/>
      <c r="I580" s="7"/>
      <c r="J580" s="7"/>
      <c r="K580" s="7"/>
      <c r="L580" s="7"/>
      <c r="M580" s="52"/>
      <c r="N580" s="7"/>
      <c r="O580" s="7"/>
      <c r="P580" s="47"/>
      <c r="Q580" s="47"/>
      <c r="R580" s="7"/>
      <c r="S580" s="51"/>
      <c r="T580" s="51"/>
      <c r="U580" s="7"/>
      <c r="V580" s="57"/>
      <c r="W580" s="57"/>
      <c r="X580" s="57"/>
    </row>
    <row r="581" spans="1:24" ht="12.5" x14ac:dyDescent="0.25">
      <c r="A581" s="34"/>
      <c r="B581" s="7"/>
      <c r="C581" s="19"/>
      <c r="D581" s="7"/>
      <c r="E581" s="7"/>
      <c r="F581" s="7"/>
      <c r="G581" s="7"/>
      <c r="H581" s="6"/>
      <c r="I581" s="7"/>
      <c r="J581" s="7"/>
      <c r="K581" s="7"/>
      <c r="L581" s="7"/>
      <c r="M581" s="52"/>
      <c r="N581" s="7"/>
      <c r="O581" s="7"/>
      <c r="P581" s="47"/>
      <c r="Q581" s="47"/>
      <c r="R581" s="7"/>
      <c r="S581" s="51"/>
      <c r="T581" s="51"/>
      <c r="U581" s="7"/>
      <c r="V581" s="57"/>
      <c r="W581" s="57"/>
      <c r="X581" s="57"/>
    </row>
    <row r="582" spans="1:24" ht="12.5" x14ac:dyDescent="0.25">
      <c r="A582" s="34"/>
      <c r="B582" s="7"/>
      <c r="C582" s="19"/>
      <c r="D582" s="7"/>
      <c r="E582" s="7"/>
      <c r="F582" s="7"/>
      <c r="G582" s="7"/>
      <c r="H582" s="6"/>
      <c r="I582" s="7"/>
      <c r="J582" s="7"/>
      <c r="K582" s="7"/>
      <c r="L582" s="7"/>
      <c r="M582" s="52"/>
      <c r="N582" s="7"/>
      <c r="O582" s="7"/>
      <c r="P582" s="47"/>
      <c r="Q582" s="47"/>
      <c r="R582" s="7"/>
      <c r="S582" s="51"/>
      <c r="T582" s="51"/>
      <c r="U582" s="7"/>
      <c r="V582" s="57"/>
      <c r="W582" s="57"/>
      <c r="X582" s="57"/>
    </row>
    <row r="583" spans="1:24" ht="12.5" x14ac:dyDescent="0.25">
      <c r="A583" s="34"/>
      <c r="B583" s="7"/>
      <c r="C583" s="19"/>
      <c r="D583" s="7"/>
      <c r="E583" s="7"/>
      <c r="F583" s="7"/>
      <c r="G583" s="7"/>
      <c r="H583" s="6"/>
      <c r="I583" s="7"/>
      <c r="J583" s="7"/>
      <c r="K583" s="7"/>
      <c r="L583" s="7"/>
      <c r="M583" s="52"/>
      <c r="N583" s="7"/>
      <c r="O583" s="7"/>
      <c r="P583" s="47"/>
      <c r="Q583" s="47"/>
      <c r="R583" s="7"/>
      <c r="S583" s="51"/>
      <c r="T583" s="51"/>
      <c r="U583" s="7"/>
      <c r="V583" s="57"/>
      <c r="W583" s="57"/>
      <c r="X583" s="57"/>
    </row>
    <row r="584" spans="1:24" ht="12.5" x14ac:dyDescent="0.25">
      <c r="A584" s="34"/>
      <c r="B584" s="7"/>
      <c r="C584" s="19"/>
      <c r="D584" s="7"/>
      <c r="E584" s="7"/>
      <c r="F584" s="7"/>
      <c r="G584" s="7"/>
      <c r="H584" s="6"/>
      <c r="I584" s="7"/>
      <c r="J584" s="7"/>
      <c r="K584" s="7"/>
      <c r="L584" s="7"/>
      <c r="M584" s="52"/>
      <c r="N584" s="7"/>
      <c r="O584" s="7"/>
      <c r="P584" s="47"/>
      <c r="Q584" s="47"/>
      <c r="R584" s="7"/>
      <c r="S584" s="51"/>
      <c r="T584" s="51"/>
      <c r="U584" s="7"/>
      <c r="V584" s="57"/>
      <c r="W584" s="57"/>
      <c r="X584" s="57"/>
    </row>
    <row r="585" spans="1:24" ht="12.5" x14ac:dyDescent="0.25">
      <c r="A585" s="34"/>
      <c r="B585" s="7"/>
      <c r="C585" s="19"/>
      <c r="D585" s="7"/>
      <c r="E585" s="7"/>
      <c r="F585" s="7"/>
      <c r="G585" s="7"/>
      <c r="H585" s="6"/>
      <c r="I585" s="7"/>
      <c r="J585" s="7"/>
      <c r="K585" s="7"/>
      <c r="L585" s="7"/>
      <c r="M585" s="52"/>
      <c r="N585" s="7"/>
      <c r="O585" s="7"/>
      <c r="P585" s="47"/>
      <c r="Q585" s="47"/>
      <c r="R585" s="7"/>
      <c r="S585" s="51"/>
      <c r="T585" s="51"/>
      <c r="U585" s="7"/>
      <c r="V585" s="57"/>
      <c r="W585" s="57"/>
      <c r="X585" s="57"/>
    </row>
    <row r="586" spans="1:24" ht="12.5" x14ac:dyDescent="0.25">
      <c r="A586" s="34"/>
      <c r="B586" s="7"/>
      <c r="C586" s="19"/>
      <c r="D586" s="7"/>
      <c r="E586" s="7"/>
      <c r="F586" s="7"/>
      <c r="G586" s="7"/>
      <c r="H586" s="6"/>
      <c r="I586" s="7"/>
      <c r="J586" s="7"/>
      <c r="K586" s="7"/>
      <c r="L586" s="7"/>
      <c r="M586" s="52"/>
      <c r="N586" s="7"/>
      <c r="O586" s="7"/>
      <c r="P586" s="47"/>
      <c r="Q586" s="47"/>
      <c r="R586" s="7"/>
      <c r="S586" s="51"/>
      <c r="T586" s="51"/>
      <c r="U586" s="7"/>
      <c r="V586" s="57"/>
      <c r="W586" s="57"/>
      <c r="X586" s="57"/>
    </row>
    <row r="587" spans="1:24" ht="12.5" x14ac:dyDescent="0.25">
      <c r="A587" s="34"/>
      <c r="B587" s="7"/>
      <c r="C587" s="19"/>
      <c r="D587" s="7"/>
      <c r="E587" s="7"/>
      <c r="F587" s="7"/>
      <c r="G587" s="7"/>
      <c r="H587" s="6"/>
      <c r="I587" s="7"/>
      <c r="J587" s="7"/>
      <c r="K587" s="7"/>
      <c r="L587" s="7"/>
      <c r="M587" s="52"/>
      <c r="N587" s="7"/>
      <c r="O587" s="7"/>
      <c r="P587" s="47"/>
      <c r="Q587" s="47"/>
      <c r="R587" s="7"/>
      <c r="S587" s="51"/>
      <c r="T587" s="51"/>
      <c r="U587" s="7"/>
      <c r="V587" s="57"/>
      <c r="W587" s="57"/>
      <c r="X587" s="57"/>
    </row>
    <row r="588" spans="1:24" ht="12.5" x14ac:dyDescent="0.25">
      <c r="A588" s="34"/>
      <c r="B588" s="7"/>
      <c r="C588" s="19"/>
      <c r="D588" s="7"/>
      <c r="E588" s="7"/>
      <c r="F588" s="7"/>
      <c r="G588" s="7"/>
      <c r="H588" s="6"/>
      <c r="I588" s="7"/>
      <c r="J588" s="7"/>
      <c r="K588" s="7"/>
      <c r="L588" s="7"/>
      <c r="M588" s="52"/>
      <c r="N588" s="7"/>
      <c r="O588" s="7"/>
      <c r="P588" s="47"/>
      <c r="Q588" s="47"/>
      <c r="R588" s="7"/>
      <c r="S588" s="51"/>
      <c r="T588" s="51"/>
      <c r="U588" s="7"/>
      <c r="V588" s="57"/>
      <c r="W588" s="57"/>
      <c r="X588" s="57"/>
    </row>
    <row r="589" spans="1:24" ht="12.5" x14ac:dyDescent="0.25">
      <c r="A589" s="34"/>
      <c r="B589" s="7"/>
      <c r="C589" s="19"/>
      <c r="D589" s="7"/>
      <c r="E589" s="7"/>
      <c r="F589" s="7"/>
      <c r="G589" s="7"/>
      <c r="H589" s="6"/>
      <c r="I589" s="7"/>
      <c r="J589" s="7"/>
      <c r="K589" s="7"/>
      <c r="L589" s="7"/>
      <c r="M589" s="52"/>
      <c r="N589" s="7"/>
      <c r="O589" s="7"/>
      <c r="P589" s="47"/>
      <c r="Q589" s="47"/>
      <c r="R589" s="7"/>
      <c r="S589" s="51"/>
      <c r="T589" s="51"/>
      <c r="U589" s="7"/>
      <c r="V589" s="57"/>
      <c r="W589" s="57"/>
      <c r="X589" s="57"/>
    </row>
    <row r="590" spans="1:24" ht="12.5" x14ac:dyDescent="0.25">
      <c r="A590" s="34"/>
      <c r="B590" s="7"/>
      <c r="C590" s="19"/>
      <c r="D590" s="7"/>
      <c r="E590" s="7"/>
      <c r="F590" s="7"/>
      <c r="G590" s="7"/>
      <c r="H590" s="6"/>
      <c r="I590" s="7"/>
      <c r="J590" s="7"/>
      <c r="K590" s="7"/>
      <c r="L590" s="7"/>
      <c r="M590" s="52"/>
      <c r="N590" s="7"/>
      <c r="O590" s="7"/>
      <c r="P590" s="47"/>
      <c r="Q590" s="47"/>
      <c r="R590" s="7"/>
      <c r="S590" s="51"/>
      <c r="T590" s="51"/>
      <c r="U590" s="7"/>
      <c r="V590" s="57"/>
      <c r="W590" s="57"/>
      <c r="X590" s="57"/>
    </row>
    <row r="591" spans="1:24" ht="12.5" x14ac:dyDescent="0.25">
      <c r="A591" s="34"/>
      <c r="B591" s="7"/>
      <c r="C591" s="19"/>
      <c r="D591" s="7"/>
      <c r="E591" s="7"/>
      <c r="F591" s="7"/>
      <c r="G591" s="7"/>
      <c r="H591" s="6"/>
      <c r="I591" s="7"/>
      <c r="J591" s="7"/>
      <c r="K591" s="7"/>
      <c r="L591" s="7"/>
      <c r="M591" s="52"/>
      <c r="N591" s="7"/>
      <c r="O591" s="7"/>
      <c r="P591" s="47"/>
      <c r="Q591" s="47"/>
      <c r="R591" s="7"/>
      <c r="S591" s="51"/>
      <c r="T591" s="51"/>
      <c r="U591" s="7"/>
      <c r="V591" s="57"/>
      <c r="W591" s="57"/>
      <c r="X591" s="57"/>
    </row>
    <row r="592" spans="1:24" ht="12.5" x14ac:dyDescent="0.25">
      <c r="A592" s="34"/>
      <c r="B592" s="7"/>
      <c r="C592" s="19"/>
      <c r="D592" s="7"/>
      <c r="E592" s="7"/>
      <c r="F592" s="7"/>
      <c r="G592" s="7"/>
      <c r="H592" s="6"/>
      <c r="I592" s="7"/>
      <c r="J592" s="7"/>
      <c r="K592" s="7"/>
      <c r="L592" s="7"/>
      <c r="M592" s="52"/>
      <c r="N592" s="7"/>
      <c r="O592" s="7"/>
      <c r="P592" s="47"/>
      <c r="Q592" s="47"/>
      <c r="R592" s="7"/>
      <c r="S592" s="51"/>
      <c r="T592" s="51"/>
      <c r="U592" s="7"/>
      <c r="V592" s="57"/>
      <c r="W592" s="57"/>
      <c r="X592" s="57"/>
    </row>
    <row r="593" spans="1:24" ht="12.5" x14ac:dyDescent="0.25">
      <c r="A593" s="34"/>
      <c r="B593" s="7"/>
      <c r="C593" s="19"/>
      <c r="D593" s="7"/>
      <c r="E593" s="7"/>
      <c r="F593" s="7"/>
      <c r="G593" s="7"/>
      <c r="H593" s="6"/>
      <c r="I593" s="7"/>
      <c r="J593" s="7"/>
      <c r="K593" s="7"/>
      <c r="L593" s="7"/>
      <c r="M593" s="52"/>
      <c r="N593" s="7"/>
      <c r="O593" s="7"/>
      <c r="P593" s="47"/>
      <c r="Q593" s="47"/>
      <c r="R593" s="7"/>
      <c r="S593" s="51"/>
      <c r="T593" s="51"/>
      <c r="U593" s="7"/>
      <c r="V593" s="57"/>
      <c r="W593" s="57"/>
      <c r="X593" s="57"/>
    </row>
    <row r="594" spans="1:24" ht="12.5" x14ac:dyDescent="0.25">
      <c r="A594" s="34"/>
      <c r="B594" s="7"/>
      <c r="C594" s="19"/>
      <c r="D594" s="7"/>
      <c r="E594" s="7"/>
      <c r="F594" s="7"/>
      <c r="G594" s="7"/>
      <c r="H594" s="6"/>
      <c r="I594" s="7"/>
      <c r="J594" s="7"/>
      <c r="K594" s="7"/>
      <c r="L594" s="7"/>
      <c r="M594" s="52"/>
      <c r="N594" s="7"/>
      <c r="O594" s="7"/>
      <c r="P594" s="47"/>
      <c r="Q594" s="47"/>
      <c r="R594" s="7"/>
      <c r="S594" s="51"/>
      <c r="T594" s="51"/>
      <c r="U594" s="7"/>
      <c r="V594" s="57"/>
      <c r="W594" s="57"/>
      <c r="X594" s="57"/>
    </row>
    <row r="595" spans="1:24" ht="12.5" x14ac:dyDescent="0.25">
      <c r="A595" s="34"/>
      <c r="B595" s="7"/>
      <c r="C595" s="19"/>
      <c r="D595" s="7"/>
      <c r="E595" s="7"/>
      <c r="F595" s="7"/>
      <c r="G595" s="7"/>
      <c r="H595" s="6"/>
      <c r="I595" s="7"/>
      <c r="J595" s="7"/>
      <c r="K595" s="7"/>
      <c r="L595" s="7"/>
      <c r="M595" s="52"/>
      <c r="N595" s="7"/>
      <c r="O595" s="7"/>
      <c r="P595" s="47"/>
      <c r="Q595" s="47"/>
      <c r="R595" s="7"/>
      <c r="S595" s="51"/>
      <c r="T595" s="51"/>
      <c r="U595" s="7"/>
      <c r="V595" s="57"/>
      <c r="W595" s="57"/>
      <c r="X595" s="57"/>
    </row>
    <row r="596" spans="1:24" ht="12.5" x14ac:dyDescent="0.25">
      <c r="A596" s="34"/>
      <c r="B596" s="7"/>
      <c r="C596" s="19"/>
      <c r="D596" s="7"/>
      <c r="E596" s="7"/>
      <c r="F596" s="7"/>
      <c r="G596" s="7"/>
      <c r="H596" s="6"/>
      <c r="I596" s="7"/>
      <c r="J596" s="7"/>
      <c r="K596" s="7"/>
      <c r="L596" s="7"/>
      <c r="M596" s="52"/>
      <c r="N596" s="7"/>
      <c r="O596" s="7"/>
      <c r="P596" s="47"/>
      <c r="Q596" s="47"/>
      <c r="R596" s="7"/>
      <c r="S596" s="51"/>
      <c r="T596" s="51"/>
      <c r="U596" s="7"/>
      <c r="V596" s="57"/>
      <c r="W596" s="57"/>
      <c r="X596" s="57"/>
    </row>
    <row r="597" spans="1:24" ht="12.5" x14ac:dyDescent="0.25">
      <c r="A597" s="34"/>
      <c r="B597" s="7"/>
      <c r="C597" s="19"/>
      <c r="D597" s="7"/>
      <c r="E597" s="7"/>
      <c r="F597" s="7"/>
      <c r="G597" s="7"/>
      <c r="H597" s="6"/>
      <c r="I597" s="7"/>
      <c r="J597" s="7"/>
      <c r="K597" s="7"/>
      <c r="L597" s="7"/>
      <c r="M597" s="52"/>
      <c r="N597" s="7"/>
      <c r="O597" s="7"/>
      <c r="P597" s="47"/>
      <c r="Q597" s="47"/>
      <c r="R597" s="7"/>
      <c r="S597" s="51"/>
      <c r="T597" s="51"/>
      <c r="U597" s="7"/>
      <c r="V597" s="57"/>
      <c r="W597" s="57"/>
      <c r="X597" s="57"/>
    </row>
    <row r="598" spans="1:24" ht="12.5" x14ac:dyDescent="0.25">
      <c r="A598" s="34"/>
      <c r="B598" s="7"/>
      <c r="C598" s="19"/>
      <c r="D598" s="7"/>
      <c r="E598" s="7"/>
      <c r="F598" s="7"/>
      <c r="G598" s="7"/>
      <c r="H598" s="6"/>
      <c r="I598" s="7"/>
      <c r="J598" s="7"/>
      <c r="K598" s="7"/>
      <c r="L598" s="7"/>
      <c r="M598" s="52"/>
      <c r="N598" s="7"/>
      <c r="O598" s="7"/>
      <c r="P598" s="47"/>
      <c r="Q598" s="47"/>
      <c r="R598" s="7"/>
      <c r="S598" s="51"/>
      <c r="T598" s="51"/>
      <c r="U598" s="7"/>
      <c r="V598" s="57"/>
      <c r="W598" s="57"/>
      <c r="X598" s="57"/>
    </row>
    <row r="599" spans="1:24" ht="12.5" x14ac:dyDescent="0.25">
      <c r="A599" s="34"/>
      <c r="B599" s="7"/>
      <c r="C599" s="19"/>
      <c r="D599" s="7"/>
      <c r="E599" s="7"/>
      <c r="F599" s="7"/>
      <c r="G599" s="7"/>
      <c r="H599" s="6"/>
      <c r="I599" s="7"/>
      <c r="J599" s="7"/>
      <c r="K599" s="7"/>
      <c r="L599" s="7"/>
      <c r="M599" s="52"/>
      <c r="N599" s="7"/>
      <c r="O599" s="7"/>
      <c r="P599" s="47"/>
      <c r="Q599" s="47"/>
      <c r="R599" s="7"/>
      <c r="S599" s="51"/>
      <c r="T599" s="51"/>
      <c r="U599" s="7"/>
      <c r="V599" s="57"/>
      <c r="W599" s="57"/>
      <c r="X599" s="57"/>
    </row>
    <row r="600" spans="1:24" ht="12.5" x14ac:dyDescent="0.25">
      <c r="A600" s="34"/>
      <c r="B600" s="7"/>
      <c r="C600" s="19"/>
      <c r="D600" s="7"/>
      <c r="E600" s="7"/>
      <c r="F600" s="7"/>
      <c r="G600" s="7"/>
      <c r="H600" s="6"/>
      <c r="I600" s="7"/>
      <c r="J600" s="7"/>
      <c r="K600" s="7"/>
      <c r="L600" s="7"/>
      <c r="M600" s="52"/>
      <c r="N600" s="7"/>
      <c r="O600" s="7"/>
      <c r="P600" s="47"/>
      <c r="Q600" s="47"/>
      <c r="R600" s="7"/>
      <c r="S600" s="51"/>
      <c r="T600" s="51"/>
      <c r="U600" s="7"/>
      <c r="V600" s="57"/>
      <c r="W600" s="57"/>
      <c r="X600" s="57"/>
    </row>
    <row r="601" spans="1:24" ht="12.5" x14ac:dyDescent="0.25">
      <c r="A601" s="34"/>
      <c r="B601" s="7"/>
      <c r="C601" s="19"/>
      <c r="D601" s="7"/>
      <c r="E601" s="7"/>
      <c r="F601" s="7"/>
      <c r="G601" s="7"/>
      <c r="H601" s="6"/>
      <c r="I601" s="7"/>
      <c r="J601" s="7"/>
      <c r="K601" s="7"/>
      <c r="L601" s="7"/>
      <c r="M601" s="52"/>
      <c r="N601" s="7"/>
      <c r="O601" s="7"/>
      <c r="P601" s="47"/>
      <c r="Q601" s="47"/>
      <c r="R601" s="7"/>
      <c r="S601" s="51"/>
      <c r="T601" s="51"/>
      <c r="U601" s="7"/>
      <c r="V601" s="57"/>
      <c r="W601" s="57"/>
      <c r="X601" s="57"/>
    </row>
    <row r="602" spans="1:24" ht="12.5" x14ac:dyDescent="0.25">
      <c r="A602" s="34"/>
      <c r="B602" s="7"/>
      <c r="C602" s="19"/>
      <c r="D602" s="7"/>
      <c r="E602" s="7"/>
      <c r="F602" s="7"/>
      <c r="G602" s="7"/>
      <c r="H602" s="6"/>
      <c r="I602" s="7"/>
      <c r="J602" s="7"/>
      <c r="K602" s="7"/>
      <c r="L602" s="7"/>
      <c r="M602" s="52"/>
      <c r="N602" s="7"/>
      <c r="O602" s="7"/>
      <c r="P602" s="47"/>
      <c r="Q602" s="47"/>
      <c r="R602" s="7"/>
      <c r="S602" s="51"/>
      <c r="T602" s="51"/>
      <c r="U602" s="7"/>
      <c r="V602" s="57"/>
      <c r="W602" s="57"/>
      <c r="X602" s="57"/>
    </row>
    <row r="603" spans="1:24" ht="12.5" x14ac:dyDescent="0.25">
      <c r="A603" s="34"/>
      <c r="B603" s="7"/>
      <c r="C603" s="19"/>
      <c r="D603" s="7"/>
      <c r="E603" s="7"/>
      <c r="F603" s="7"/>
      <c r="G603" s="7"/>
      <c r="H603" s="6"/>
      <c r="I603" s="7"/>
      <c r="J603" s="7"/>
      <c r="K603" s="7"/>
      <c r="L603" s="7"/>
      <c r="M603" s="52"/>
      <c r="N603" s="7"/>
      <c r="O603" s="7"/>
      <c r="P603" s="47"/>
      <c r="Q603" s="47"/>
      <c r="R603" s="7"/>
      <c r="S603" s="51"/>
      <c r="T603" s="51"/>
      <c r="U603" s="7"/>
      <c r="V603" s="57"/>
      <c r="W603" s="57"/>
      <c r="X603" s="57"/>
    </row>
    <row r="604" spans="1:24" ht="12.5" x14ac:dyDescent="0.25">
      <c r="A604" s="34"/>
      <c r="B604" s="7"/>
      <c r="C604" s="19"/>
      <c r="D604" s="7"/>
      <c r="E604" s="7"/>
      <c r="F604" s="7"/>
      <c r="G604" s="7"/>
      <c r="H604" s="6"/>
      <c r="I604" s="7"/>
      <c r="J604" s="7"/>
      <c r="K604" s="7"/>
      <c r="L604" s="7"/>
      <c r="M604" s="52"/>
      <c r="N604" s="7"/>
      <c r="O604" s="7"/>
      <c r="P604" s="47"/>
      <c r="Q604" s="47"/>
      <c r="R604" s="7"/>
      <c r="S604" s="51"/>
      <c r="T604" s="51"/>
      <c r="U604" s="7"/>
      <c r="V604" s="57"/>
      <c r="W604" s="57"/>
      <c r="X604" s="57"/>
    </row>
    <row r="605" spans="1:24" ht="12.5" x14ac:dyDescent="0.25">
      <c r="A605" s="34"/>
      <c r="B605" s="7"/>
      <c r="C605" s="19"/>
      <c r="D605" s="7"/>
      <c r="E605" s="7"/>
      <c r="F605" s="7"/>
      <c r="G605" s="7"/>
      <c r="H605" s="6"/>
      <c r="I605" s="7"/>
      <c r="J605" s="7"/>
      <c r="K605" s="7"/>
      <c r="L605" s="7"/>
      <c r="M605" s="52"/>
      <c r="N605" s="7"/>
      <c r="O605" s="7"/>
      <c r="P605" s="47"/>
      <c r="Q605" s="47"/>
      <c r="R605" s="7"/>
      <c r="S605" s="51"/>
      <c r="T605" s="51"/>
      <c r="U605" s="7"/>
      <c r="V605" s="57"/>
      <c r="W605" s="57"/>
      <c r="X605" s="57"/>
    </row>
    <row r="606" spans="1:24" ht="12.5" x14ac:dyDescent="0.25">
      <c r="A606" s="34"/>
      <c r="B606" s="7"/>
      <c r="C606" s="19"/>
      <c r="D606" s="7"/>
      <c r="E606" s="7"/>
      <c r="F606" s="7"/>
      <c r="G606" s="7"/>
      <c r="H606" s="6"/>
      <c r="I606" s="7"/>
      <c r="J606" s="7"/>
      <c r="K606" s="7"/>
      <c r="L606" s="7"/>
      <c r="M606" s="52"/>
      <c r="N606" s="7"/>
      <c r="O606" s="7"/>
      <c r="P606" s="47"/>
      <c r="Q606" s="47"/>
      <c r="R606" s="7"/>
      <c r="S606" s="51"/>
      <c r="T606" s="51"/>
      <c r="U606" s="7"/>
      <c r="V606" s="57"/>
      <c r="W606" s="57"/>
      <c r="X606" s="57"/>
    </row>
    <row r="607" spans="1:24" ht="12.5" x14ac:dyDescent="0.25">
      <c r="A607" s="34"/>
      <c r="B607" s="7"/>
      <c r="C607" s="19"/>
      <c r="D607" s="7"/>
      <c r="E607" s="7"/>
      <c r="F607" s="7"/>
      <c r="G607" s="7"/>
      <c r="H607" s="6"/>
      <c r="I607" s="7"/>
      <c r="J607" s="7"/>
      <c r="K607" s="7"/>
      <c r="L607" s="7"/>
      <c r="M607" s="52"/>
      <c r="N607" s="7"/>
      <c r="O607" s="7"/>
      <c r="P607" s="47"/>
      <c r="Q607" s="47"/>
      <c r="R607" s="7"/>
      <c r="S607" s="51"/>
      <c r="T607" s="51"/>
      <c r="U607" s="7"/>
      <c r="V607" s="57"/>
      <c r="W607" s="57"/>
      <c r="X607" s="57"/>
    </row>
    <row r="608" spans="1:24" ht="12.5" x14ac:dyDescent="0.25">
      <c r="A608" s="34"/>
      <c r="B608" s="7"/>
      <c r="C608" s="19"/>
      <c r="D608" s="7"/>
      <c r="E608" s="7"/>
      <c r="F608" s="7"/>
      <c r="G608" s="7"/>
      <c r="H608" s="6"/>
      <c r="I608" s="7"/>
      <c r="J608" s="7"/>
      <c r="K608" s="7"/>
      <c r="L608" s="7"/>
      <c r="M608" s="52"/>
      <c r="N608" s="7"/>
      <c r="O608" s="7"/>
      <c r="P608" s="47"/>
      <c r="Q608" s="47"/>
      <c r="R608" s="7"/>
      <c r="S608" s="51"/>
      <c r="T608" s="51"/>
      <c r="U608" s="7"/>
      <c r="V608" s="57"/>
      <c r="W608" s="57"/>
      <c r="X608" s="57"/>
    </row>
    <row r="609" spans="1:24" ht="12.5" x14ac:dyDescent="0.25">
      <c r="A609" s="34"/>
      <c r="B609" s="7"/>
      <c r="C609" s="19"/>
      <c r="D609" s="7"/>
      <c r="E609" s="7"/>
      <c r="F609" s="7"/>
      <c r="G609" s="7"/>
      <c r="H609" s="6"/>
      <c r="I609" s="7"/>
      <c r="J609" s="7"/>
      <c r="K609" s="7"/>
      <c r="L609" s="7"/>
      <c r="M609" s="52"/>
      <c r="N609" s="7"/>
      <c r="O609" s="7"/>
      <c r="P609" s="47"/>
      <c r="Q609" s="47"/>
      <c r="R609" s="7"/>
      <c r="S609" s="51"/>
      <c r="T609" s="51"/>
      <c r="U609" s="7"/>
      <c r="V609" s="57"/>
      <c r="W609" s="57"/>
      <c r="X609" s="57"/>
    </row>
    <row r="610" spans="1:24" ht="12.5" x14ac:dyDescent="0.25">
      <c r="A610" s="34"/>
      <c r="B610" s="7"/>
      <c r="C610" s="19"/>
      <c r="D610" s="7"/>
      <c r="E610" s="7"/>
      <c r="F610" s="7"/>
      <c r="G610" s="7"/>
      <c r="H610" s="6"/>
      <c r="I610" s="7"/>
      <c r="J610" s="7"/>
      <c r="K610" s="7"/>
      <c r="L610" s="7"/>
      <c r="M610" s="52"/>
      <c r="N610" s="7"/>
      <c r="O610" s="7"/>
      <c r="P610" s="47"/>
      <c r="Q610" s="47"/>
      <c r="R610" s="7"/>
      <c r="S610" s="51"/>
      <c r="T610" s="51"/>
      <c r="U610" s="7"/>
      <c r="V610" s="57"/>
      <c r="W610" s="57"/>
      <c r="X610" s="57"/>
    </row>
    <row r="611" spans="1:24" ht="12.5" x14ac:dyDescent="0.25">
      <c r="A611" s="34"/>
      <c r="B611" s="7"/>
      <c r="C611" s="19"/>
      <c r="D611" s="7"/>
      <c r="E611" s="7"/>
      <c r="F611" s="7"/>
      <c r="G611" s="7"/>
      <c r="H611" s="6"/>
      <c r="I611" s="7"/>
      <c r="J611" s="7"/>
      <c r="K611" s="7"/>
      <c r="L611" s="7"/>
      <c r="M611" s="52"/>
      <c r="N611" s="7"/>
      <c r="O611" s="7"/>
      <c r="P611" s="47"/>
      <c r="Q611" s="47"/>
      <c r="R611" s="7"/>
      <c r="S611" s="51"/>
      <c r="T611" s="51"/>
      <c r="U611" s="7"/>
      <c r="V611" s="57"/>
      <c r="W611" s="57"/>
      <c r="X611" s="57"/>
    </row>
    <row r="612" spans="1:24" ht="12.5" x14ac:dyDescent="0.25">
      <c r="A612" s="34"/>
      <c r="B612" s="7"/>
      <c r="C612" s="19"/>
      <c r="D612" s="7"/>
      <c r="E612" s="7"/>
      <c r="F612" s="7"/>
      <c r="G612" s="7"/>
      <c r="H612" s="6"/>
      <c r="I612" s="7"/>
      <c r="J612" s="7"/>
      <c r="K612" s="7"/>
      <c r="L612" s="7"/>
      <c r="M612" s="52"/>
      <c r="N612" s="7"/>
      <c r="O612" s="7"/>
      <c r="P612" s="47"/>
      <c r="Q612" s="47"/>
      <c r="R612" s="7"/>
      <c r="S612" s="51"/>
      <c r="T612" s="51"/>
      <c r="U612" s="7"/>
      <c r="V612" s="57"/>
      <c r="W612" s="57"/>
      <c r="X612" s="57"/>
    </row>
    <row r="613" spans="1:24" ht="12.5" x14ac:dyDescent="0.25">
      <c r="A613" s="34"/>
      <c r="B613" s="7"/>
      <c r="C613" s="19"/>
      <c r="D613" s="7"/>
      <c r="E613" s="7"/>
      <c r="F613" s="7"/>
      <c r="G613" s="7"/>
      <c r="H613" s="6"/>
      <c r="I613" s="7"/>
      <c r="J613" s="7"/>
      <c r="K613" s="7"/>
      <c r="L613" s="7"/>
      <c r="M613" s="52"/>
      <c r="N613" s="7"/>
      <c r="O613" s="7"/>
      <c r="P613" s="47"/>
      <c r="Q613" s="47"/>
      <c r="R613" s="7"/>
      <c r="S613" s="51"/>
      <c r="T613" s="51"/>
      <c r="U613" s="7"/>
      <c r="V613" s="57"/>
      <c r="W613" s="57"/>
      <c r="X613" s="57"/>
    </row>
    <row r="614" spans="1:24" ht="12.5" x14ac:dyDescent="0.25">
      <c r="A614" s="34"/>
      <c r="B614" s="7"/>
      <c r="C614" s="19"/>
      <c r="D614" s="7"/>
      <c r="E614" s="7"/>
      <c r="F614" s="7"/>
      <c r="G614" s="7"/>
      <c r="H614" s="6"/>
      <c r="I614" s="7"/>
      <c r="J614" s="7"/>
      <c r="K614" s="7"/>
      <c r="L614" s="7"/>
      <c r="M614" s="52"/>
      <c r="N614" s="7"/>
      <c r="O614" s="7"/>
      <c r="P614" s="47"/>
      <c r="Q614" s="47"/>
      <c r="R614" s="7"/>
      <c r="S614" s="51"/>
      <c r="T614" s="51"/>
      <c r="U614" s="7"/>
      <c r="V614" s="57"/>
      <c r="W614" s="57"/>
      <c r="X614" s="57"/>
    </row>
    <row r="615" spans="1:24" ht="12.5" x14ac:dyDescent="0.25">
      <c r="A615" s="34"/>
      <c r="B615" s="7"/>
      <c r="C615" s="19"/>
      <c r="D615" s="7"/>
      <c r="E615" s="7"/>
      <c r="F615" s="7"/>
      <c r="G615" s="7"/>
      <c r="H615" s="6"/>
      <c r="I615" s="7"/>
      <c r="J615" s="7"/>
      <c r="K615" s="7"/>
      <c r="L615" s="7"/>
      <c r="M615" s="52"/>
      <c r="N615" s="7"/>
      <c r="O615" s="7"/>
      <c r="P615" s="47"/>
      <c r="Q615" s="47"/>
      <c r="R615" s="7"/>
      <c r="S615" s="51"/>
      <c r="T615" s="51"/>
      <c r="U615" s="7"/>
      <c r="V615" s="57"/>
      <c r="W615" s="57"/>
      <c r="X615" s="57"/>
    </row>
    <row r="616" spans="1:24" ht="12.5" x14ac:dyDescent="0.25">
      <c r="A616" s="34"/>
      <c r="B616" s="7"/>
      <c r="C616" s="19"/>
      <c r="D616" s="7"/>
      <c r="E616" s="7"/>
      <c r="F616" s="7"/>
      <c r="G616" s="7"/>
      <c r="H616" s="6"/>
      <c r="I616" s="7"/>
      <c r="J616" s="7"/>
      <c r="K616" s="7"/>
      <c r="L616" s="7"/>
      <c r="M616" s="52"/>
      <c r="N616" s="7"/>
      <c r="O616" s="7"/>
      <c r="P616" s="47"/>
      <c r="Q616" s="47"/>
      <c r="R616" s="7"/>
      <c r="S616" s="51"/>
      <c r="T616" s="51"/>
      <c r="U616" s="7"/>
      <c r="V616" s="57"/>
      <c r="W616" s="57"/>
      <c r="X616" s="57"/>
    </row>
    <row r="617" spans="1:24" ht="12.5" x14ac:dyDescent="0.25">
      <c r="A617" s="34"/>
      <c r="B617" s="7"/>
      <c r="C617" s="19"/>
      <c r="D617" s="7"/>
      <c r="E617" s="7"/>
      <c r="F617" s="7"/>
      <c r="G617" s="7"/>
      <c r="H617" s="6"/>
      <c r="I617" s="7"/>
      <c r="J617" s="7"/>
      <c r="K617" s="7"/>
      <c r="L617" s="7"/>
      <c r="M617" s="52"/>
      <c r="N617" s="7"/>
      <c r="O617" s="7"/>
      <c r="P617" s="47"/>
      <c r="Q617" s="47"/>
      <c r="R617" s="7"/>
      <c r="S617" s="51"/>
      <c r="T617" s="51"/>
      <c r="U617" s="7"/>
      <c r="V617" s="57"/>
      <c r="W617" s="57"/>
      <c r="X617" s="57"/>
    </row>
    <row r="618" spans="1:24" ht="12.5" x14ac:dyDescent="0.25">
      <c r="A618" s="34"/>
      <c r="B618" s="7"/>
      <c r="C618" s="19"/>
      <c r="D618" s="7"/>
      <c r="E618" s="7"/>
      <c r="F618" s="7"/>
      <c r="G618" s="7"/>
      <c r="H618" s="6"/>
      <c r="I618" s="7"/>
      <c r="J618" s="7"/>
      <c r="K618" s="7"/>
      <c r="L618" s="7"/>
      <c r="M618" s="52"/>
      <c r="N618" s="7"/>
      <c r="O618" s="7"/>
      <c r="P618" s="47"/>
      <c r="Q618" s="47"/>
      <c r="R618" s="7"/>
      <c r="S618" s="51"/>
      <c r="T618" s="51"/>
      <c r="U618" s="7"/>
      <c r="V618" s="57"/>
      <c r="W618" s="57"/>
      <c r="X618" s="57"/>
    </row>
    <row r="619" spans="1:24" ht="12.5" x14ac:dyDescent="0.25">
      <c r="A619" s="34"/>
      <c r="B619" s="7"/>
      <c r="C619" s="19"/>
      <c r="D619" s="7"/>
      <c r="E619" s="7"/>
      <c r="F619" s="7"/>
      <c r="G619" s="7"/>
      <c r="H619" s="6"/>
      <c r="I619" s="7"/>
      <c r="J619" s="7"/>
      <c r="K619" s="7"/>
      <c r="L619" s="7"/>
      <c r="M619" s="52"/>
      <c r="N619" s="7"/>
      <c r="O619" s="7"/>
      <c r="P619" s="47"/>
      <c r="Q619" s="47"/>
      <c r="R619" s="7"/>
      <c r="S619" s="51"/>
      <c r="T619" s="51"/>
      <c r="U619" s="7"/>
      <c r="V619" s="57"/>
      <c r="W619" s="57"/>
      <c r="X619" s="57"/>
    </row>
    <row r="620" spans="1:24" ht="12.5" x14ac:dyDescent="0.25">
      <c r="A620" s="34"/>
      <c r="B620" s="7"/>
      <c r="C620" s="19"/>
      <c r="D620" s="7"/>
      <c r="E620" s="7"/>
      <c r="F620" s="7"/>
      <c r="G620" s="7"/>
      <c r="H620" s="6"/>
      <c r="I620" s="7"/>
      <c r="J620" s="7"/>
      <c r="K620" s="7"/>
      <c r="L620" s="7"/>
      <c r="M620" s="52"/>
      <c r="N620" s="7"/>
      <c r="O620" s="7"/>
      <c r="P620" s="47"/>
      <c r="Q620" s="47"/>
      <c r="R620" s="7"/>
      <c r="S620" s="51"/>
      <c r="T620" s="51"/>
      <c r="U620" s="7"/>
      <c r="V620" s="57"/>
      <c r="W620" s="57"/>
      <c r="X620" s="57"/>
    </row>
    <row r="621" spans="1:24" ht="12.5" x14ac:dyDescent="0.25">
      <c r="A621" s="34"/>
      <c r="B621" s="7"/>
      <c r="C621" s="19"/>
      <c r="D621" s="7"/>
      <c r="E621" s="7"/>
      <c r="F621" s="7"/>
      <c r="G621" s="7"/>
      <c r="H621" s="6"/>
      <c r="I621" s="7"/>
      <c r="J621" s="7"/>
      <c r="K621" s="7"/>
      <c r="L621" s="7"/>
      <c r="M621" s="52"/>
      <c r="N621" s="7"/>
      <c r="O621" s="7"/>
      <c r="P621" s="47"/>
      <c r="Q621" s="47"/>
      <c r="R621" s="7"/>
      <c r="S621" s="51"/>
      <c r="T621" s="51"/>
      <c r="U621" s="7"/>
      <c r="V621" s="57"/>
      <c r="W621" s="57"/>
      <c r="X621" s="57"/>
    </row>
    <row r="622" spans="1:24" ht="12.5" x14ac:dyDescent="0.25">
      <c r="A622" s="34"/>
      <c r="B622" s="7"/>
      <c r="C622" s="19"/>
      <c r="D622" s="7"/>
      <c r="E622" s="7"/>
      <c r="F622" s="7"/>
      <c r="G622" s="7"/>
      <c r="H622" s="6"/>
      <c r="I622" s="7"/>
      <c r="J622" s="7"/>
      <c r="K622" s="7"/>
      <c r="L622" s="7"/>
      <c r="M622" s="52"/>
      <c r="N622" s="7"/>
      <c r="O622" s="7"/>
      <c r="P622" s="47"/>
      <c r="Q622" s="47"/>
      <c r="R622" s="7"/>
      <c r="S622" s="51"/>
      <c r="T622" s="51"/>
      <c r="U622" s="7"/>
      <c r="V622" s="57"/>
      <c r="W622" s="57"/>
      <c r="X622" s="57"/>
    </row>
    <row r="623" spans="1:24" ht="12.5" x14ac:dyDescent="0.25">
      <c r="A623" s="34"/>
      <c r="B623" s="7"/>
      <c r="C623" s="19"/>
      <c r="D623" s="7"/>
      <c r="E623" s="7"/>
      <c r="F623" s="7"/>
      <c r="G623" s="7"/>
      <c r="H623" s="6"/>
      <c r="I623" s="7"/>
      <c r="J623" s="7"/>
      <c r="K623" s="7"/>
      <c r="L623" s="7"/>
      <c r="M623" s="52"/>
      <c r="N623" s="7"/>
      <c r="O623" s="7"/>
      <c r="P623" s="47"/>
      <c r="Q623" s="47"/>
      <c r="R623" s="7"/>
      <c r="S623" s="51"/>
      <c r="T623" s="51"/>
      <c r="U623" s="7"/>
      <c r="V623" s="57"/>
      <c r="W623" s="57"/>
      <c r="X623" s="57"/>
    </row>
    <row r="624" spans="1:24" ht="12.5" x14ac:dyDescent="0.25">
      <c r="A624" s="34"/>
      <c r="B624" s="7"/>
      <c r="C624" s="19"/>
      <c r="D624" s="7"/>
      <c r="E624" s="7"/>
      <c r="F624" s="7"/>
      <c r="G624" s="7"/>
      <c r="H624" s="6"/>
      <c r="I624" s="7"/>
      <c r="J624" s="7"/>
      <c r="K624" s="7"/>
      <c r="L624" s="7"/>
      <c r="M624" s="52"/>
      <c r="N624" s="7"/>
      <c r="O624" s="7"/>
      <c r="P624" s="47"/>
      <c r="Q624" s="47"/>
      <c r="R624" s="7"/>
      <c r="S624" s="51"/>
      <c r="T624" s="51"/>
      <c r="U624" s="7"/>
      <c r="V624" s="57"/>
      <c r="W624" s="57"/>
      <c r="X624" s="57"/>
    </row>
    <row r="625" spans="1:24" ht="12.5" x14ac:dyDescent="0.25">
      <c r="A625" s="34"/>
      <c r="B625" s="7"/>
      <c r="C625" s="19"/>
      <c r="D625" s="7"/>
      <c r="E625" s="7"/>
      <c r="F625" s="7"/>
      <c r="G625" s="7"/>
      <c r="H625" s="6"/>
      <c r="I625" s="7"/>
      <c r="J625" s="7"/>
      <c r="K625" s="7"/>
      <c r="L625" s="7"/>
      <c r="M625" s="52"/>
      <c r="N625" s="7"/>
      <c r="O625" s="7"/>
      <c r="P625" s="47"/>
      <c r="Q625" s="47"/>
      <c r="R625" s="7"/>
      <c r="S625" s="51"/>
      <c r="T625" s="51"/>
      <c r="U625" s="7"/>
      <c r="V625" s="57"/>
      <c r="W625" s="57"/>
      <c r="X625" s="57"/>
    </row>
    <row r="626" spans="1:24" ht="12.5" x14ac:dyDescent="0.25">
      <c r="A626" s="34"/>
      <c r="B626" s="7"/>
      <c r="C626" s="19"/>
      <c r="D626" s="7"/>
      <c r="E626" s="7"/>
      <c r="F626" s="7"/>
      <c r="G626" s="7"/>
      <c r="H626" s="6"/>
      <c r="I626" s="7"/>
      <c r="J626" s="7"/>
      <c r="K626" s="7"/>
      <c r="L626" s="7"/>
      <c r="M626" s="52"/>
      <c r="N626" s="7"/>
      <c r="O626" s="7"/>
      <c r="P626" s="47"/>
      <c r="Q626" s="47"/>
      <c r="R626" s="7"/>
      <c r="S626" s="51"/>
      <c r="T626" s="51"/>
      <c r="U626" s="7"/>
      <c r="V626" s="57"/>
      <c r="W626" s="57"/>
      <c r="X626" s="57"/>
    </row>
    <row r="627" spans="1:24" ht="12.5" x14ac:dyDescent="0.25">
      <c r="A627" s="34"/>
      <c r="B627" s="7"/>
      <c r="C627" s="19"/>
      <c r="D627" s="7"/>
      <c r="E627" s="7"/>
      <c r="F627" s="7"/>
      <c r="G627" s="7"/>
      <c r="H627" s="6"/>
      <c r="I627" s="7"/>
      <c r="J627" s="7"/>
      <c r="K627" s="7"/>
      <c r="L627" s="7"/>
      <c r="M627" s="52"/>
      <c r="N627" s="7"/>
      <c r="O627" s="7"/>
      <c r="P627" s="47"/>
      <c r="Q627" s="47"/>
      <c r="R627" s="7"/>
      <c r="S627" s="51"/>
      <c r="T627" s="51"/>
      <c r="U627" s="7"/>
      <c r="V627" s="57"/>
      <c r="W627" s="57"/>
      <c r="X627" s="57"/>
    </row>
    <row r="628" spans="1:24" ht="12.5" x14ac:dyDescent="0.25">
      <c r="A628" s="34"/>
      <c r="B628" s="7"/>
      <c r="C628" s="19"/>
      <c r="D628" s="7"/>
      <c r="E628" s="7"/>
      <c r="F628" s="7"/>
      <c r="G628" s="7"/>
      <c r="H628" s="6"/>
      <c r="I628" s="7"/>
      <c r="J628" s="7"/>
      <c r="K628" s="7"/>
      <c r="L628" s="7"/>
      <c r="M628" s="52"/>
      <c r="N628" s="7"/>
      <c r="O628" s="7"/>
      <c r="P628" s="47"/>
      <c r="Q628" s="47"/>
      <c r="R628" s="7"/>
      <c r="S628" s="51"/>
      <c r="T628" s="51"/>
      <c r="U628" s="7"/>
      <c r="V628" s="57"/>
      <c r="W628" s="57"/>
      <c r="X628" s="57"/>
    </row>
    <row r="629" spans="1:24" ht="12.5" x14ac:dyDescent="0.25">
      <c r="A629" s="34"/>
      <c r="B629" s="7"/>
      <c r="C629" s="19"/>
      <c r="D629" s="7"/>
      <c r="E629" s="7"/>
      <c r="F629" s="7"/>
      <c r="G629" s="7"/>
      <c r="H629" s="6"/>
      <c r="I629" s="7"/>
      <c r="J629" s="7"/>
      <c r="K629" s="7"/>
      <c r="L629" s="7"/>
      <c r="M629" s="52"/>
      <c r="N629" s="7"/>
      <c r="O629" s="7"/>
      <c r="P629" s="47"/>
      <c r="Q629" s="47"/>
      <c r="R629" s="7"/>
      <c r="S629" s="51"/>
      <c r="T629" s="51"/>
      <c r="U629" s="7"/>
      <c r="V629" s="57"/>
      <c r="W629" s="57"/>
      <c r="X629" s="57"/>
    </row>
    <row r="630" spans="1:24" ht="12.5" x14ac:dyDescent="0.25">
      <c r="A630" s="34"/>
      <c r="B630" s="7"/>
      <c r="C630" s="19"/>
      <c r="D630" s="7"/>
      <c r="E630" s="7"/>
      <c r="F630" s="7"/>
      <c r="G630" s="7"/>
      <c r="H630" s="6"/>
      <c r="I630" s="7"/>
      <c r="J630" s="7"/>
      <c r="K630" s="7"/>
      <c r="L630" s="7"/>
      <c r="M630" s="52"/>
      <c r="N630" s="7"/>
      <c r="O630" s="7"/>
      <c r="P630" s="47"/>
      <c r="Q630" s="47"/>
      <c r="R630" s="7"/>
      <c r="S630" s="51"/>
      <c r="T630" s="51"/>
      <c r="U630" s="7"/>
      <c r="V630" s="57"/>
      <c r="W630" s="57"/>
      <c r="X630" s="57"/>
    </row>
    <row r="631" spans="1:24" ht="12.5" x14ac:dyDescent="0.25">
      <c r="A631" s="34"/>
      <c r="B631" s="7"/>
      <c r="C631" s="19"/>
      <c r="D631" s="7"/>
      <c r="E631" s="7"/>
      <c r="F631" s="7"/>
      <c r="G631" s="7"/>
      <c r="H631" s="6"/>
      <c r="I631" s="7"/>
      <c r="J631" s="7"/>
      <c r="K631" s="7"/>
      <c r="L631" s="7"/>
      <c r="M631" s="52"/>
      <c r="N631" s="7"/>
      <c r="O631" s="7"/>
      <c r="P631" s="47"/>
      <c r="Q631" s="47"/>
      <c r="R631" s="7"/>
      <c r="S631" s="51"/>
      <c r="T631" s="51"/>
      <c r="U631" s="7"/>
      <c r="V631" s="57"/>
      <c r="W631" s="57"/>
      <c r="X631" s="57"/>
    </row>
    <row r="632" spans="1:24" ht="12.5" x14ac:dyDescent="0.25">
      <c r="A632" s="34"/>
      <c r="B632" s="7"/>
      <c r="C632" s="19"/>
      <c r="D632" s="7"/>
      <c r="E632" s="7"/>
      <c r="F632" s="7"/>
      <c r="G632" s="7"/>
      <c r="H632" s="6"/>
      <c r="I632" s="7"/>
      <c r="J632" s="7"/>
      <c r="K632" s="7"/>
      <c r="L632" s="7"/>
      <c r="M632" s="52"/>
      <c r="N632" s="7"/>
      <c r="O632" s="7"/>
      <c r="P632" s="47"/>
      <c r="Q632" s="47"/>
      <c r="R632" s="7"/>
      <c r="S632" s="51"/>
      <c r="T632" s="51"/>
      <c r="U632" s="7"/>
      <c r="V632" s="57"/>
      <c r="W632" s="57"/>
      <c r="X632" s="57"/>
    </row>
    <row r="633" spans="1:24" ht="12.5" x14ac:dyDescent="0.25">
      <c r="A633" s="34"/>
      <c r="B633" s="7"/>
      <c r="C633" s="19"/>
      <c r="D633" s="7"/>
      <c r="E633" s="7"/>
      <c r="F633" s="7"/>
      <c r="G633" s="7"/>
      <c r="H633" s="6"/>
      <c r="I633" s="7"/>
      <c r="J633" s="7"/>
      <c r="K633" s="7"/>
      <c r="L633" s="7"/>
      <c r="M633" s="52"/>
      <c r="N633" s="7"/>
      <c r="O633" s="7"/>
      <c r="P633" s="47"/>
      <c r="Q633" s="47"/>
      <c r="R633" s="7"/>
      <c r="S633" s="51"/>
      <c r="T633" s="51"/>
      <c r="U633" s="7"/>
      <c r="V633" s="57"/>
      <c r="W633" s="57"/>
      <c r="X633" s="57"/>
    </row>
    <row r="634" spans="1:24" ht="12.5" x14ac:dyDescent="0.25">
      <c r="A634" s="34"/>
      <c r="B634" s="7"/>
      <c r="C634" s="19"/>
      <c r="D634" s="7"/>
      <c r="E634" s="7"/>
      <c r="F634" s="7"/>
      <c r="G634" s="7"/>
      <c r="H634" s="6"/>
      <c r="I634" s="7"/>
      <c r="J634" s="7"/>
      <c r="K634" s="7"/>
      <c r="L634" s="7"/>
      <c r="M634" s="52"/>
      <c r="N634" s="7"/>
      <c r="O634" s="7"/>
      <c r="P634" s="47"/>
      <c r="Q634" s="47"/>
      <c r="R634" s="7"/>
      <c r="S634" s="51"/>
      <c r="T634" s="51"/>
      <c r="U634" s="7"/>
      <c r="V634" s="57"/>
      <c r="W634" s="57"/>
      <c r="X634" s="57"/>
    </row>
    <row r="635" spans="1:24" ht="12.5" x14ac:dyDescent="0.25">
      <c r="A635" s="34"/>
      <c r="B635" s="7"/>
      <c r="C635" s="19"/>
      <c r="D635" s="7"/>
      <c r="E635" s="7"/>
      <c r="F635" s="7"/>
      <c r="G635" s="7"/>
      <c r="H635" s="6"/>
      <c r="I635" s="7"/>
      <c r="J635" s="7"/>
      <c r="K635" s="7"/>
      <c r="L635" s="7"/>
      <c r="M635" s="52"/>
      <c r="N635" s="7"/>
      <c r="O635" s="7"/>
      <c r="P635" s="47"/>
      <c r="Q635" s="47"/>
      <c r="R635" s="7"/>
      <c r="S635" s="51"/>
      <c r="T635" s="51"/>
      <c r="U635" s="7"/>
      <c r="V635" s="57"/>
      <c r="W635" s="57"/>
      <c r="X635" s="57"/>
    </row>
    <row r="636" spans="1:24" ht="12.5" x14ac:dyDescent="0.25">
      <c r="A636" s="34"/>
      <c r="B636" s="7"/>
      <c r="C636" s="19"/>
      <c r="D636" s="7"/>
      <c r="E636" s="7"/>
      <c r="F636" s="7"/>
      <c r="G636" s="7"/>
      <c r="H636" s="6"/>
      <c r="I636" s="7"/>
      <c r="J636" s="7"/>
      <c r="K636" s="7"/>
      <c r="L636" s="7"/>
      <c r="M636" s="52"/>
      <c r="N636" s="7"/>
      <c r="O636" s="7"/>
      <c r="P636" s="47"/>
      <c r="Q636" s="47"/>
      <c r="R636" s="7"/>
      <c r="S636" s="51"/>
      <c r="T636" s="51"/>
      <c r="U636" s="7"/>
      <c r="V636" s="57"/>
      <c r="W636" s="57"/>
      <c r="X636" s="57"/>
    </row>
    <row r="637" spans="1:24" ht="12.5" x14ac:dyDescent="0.25">
      <c r="A637" s="34"/>
      <c r="B637" s="7"/>
      <c r="C637" s="19"/>
      <c r="D637" s="7"/>
      <c r="E637" s="7"/>
      <c r="F637" s="7"/>
      <c r="G637" s="7"/>
      <c r="H637" s="6"/>
      <c r="I637" s="7"/>
      <c r="J637" s="7"/>
      <c r="K637" s="7"/>
      <c r="L637" s="7"/>
      <c r="M637" s="52"/>
      <c r="N637" s="7"/>
      <c r="O637" s="7"/>
      <c r="P637" s="47"/>
      <c r="Q637" s="47"/>
      <c r="R637" s="7"/>
      <c r="S637" s="51"/>
      <c r="T637" s="51"/>
      <c r="U637" s="7"/>
      <c r="V637" s="57"/>
      <c r="W637" s="57"/>
      <c r="X637" s="57"/>
    </row>
    <row r="638" spans="1:24" ht="12.5" x14ac:dyDescent="0.25">
      <c r="A638" s="34"/>
      <c r="B638" s="7"/>
      <c r="C638" s="19"/>
      <c r="D638" s="7"/>
      <c r="E638" s="7"/>
      <c r="F638" s="7"/>
      <c r="G638" s="7"/>
      <c r="H638" s="6"/>
      <c r="I638" s="7"/>
      <c r="J638" s="7"/>
      <c r="K638" s="7"/>
      <c r="L638" s="7"/>
      <c r="M638" s="52"/>
      <c r="N638" s="7"/>
      <c r="O638" s="7"/>
      <c r="P638" s="47"/>
      <c r="Q638" s="47"/>
      <c r="R638" s="7"/>
      <c r="S638" s="51"/>
      <c r="T638" s="51"/>
      <c r="U638" s="7"/>
      <c r="V638" s="57"/>
      <c r="W638" s="57"/>
      <c r="X638" s="57"/>
    </row>
    <row r="639" spans="1:24" ht="12.5" x14ac:dyDescent="0.25">
      <c r="A639" s="34"/>
      <c r="B639" s="7"/>
      <c r="C639" s="19"/>
      <c r="D639" s="7"/>
      <c r="E639" s="7"/>
      <c r="F639" s="7"/>
      <c r="G639" s="7"/>
      <c r="H639" s="6"/>
      <c r="I639" s="7"/>
      <c r="J639" s="7"/>
      <c r="K639" s="7"/>
      <c r="L639" s="7"/>
      <c r="M639" s="52"/>
      <c r="N639" s="7"/>
      <c r="O639" s="7"/>
      <c r="P639" s="47"/>
      <c r="Q639" s="47"/>
      <c r="R639" s="7"/>
      <c r="S639" s="51"/>
      <c r="T639" s="51"/>
      <c r="U639" s="7"/>
      <c r="V639" s="57"/>
      <c r="W639" s="57"/>
      <c r="X639" s="57"/>
    </row>
    <row r="640" spans="1:24" ht="12.5" x14ac:dyDescent="0.25">
      <c r="A640" s="34"/>
      <c r="B640" s="7"/>
      <c r="C640" s="19"/>
      <c r="D640" s="7"/>
      <c r="E640" s="7"/>
      <c r="F640" s="7"/>
      <c r="G640" s="7"/>
      <c r="H640" s="6"/>
      <c r="I640" s="7"/>
      <c r="J640" s="7"/>
      <c r="K640" s="7"/>
      <c r="L640" s="7"/>
      <c r="M640" s="52"/>
      <c r="N640" s="7"/>
      <c r="O640" s="7"/>
      <c r="P640" s="47"/>
      <c r="Q640" s="47"/>
      <c r="R640" s="7"/>
      <c r="S640" s="51"/>
      <c r="T640" s="51"/>
      <c r="U640" s="7"/>
      <c r="V640" s="57"/>
      <c r="W640" s="57"/>
      <c r="X640" s="57"/>
    </row>
    <row r="641" spans="1:24" ht="12.5" x14ac:dyDescent="0.25">
      <c r="A641" s="34"/>
      <c r="B641" s="7"/>
      <c r="C641" s="19"/>
      <c r="D641" s="7"/>
      <c r="E641" s="7"/>
      <c r="F641" s="7"/>
      <c r="G641" s="7"/>
      <c r="H641" s="6"/>
      <c r="I641" s="7"/>
      <c r="J641" s="7"/>
      <c r="K641" s="7"/>
      <c r="L641" s="7"/>
      <c r="M641" s="52"/>
      <c r="N641" s="7"/>
      <c r="O641" s="7"/>
      <c r="P641" s="47"/>
      <c r="Q641" s="47"/>
      <c r="R641" s="7"/>
      <c r="S641" s="51"/>
      <c r="T641" s="51"/>
      <c r="U641" s="7"/>
      <c r="V641" s="57"/>
      <c r="W641" s="57"/>
      <c r="X641" s="57"/>
    </row>
    <row r="642" spans="1:24" ht="12.5" x14ac:dyDescent="0.25">
      <c r="A642" s="34"/>
      <c r="B642" s="7"/>
      <c r="C642" s="19"/>
      <c r="D642" s="7"/>
      <c r="E642" s="7"/>
      <c r="F642" s="7"/>
      <c r="G642" s="7"/>
      <c r="H642" s="6"/>
      <c r="I642" s="7"/>
      <c r="J642" s="7"/>
      <c r="K642" s="7"/>
      <c r="L642" s="7"/>
      <c r="M642" s="52"/>
      <c r="N642" s="7"/>
      <c r="O642" s="7"/>
      <c r="P642" s="47"/>
      <c r="Q642" s="47"/>
      <c r="R642" s="7"/>
      <c r="S642" s="51"/>
      <c r="T642" s="51"/>
      <c r="U642" s="7"/>
      <c r="V642" s="57"/>
      <c r="W642" s="57"/>
      <c r="X642" s="57"/>
    </row>
    <row r="643" spans="1:24" ht="12.5" x14ac:dyDescent="0.25">
      <c r="A643" s="34"/>
      <c r="B643" s="7"/>
      <c r="C643" s="19"/>
      <c r="D643" s="7"/>
      <c r="E643" s="7"/>
      <c r="F643" s="7"/>
      <c r="G643" s="7"/>
      <c r="H643" s="6"/>
      <c r="I643" s="7"/>
      <c r="J643" s="7"/>
      <c r="K643" s="7"/>
      <c r="L643" s="7"/>
      <c r="M643" s="52"/>
      <c r="N643" s="7"/>
      <c r="O643" s="7"/>
      <c r="P643" s="47"/>
      <c r="Q643" s="47"/>
      <c r="R643" s="7"/>
      <c r="S643" s="51"/>
      <c r="T643" s="51"/>
      <c r="U643" s="7"/>
      <c r="V643" s="57"/>
      <c r="W643" s="57"/>
      <c r="X643" s="57"/>
    </row>
    <row r="644" spans="1:24" ht="12.5" x14ac:dyDescent="0.25">
      <c r="A644" s="34"/>
      <c r="B644" s="7"/>
      <c r="C644" s="19"/>
      <c r="D644" s="7"/>
      <c r="E644" s="7"/>
      <c r="F644" s="7"/>
      <c r="G644" s="7"/>
      <c r="H644" s="6"/>
      <c r="I644" s="7"/>
      <c r="J644" s="7"/>
      <c r="K644" s="7"/>
      <c r="L644" s="7"/>
      <c r="M644" s="52"/>
      <c r="N644" s="7"/>
      <c r="O644" s="7"/>
      <c r="P644" s="47"/>
      <c r="Q644" s="47"/>
      <c r="R644" s="7"/>
      <c r="S644" s="51"/>
      <c r="T644" s="51"/>
      <c r="U644" s="7"/>
      <c r="V644" s="57"/>
      <c r="W644" s="57"/>
      <c r="X644" s="57"/>
    </row>
    <row r="645" spans="1:24" ht="12.5" x14ac:dyDescent="0.25">
      <c r="A645" s="34"/>
      <c r="B645" s="7"/>
      <c r="C645" s="19"/>
      <c r="D645" s="7"/>
      <c r="E645" s="7"/>
      <c r="F645" s="7"/>
      <c r="G645" s="7"/>
      <c r="H645" s="6"/>
      <c r="I645" s="7"/>
      <c r="J645" s="7"/>
      <c r="K645" s="7"/>
      <c r="L645" s="7"/>
      <c r="M645" s="52"/>
      <c r="N645" s="7"/>
      <c r="O645" s="7"/>
      <c r="P645" s="47"/>
      <c r="Q645" s="47"/>
      <c r="R645" s="7"/>
      <c r="S645" s="51"/>
      <c r="T645" s="51"/>
      <c r="U645" s="7"/>
      <c r="V645" s="57"/>
      <c r="W645" s="57"/>
      <c r="X645" s="57"/>
    </row>
    <row r="646" spans="1:24" ht="12.5" x14ac:dyDescent="0.25">
      <c r="A646" s="34"/>
      <c r="B646" s="7"/>
      <c r="C646" s="19"/>
      <c r="D646" s="7"/>
      <c r="E646" s="7"/>
      <c r="F646" s="7"/>
      <c r="G646" s="7"/>
      <c r="H646" s="6"/>
      <c r="I646" s="7"/>
      <c r="J646" s="7"/>
      <c r="K646" s="7"/>
      <c r="L646" s="7"/>
      <c r="M646" s="52"/>
      <c r="N646" s="7"/>
      <c r="O646" s="7"/>
      <c r="P646" s="47"/>
      <c r="Q646" s="47"/>
      <c r="R646" s="7"/>
      <c r="S646" s="51"/>
      <c r="T646" s="51"/>
      <c r="U646" s="7"/>
      <c r="V646" s="57"/>
      <c r="W646" s="57"/>
      <c r="X646" s="57"/>
    </row>
    <row r="647" spans="1:24" ht="12.5" x14ac:dyDescent="0.25">
      <c r="A647" s="34"/>
      <c r="B647" s="7"/>
      <c r="C647" s="19"/>
      <c r="D647" s="7"/>
      <c r="E647" s="7"/>
      <c r="F647" s="7"/>
      <c r="G647" s="7"/>
      <c r="H647" s="6"/>
      <c r="I647" s="7"/>
      <c r="J647" s="7"/>
      <c r="K647" s="7"/>
      <c r="L647" s="7"/>
      <c r="M647" s="52"/>
      <c r="N647" s="7"/>
      <c r="O647" s="7"/>
      <c r="P647" s="47"/>
      <c r="Q647" s="47"/>
      <c r="R647" s="7"/>
      <c r="S647" s="51"/>
      <c r="T647" s="51"/>
      <c r="U647" s="7"/>
      <c r="V647" s="57"/>
      <c r="W647" s="57"/>
      <c r="X647" s="57"/>
    </row>
    <row r="648" spans="1:24" ht="12.5" x14ac:dyDescent="0.25">
      <c r="A648" s="34"/>
      <c r="B648" s="7"/>
      <c r="C648" s="19"/>
      <c r="D648" s="7"/>
      <c r="E648" s="7"/>
      <c r="F648" s="7"/>
      <c r="G648" s="7"/>
      <c r="H648" s="6"/>
      <c r="I648" s="7"/>
      <c r="J648" s="7"/>
      <c r="K648" s="7"/>
      <c r="L648" s="7"/>
      <c r="M648" s="52"/>
      <c r="N648" s="7"/>
      <c r="O648" s="7"/>
      <c r="P648" s="47"/>
      <c r="Q648" s="47"/>
      <c r="R648" s="7"/>
      <c r="S648" s="51"/>
      <c r="T648" s="51"/>
      <c r="U648" s="7"/>
      <c r="V648" s="57"/>
      <c r="W648" s="57"/>
      <c r="X648" s="57"/>
    </row>
    <row r="649" spans="1:24" ht="12.5" x14ac:dyDescent="0.25">
      <c r="A649" s="34"/>
      <c r="B649" s="7"/>
      <c r="C649" s="19"/>
      <c r="D649" s="7"/>
      <c r="E649" s="7"/>
      <c r="F649" s="7"/>
      <c r="G649" s="7"/>
      <c r="H649" s="6"/>
      <c r="I649" s="7"/>
      <c r="J649" s="7"/>
      <c r="K649" s="7"/>
      <c r="L649" s="7"/>
      <c r="M649" s="52"/>
      <c r="N649" s="7"/>
      <c r="O649" s="7"/>
      <c r="P649" s="47"/>
      <c r="Q649" s="47"/>
      <c r="R649" s="7"/>
      <c r="S649" s="51"/>
      <c r="T649" s="51"/>
      <c r="U649" s="7"/>
      <c r="V649" s="57"/>
      <c r="W649" s="57"/>
      <c r="X649" s="57"/>
    </row>
    <row r="650" spans="1:24" ht="12.5" x14ac:dyDescent="0.25">
      <c r="A650" s="34"/>
      <c r="B650" s="7"/>
      <c r="C650" s="19"/>
      <c r="D650" s="7"/>
      <c r="E650" s="7"/>
      <c r="F650" s="7"/>
      <c r="G650" s="7"/>
      <c r="H650" s="6"/>
      <c r="I650" s="7"/>
      <c r="J650" s="7"/>
      <c r="K650" s="7"/>
      <c r="L650" s="7"/>
      <c r="M650" s="52"/>
      <c r="N650" s="7"/>
      <c r="O650" s="7"/>
      <c r="P650" s="47"/>
      <c r="Q650" s="47"/>
      <c r="R650" s="7"/>
      <c r="S650" s="51"/>
      <c r="T650" s="51"/>
      <c r="U650" s="7"/>
      <c r="V650" s="57"/>
      <c r="W650" s="57"/>
      <c r="X650" s="57"/>
    </row>
    <row r="651" spans="1:24" ht="12.5" x14ac:dyDescent="0.25">
      <c r="A651" s="34"/>
      <c r="B651" s="7"/>
      <c r="C651" s="19"/>
      <c r="D651" s="7"/>
      <c r="E651" s="7"/>
      <c r="F651" s="7"/>
      <c r="G651" s="7"/>
      <c r="H651" s="6"/>
      <c r="I651" s="7"/>
      <c r="J651" s="7"/>
      <c r="K651" s="7"/>
      <c r="L651" s="7"/>
      <c r="M651" s="52"/>
      <c r="N651" s="7"/>
      <c r="O651" s="7"/>
      <c r="P651" s="47"/>
      <c r="Q651" s="47"/>
      <c r="R651" s="7"/>
      <c r="S651" s="51"/>
      <c r="T651" s="51"/>
      <c r="U651" s="7"/>
      <c r="V651" s="57"/>
      <c r="W651" s="57"/>
      <c r="X651" s="57"/>
    </row>
    <row r="652" spans="1:24" ht="12.5" x14ac:dyDescent="0.25">
      <c r="A652" s="34"/>
      <c r="B652" s="7"/>
      <c r="C652" s="19"/>
      <c r="D652" s="7"/>
      <c r="E652" s="7"/>
      <c r="F652" s="7"/>
      <c r="G652" s="7"/>
      <c r="H652" s="6"/>
      <c r="I652" s="7"/>
      <c r="J652" s="7"/>
      <c r="K652" s="7"/>
      <c r="L652" s="7"/>
      <c r="M652" s="52"/>
      <c r="N652" s="7"/>
      <c r="O652" s="7"/>
      <c r="P652" s="47"/>
      <c r="Q652" s="47"/>
      <c r="R652" s="7"/>
      <c r="S652" s="51"/>
      <c r="T652" s="51"/>
      <c r="U652" s="7"/>
      <c r="V652" s="57"/>
      <c r="W652" s="57"/>
      <c r="X652" s="57"/>
    </row>
    <row r="653" spans="1:24" ht="12.5" x14ac:dyDescent="0.25">
      <c r="A653" s="34"/>
      <c r="B653" s="7"/>
      <c r="C653" s="19"/>
      <c r="D653" s="7"/>
      <c r="E653" s="7"/>
      <c r="F653" s="7"/>
      <c r="G653" s="7"/>
      <c r="H653" s="6"/>
      <c r="I653" s="7"/>
      <c r="J653" s="7"/>
      <c r="K653" s="7"/>
      <c r="L653" s="7"/>
      <c r="M653" s="52"/>
      <c r="N653" s="7"/>
      <c r="O653" s="7"/>
      <c r="P653" s="47"/>
      <c r="Q653" s="47"/>
      <c r="R653" s="7"/>
      <c r="S653" s="51"/>
      <c r="T653" s="51"/>
      <c r="U653" s="7"/>
      <c r="V653" s="57"/>
      <c r="W653" s="57"/>
      <c r="X653" s="57"/>
    </row>
    <row r="654" spans="1:24" ht="12.5" x14ac:dyDescent="0.25">
      <c r="A654" s="34"/>
      <c r="B654" s="7"/>
      <c r="C654" s="19"/>
      <c r="D654" s="7"/>
      <c r="E654" s="7"/>
      <c r="F654" s="7"/>
      <c r="G654" s="7"/>
      <c r="H654" s="6"/>
      <c r="I654" s="7"/>
      <c r="J654" s="7"/>
      <c r="K654" s="7"/>
      <c r="L654" s="7"/>
      <c r="M654" s="52"/>
      <c r="N654" s="7"/>
      <c r="O654" s="7"/>
      <c r="P654" s="47"/>
      <c r="Q654" s="47"/>
      <c r="R654" s="7"/>
      <c r="S654" s="51"/>
      <c r="T654" s="51"/>
      <c r="U654" s="7"/>
      <c r="V654" s="57"/>
      <c r="W654" s="57"/>
      <c r="X654" s="57"/>
    </row>
    <row r="655" spans="1:24" ht="12.5" x14ac:dyDescent="0.25">
      <c r="A655" s="34"/>
      <c r="B655" s="7"/>
      <c r="C655" s="19"/>
      <c r="D655" s="7"/>
      <c r="E655" s="7"/>
      <c r="F655" s="7"/>
      <c r="G655" s="7"/>
      <c r="H655" s="6"/>
      <c r="I655" s="7"/>
      <c r="J655" s="7"/>
      <c r="K655" s="7"/>
      <c r="L655" s="7"/>
      <c r="M655" s="52"/>
      <c r="N655" s="7"/>
      <c r="O655" s="7"/>
      <c r="P655" s="47"/>
      <c r="Q655" s="47"/>
      <c r="R655" s="7"/>
      <c r="S655" s="51"/>
      <c r="T655" s="51"/>
      <c r="U655" s="7"/>
      <c r="V655" s="57"/>
      <c r="W655" s="57"/>
      <c r="X655" s="57"/>
    </row>
    <row r="656" spans="1:24" ht="12.5" x14ac:dyDescent="0.25">
      <c r="A656" s="34"/>
      <c r="B656" s="7"/>
      <c r="C656" s="19"/>
      <c r="D656" s="7"/>
      <c r="E656" s="7"/>
      <c r="F656" s="7"/>
      <c r="G656" s="7"/>
      <c r="H656" s="6"/>
      <c r="I656" s="7"/>
      <c r="J656" s="7"/>
      <c r="K656" s="7"/>
      <c r="L656" s="7"/>
      <c r="M656" s="52"/>
      <c r="N656" s="7"/>
      <c r="O656" s="7"/>
      <c r="P656" s="47"/>
      <c r="Q656" s="47"/>
      <c r="R656" s="7"/>
      <c r="S656" s="51"/>
      <c r="T656" s="51"/>
      <c r="U656" s="7"/>
      <c r="V656" s="57"/>
      <c r="W656" s="57"/>
      <c r="X656" s="57"/>
    </row>
    <row r="657" spans="1:24" ht="12.5" x14ac:dyDescent="0.25">
      <c r="A657" s="34"/>
      <c r="B657" s="7"/>
      <c r="C657" s="19"/>
      <c r="D657" s="7"/>
      <c r="E657" s="7"/>
      <c r="F657" s="7"/>
      <c r="G657" s="7"/>
      <c r="H657" s="6"/>
      <c r="I657" s="7"/>
      <c r="J657" s="7"/>
      <c r="K657" s="7"/>
      <c r="L657" s="7"/>
      <c r="M657" s="52"/>
      <c r="N657" s="7"/>
      <c r="O657" s="7"/>
      <c r="P657" s="47"/>
      <c r="Q657" s="47"/>
      <c r="R657" s="7"/>
      <c r="S657" s="51"/>
      <c r="T657" s="51"/>
      <c r="U657" s="7"/>
      <c r="V657" s="57"/>
      <c r="W657" s="57"/>
      <c r="X657" s="57"/>
    </row>
    <row r="658" spans="1:24" ht="12.5" x14ac:dyDescent="0.25">
      <c r="A658" s="34"/>
      <c r="B658" s="7"/>
      <c r="C658" s="19"/>
      <c r="D658" s="7"/>
      <c r="E658" s="7"/>
      <c r="F658" s="7"/>
      <c r="G658" s="7"/>
      <c r="H658" s="6"/>
      <c r="I658" s="7"/>
      <c r="J658" s="7"/>
      <c r="K658" s="7"/>
      <c r="L658" s="7"/>
      <c r="M658" s="52"/>
      <c r="N658" s="7"/>
      <c r="O658" s="7"/>
      <c r="P658" s="47"/>
      <c r="Q658" s="47"/>
      <c r="R658" s="7"/>
      <c r="S658" s="51"/>
      <c r="T658" s="51"/>
      <c r="U658" s="7"/>
      <c r="V658" s="57"/>
      <c r="W658" s="57"/>
      <c r="X658" s="57"/>
    </row>
    <row r="659" spans="1:24" ht="12.5" x14ac:dyDescent="0.25">
      <c r="A659" s="34"/>
      <c r="B659" s="7"/>
      <c r="C659" s="19"/>
      <c r="D659" s="7"/>
      <c r="E659" s="7"/>
      <c r="F659" s="7"/>
      <c r="G659" s="7"/>
      <c r="H659" s="6"/>
      <c r="I659" s="7"/>
      <c r="J659" s="7"/>
      <c r="K659" s="7"/>
      <c r="L659" s="7"/>
      <c r="M659" s="52"/>
      <c r="N659" s="7"/>
      <c r="O659" s="7"/>
      <c r="P659" s="47"/>
      <c r="Q659" s="47"/>
      <c r="R659" s="7"/>
      <c r="S659" s="51"/>
      <c r="T659" s="51"/>
      <c r="U659" s="7"/>
      <c r="V659" s="57"/>
      <c r="W659" s="57"/>
      <c r="X659" s="57"/>
    </row>
    <row r="660" spans="1:24" ht="12.5" x14ac:dyDescent="0.25">
      <c r="A660" s="34"/>
      <c r="B660" s="7"/>
      <c r="C660" s="19"/>
      <c r="D660" s="7"/>
      <c r="E660" s="7"/>
      <c r="F660" s="7"/>
      <c r="G660" s="7"/>
      <c r="H660" s="6"/>
      <c r="I660" s="7"/>
      <c r="J660" s="7"/>
      <c r="K660" s="7"/>
      <c r="L660" s="7"/>
      <c r="M660" s="52"/>
      <c r="N660" s="7"/>
      <c r="O660" s="7"/>
      <c r="P660" s="47"/>
      <c r="Q660" s="47"/>
      <c r="R660" s="7"/>
      <c r="S660" s="51"/>
      <c r="T660" s="51"/>
      <c r="U660" s="7"/>
      <c r="V660" s="57"/>
      <c r="W660" s="57"/>
      <c r="X660" s="57"/>
    </row>
    <row r="661" spans="1:24" ht="12.5" x14ac:dyDescent="0.25">
      <c r="A661" s="34"/>
      <c r="B661" s="7"/>
      <c r="C661" s="19"/>
      <c r="D661" s="7"/>
      <c r="E661" s="7"/>
      <c r="F661" s="7"/>
      <c r="G661" s="7"/>
      <c r="H661" s="6"/>
      <c r="I661" s="7"/>
      <c r="J661" s="7"/>
      <c r="K661" s="7"/>
      <c r="L661" s="7"/>
      <c r="M661" s="52"/>
      <c r="N661" s="7"/>
      <c r="O661" s="7"/>
      <c r="P661" s="47"/>
      <c r="Q661" s="47"/>
      <c r="R661" s="7"/>
      <c r="S661" s="51"/>
      <c r="T661" s="51"/>
      <c r="U661" s="7"/>
      <c r="V661" s="57"/>
      <c r="W661" s="57"/>
      <c r="X661" s="57"/>
    </row>
    <row r="662" spans="1:24" ht="12.5" x14ac:dyDescent="0.25">
      <c r="A662" s="34"/>
      <c r="B662" s="7"/>
      <c r="C662" s="19"/>
      <c r="D662" s="7"/>
      <c r="E662" s="7"/>
      <c r="F662" s="7"/>
      <c r="G662" s="7"/>
      <c r="H662" s="6"/>
      <c r="I662" s="7"/>
      <c r="J662" s="7"/>
      <c r="K662" s="7"/>
      <c r="L662" s="7"/>
      <c r="M662" s="52"/>
      <c r="N662" s="7"/>
      <c r="O662" s="7"/>
      <c r="P662" s="47"/>
      <c r="Q662" s="47"/>
      <c r="R662" s="7"/>
      <c r="S662" s="51"/>
      <c r="T662" s="51"/>
      <c r="U662" s="7"/>
      <c r="V662" s="57"/>
      <c r="W662" s="57"/>
      <c r="X662" s="57"/>
    </row>
    <row r="663" spans="1:24" ht="12.5" x14ac:dyDescent="0.25">
      <c r="A663" s="34"/>
      <c r="B663" s="7"/>
      <c r="C663" s="19"/>
      <c r="D663" s="7"/>
      <c r="E663" s="7"/>
      <c r="F663" s="7"/>
      <c r="G663" s="7"/>
      <c r="H663" s="6"/>
      <c r="I663" s="7"/>
      <c r="J663" s="7"/>
      <c r="K663" s="7"/>
      <c r="L663" s="7"/>
      <c r="M663" s="52"/>
      <c r="N663" s="7"/>
      <c r="O663" s="7"/>
      <c r="P663" s="47"/>
      <c r="Q663" s="47"/>
      <c r="R663" s="7"/>
      <c r="S663" s="51"/>
      <c r="T663" s="51"/>
      <c r="U663" s="7"/>
      <c r="V663" s="57"/>
      <c r="W663" s="57"/>
      <c r="X663" s="57"/>
    </row>
    <row r="664" spans="1:24" ht="12.5" x14ac:dyDescent="0.25">
      <c r="A664" s="34"/>
      <c r="B664" s="7"/>
      <c r="C664" s="19"/>
      <c r="D664" s="7"/>
      <c r="E664" s="7"/>
      <c r="F664" s="7"/>
      <c r="G664" s="7"/>
      <c r="H664" s="6"/>
      <c r="I664" s="7"/>
      <c r="J664" s="7"/>
      <c r="K664" s="7"/>
      <c r="L664" s="7"/>
      <c r="M664" s="52"/>
      <c r="N664" s="7"/>
      <c r="O664" s="7"/>
      <c r="P664" s="47"/>
      <c r="Q664" s="47"/>
      <c r="R664" s="7"/>
      <c r="S664" s="51"/>
      <c r="T664" s="51"/>
      <c r="U664" s="7"/>
      <c r="V664" s="57"/>
      <c r="W664" s="57"/>
      <c r="X664" s="57"/>
    </row>
    <row r="665" spans="1:24" ht="12.5" x14ac:dyDescent="0.25">
      <c r="A665" s="34"/>
      <c r="B665" s="7"/>
      <c r="C665" s="19"/>
      <c r="D665" s="7"/>
      <c r="E665" s="7"/>
      <c r="F665" s="7"/>
      <c r="G665" s="7"/>
      <c r="H665" s="6"/>
      <c r="I665" s="7"/>
      <c r="J665" s="7"/>
      <c r="K665" s="7"/>
      <c r="L665" s="7"/>
      <c r="M665" s="52"/>
      <c r="N665" s="7"/>
      <c r="O665" s="7"/>
      <c r="P665" s="47"/>
      <c r="Q665" s="47"/>
      <c r="R665" s="7"/>
      <c r="S665" s="51"/>
      <c r="T665" s="51"/>
      <c r="U665" s="7"/>
      <c r="V665" s="57"/>
      <c r="W665" s="57"/>
      <c r="X665" s="57"/>
    </row>
    <row r="666" spans="1:24" ht="12.5" x14ac:dyDescent="0.25">
      <c r="A666" s="34"/>
      <c r="B666" s="7"/>
      <c r="C666" s="19"/>
      <c r="D666" s="7"/>
      <c r="E666" s="7"/>
      <c r="F666" s="7"/>
      <c r="G666" s="7"/>
      <c r="H666" s="6"/>
      <c r="I666" s="7"/>
      <c r="J666" s="7"/>
      <c r="K666" s="7"/>
      <c r="L666" s="7"/>
      <c r="M666" s="52"/>
      <c r="N666" s="7"/>
      <c r="O666" s="7"/>
      <c r="P666" s="47"/>
      <c r="Q666" s="47"/>
      <c r="R666" s="7"/>
      <c r="S666" s="51"/>
      <c r="T666" s="51"/>
      <c r="U666" s="7"/>
      <c r="V666" s="57"/>
      <c r="W666" s="57"/>
      <c r="X666" s="57"/>
    </row>
    <row r="667" spans="1:24" ht="12.5" x14ac:dyDescent="0.25">
      <c r="A667" s="34"/>
      <c r="B667" s="7"/>
      <c r="C667" s="19"/>
      <c r="D667" s="7"/>
      <c r="E667" s="7"/>
      <c r="F667" s="7"/>
      <c r="G667" s="7"/>
      <c r="H667" s="6"/>
      <c r="I667" s="7"/>
      <c r="J667" s="7"/>
      <c r="K667" s="7"/>
      <c r="L667" s="7"/>
      <c r="M667" s="52"/>
      <c r="N667" s="7"/>
      <c r="O667" s="7"/>
      <c r="P667" s="47"/>
      <c r="Q667" s="47"/>
      <c r="R667" s="7"/>
      <c r="S667" s="51"/>
      <c r="T667" s="51"/>
      <c r="U667" s="7"/>
      <c r="V667" s="57"/>
      <c r="W667" s="57"/>
      <c r="X667" s="57"/>
    </row>
    <row r="668" spans="1:24" ht="12.5" x14ac:dyDescent="0.25">
      <c r="A668" s="34"/>
      <c r="B668" s="7"/>
      <c r="C668" s="19"/>
      <c r="D668" s="7"/>
      <c r="E668" s="7"/>
      <c r="F668" s="7"/>
      <c r="G668" s="7"/>
      <c r="H668" s="6"/>
      <c r="I668" s="7"/>
      <c r="J668" s="7"/>
      <c r="K668" s="7"/>
      <c r="L668" s="7"/>
      <c r="M668" s="52"/>
      <c r="N668" s="7"/>
      <c r="O668" s="7"/>
      <c r="P668" s="47"/>
      <c r="Q668" s="47"/>
      <c r="R668" s="7"/>
      <c r="S668" s="51"/>
      <c r="T668" s="51"/>
      <c r="U668" s="7"/>
      <c r="V668" s="57"/>
      <c r="W668" s="57"/>
      <c r="X668" s="57"/>
    </row>
    <row r="669" spans="1:24" ht="12.5" x14ac:dyDescent="0.25">
      <c r="A669" s="34"/>
      <c r="B669" s="7"/>
      <c r="C669" s="19"/>
      <c r="D669" s="7"/>
      <c r="E669" s="7"/>
      <c r="F669" s="7"/>
      <c r="G669" s="7"/>
      <c r="H669" s="6"/>
      <c r="I669" s="7"/>
      <c r="J669" s="7"/>
      <c r="K669" s="7"/>
      <c r="L669" s="7"/>
      <c r="M669" s="52"/>
      <c r="N669" s="7"/>
      <c r="O669" s="7"/>
      <c r="P669" s="47"/>
      <c r="Q669" s="47"/>
      <c r="R669" s="7"/>
      <c r="S669" s="51"/>
      <c r="T669" s="51"/>
      <c r="U669" s="7"/>
      <c r="V669" s="57"/>
      <c r="W669" s="57"/>
      <c r="X669" s="57"/>
    </row>
    <row r="670" spans="1:24" ht="12.5" x14ac:dyDescent="0.25">
      <c r="A670" s="34"/>
      <c r="B670" s="7"/>
      <c r="C670" s="19"/>
      <c r="D670" s="7"/>
      <c r="E670" s="7"/>
      <c r="F670" s="7"/>
      <c r="G670" s="7"/>
      <c r="H670" s="6"/>
      <c r="I670" s="7"/>
      <c r="J670" s="7"/>
      <c r="K670" s="7"/>
      <c r="L670" s="7"/>
      <c r="M670" s="52"/>
      <c r="N670" s="7"/>
      <c r="O670" s="7"/>
      <c r="P670" s="47"/>
      <c r="Q670" s="47"/>
      <c r="R670" s="7"/>
      <c r="S670" s="51"/>
      <c r="T670" s="51"/>
      <c r="U670" s="7"/>
      <c r="V670" s="57"/>
      <c r="W670" s="57"/>
      <c r="X670" s="57"/>
    </row>
    <row r="671" spans="1:24" ht="12.5" x14ac:dyDescent="0.25">
      <c r="A671" s="34"/>
      <c r="B671" s="7"/>
      <c r="C671" s="19"/>
      <c r="D671" s="7"/>
      <c r="E671" s="7"/>
      <c r="F671" s="7"/>
      <c r="G671" s="7"/>
      <c r="H671" s="6"/>
      <c r="I671" s="7"/>
      <c r="J671" s="7"/>
      <c r="K671" s="7"/>
      <c r="L671" s="7"/>
      <c r="M671" s="52"/>
      <c r="N671" s="7"/>
      <c r="O671" s="7"/>
      <c r="P671" s="47"/>
      <c r="Q671" s="47"/>
      <c r="R671" s="7"/>
      <c r="S671" s="51"/>
      <c r="T671" s="51"/>
      <c r="U671" s="7"/>
      <c r="V671" s="57"/>
      <c r="W671" s="57"/>
      <c r="X671" s="57"/>
    </row>
    <row r="672" spans="1:24" ht="12.5" x14ac:dyDescent="0.25">
      <c r="A672" s="34"/>
      <c r="B672" s="7"/>
      <c r="C672" s="19"/>
      <c r="D672" s="7"/>
      <c r="E672" s="7"/>
      <c r="F672" s="7"/>
      <c r="G672" s="7"/>
      <c r="H672" s="6"/>
      <c r="I672" s="7"/>
      <c r="J672" s="7"/>
      <c r="K672" s="7"/>
      <c r="L672" s="7"/>
      <c r="M672" s="52"/>
      <c r="N672" s="7"/>
      <c r="O672" s="7"/>
      <c r="P672" s="47"/>
      <c r="Q672" s="47"/>
      <c r="R672" s="7"/>
      <c r="S672" s="51"/>
      <c r="T672" s="51"/>
      <c r="U672" s="7"/>
      <c r="V672" s="57"/>
      <c r="W672" s="57"/>
      <c r="X672" s="57"/>
    </row>
    <row r="673" spans="1:24" ht="12.5" x14ac:dyDescent="0.25">
      <c r="A673" s="34"/>
      <c r="B673" s="7"/>
      <c r="C673" s="19"/>
      <c r="D673" s="7"/>
      <c r="E673" s="7"/>
      <c r="F673" s="7"/>
      <c r="G673" s="7"/>
      <c r="H673" s="6"/>
      <c r="I673" s="7"/>
      <c r="J673" s="7"/>
      <c r="K673" s="7"/>
      <c r="L673" s="7"/>
      <c r="M673" s="52"/>
      <c r="N673" s="7"/>
      <c r="O673" s="7"/>
      <c r="P673" s="47"/>
      <c r="Q673" s="47"/>
      <c r="R673" s="7"/>
      <c r="S673" s="51"/>
      <c r="T673" s="51"/>
      <c r="U673" s="7"/>
      <c r="V673" s="57"/>
      <c r="W673" s="57"/>
      <c r="X673" s="57"/>
    </row>
    <row r="674" spans="1:24" ht="12.5" x14ac:dyDescent="0.25">
      <c r="A674" s="34"/>
      <c r="B674" s="7"/>
      <c r="C674" s="19"/>
      <c r="D674" s="7"/>
      <c r="E674" s="7"/>
      <c r="F674" s="7"/>
      <c r="G674" s="7"/>
      <c r="H674" s="6"/>
      <c r="I674" s="7"/>
      <c r="J674" s="7"/>
      <c r="K674" s="7"/>
      <c r="L674" s="7"/>
      <c r="M674" s="52"/>
      <c r="N674" s="7"/>
      <c r="O674" s="7"/>
      <c r="P674" s="47"/>
      <c r="Q674" s="47"/>
      <c r="R674" s="7"/>
      <c r="S674" s="51"/>
      <c r="T674" s="51"/>
      <c r="U674" s="7"/>
      <c r="V674" s="57"/>
      <c r="W674" s="57"/>
      <c r="X674" s="57"/>
    </row>
    <row r="675" spans="1:24" ht="12.5" x14ac:dyDescent="0.25">
      <c r="A675" s="34"/>
      <c r="B675" s="7"/>
      <c r="C675" s="19"/>
      <c r="D675" s="7"/>
      <c r="E675" s="7"/>
      <c r="F675" s="7"/>
      <c r="G675" s="7"/>
      <c r="H675" s="6"/>
      <c r="I675" s="7"/>
      <c r="J675" s="7"/>
      <c r="K675" s="7"/>
      <c r="L675" s="7"/>
      <c r="M675" s="52"/>
      <c r="N675" s="7"/>
      <c r="O675" s="7"/>
      <c r="P675" s="47"/>
      <c r="Q675" s="47"/>
      <c r="R675" s="7"/>
      <c r="S675" s="51"/>
      <c r="T675" s="51"/>
      <c r="U675" s="7"/>
      <c r="V675" s="57"/>
      <c r="W675" s="57"/>
      <c r="X675" s="57"/>
    </row>
    <row r="676" spans="1:24" ht="12.5" x14ac:dyDescent="0.25">
      <c r="A676" s="34"/>
      <c r="B676" s="7"/>
      <c r="C676" s="19"/>
      <c r="D676" s="7"/>
      <c r="E676" s="7"/>
      <c r="F676" s="7"/>
      <c r="G676" s="7"/>
      <c r="H676" s="6"/>
      <c r="I676" s="7"/>
      <c r="J676" s="7"/>
      <c r="K676" s="7"/>
      <c r="L676" s="7"/>
      <c r="M676" s="52"/>
      <c r="N676" s="7"/>
      <c r="O676" s="7"/>
      <c r="P676" s="47"/>
      <c r="Q676" s="47"/>
      <c r="R676" s="7"/>
      <c r="S676" s="51"/>
      <c r="T676" s="51"/>
      <c r="U676" s="7"/>
      <c r="V676" s="57"/>
      <c r="W676" s="57"/>
      <c r="X676" s="57"/>
    </row>
    <row r="677" spans="1:24" ht="12.5" x14ac:dyDescent="0.25">
      <c r="A677" s="34"/>
      <c r="B677" s="7"/>
      <c r="C677" s="19"/>
      <c r="D677" s="7"/>
      <c r="E677" s="7"/>
      <c r="F677" s="7"/>
      <c r="G677" s="7"/>
      <c r="H677" s="6"/>
      <c r="I677" s="7"/>
      <c r="J677" s="7"/>
      <c r="K677" s="7"/>
      <c r="L677" s="7"/>
      <c r="M677" s="52"/>
      <c r="N677" s="7"/>
      <c r="O677" s="7"/>
      <c r="P677" s="47"/>
      <c r="Q677" s="47"/>
      <c r="R677" s="7"/>
      <c r="S677" s="51"/>
      <c r="T677" s="51"/>
      <c r="U677" s="7"/>
      <c r="V677" s="57"/>
      <c r="W677" s="57"/>
      <c r="X677" s="57"/>
    </row>
    <row r="678" spans="1:24" ht="12.5" x14ac:dyDescent="0.25">
      <c r="A678" s="34"/>
      <c r="B678" s="7"/>
      <c r="C678" s="19"/>
      <c r="D678" s="7"/>
      <c r="E678" s="7"/>
      <c r="F678" s="7"/>
      <c r="G678" s="7"/>
      <c r="H678" s="6"/>
      <c r="I678" s="7"/>
      <c r="J678" s="7"/>
      <c r="K678" s="7"/>
      <c r="L678" s="7"/>
      <c r="M678" s="52"/>
      <c r="N678" s="7"/>
      <c r="O678" s="7"/>
      <c r="P678" s="47"/>
      <c r="Q678" s="47"/>
      <c r="R678" s="7"/>
      <c r="S678" s="51"/>
      <c r="T678" s="51"/>
      <c r="U678" s="7"/>
      <c r="V678" s="57"/>
      <c r="W678" s="57"/>
      <c r="X678" s="57"/>
    </row>
    <row r="679" spans="1:24" ht="12.5" x14ac:dyDescent="0.25">
      <c r="A679" s="34"/>
      <c r="B679" s="7"/>
      <c r="C679" s="19"/>
      <c r="D679" s="7"/>
      <c r="E679" s="7"/>
      <c r="F679" s="7"/>
      <c r="G679" s="7"/>
      <c r="H679" s="6"/>
      <c r="I679" s="7"/>
      <c r="J679" s="7"/>
      <c r="K679" s="7"/>
      <c r="L679" s="7"/>
      <c r="M679" s="52"/>
      <c r="N679" s="7"/>
      <c r="O679" s="7"/>
      <c r="P679" s="47"/>
      <c r="Q679" s="47"/>
      <c r="R679" s="7"/>
      <c r="S679" s="51"/>
      <c r="T679" s="51"/>
      <c r="U679" s="7"/>
      <c r="V679" s="57"/>
      <c r="W679" s="57"/>
      <c r="X679" s="57"/>
    </row>
    <row r="680" spans="1:24" ht="12.5" x14ac:dyDescent="0.25">
      <c r="A680" s="34"/>
      <c r="B680" s="7"/>
      <c r="C680" s="19"/>
      <c r="D680" s="7"/>
      <c r="E680" s="7"/>
      <c r="F680" s="7"/>
      <c r="G680" s="7"/>
      <c r="H680" s="6"/>
      <c r="I680" s="7"/>
      <c r="J680" s="7"/>
      <c r="K680" s="7"/>
      <c r="L680" s="7"/>
      <c r="M680" s="52"/>
      <c r="N680" s="7"/>
      <c r="O680" s="7"/>
      <c r="P680" s="47"/>
      <c r="Q680" s="47"/>
      <c r="R680" s="7"/>
      <c r="S680" s="51"/>
      <c r="T680" s="51"/>
      <c r="U680" s="7"/>
      <c r="V680" s="57"/>
      <c r="W680" s="57"/>
      <c r="X680" s="57"/>
    </row>
    <row r="681" spans="1:24" ht="12.5" x14ac:dyDescent="0.25">
      <c r="A681" s="34"/>
      <c r="B681" s="7"/>
      <c r="C681" s="19"/>
      <c r="D681" s="7"/>
      <c r="E681" s="7"/>
      <c r="F681" s="7"/>
      <c r="G681" s="7"/>
      <c r="H681" s="6"/>
      <c r="I681" s="7"/>
      <c r="J681" s="7"/>
      <c r="K681" s="7"/>
      <c r="L681" s="7"/>
      <c r="M681" s="52"/>
      <c r="N681" s="7"/>
      <c r="O681" s="7"/>
      <c r="P681" s="47"/>
      <c r="Q681" s="47"/>
      <c r="R681" s="7"/>
      <c r="S681" s="51"/>
      <c r="T681" s="51"/>
      <c r="U681" s="7"/>
      <c r="V681" s="57"/>
      <c r="W681" s="57"/>
      <c r="X681" s="57"/>
    </row>
    <row r="682" spans="1:24" ht="12.5" x14ac:dyDescent="0.25">
      <c r="A682" s="34"/>
      <c r="B682" s="7"/>
      <c r="C682" s="19"/>
      <c r="D682" s="7"/>
      <c r="E682" s="7"/>
      <c r="F682" s="7"/>
      <c r="G682" s="7"/>
      <c r="H682" s="6"/>
      <c r="I682" s="7"/>
      <c r="J682" s="7"/>
      <c r="K682" s="7"/>
      <c r="L682" s="7"/>
      <c r="M682" s="52"/>
      <c r="N682" s="7"/>
      <c r="O682" s="7"/>
      <c r="P682" s="47"/>
      <c r="Q682" s="47"/>
      <c r="R682" s="7"/>
      <c r="S682" s="51"/>
      <c r="T682" s="51"/>
      <c r="U682" s="7"/>
      <c r="V682" s="57"/>
      <c r="W682" s="57"/>
      <c r="X682" s="57"/>
    </row>
    <row r="683" spans="1:24" ht="12.5" x14ac:dyDescent="0.25">
      <c r="A683" s="34"/>
      <c r="B683" s="7"/>
      <c r="C683" s="19"/>
      <c r="D683" s="7"/>
      <c r="E683" s="7"/>
      <c r="F683" s="7"/>
      <c r="G683" s="7"/>
      <c r="H683" s="6"/>
      <c r="I683" s="7"/>
      <c r="J683" s="7"/>
      <c r="K683" s="7"/>
      <c r="L683" s="7"/>
      <c r="M683" s="52"/>
      <c r="N683" s="7"/>
      <c r="O683" s="7"/>
      <c r="P683" s="47"/>
      <c r="Q683" s="47"/>
      <c r="R683" s="7"/>
      <c r="S683" s="51"/>
      <c r="T683" s="51"/>
      <c r="U683" s="7"/>
      <c r="V683" s="57"/>
      <c r="W683" s="57"/>
      <c r="X683" s="57"/>
    </row>
    <row r="684" spans="1:24" ht="12.5" x14ac:dyDescent="0.25">
      <c r="A684" s="34"/>
      <c r="B684" s="7"/>
      <c r="C684" s="19"/>
      <c r="D684" s="7"/>
      <c r="E684" s="7"/>
      <c r="F684" s="7"/>
      <c r="G684" s="7"/>
      <c r="H684" s="6"/>
      <c r="I684" s="7"/>
      <c r="J684" s="7"/>
      <c r="K684" s="7"/>
      <c r="L684" s="7"/>
      <c r="M684" s="52"/>
      <c r="N684" s="7"/>
      <c r="O684" s="7"/>
      <c r="P684" s="47"/>
      <c r="Q684" s="47"/>
      <c r="R684" s="7"/>
      <c r="S684" s="51"/>
      <c r="T684" s="51"/>
      <c r="U684" s="7"/>
      <c r="V684" s="57"/>
      <c r="W684" s="57"/>
      <c r="X684" s="57"/>
    </row>
    <row r="685" spans="1:24" ht="12.5" x14ac:dyDescent="0.25">
      <c r="A685" s="34"/>
      <c r="B685" s="7"/>
      <c r="C685" s="19"/>
      <c r="D685" s="7"/>
      <c r="E685" s="7"/>
      <c r="F685" s="7"/>
      <c r="G685" s="7"/>
      <c r="H685" s="6"/>
      <c r="I685" s="7"/>
      <c r="J685" s="7"/>
      <c r="K685" s="7"/>
      <c r="L685" s="7"/>
      <c r="M685" s="52"/>
      <c r="N685" s="7"/>
      <c r="O685" s="7"/>
      <c r="P685" s="47"/>
      <c r="Q685" s="47"/>
      <c r="R685" s="7"/>
      <c r="S685" s="51"/>
      <c r="T685" s="51"/>
      <c r="U685" s="7"/>
      <c r="V685" s="57"/>
      <c r="W685" s="57"/>
      <c r="X685" s="57"/>
    </row>
    <row r="686" spans="1:24" ht="12.5" x14ac:dyDescent="0.25">
      <c r="A686" s="34"/>
      <c r="B686" s="7"/>
      <c r="C686" s="19"/>
      <c r="D686" s="7"/>
      <c r="E686" s="7"/>
      <c r="F686" s="7"/>
      <c r="G686" s="7"/>
      <c r="H686" s="6"/>
      <c r="I686" s="7"/>
      <c r="J686" s="7"/>
      <c r="K686" s="7"/>
      <c r="L686" s="7"/>
      <c r="M686" s="52"/>
      <c r="N686" s="7"/>
      <c r="O686" s="7"/>
      <c r="P686" s="47"/>
      <c r="Q686" s="47"/>
      <c r="R686" s="7"/>
      <c r="S686" s="51"/>
      <c r="T686" s="51"/>
      <c r="U686" s="7"/>
      <c r="V686" s="57"/>
      <c r="W686" s="57"/>
      <c r="X686" s="57"/>
    </row>
    <row r="687" spans="1:24" ht="12.5" x14ac:dyDescent="0.25">
      <c r="A687" s="34"/>
      <c r="B687" s="7"/>
      <c r="C687" s="19"/>
      <c r="D687" s="7"/>
      <c r="E687" s="7"/>
      <c r="F687" s="7"/>
      <c r="G687" s="7"/>
      <c r="H687" s="6"/>
      <c r="I687" s="7"/>
      <c r="J687" s="7"/>
      <c r="K687" s="7"/>
      <c r="L687" s="7"/>
      <c r="M687" s="52"/>
      <c r="N687" s="7"/>
      <c r="O687" s="7"/>
      <c r="P687" s="47"/>
      <c r="Q687" s="47"/>
      <c r="R687" s="7"/>
      <c r="S687" s="51"/>
      <c r="T687" s="51"/>
      <c r="U687" s="7"/>
      <c r="V687" s="57"/>
      <c r="W687" s="57"/>
      <c r="X687" s="57"/>
    </row>
    <row r="688" spans="1:24" ht="12.5" x14ac:dyDescent="0.25">
      <c r="A688" s="34"/>
      <c r="B688" s="7"/>
      <c r="C688" s="19"/>
      <c r="D688" s="7"/>
      <c r="E688" s="7"/>
      <c r="F688" s="7"/>
      <c r="G688" s="7"/>
      <c r="H688" s="6"/>
      <c r="I688" s="7"/>
      <c r="J688" s="7"/>
      <c r="K688" s="7"/>
      <c r="L688" s="7"/>
      <c r="M688" s="52"/>
      <c r="N688" s="7"/>
      <c r="O688" s="7"/>
      <c r="P688" s="47"/>
      <c r="Q688" s="47"/>
      <c r="R688" s="7"/>
      <c r="S688" s="51"/>
      <c r="T688" s="51"/>
      <c r="U688" s="7"/>
      <c r="V688" s="57"/>
      <c r="W688" s="57"/>
      <c r="X688" s="57"/>
    </row>
    <row r="689" spans="1:24" ht="12.5" x14ac:dyDescent="0.25">
      <c r="A689" s="34"/>
      <c r="B689" s="7"/>
      <c r="C689" s="19"/>
      <c r="D689" s="7"/>
      <c r="E689" s="7"/>
      <c r="F689" s="7"/>
      <c r="G689" s="7"/>
      <c r="H689" s="6"/>
      <c r="I689" s="7"/>
      <c r="J689" s="7"/>
      <c r="K689" s="7"/>
      <c r="L689" s="7"/>
      <c r="M689" s="52"/>
      <c r="N689" s="7"/>
      <c r="O689" s="7"/>
      <c r="P689" s="47"/>
      <c r="Q689" s="47"/>
      <c r="R689" s="7"/>
      <c r="S689" s="51"/>
      <c r="T689" s="51"/>
      <c r="U689" s="7"/>
      <c r="V689" s="57"/>
      <c r="W689" s="57"/>
      <c r="X689" s="57"/>
    </row>
    <row r="690" spans="1:24" ht="12.5" x14ac:dyDescent="0.25">
      <c r="A690" s="34"/>
      <c r="B690" s="7"/>
      <c r="C690" s="19"/>
      <c r="D690" s="7"/>
      <c r="E690" s="7"/>
      <c r="F690" s="7"/>
      <c r="G690" s="7"/>
      <c r="H690" s="6"/>
      <c r="I690" s="7"/>
      <c r="J690" s="7"/>
      <c r="K690" s="7"/>
      <c r="L690" s="7"/>
      <c r="M690" s="52"/>
      <c r="N690" s="7"/>
      <c r="O690" s="7"/>
      <c r="P690" s="47"/>
      <c r="Q690" s="47"/>
      <c r="R690" s="7"/>
      <c r="S690" s="51"/>
      <c r="T690" s="51"/>
      <c r="U690" s="7"/>
      <c r="V690" s="57"/>
      <c r="W690" s="57"/>
      <c r="X690" s="57"/>
    </row>
    <row r="691" spans="1:24" ht="12.5" x14ac:dyDescent="0.25">
      <c r="A691" s="34"/>
      <c r="B691" s="7"/>
      <c r="C691" s="19"/>
      <c r="D691" s="7"/>
      <c r="E691" s="7"/>
      <c r="F691" s="7"/>
      <c r="G691" s="7"/>
      <c r="H691" s="6"/>
      <c r="I691" s="7"/>
      <c r="J691" s="7"/>
      <c r="K691" s="7"/>
      <c r="L691" s="7"/>
      <c r="M691" s="52"/>
      <c r="N691" s="7"/>
      <c r="O691" s="7"/>
      <c r="P691" s="47"/>
      <c r="Q691" s="47"/>
      <c r="R691" s="7"/>
      <c r="S691" s="51"/>
      <c r="T691" s="51"/>
      <c r="U691" s="7"/>
      <c r="V691" s="57"/>
      <c r="W691" s="57"/>
      <c r="X691" s="57"/>
    </row>
    <row r="692" spans="1:24" ht="12.5" x14ac:dyDescent="0.25">
      <c r="A692" s="34"/>
      <c r="B692" s="7"/>
      <c r="C692" s="19"/>
      <c r="D692" s="7"/>
      <c r="E692" s="7"/>
      <c r="F692" s="7"/>
      <c r="G692" s="7"/>
      <c r="H692" s="6"/>
      <c r="I692" s="7"/>
      <c r="J692" s="7"/>
      <c r="K692" s="7"/>
      <c r="L692" s="7"/>
      <c r="M692" s="52"/>
      <c r="N692" s="7"/>
      <c r="O692" s="7"/>
      <c r="P692" s="47"/>
      <c r="Q692" s="47"/>
      <c r="R692" s="7"/>
      <c r="S692" s="51"/>
      <c r="T692" s="51"/>
      <c r="U692" s="7"/>
      <c r="V692" s="57"/>
      <c r="W692" s="57"/>
      <c r="X692" s="57"/>
    </row>
    <row r="693" spans="1:24" ht="12.5" x14ac:dyDescent="0.25">
      <c r="A693" s="34"/>
      <c r="B693" s="7"/>
      <c r="C693" s="19"/>
      <c r="D693" s="7"/>
      <c r="E693" s="7"/>
      <c r="F693" s="7"/>
      <c r="G693" s="7"/>
      <c r="H693" s="6"/>
      <c r="I693" s="7"/>
      <c r="J693" s="7"/>
      <c r="K693" s="7"/>
      <c r="L693" s="7"/>
      <c r="M693" s="52"/>
      <c r="N693" s="7"/>
      <c r="O693" s="7"/>
      <c r="P693" s="47"/>
      <c r="Q693" s="47"/>
      <c r="R693" s="7"/>
      <c r="S693" s="51"/>
      <c r="T693" s="51"/>
      <c r="U693" s="7"/>
      <c r="V693" s="57"/>
      <c r="W693" s="57"/>
      <c r="X693" s="57"/>
    </row>
    <row r="694" spans="1:24" ht="12.5" x14ac:dyDescent="0.25">
      <c r="A694" s="34"/>
      <c r="B694" s="7"/>
      <c r="C694" s="19"/>
      <c r="D694" s="7"/>
      <c r="E694" s="7"/>
      <c r="F694" s="7"/>
      <c r="G694" s="7"/>
      <c r="H694" s="6"/>
      <c r="I694" s="7"/>
      <c r="J694" s="7"/>
      <c r="K694" s="7"/>
      <c r="L694" s="7"/>
      <c r="M694" s="52"/>
      <c r="N694" s="7"/>
      <c r="O694" s="7"/>
      <c r="P694" s="47"/>
      <c r="Q694" s="47"/>
      <c r="R694" s="7"/>
      <c r="S694" s="51"/>
      <c r="T694" s="51"/>
      <c r="U694" s="7"/>
      <c r="V694" s="57"/>
      <c r="W694" s="57"/>
      <c r="X694" s="57"/>
    </row>
    <row r="695" spans="1:24" ht="12.5" x14ac:dyDescent="0.25">
      <c r="A695" s="34"/>
      <c r="B695" s="7"/>
      <c r="C695" s="19"/>
      <c r="D695" s="7"/>
      <c r="E695" s="7"/>
      <c r="F695" s="7"/>
      <c r="G695" s="7"/>
      <c r="H695" s="6"/>
      <c r="I695" s="7"/>
      <c r="J695" s="7"/>
      <c r="K695" s="7"/>
      <c r="L695" s="7"/>
      <c r="M695" s="52"/>
      <c r="N695" s="7"/>
      <c r="O695" s="7"/>
      <c r="P695" s="47"/>
      <c r="Q695" s="47"/>
      <c r="R695" s="7"/>
      <c r="S695" s="51"/>
      <c r="T695" s="51"/>
      <c r="U695" s="7"/>
      <c r="V695" s="57"/>
      <c r="W695" s="57"/>
      <c r="X695" s="57"/>
    </row>
    <row r="696" spans="1:24" ht="12.5" x14ac:dyDescent="0.25">
      <c r="A696" s="34"/>
      <c r="B696" s="7"/>
      <c r="C696" s="19"/>
      <c r="D696" s="7"/>
      <c r="E696" s="7"/>
      <c r="F696" s="7"/>
      <c r="G696" s="7"/>
      <c r="H696" s="6"/>
      <c r="I696" s="7"/>
      <c r="J696" s="7"/>
      <c r="K696" s="7"/>
      <c r="L696" s="7"/>
      <c r="M696" s="52"/>
      <c r="N696" s="7"/>
      <c r="O696" s="7"/>
      <c r="P696" s="47"/>
      <c r="Q696" s="47"/>
      <c r="R696" s="7"/>
      <c r="S696" s="51"/>
      <c r="T696" s="51"/>
      <c r="U696" s="7"/>
      <c r="V696" s="57"/>
      <c r="W696" s="57"/>
      <c r="X696" s="57"/>
    </row>
    <row r="697" spans="1:24" ht="12.5" x14ac:dyDescent="0.25">
      <c r="A697" s="34"/>
      <c r="B697" s="7"/>
      <c r="C697" s="19"/>
      <c r="D697" s="7"/>
      <c r="E697" s="7"/>
      <c r="F697" s="7"/>
      <c r="G697" s="7"/>
      <c r="H697" s="6"/>
      <c r="I697" s="7"/>
      <c r="J697" s="7"/>
      <c r="K697" s="7"/>
      <c r="L697" s="7"/>
      <c r="M697" s="52"/>
      <c r="N697" s="7"/>
      <c r="O697" s="7"/>
      <c r="P697" s="47"/>
      <c r="Q697" s="47"/>
      <c r="R697" s="7"/>
      <c r="S697" s="51"/>
      <c r="T697" s="51"/>
      <c r="U697" s="7"/>
      <c r="V697" s="57"/>
      <c r="W697" s="57"/>
      <c r="X697" s="57"/>
    </row>
    <row r="698" spans="1:24" ht="12.5" x14ac:dyDescent="0.25">
      <c r="A698" s="34"/>
      <c r="B698" s="7"/>
      <c r="C698" s="19"/>
      <c r="D698" s="7"/>
      <c r="E698" s="7"/>
      <c r="F698" s="7"/>
      <c r="G698" s="7"/>
      <c r="H698" s="6"/>
      <c r="I698" s="7"/>
      <c r="J698" s="7"/>
      <c r="K698" s="7"/>
      <c r="L698" s="7"/>
      <c r="M698" s="52"/>
      <c r="N698" s="7"/>
      <c r="O698" s="7"/>
      <c r="P698" s="47"/>
      <c r="Q698" s="47"/>
      <c r="R698" s="7"/>
      <c r="S698" s="51"/>
      <c r="T698" s="51"/>
      <c r="U698" s="7"/>
      <c r="V698" s="57"/>
      <c r="W698" s="57"/>
      <c r="X698" s="57"/>
    </row>
    <row r="699" spans="1:24" ht="12.5" x14ac:dyDescent="0.25">
      <c r="A699" s="34"/>
      <c r="B699" s="7"/>
      <c r="C699" s="19"/>
      <c r="D699" s="7"/>
      <c r="E699" s="7"/>
      <c r="F699" s="7"/>
      <c r="G699" s="7"/>
      <c r="H699" s="6"/>
      <c r="I699" s="7"/>
      <c r="J699" s="7"/>
      <c r="K699" s="7"/>
      <c r="L699" s="7"/>
      <c r="M699" s="52"/>
      <c r="N699" s="7"/>
      <c r="O699" s="7"/>
      <c r="P699" s="47"/>
      <c r="Q699" s="47"/>
      <c r="R699" s="7"/>
      <c r="S699" s="51"/>
      <c r="T699" s="51"/>
      <c r="U699" s="7"/>
      <c r="V699" s="57"/>
      <c r="W699" s="57"/>
      <c r="X699" s="57"/>
    </row>
    <row r="700" spans="1:24" ht="12.5" x14ac:dyDescent="0.25">
      <c r="A700" s="34"/>
      <c r="B700" s="7"/>
      <c r="C700" s="19"/>
      <c r="D700" s="7"/>
      <c r="E700" s="7"/>
      <c r="F700" s="7"/>
      <c r="G700" s="7"/>
      <c r="H700" s="6"/>
      <c r="I700" s="7"/>
      <c r="J700" s="7"/>
      <c r="K700" s="7"/>
      <c r="L700" s="7"/>
      <c r="M700" s="52"/>
      <c r="N700" s="7"/>
      <c r="O700" s="7"/>
      <c r="P700" s="47"/>
      <c r="Q700" s="47"/>
      <c r="R700" s="7"/>
      <c r="S700" s="51"/>
      <c r="T700" s="51"/>
      <c r="U700" s="7"/>
      <c r="V700" s="57"/>
      <c r="W700" s="57"/>
      <c r="X700" s="57"/>
    </row>
    <row r="701" spans="1:24" ht="12.5" x14ac:dyDescent="0.25">
      <c r="A701" s="34"/>
      <c r="B701" s="7"/>
      <c r="C701" s="19"/>
      <c r="D701" s="7"/>
      <c r="E701" s="7"/>
      <c r="F701" s="7"/>
      <c r="G701" s="7"/>
      <c r="H701" s="6"/>
      <c r="I701" s="7"/>
      <c r="J701" s="7"/>
      <c r="K701" s="7"/>
      <c r="L701" s="7"/>
      <c r="M701" s="52"/>
      <c r="N701" s="7"/>
      <c r="O701" s="7"/>
      <c r="P701" s="47"/>
      <c r="Q701" s="47"/>
      <c r="R701" s="7"/>
      <c r="S701" s="51"/>
      <c r="T701" s="51"/>
      <c r="U701" s="7"/>
      <c r="V701" s="57"/>
      <c r="W701" s="57"/>
      <c r="X701" s="57"/>
    </row>
    <row r="702" spans="1:24" ht="12.5" x14ac:dyDescent="0.25">
      <c r="A702" s="34"/>
      <c r="B702" s="7"/>
      <c r="C702" s="19"/>
      <c r="D702" s="7"/>
      <c r="E702" s="7"/>
      <c r="F702" s="7"/>
      <c r="G702" s="7"/>
      <c r="H702" s="6"/>
      <c r="I702" s="7"/>
      <c r="J702" s="7"/>
      <c r="K702" s="7"/>
      <c r="L702" s="7"/>
      <c r="M702" s="52"/>
      <c r="N702" s="7"/>
      <c r="O702" s="7"/>
      <c r="P702" s="47"/>
      <c r="Q702" s="47"/>
      <c r="R702" s="7"/>
      <c r="S702" s="51"/>
      <c r="T702" s="51"/>
      <c r="U702" s="7"/>
      <c r="V702" s="57"/>
      <c r="W702" s="57"/>
      <c r="X702" s="57"/>
    </row>
    <row r="703" spans="1:24" ht="12.5" x14ac:dyDescent="0.25">
      <c r="A703" s="34"/>
      <c r="B703" s="7"/>
      <c r="C703" s="19"/>
      <c r="D703" s="7"/>
      <c r="E703" s="7"/>
      <c r="F703" s="7"/>
      <c r="G703" s="7"/>
      <c r="H703" s="6"/>
      <c r="I703" s="7"/>
      <c r="J703" s="7"/>
      <c r="K703" s="7"/>
      <c r="L703" s="7"/>
      <c r="M703" s="52"/>
      <c r="N703" s="7"/>
      <c r="O703" s="7"/>
      <c r="P703" s="47"/>
      <c r="Q703" s="47"/>
      <c r="R703" s="7"/>
      <c r="S703" s="51"/>
      <c r="T703" s="51"/>
      <c r="U703" s="7"/>
      <c r="V703" s="57"/>
      <c r="W703" s="57"/>
      <c r="X703" s="57"/>
    </row>
    <row r="704" spans="1:24" ht="12.5" x14ac:dyDescent="0.25">
      <c r="A704" s="34"/>
      <c r="B704" s="7"/>
      <c r="C704" s="19"/>
      <c r="D704" s="7"/>
      <c r="E704" s="7"/>
      <c r="F704" s="7"/>
      <c r="G704" s="7"/>
      <c r="H704" s="6"/>
      <c r="I704" s="7"/>
      <c r="J704" s="7"/>
      <c r="K704" s="7"/>
      <c r="L704" s="7"/>
      <c r="M704" s="52"/>
      <c r="N704" s="7"/>
      <c r="O704" s="7"/>
      <c r="P704" s="47"/>
      <c r="Q704" s="47"/>
      <c r="R704" s="7"/>
      <c r="S704" s="51"/>
      <c r="T704" s="51"/>
      <c r="U704" s="7"/>
      <c r="V704" s="57"/>
      <c r="W704" s="57"/>
      <c r="X704" s="57"/>
    </row>
    <row r="705" spans="1:24" ht="12.5" x14ac:dyDescent="0.25">
      <c r="A705" s="34"/>
      <c r="B705" s="7"/>
      <c r="C705" s="19"/>
      <c r="D705" s="7"/>
      <c r="E705" s="7"/>
      <c r="F705" s="7"/>
      <c r="G705" s="7"/>
      <c r="H705" s="6"/>
      <c r="I705" s="7"/>
      <c r="J705" s="7"/>
      <c r="K705" s="7"/>
      <c r="L705" s="7"/>
      <c r="M705" s="52"/>
      <c r="N705" s="7"/>
      <c r="O705" s="7"/>
      <c r="P705" s="47"/>
      <c r="Q705" s="47"/>
      <c r="R705" s="7"/>
      <c r="S705" s="51"/>
      <c r="T705" s="51"/>
      <c r="U705" s="7"/>
      <c r="V705" s="57"/>
      <c r="W705" s="57"/>
      <c r="X705" s="57"/>
    </row>
    <row r="706" spans="1:24" ht="12.5" x14ac:dyDescent="0.25">
      <c r="A706" s="34"/>
      <c r="B706" s="7"/>
      <c r="C706" s="19"/>
      <c r="D706" s="7"/>
      <c r="E706" s="7"/>
      <c r="F706" s="7"/>
      <c r="G706" s="7"/>
      <c r="H706" s="6"/>
      <c r="I706" s="7"/>
      <c r="J706" s="7"/>
      <c r="K706" s="7"/>
      <c r="L706" s="7"/>
      <c r="M706" s="52"/>
      <c r="N706" s="7"/>
      <c r="O706" s="7"/>
      <c r="P706" s="47"/>
      <c r="Q706" s="47"/>
      <c r="R706" s="7"/>
      <c r="S706" s="51"/>
      <c r="T706" s="51"/>
      <c r="U706" s="7"/>
      <c r="V706" s="57"/>
      <c r="W706" s="57"/>
      <c r="X706" s="57"/>
    </row>
    <row r="707" spans="1:24" ht="12.5" x14ac:dyDescent="0.25">
      <c r="A707" s="34"/>
      <c r="B707" s="7"/>
      <c r="C707" s="19"/>
      <c r="D707" s="7"/>
      <c r="E707" s="7"/>
      <c r="F707" s="7"/>
      <c r="G707" s="7"/>
      <c r="H707" s="6"/>
      <c r="I707" s="7"/>
      <c r="J707" s="7"/>
      <c r="K707" s="7"/>
      <c r="L707" s="7"/>
      <c r="M707" s="52"/>
      <c r="N707" s="7"/>
      <c r="O707" s="7"/>
      <c r="P707" s="47"/>
      <c r="Q707" s="47"/>
      <c r="R707" s="7"/>
      <c r="S707" s="51"/>
      <c r="T707" s="51"/>
      <c r="U707" s="7"/>
      <c r="V707" s="57"/>
      <c r="W707" s="57"/>
      <c r="X707" s="57"/>
    </row>
    <row r="708" spans="1:24" ht="12.5" x14ac:dyDescent="0.25">
      <c r="A708" s="34"/>
      <c r="B708" s="7"/>
      <c r="C708" s="19"/>
      <c r="D708" s="7"/>
      <c r="E708" s="7"/>
      <c r="F708" s="7"/>
      <c r="G708" s="7"/>
      <c r="H708" s="6"/>
      <c r="I708" s="7"/>
      <c r="J708" s="7"/>
      <c r="K708" s="7"/>
      <c r="L708" s="7"/>
      <c r="M708" s="52"/>
      <c r="N708" s="7"/>
      <c r="O708" s="7"/>
      <c r="P708" s="47"/>
      <c r="Q708" s="47"/>
      <c r="R708" s="7"/>
      <c r="S708" s="51"/>
      <c r="T708" s="51"/>
      <c r="U708" s="7"/>
      <c r="V708" s="57"/>
      <c r="W708" s="57"/>
      <c r="X708" s="57"/>
    </row>
    <row r="709" spans="1:24" ht="12.5" x14ac:dyDescent="0.25">
      <c r="A709" s="34"/>
      <c r="B709" s="7"/>
      <c r="C709" s="19"/>
      <c r="D709" s="7"/>
      <c r="E709" s="7"/>
      <c r="F709" s="7"/>
      <c r="G709" s="7"/>
      <c r="H709" s="6"/>
      <c r="I709" s="7"/>
      <c r="J709" s="7"/>
      <c r="K709" s="7"/>
      <c r="L709" s="7"/>
      <c r="M709" s="52"/>
      <c r="N709" s="7"/>
      <c r="O709" s="7"/>
      <c r="P709" s="47"/>
      <c r="Q709" s="47"/>
      <c r="R709" s="7"/>
      <c r="S709" s="51"/>
      <c r="T709" s="51"/>
      <c r="U709" s="7"/>
      <c r="V709" s="57"/>
      <c r="W709" s="57"/>
      <c r="X709" s="57"/>
    </row>
    <row r="710" spans="1:24" ht="12.5" x14ac:dyDescent="0.25">
      <c r="A710" s="34"/>
      <c r="B710" s="7"/>
      <c r="C710" s="19"/>
      <c r="D710" s="7"/>
      <c r="E710" s="7"/>
      <c r="F710" s="7"/>
      <c r="G710" s="7"/>
      <c r="H710" s="6"/>
      <c r="I710" s="7"/>
      <c r="J710" s="7"/>
      <c r="K710" s="7"/>
      <c r="L710" s="7"/>
      <c r="M710" s="52"/>
      <c r="N710" s="7"/>
      <c r="O710" s="7"/>
      <c r="P710" s="47"/>
      <c r="Q710" s="47"/>
      <c r="R710" s="7"/>
      <c r="S710" s="51"/>
      <c r="T710" s="51"/>
      <c r="U710" s="7"/>
      <c r="V710" s="57"/>
      <c r="W710" s="57"/>
      <c r="X710" s="57"/>
    </row>
    <row r="711" spans="1:24" ht="12.5" x14ac:dyDescent="0.25">
      <c r="A711" s="34"/>
      <c r="B711" s="7"/>
      <c r="C711" s="19"/>
      <c r="D711" s="7"/>
      <c r="E711" s="7"/>
      <c r="F711" s="7"/>
      <c r="G711" s="7"/>
      <c r="H711" s="6"/>
      <c r="I711" s="7"/>
      <c r="J711" s="7"/>
      <c r="K711" s="7"/>
      <c r="L711" s="7"/>
      <c r="M711" s="52"/>
      <c r="N711" s="7"/>
      <c r="O711" s="7"/>
      <c r="P711" s="47"/>
      <c r="Q711" s="47"/>
      <c r="R711" s="7"/>
      <c r="S711" s="51"/>
      <c r="T711" s="51"/>
      <c r="U711" s="7"/>
      <c r="V711" s="57"/>
      <c r="W711" s="57"/>
      <c r="X711" s="57"/>
    </row>
    <row r="712" spans="1:24" ht="12.5" x14ac:dyDescent="0.25">
      <c r="A712" s="34"/>
      <c r="B712" s="7"/>
      <c r="C712" s="19"/>
      <c r="D712" s="7"/>
      <c r="E712" s="7"/>
      <c r="F712" s="7"/>
      <c r="G712" s="7"/>
      <c r="H712" s="6"/>
      <c r="I712" s="7"/>
      <c r="J712" s="7"/>
      <c r="K712" s="7"/>
      <c r="L712" s="7"/>
      <c r="M712" s="52"/>
      <c r="N712" s="7"/>
      <c r="O712" s="7"/>
      <c r="P712" s="47"/>
      <c r="Q712" s="47"/>
      <c r="R712" s="7"/>
      <c r="S712" s="51"/>
      <c r="T712" s="51"/>
      <c r="U712" s="7"/>
      <c r="V712" s="57"/>
      <c r="W712" s="57"/>
      <c r="X712" s="57"/>
    </row>
    <row r="713" spans="1:24" ht="12.5" x14ac:dyDescent="0.25">
      <c r="A713" s="34"/>
      <c r="B713" s="7"/>
      <c r="C713" s="19"/>
      <c r="D713" s="7"/>
      <c r="E713" s="7"/>
      <c r="F713" s="7"/>
      <c r="G713" s="7"/>
      <c r="H713" s="6"/>
      <c r="I713" s="7"/>
      <c r="J713" s="7"/>
      <c r="K713" s="7"/>
      <c r="L713" s="7"/>
      <c r="M713" s="52"/>
      <c r="N713" s="7"/>
      <c r="O713" s="7"/>
      <c r="P713" s="47"/>
      <c r="Q713" s="47"/>
      <c r="R713" s="7"/>
      <c r="S713" s="51"/>
      <c r="T713" s="51"/>
      <c r="U713" s="7"/>
      <c r="V713" s="57"/>
      <c r="W713" s="57"/>
      <c r="X713" s="57"/>
    </row>
    <row r="714" spans="1:24" ht="12.5" x14ac:dyDescent="0.25">
      <c r="A714" s="34"/>
      <c r="B714" s="7"/>
      <c r="C714" s="19"/>
      <c r="D714" s="7"/>
      <c r="E714" s="7"/>
      <c r="F714" s="7"/>
      <c r="G714" s="7"/>
      <c r="H714" s="6"/>
      <c r="I714" s="7"/>
      <c r="J714" s="7"/>
      <c r="K714" s="7"/>
      <c r="L714" s="7"/>
      <c r="M714" s="52"/>
      <c r="N714" s="7"/>
      <c r="O714" s="7"/>
      <c r="P714" s="47"/>
      <c r="Q714" s="47"/>
      <c r="R714" s="7"/>
      <c r="S714" s="51"/>
      <c r="T714" s="51"/>
      <c r="U714" s="7"/>
      <c r="V714" s="57"/>
      <c r="W714" s="57"/>
      <c r="X714" s="57"/>
    </row>
    <row r="715" spans="1:24" ht="12.5" x14ac:dyDescent="0.25">
      <c r="A715" s="34"/>
      <c r="B715" s="7"/>
      <c r="C715" s="19"/>
      <c r="D715" s="7"/>
      <c r="E715" s="7"/>
      <c r="F715" s="7"/>
      <c r="G715" s="7"/>
      <c r="H715" s="6"/>
      <c r="I715" s="7"/>
      <c r="J715" s="7"/>
      <c r="K715" s="7"/>
      <c r="L715" s="7"/>
      <c r="M715" s="52"/>
      <c r="N715" s="7"/>
      <c r="O715" s="7"/>
      <c r="P715" s="47"/>
      <c r="Q715" s="47"/>
      <c r="R715" s="7"/>
      <c r="S715" s="51"/>
      <c r="T715" s="51"/>
      <c r="U715" s="7"/>
      <c r="V715" s="57"/>
      <c r="W715" s="57"/>
      <c r="X715" s="57"/>
    </row>
    <row r="716" spans="1:24" ht="12.5" x14ac:dyDescent="0.25">
      <c r="A716" s="34"/>
      <c r="B716" s="7"/>
      <c r="C716" s="19"/>
      <c r="D716" s="7"/>
      <c r="E716" s="7"/>
      <c r="F716" s="7"/>
      <c r="G716" s="7"/>
      <c r="H716" s="6"/>
      <c r="I716" s="7"/>
      <c r="J716" s="7"/>
      <c r="K716" s="7"/>
      <c r="L716" s="7"/>
      <c r="M716" s="52"/>
      <c r="N716" s="7"/>
      <c r="O716" s="7"/>
      <c r="P716" s="47"/>
      <c r="Q716" s="47"/>
      <c r="R716" s="7"/>
      <c r="S716" s="51"/>
      <c r="T716" s="51"/>
      <c r="U716" s="7"/>
      <c r="V716" s="57"/>
      <c r="W716" s="57"/>
      <c r="X716" s="57"/>
    </row>
    <row r="717" spans="1:24" ht="12.5" x14ac:dyDescent="0.25">
      <c r="A717" s="34"/>
      <c r="B717" s="7"/>
      <c r="C717" s="19"/>
      <c r="D717" s="7"/>
      <c r="E717" s="7"/>
      <c r="F717" s="7"/>
      <c r="G717" s="7"/>
      <c r="H717" s="6"/>
      <c r="I717" s="7"/>
      <c r="J717" s="7"/>
      <c r="K717" s="7"/>
      <c r="L717" s="7"/>
      <c r="M717" s="52"/>
      <c r="N717" s="7"/>
      <c r="O717" s="7"/>
      <c r="P717" s="47"/>
      <c r="Q717" s="47"/>
      <c r="R717" s="7"/>
      <c r="S717" s="51"/>
      <c r="T717" s="51"/>
      <c r="U717" s="7"/>
      <c r="V717" s="57"/>
      <c r="W717" s="57"/>
      <c r="X717" s="57"/>
    </row>
    <row r="718" spans="1:24" ht="12.5" x14ac:dyDescent="0.25">
      <c r="A718" s="34"/>
      <c r="B718" s="7"/>
      <c r="C718" s="19"/>
      <c r="D718" s="7"/>
      <c r="E718" s="7"/>
      <c r="F718" s="7"/>
      <c r="G718" s="7"/>
      <c r="H718" s="6"/>
      <c r="I718" s="7"/>
      <c r="J718" s="7"/>
      <c r="K718" s="7"/>
      <c r="L718" s="7"/>
      <c r="M718" s="52"/>
      <c r="N718" s="7"/>
      <c r="O718" s="7"/>
      <c r="P718" s="47"/>
      <c r="Q718" s="47"/>
      <c r="R718" s="7"/>
      <c r="S718" s="51"/>
      <c r="T718" s="51"/>
      <c r="U718" s="7"/>
      <c r="V718" s="57"/>
      <c r="W718" s="57"/>
      <c r="X718" s="57"/>
    </row>
    <row r="719" spans="1:24" ht="12.5" x14ac:dyDescent="0.25">
      <c r="A719" s="34"/>
      <c r="B719" s="7"/>
      <c r="C719" s="19"/>
      <c r="D719" s="7"/>
      <c r="E719" s="7"/>
      <c r="F719" s="7"/>
      <c r="G719" s="7"/>
      <c r="H719" s="6"/>
      <c r="I719" s="7"/>
      <c r="J719" s="7"/>
      <c r="K719" s="7"/>
      <c r="L719" s="7"/>
      <c r="M719" s="52"/>
      <c r="N719" s="7"/>
      <c r="O719" s="7"/>
      <c r="P719" s="47"/>
      <c r="Q719" s="47"/>
      <c r="R719" s="7"/>
      <c r="S719" s="51"/>
      <c r="T719" s="51"/>
      <c r="U719" s="7"/>
      <c r="V719" s="57"/>
      <c r="W719" s="57"/>
      <c r="X719" s="57"/>
    </row>
    <row r="720" spans="1:24" ht="12.5" x14ac:dyDescent="0.25">
      <c r="A720" s="34"/>
      <c r="B720" s="7"/>
      <c r="C720" s="19"/>
      <c r="D720" s="7"/>
      <c r="E720" s="7"/>
      <c r="F720" s="7"/>
      <c r="G720" s="7"/>
      <c r="H720" s="6"/>
      <c r="I720" s="7"/>
      <c r="J720" s="7"/>
      <c r="K720" s="7"/>
      <c r="L720" s="7"/>
      <c r="M720" s="52"/>
      <c r="N720" s="7"/>
      <c r="O720" s="7"/>
      <c r="P720" s="47"/>
      <c r="Q720" s="47"/>
      <c r="R720" s="7"/>
      <c r="S720" s="51"/>
      <c r="T720" s="51"/>
      <c r="U720" s="7"/>
      <c r="V720" s="57"/>
      <c r="W720" s="57"/>
      <c r="X720" s="57"/>
    </row>
    <row r="721" spans="1:24" ht="12.5" x14ac:dyDescent="0.25">
      <c r="A721" s="34"/>
      <c r="B721" s="7"/>
      <c r="C721" s="19"/>
      <c r="D721" s="7"/>
      <c r="E721" s="7"/>
      <c r="F721" s="7"/>
      <c r="G721" s="7"/>
      <c r="H721" s="6"/>
      <c r="I721" s="7"/>
      <c r="J721" s="7"/>
      <c r="K721" s="7"/>
      <c r="L721" s="7"/>
      <c r="M721" s="52"/>
      <c r="N721" s="7"/>
      <c r="O721" s="7"/>
      <c r="P721" s="47"/>
      <c r="Q721" s="47"/>
      <c r="R721" s="7"/>
      <c r="S721" s="51"/>
      <c r="T721" s="51"/>
      <c r="U721" s="7"/>
      <c r="V721" s="57"/>
      <c r="W721" s="57"/>
      <c r="X721" s="57"/>
    </row>
    <row r="722" spans="1:24" ht="12.5" x14ac:dyDescent="0.25">
      <c r="A722" s="34"/>
      <c r="B722" s="7"/>
      <c r="C722" s="19"/>
      <c r="D722" s="7"/>
      <c r="E722" s="7"/>
      <c r="F722" s="7"/>
      <c r="G722" s="7"/>
      <c r="H722" s="6"/>
      <c r="I722" s="7"/>
      <c r="J722" s="7"/>
      <c r="K722" s="7"/>
      <c r="L722" s="7"/>
      <c r="M722" s="52"/>
      <c r="N722" s="7"/>
      <c r="O722" s="7"/>
      <c r="P722" s="47"/>
      <c r="Q722" s="47"/>
      <c r="R722" s="7"/>
      <c r="S722" s="51"/>
      <c r="T722" s="51"/>
      <c r="U722" s="7"/>
      <c r="V722" s="57"/>
      <c r="W722" s="57"/>
      <c r="X722" s="57"/>
    </row>
    <row r="723" spans="1:24" ht="12.5" x14ac:dyDescent="0.25">
      <c r="A723" s="34"/>
      <c r="B723" s="7"/>
      <c r="C723" s="19"/>
      <c r="D723" s="7"/>
      <c r="E723" s="7"/>
      <c r="F723" s="7"/>
      <c r="G723" s="7"/>
      <c r="H723" s="6"/>
      <c r="I723" s="7"/>
      <c r="J723" s="7"/>
      <c r="K723" s="7"/>
      <c r="L723" s="7"/>
      <c r="M723" s="52"/>
      <c r="N723" s="7"/>
      <c r="O723" s="7"/>
      <c r="P723" s="47"/>
      <c r="Q723" s="47"/>
      <c r="R723" s="7"/>
      <c r="S723" s="51"/>
      <c r="T723" s="51"/>
      <c r="U723" s="7"/>
      <c r="V723" s="57"/>
      <c r="W723" s="57"/>
      <c r="X723" s="57"/>
    </row>
    <row r="724" spans="1:24" ht="12.5" x14ac:dyDescent="0.25">
      <c r="A724" s="34"/>
      <c r="B724" s="7"/>
      <c r="C724" s="19"/>
      <c r="D724" s="7"/>
      <c r="E724" s="7"/>
      <c r="F724" s="7"/>
      <c r="G724" s="7"/>
      <c r="H724" s="6"/>
      <c r="I724" s="7"/>
      <c r="J724" s="7"/>
      <c r="K724" s="7"/>
      <c r="L724" s="7"/>
      <c r="M724" s="52"/>
      <c r="N724" s="7"/>
      <c r="O724" s="7"/>
      <c r="P724" s="47"/>
      <c r="Q724" s="47"/>
      <c r="R724" s="7"/>
      <c r="S724" s="51"/>
      <c r="T724" s="51"/>
      <c r="U724" s="7"/>
      <c r="V724" s="57"/>
      <c r="W724" s="57"/>
      <c r="X724" s="57"/>
    </row>
    <row r="725" spans="1:24" ht="12.5" x14ac:dyDescent="0.25">
      <c r="A725" s="34"/>
      <c r="B725" s="7"/>
      <c r="C725" s="19"/>
      <c r="D725" s="7"/>
      <c r="E725" s="7"/>
      <c r="F725" s="7"/>
      <c r="G725" s="7"/>
      <c r="H725" s="6"/>
      <c r="I725" s="7"/>
      <c r="J725" s="7"/>
      <c r="K725" s="7"/>
      <c r="L725" s="7"/>
      <c r="M725" s="52"/>
      <c r="N725" s="7"/>
      <c r="O725" s="7"/>
      <c r="P725" s="47"/>
      <c r="Q725" s="47"/>
      <c r="R725" s="7"/>
      <c r="S725" s="51"/>
      <c r="T725" s="51"/>
      <c r="U725" s="7"/>
      <c r="V725" s="57"/>
      <c r="W725" s="57"/>
      <c r="X725" s="57"/>
    </row>
    <row r="726" spans="1:24" ht="12.5" x14ac:dyDescent="0.25">
      <c r="A726" s="34"/>
      <c r="B726" s="7"/>
      <c r="C726" s="19"/>
      <c r="D726" s="7"/>
      <c r="E726" s="7"/>
      <c r="F726" s="7"/>
      <c r="G726" s="7"/>
      <c r="H726" s="6"/>
      <c r="I726" s="7"/>
      <c r="J726" s="7"/>
      <c r="K726" s="7"/>
      <c r="L726" s="7"/>
      <c r="M726" s="52"/>
      <c r="N726" s="7"/>
      <c r="O726" s="7"/>
      <c r="P726" s="47"/>
      <c r="Q726" s="47"/>
      <c r="R726" s="7"/>
      <c r="S726" s="51"/>
      <c r="T726" s="51"/>
      <c r="U726" s="7"/>
      <c r="V726" s="57"/>
      <c r="W726" s="57"/>
      <c r="X726" s="57"/>
    </row>
    <row r="727" spans="1:24" ht="12.5" x14ac:dyDescent="0.25">
      <c r="A727" s="34"/>
      <c r="B727" s="7"/>
      <c r="C727" s="19"/>
      <c r="D727" s="7"/>
      <c r="E727" s="7"/>
      <c r="F727" s="7"/>
      <c r="G727" s="7"/>
      <c r="H727" s="6"/>
      <c r="I727" s="7"/>
      <c r="J727" s="7"/>
      <c r="K727" s="7"/>
      <c r="L727" s="7"/>
      <c r="M727" s="52"/>
      <c r="N727" s="7"/>
      <c r="O727" s="7"/>
      <c r="P727" s="47"/>
      <c r="Q727" s="47"/>
      <c r="R727" s="7"/>
      <c r="S727" s="51"/>
      <c r="T727" s="51"/>
      <c r="U727" s="7"/>
      <c r="V727" s="57"/>
      <c r="W727" s="57"/>
      <c r="X727" s="57"/>
    </row>
    <row r="728" spans="1:24" ht="12.5" x14ac:dyDescent="0.25">
      <c r="A728" s="34"/>
      <c r="B728" s="7"/>
      <c r="C728" s="19"/>
      <c r="D728" s="7"/>
      <c r="E728" s="7"/>
      <c r="F728" s="7"/>
      <c r="G728" s="7"/>
      <c r="H728" s="6"/>
      <c r="I728" s="7"/>
      <c r="J728" s="7"/>
      <c r="K728" s="7"/>
      <c r="L728" s="7"/>
      <c r="M728" s="52"/>
      <c r="N728" s="7"/>
      <c r="O728" s="7"/>
      <c r="P728" s="47"/>
      <c r="Q728" s="47"/>
      <c r="R728" s="7"/>
      <c r="S728" s="51"/>
      <c r="T728" s="51"/>
      <c r="U728" s="7"/>
      <c r="V728" s="57"/>
      <c r="W728" s="57"/>
      <c r="X728" s="57"/>
    </row>
    <row r="729" spans="1:24" ht="12.5" x14ac:dyDescent="0.25">
      <c r="A729" s="34"/>
      <c r="B729" s="7"/>
      <c r="C729" s="19"/>
      <c r="D729" s="7"/>
      <c r="E729" s="7"/>
      <c r="F729" s="7"/>
      <c r="G729" s="7"/>
      <c r="H729" s="6"/>
      <c r="I729" s="7"/>
      <c r="J729" s="7"/>
      <c r="K729" s="7"/>
      <c r="L729" s="7"/>
      <c r="M729" s="52"/>
      <c r="N729" s="7"/>
      <c r="O729" s="7"/>
      <c r="P729" s="47"/>
      <c r="Q729" s="47"/>
      <c r="R729" s="7"/>
      <c r="S729" s="51"/>
      <c r="T729" s="51"/>
      <c r="U729" s="7"/>
      <c r="V729" s="57"/>
      <c r="W729" s="57"/>
      <c r="X729" s="57"/>
    </row>
    <row r="730" spans="1:24" ht="12.5" x14ac:dyDescent="0.25">
      <c r="A730" s="34"/>
      <c r="B730" s="7"/>
      <c r="C730" s="19"/>
      <c r="D730" s="7"/>
      <c r="E730" s="7"/>
      <c r="F730" s="7"/>
      <c r="G730" s="7"/>
      <c r="H730" s="6"/>
      <c r="I730" s="7"/>
      <c r="J730" s="7"/>
      <c r="K730" s="7"/>
      <c r="L730" s="7"/>
      <c r="M730" s="52"/>
      <c r="N730" s="7"/>
      <c r="O730" s="7"/>
      <c r="P730" s="47"/>
      <c r="Q730" s="47"/>
      <c r="R730" s="7"/>
      <c r="S730" s="51"/>
      <c r="T730" s="51"/>
      <c r="U730" s="7"/>
      <c r="V730" s="57"/>
      <c r="W730" s="57"/>
      <c r="X730" s="57"/>
    </row>
    <row r="731" spans="1:24" ht="12.5" x14ac:dyDescent="0.25">
      <c r="A731" s="34"/>
      <c r="B731" s="7"/>
      <c r="C731" s="19"/>
      <c r="D731" s="7"/>
      <c r="E731" s="7"/>
      <c r="F731" s="7"/>
      <c r="G731" s="7"/>
      <c r="H731" s="6"/>
      <c r="I731" s="7"/>
      <c r="J731" s="7"/>
      <c r="K731" s="7"/>
      <c r="L731" s="7"/>
      <c r="M731" s="52"/>
      <c r="N731" s="7"/>
      <c r="O731" s="7"/>
      <c r="P731" s="47"/>
      <c r="Q731" s="47"/>
      <c r="R731" s="7"/>
      <c r="S731" s="51"/>
      <c r="T731" s="51"/>
      <c r="U731" s="7"/>
      <c r="V731" s="57"/>
      <c r="W731" s="57"/>
      <c r="X731" s="57"/>
    </row>
    <row r="732" spans="1:24" ht="12.5" x14ac:dyDescent="0.25">
      <c r="A732" s="34"/>
      <c r="B732" s="7"/>
      <c r="C732" s="19"/>
      <c r="D732" s="7"/>
      <c r="E732" s="7"/>
      <c r="F732" s="7"/>
      <c r="G732" s="7"/>
      <c r="H732" s="6"/>
      <c r="I732" s="7"/>
      <c r="J732" s="7"/>
      <c r="K732" s="7"/>
      <c r="L732" s="7"/>
      <c r="M732" s="52"/>
      <c r="N732" s="7"/>
      <c r="O732" s="7"/>
      <c r="P732" s="47"/>
      <c r="Q732" s="47"/>
      <c r="R732" s="7"/>
      <c r="S732" s="51"/>
      <c r="T732" s="51"/>
      <c r="U732" s="7"/>
      <c r="V732" s="57"/>
      <c r="W732" s="57"/>
      <c r="X732" s="57"/>
    </row>
    <row r="733" spans="1:24" ht="12.5" x14ac:dyDescent="0.25">
      <c r="A733" s="34"/>
      <c r="B733" s="7"/>
      <c r="C733" s="19"/>
      <c r="D733" s="7"/>
      <c r="E733" s="7"/>
      <c r="F733" s="7"/>
      <c r="G733" s="7"/>
      <c r="H733" s="6"/>
      <c r="I733" s="7"/>
      <c r="J733" s="7"/>
      <c r="K733" s="7"/>
      <c r="L733" s="7"/>
      <c r="M733" s="52"/>
      <c r="N733" s="7"/>
      <c r="O733" s="7"/>
      <c r="P733" s="47"/>
      <c r="Q733" s="47"/>
      <c r="R733" s="7"/>
      <c r="S733" s="51"/>
      <c r="T733" s="51"/>
      <c r="U733" s="7"/>
      <c r="V733" s="57"/>
      <c r="W733" s="57"/>
      <c r="X733" s="57"/>
    </row>
    <row r="734" spans="1:24" ht="12.5" x14ac:dyDescent="0.25">
      <c r="A734" s="34"/>
      <c r="B734" s="7"/>
      <c r="C734" s="19"/>
      <c r="D734" s="7"/>
      <c r="E734" s="7"/>
      <c r="F734" s="7"/>
      <c r="G734" s="7"/>
      <c r="H734" s="6"/>
      <c r="I734" s="7"/>
      <c r="J734" s="7"/>
      <c r="K734" s="7"/>
      <c r="L734" s="7"/>
      <c r="M734" s="52"/>
      <c r="N734" s="7"/>
      <c r="O734" s="7"/>
      <c r="P734" s="47"/>
      <c r="Q734" s="47"/>
      <c r="R734" s="7"/>
      <c r="S734" s="51"/>
      <c r="T734" s="51"/>
      <c r="U734" s="7"/>
      <c r="V734" s="57"/>
      <c r="W734" s="57"/>
      <c r="X734" s="57"/>
    </row>
    <row r="735" spans="1:24" ht="12.5" x14ac:dyDescent="0.25">
      <c r="A735" s="34"/>
      <c r="B735" s="7"/>
      <c r="C735" s="19"/>
      <c r="D735" s="7"/>
      <c r="E735" s="7"/>
      <c r="F735" s="7"/>
      <c r="G735" s="7"/>
      <c r="H735" s="6"/>
      <c r="I735" s="7"/>
      <c r="J735" s="7"/>
      <c r="K735" s="7"/>
      <c r="L735" s="7"/>
      <c r="M735" s="52"/>
      <c r="N735" s="7"/>
      <c r="O735" s="7"/>
      <c r="P735" s="47"/>
      <c r="Q735" s="47"/>
      <c r="R735" s="7"/>
      <c r="S735" s="51"/>
      <c r="T735" s="51"/>
      <c r="U735" s="7"/>
      <c r="V735" s="57"/>
      <c r="W735" s="57"/>
      <c r="X735" s="57"/>
    </row>
    <row r="736" spans="1:24" ht="12.5" x14ac:dyDescent="0.25">
      <c r="A736" s="34"/>
      <c r="B736" s="7"/>
      <c r="C736" s="19"/>
      <c r="D736" s="7"/>
      <c r="E736" s="7"/>
      <c r="F736" s="7"/>
      <c r="G736" s="7"/>
      <c r="H736" s="6"/>
      <c r="I736" s="7"/>
      <c r="J736" s="7"/>
      <c r="K736" s="7"/>
      <c r="L736" s="7"/>
      <c r="M736" s="52"/>
      <c r="N736" s="7"/>
      <c r="O736" s="7"/>
      <c r="P736" s="47"/>
      <c r="Q736" s="47"/>
      <c r="R736" s="7"/>
      <c r="S736" s="51"/>
      <c r="T736" s="51"/>
      <c r="U736" s="7"/>
      <c r="V736" s="57"/>
      <c r="W736" s="57"/>
      <c r="X736" s="57"/>
    </row>
    <row r="737" spans="1:24" ht="12.5" x14ac:dyDescent="0.25">
      <c r="A737" s="34"/>
      <c r="B737" s="7"/>
      <c r="C737" s="19"/>
      <c r="D737" s="7"/>
      <c r="E737" s="7"/>
      <c r="F737" s="7"/>
      <c r="G737" s="7"/>
      <c r="H737" s="6"/>
      <c r="I737" s="7"/>
      <c r="J737" s="7"/>
      <c r="K737" s="7"/>
      <c r="L737" s="7"/>
      <c r="M737" s="52"/>
      <c r="N737" s="7"/>
      <c r="O737" s="7"/>
      <c r="P737" s="47"/>
      <c r="Q737" s="47"/>
      <c r="R737" s="7"/>
      <c r="S737" s="51"/>
      <c r="T737" s="51"/>
      <c r="U737" s="7"/>
      <c r="V737" s="57"/>
      <c r="W737" s="57"/>
      <c r="X737" s="57"/>
    </row>
    <row r="738" spans="1:24" ht="12.5" x14ac:dyDescent="0.25">
      <c r="A738" s="34"/>
      <c r="B738" s="7"/>
      <c r="C738" s="19"/>
      <c r="D738" s="7"/>
      <c r="E738" s="7"/>
      <c r="F738" s="7"/>
      <c r="G738" s="7"/>
      <c r="H738" s="6"/>
      <c r="I738" s="7"/>
      <c r="J738" s="7"/>
      <c r="K738" s="7"/>
      <c r="L738" s="7"/>
      <c r="M738" s="52"/>
      <c r="N738" s="7"/>
      <c r="O738" s="7"/>
      <c r="P738" s="47"/>
      <c r="Q738" s="47"/>
      <c r="R738" s="7"/>
      <c r="S738" s="51"/>
      <c r="T738" s="51"/>
      <c r="U738" s="7"/>
      <c r="V738" s="57"/>
      <c r="W738" s="57"/>
      <c r="X738" s="57"/>
    </row>
    <row r="739" spans="1:24" ht="12.5" x14ac:dyDescent="0.25">
      <c r="A739" s="34"/>
      <c r="B739" s="7"/>
      <c r="C739" s="19"/>
      <c r="D739" s="7"/>
      <c r="E739" s="7"/>
      <c r="F739" s="7"/>
      <c r="G739" s="7"/>
      <c r="H739" s="6"/>
      <c r="I739" s="7"/>
      <c r="J739" s="7"/>
      <c r="K739" s="7"/>
      <c r="L739" s="7"/>
      <c r="M739" s="52"/>
      <c r="N739" s="7"/>
      <c r="O739" s="7"/>
      <c r="P739" s="47"/>
      <c r="Q739" s="47"/>
      <c r="R739" s="7"/>
      <c r="S739" s="51"/>
      <c r="T739" s="51"/>
      <c r="U739" s="7"/>
      <c r="V739" s="57"/>
      <c r="W739" s="57"/>
      <c r="X739" s="57"/>
    </row>
    <row r="740" spans="1:24" ht="12.5" x14ac:dyDescent="0.25">
      <c r="A740" s="34"/>
      <c r="B740" s="7"/>
      <c r="C740" s="19"/>
      <c r="D740" s="7"/>
      <c r="E740" s="7"/>
      <c r="F740" s="7"/>
      <c r="G740" s="7"/>
      <c r="H740" s="6"/>
      <c r="I740" s="7"/>
      <c r="J740" s="7"/>
      <c r="K740" s="7"/>
      <c r="L740" s="7"/>
      <c r="M740" s="52"/>
      <c r="N740" s="7"/>
      <c r="O740" s="7"/>
      <c r="P740" s="47"/>
      <c r="Q740" s="47"/>
      <c r="R740" s="7"/>
      <c r="S740" s="51"/>
      <c r="T740" s="51"/>
      <c r="U740" s="7"/>
      <c r="V740" s="57"/>
      <c r="W740" s="57"/>
      <c r="X740" s="57"/>
    </row>
    <row r="741" spans="1:24" ht="12.5" x14ac:dyDescent="0.25">
      <c r="A741" s="34"/>
      <c r="B741" s="7"/>
      <c r="C741" s="19"/>
      <c r="D741" s="7"/>
      <c r="E741" s="7"/>
      <c r="F741" s="7"/>
      <c r="G741" s="7"/>
      <c r="H741" s="6"/>
      <c r="I741" s="7"/>
      <c r="J741" s="7"/>
      <c r="K741" s="7"/>
      <c r="L741" s="7"/>
      <c r="M741" s="52"/>
      <c r="N741" s="7"/>
      <c r="O741" s="7"/>
      <c r="P741" s="47"/>
      <c r="Q741" s="47"/>
      <c r="R741" s="7"/>
      <c r="S741" s="51"/>
      <c r="T741" s="51"/>
      <c r="U741" s="7"/>
      <c r="V741" s="57"/>
      <c r="W741" s="57"/>
      <c r="X741" s="57"/>
    </row>
    <row r="742" spans="1:24" ht="12.5" x14ac:dyDescent="0.25">
      <c r="A742" s="34"/>
      <c r="B742" s="7"/>
      <c r="C742" s="19"/>
      <c r="D742" s="7"/>
      <c r="E742" s="7"/>
      <c r="F742" s="7"/>
      <c r="G742" s="7"/>
      <c r="H742" s="6"/>
      <c r="I742" s="7"/>
      <c r="J742" s="7"/>
      <c r="K742" s="7"/>
      <c r="L742" s="7"/>
      <c r="M742" s="52"/>
      <c r="N742" s="7"/>
      <c r="O742" s="7"/>
      <c r="P742" s="47"/>
      <c r="Q742" s="47"/>
      <c r="R742" s="7"/>
      <c r="S742" s="51"/>
      <c r="T742" s="51"/>
      <c r="U742" s="7"/>
      <c r="V742" s="57"/>
      <c r="W742" s="57"/>
      <c r="X742" s="57"/>
    </row>
    <row r="743" spans="1:24" ht="12.5" x14ac:dyDescent="0.25">
      <c r="A743" s="34"/>
      <c r="B743" s="7"/>
      <c r="C743" s="19"/>
      <c r="D743" s="7"/>
      <c r="E743" s="7"/>
      <c r="F743" s="7"/>
      <c r="G743" s="7"/>
      <c r="H743" s="6"/>
      <c r="I743" s="7"/>
      <c r="J743" s="7"/>
      <c r="K743" s="7"/>
      <c r="L743" s="7"/>
      <c r="M743" s="52"/>
      <c r="N743" s="7"/>
      <c r="O743" s="7"/>
      <c r="P743" s="47"/>
      <c r="Q743" s="47"/>
      <c r="R743" s="7"/>
      <c r="S743" s="51"/>
      <c r="T743" s="51"/>
      <c r="U743" s="7"/>
      <c r="V743" s="57"/>
      <c r="W743" s="57"/>
      <c r="X743" s="57"/>
    </row>
    <row r="744" spans="1:24" ht="12.5" x14ac:dyDescent="0.25">
      <c r="A744" s="34"/>
      <c r="B744" s="7"/>
      <c r="C744" s="19"/>
      <c r="D744" s="7"/>
      <c r="E744" s="7"/>
      <c r="F744" s="7"/>
      <c r="G744" s="7"/>
      <c r="H744" s="6"/>
      <c r="I744" s="7"/>
      <c r="J744" s="7"/>
      <c r="K744" s="7"/>
      <c r="L744" s="7"/>
      <c r="M744" s="52"/>
      <c r="N744" s="7"/>
      <c r="O744" s="7"/>
      <c r="P744" s="47"/>
      <c r="Q744" s="47"/>
      <c r="R744" s="7"/>
      <c r="S744" s="51"/>
      <c r="T744" s="51"/>
      <c r="U744" s="7"/>
      <c r="V744" s="57"/>
      <c r="W744" s="57"/>
      <c r="X744" s="57"/>
    </row>
    <row r="745" spans="1:24" ht="12.5" x14ac:dyDescent="0.25">
      <c r="A745" s="34"/>
      <c r="B745" s="7"/>
      <c r="C745" s="19"/>
      <c r="D745" s="7"/>
      <c r="E745" s="7"/>
      <c r="F745" s="7"/>
      <c r="G745" s="7"/>
      <c r="H745" s="6"/>
      <c r="I745" s="7"/>
      <c r="J745" s="7"/>
      <c r="K745" s="7"/>
      <c r="L745" s="7"/>
      <c r="M745" s="52"/>
      <c r="N745" s="7"/>
      <c r="O745" s="7"/>
      <c r="P745" s="47"/>
      <c r="Q745" s="47"/>
      <c r="R745" s="7"/>
      <c r="S745" s="51"/>
      <c r="T745" s="51"/>
      <c r="U745" s="7"/>
      <c r="V745" s="57"/>
      <c r="W745" s="57"/>
      <c r="X745" s="57"/>
    </row>
    <row r="746" spans="1:24" ht="12.5" x14ac:dyDescent="0.25">
      <c r="A746" s="34"/>
      <c r="B746" s="7"/>
      <c r="C746" s="19"/>
      <c r="D746" s="7"/>
      <c r="E746" s="7"/>
      <c r="F746" s="7"/>
      <c r="G746" s="7"/>
      <c r="H746" s="6"/>
      <c r="I746" s="7"/>
      <c r="J746" s="7"/>
      <c r="K746" s="7"/>
      <c r="L746" s="7"/>
      <c r="M746" s="52"/>
      <c r="N746" s="7"/>
      <c r="O746" s="7"/>
      <c r="P746" s="47"/>
      <c r="Q746" s="47"/>
      <c r="R746" s="7"/>
      <c r="S746" s="51"/>
      <c r="T746" s="51"/>
      <c r="U746" s="7"/>
      <c r="V746" s="57"/>
      <c r="W746" s="57"/>
      <c r="X746" s="57"/>
    </row>
    <row r="747" spans="1:24" ht="12.5" x14ac:dyDescent="0.25">
      <c r="A747" s="34"/>
      <c r="B747" s="7"/>
      <c r="C747" s="19"/>
      <c r="D747" s="7"/>
      <c r="E747" s="7"/>
      <c r="F747" s="7"/>
      <c r="G747" s="7"/>
      <c r="H747" s="6"/>
      <c r="I747" s="7"/>
      <c r="J747" s="7"/>
      <c r="K747" s="7"/>
      <c r="L747" s="7"/>
      <c r="M747" s="52"/>
      <c r="N747" s="7"/>
      <c r="O747" s="7"/>
      <c r="P747" s="47"/>
      <c r="Q747" s="47"/>
      <c r="R747" s="7"/>
      <c r="S747" s="51"/>
      <c r="T747" s="51"/>
      <c r="U747" s="7"/>
      <c r="V747" s="57"/>
      <c r="W747" s="57"/>
      <c r="X747" s="57"/>
    </row>
    <row r="748" spans="1:24" ht="12.5" x14ac:dyDescent="0.25">
      <c r="A748" s="34"/>
      <c r="B748" s="7"/>
      <c r="C748" s="19"/>
      <c r="D748" s="7"/>
      <c r="E748" s="7"/>
      <c r="F748" s="7"/>
      <c r="G748" s="7"/>
      <c r="H748" s="6"/>
      <c r="I748" s="7"/>
      <c r="J748" s="7"/>
      <c r="K748" s="7"/>
      <c r="L748" s="7"/>
      <c r="M748" s="52"/>
      <c r="N748" s="7"/>
      <c r="O748" s="7"/>
      <c r="P748" s="47"/>
      <c r="Q748" s="47"/>
      <c r="R748" s="7"/>
      <c r="S748" s="51"/>
      <c r="T748" s="51"/>
      <c r="U748" s="7"/>
      <c r="V748" s="57"/>
      <c r="W748" s="57"/>
      <c r="X748" s="57"/>
    </row>
    <row r="749" spans="1:24" ht="12.5" x14ac:dyDescent="0.25">
      <c r="A749" s="34"/>
      <c r="B749" s="7"/>
      <c r="C749" s="19"/>
      <c r="D749" s="7"/>
      <c r="E749" s="7"/>
      <c r="F749" s="7"/>
      <c r="G749" s="7"/>
      <c r="H749" s="6"/>
      <c r="I749" s="7"/>
      <c r="J749" s="7"/>
      <c r="K749" s="7"/>
      <c r="L749" s="7"/>
      <c r="M749" s="52"/>
      <c r="N749" s="7"/>
      <c r="O749" s="7"/>
      <c r="P749" s="47"/>
      <c r="Q749" s="47"/>
      <c r="R749" s="7"/>
      <c r="S749" s="51"/>
      <c r="T749" s="51"/>
      <c r="U749" s="7"/>
      <c r="V749" s="57"/>
      <c r="W749" s="57"/>
      <c r="X749" s="57"/>
    </row>
    <row r="750" spans="1:24" ht="12.5" x14ac:dyDescent="0.25">
      <c r="A750" s="34"/>
      <c r="B750" s="7"/>
      <c r="C750" s="19"/>
      <c r="D750" s="7"/>
      <c r="E750" s="7"/>
      <c r="F750" s="7"/>
      <c r="G750" s="7"/>
      <c r="H750" s="6"/>
      <c r="I750" s="7"/>
      <c r="J750" s="7"/>
      <c r="K750" s="7"/>
      <c r="L750" s="7"/>
      <c r="M750" s="52"/>
      <c r="N750" s="7"/>
      <c r="O750" s="7"/>
      <c r="P750" s="47"/>
      <c r="Q750" s="47"/>
      <c r="R750" s="7"/>
      <c r="S750" s="51"/>
      <c r="T750" s="51"/>
      <c r="U750" s="7"/>
      <c r="V750" s="57"/>
      <c r="W750" s="57"/>
      <c r="X750" s="57"/>
    </row>
    <row r="751" spans="1:24" ht="12.5" x14ac:dyDescent="0.25">
      <c r="A751" s="34"/>
      <c r="B751" s="7"/>
      <c r="C751" s="19"/>
      <c r="D751" s="7"/>
      <c r="E751" s="7"/>
      <c r="F751" s="7"/>
      <c r="G751" s="7"/>
      <c r="H751" s="6"/>
      <c r="I751" s="7"/>
      <c r="J751" s="7"/>
      <c r="K751" s="7"/>
      <c r="L751" s="7"/>
      <c r="M751" s="52"/>
      <c r="N751" s="7"/>
      <c r="O751" s="7"/>
      <c r="P751" s="47"/>
      <c r="Q751" s="47"/>
      <c r="R751" s="7"/>
      <c r="S751" s="51"/>
      <c r="T751" s="51"/>
      <c r="U751" s="7"/>
      <c r="V751" s="57"/>
      <c r="W751" s="57"/>
      <c r="X751" s="57"/>
    </row>
    <row r="752" spans="1:24" ht="12.5" x14ac:dyDescent="0.25">
      <c r="A752" s="34"/>
      <c r="B752" s="7"/>
      <c r="C752" s="19"/>
      <c r="D752" s="7"/>
      <c r="E752" s="7"/>
      <c r="F752" s="7"/>
      <c r="G752" s="7"/>
      <c r="H752" s="6"/>
      <c r="I752" s="7"/>
      <c r="J752" s="7"/>
      <c r="K752" s="7"/>
      <c r="L752" s="7"/>
      <c r="M752" s="52"/>
      <c r="N752" s="7"/>
      <c r="O752" s="7"/>
      <c r="P752" s="47"/>
      <c r="Q752" s="47"/>
      <c r="R752" s="7"/>
      <c r="S752" s="51"/>
      <c r="T752" s="51"/>
      <c r="U752" s="7"/>
      <c r="V752" s="57"/>
      <c r="W752" s="57"/>
      <c r="X752" s="57"/>
    </row>
    <row r="753" spans="1:24" ht="12.5" x14ac:dyDescent="0.25">
      <c r="A753" s="34"/>
      <c r="B753" s="7"/>
      <c r="C753" s="19"/>
      <c r="D753" s="7"/>
      <c r="E753" s="7"/>
      <c r="F753" s="7"/>
      <c r="G753" s="7"/>
      <c r="H753" s="6"/>
      <c r="I753" s="7"/>
      <c r="J753" s="7"/>
      <c r="K753" s="7"/>
      <c r="L753" s="7"/>
      <c r="M753" s="52"/>
      <c r="N753" s="7"/>
      <c r="O753" s="7"/>
      <c r="P753" s="47"/>
      <c r="Q753" s="47"/>
      <c r="R753" s="7"/>
      <c r="S753" s="51"/>
      <c r="T753" s="51"/>
      <c r="U753" s="7"/>
      <c r="V753" s="57"/>
      <c r="W753" s="57"/>
      <c r="X753" s="57"/>
    </row>
    <row r="754" spans="1:24" ht="12.5" x14ac:dyDescent="0.25">
      <c r="A754" s="34"/>
      <c r="B754" s="7"/>
      <c r="C754" s="19"/>
      <c r="D754" s="7"/>
      <c r="E754" s="7"/>
      <c r="F754" s="7"/>
      <c r="G754" s="7"/>
      <c r="H754" s="6"/>
      <c r="I754" s="7"/>
      <c r="J754" s="7"/>
      <c r="K754" s="7"/>
      <c r="L754" s="7"/>
      <c r="M754" s="52"/>
      <c r="N754" s="7"/>
      <c r="O754" s="7"/>
      <c r="P754" s="47"/>
      <c r="Q754" s="47"/>
      <c r="R754" s="7"/>
      <c r="S754" s="51"/>
      <c r="T754" s="51"/>
      <c r="U754" s="7"/>
      <c r="V754" s="57"/>
      <c r="W754" s="57"/>
      <c r="X754" s="57"/>
    </row>
    <row r="755" spans="1:24" ht="12.5" x14ac:dyDescent="0.25">
      <c r="A755" s="34"/>
      <c r="B755" s="7"/>
      <c r="C755" s="19"/>
      <c r="D755" s="7"/>
      <c r="E755" s="7"/>
      <c r="F755" s="7"/>
      <c r="G755" s="7"/>
      <c r="H755" s="6"/>
      <c r="I755" s="7"/>
      <c r="J755" s="7"/>
      <c r="K755" s="7"/>
      <c r="L755" s="7"/>
      <c r="M755" s="52"/>
      <c r="N755" s="7"/>
      <c r="O755" s="7"/>
      <c r="P755" s="47"/>
      <c r="Q755" s="47"/>
      <c r="R755" s="7"/>
      <c r="S755" s="51"/>
      <c r="T755" s="51"/>
      <c r="U755" s="7"/>
      <c r="V755" s="57"/>
      <c r="W755" s="57"/>
      <c r="X755" s="57"/>
    </row>
    <row r="756" spans="1:24" ht="12.5" x14ac:dyDescent="0.25">
      <c r="A756" s="34"/>
      <c r="B756" s="7"/>
      <c r="C756" s="19"/>
      <c r="D756" s="7"/>
      <c r="E756" s="7"/>
      <c r="F756" s="7"/>
      <c r="G756" s="7"/>
      <c r="H756" s="6"/>
      <c r="I756" s="7"/>
      <c r="J756" s="7"/>
      <c r="K756" s="7"/>
      <c r="L756" s="7"/>
      <c r="M756" s="52"/>
      <c r="N756" s="7"/>
      <c r="O756" s="7"/>
      <c r="P756" s="47"/>
      <c r="Q756" s="47"/>
      <c r="R756" s="7"/>
      <c r="S756" s="51"/>
      <c r="T756" s="51"/>
      <c r="U756" s="7"/>
      <c r="V756" s="57"/>
      <c r="W756" s="57"/>
      <c r="X756" s="57"/>
    </row>
    <row r="757" spans="1:24" ht="12.5" x14ac:dyDescent="0.25">
      <c r="A757" s="34"/>
      <c r="B757" s="7"/>
      <c r="C757" s="19"/>
      <c r="D757" s="7"/>
      <c r="E757" s="7"/>
      <c r="F757" s="7"/>
      <c r="G757" s="7"/>
      <c r="H757" s="6"/>
      <c r="I757" s="7"/>
      <c r="J757" s="7"/>
      <c r="K757" s="7"/>
      <c r="L757" s="7"/>
      <c r="M757" s="52"/>
      <c r="N757" s="7"/>
      <c r="O757" s="7"/>
      <c r="P757" s="47"/>
      <c r="Q757" s="47"/>
      <c r="R757" s="7"/>
      <c r="S757" s="51"/>
      <c r="T757" s="51"/>
      <c r="U757" s="7"/>
      <c r="V757" s="57"/>
      <c r="W757" s="57"/>
      <c r="X757" s="57"/>
    </row>
    <row r="758" spans="1:24" ht="12.5" x14ac:dyDescent="0.25">
      <c r="A758" s="34"/>
      <c r="B758" s="7"/>
      <c r="C758" s="19"/>
      <c r="D758" s="7"/>
      <c r="E758" s="7"/>
      <c r="F758" s="7"/>
      <c r="G758" s="7"/>
      <c r="H758" s="6"/>
      <c r="I758" s="7"/>
      <c r="J758" s="7"/>
      <c r="K758" s="7"/>
      <c r="L758" s="7"/>
      <c r="M758" s="52"/>
      <c r="N758" s="7"/>
      <c r="O758" s="7"/>
      <c r="P758" s="47"/>
      <c r="Q758" s="47"/>
      <c r="R758" s="7"/>
      <c r="S758" s="51"/>
      <c r="T758" s="51"/>
      <c r="U758" s="7"/>
      <c r="V758" s="57"/>
      <c r="W758" s="57"/>
      <c r="X758" s="57"/>
    </row>
    <row r="759" spans="1:24" ht="12.5" x14ac:dyDescent="0.25">
      <c r="A759" s="34"/>
      <c r="B759" s="7"/>
      <c r="C759" s="19"/>
      <c r="D759" s="7"/>
      <c r="E759" s="7"/>
      <c r="F759" s="7"/>
      <c r="G759" s="7"/>
      <c r="H759" s="6"/>
      <c r="I759" s="7"/>
      <c r="J759" s="7"/>
      <c r="K759" s="7"/>
      <c r="L759" s="7"/>
      <c r="M759" s="52"/>
      <c r="N759" s="7"/>
      <c r="O759" s="7"/>
      <c r="P759" s="47"/>
      <c r="Q759" s="47"/>
      <c r="R759" s="7"/>
      <c r="S759" s="51"/>
      <c r="T759" s="51"/>
      <c r="U759" s="7"/>
      <c r="V759" s="57"/>
      <c r="W759" s="57"/>
      <c r="X759" s="57"/>
    </row>
    <row r="760" spans="1:24" ht="12.5" x14ac:dyDescent="0.25">
      <c r="A760" s="34"/>
      <c r="B760" s="7"/>
      <c r="C760" s="19"/>
      <c r="D760" s="7"/>
      <c r="E760" s="7"/>
      <c r="F760" s="7"/>
      <c r="G760" s="7"/>
      <c r="H760" s="6"/>
      <c r="I760" s="7"/>
      <c r="J760" s="7"/>
      <c r="K760" s="7"/>
      <c r="L760" s="7"/>
      <c r="M760" s="52"/>
      <c r="N760" s="7"/>
      <c r="O760" s="7"/>
      <c r="P760" s="47"/>
      <c r="Q760" s="47"/>
      <c r="R760" s="7"/>
      <c r="S760" s="51"/>
      <c r="T760" s="51"/>
      <c r="U760" s="7"/>
      <c r="V760" s="57"/>
      <c r="W760" s="57"/>
      <c r="X760" s="57"/>
    </row>
    <row r="761" spans="1:24" ht="12.5" x14ac:dyDescent="0.25">
      <c r="A761" s="34"/>
      <c r="B761" s="7"/>
      <c r="C761" s="19"/>
      <c r="D761" s="7"/>
      <c r="E761" s="7"/>
      <c r="F761" s="7"/>
      <c r="G761" s="7"/>
      <c r="H761" s="6"/>
      <c r="I761" s="7"/>
      <c r="J761" s="7"/>
      <c r="K761" s="7"/>
      <c r="L761" s="7"/>
      <c r="M761" s="52"/>
      <c r="N761" s="7"/>
      <c r="O761" s="7"/>
      <c r="P761" s="47"/>
      <c r="Q761" s="47"/>
      <c r="R761" s="7"/>
      <c r="S761" s="51"/>
      <c r="T761" s="51"/>
      <c r="U761" s="7"/>
      <c r="V761" s="57"/>
      <c r="W761" s="57"/>
      <c r="X761" s="57"/>
    </row>
    <row r="762" spans="1:24" ht="12.5" x14ac:dyDescent="0.25">
      <c r="A762" s="34"/>
      <c r="B762" s="7"/>
      <c r="C762" s="19"/>
      <c r="D762" s="7"/>
      <c r="E762" s="7"/>
      <c r="F762" s="7"/>
      <c r="G762" s="7"/>
      <c r="H762" s="6"/>
      <c r="I762" s="7"/>
      <c r="J762" s="7"/>
      <c r="K762" s="7"/>
      <c r="L762" s="7"/>
      <c r="M762" s="52"/>
      <c r="N762" s="7"/>
      <c r="O762" s="7"/>
      <c r="P762" s="47"/>
      <c r="Q762" s="47"/>
      <c r="R762" s="7"/>
      <c r="S762" s="51"/>
      <c r="T762" s="51"/>
      <c r="U762" s="7"/>
      <c r="V762" s="57"/>
      <c r="W762" s="57"/>
      <c r="X762" s="57"/>
    </row>
    <row r="763" spans="1:24" ht="12.5" x14ac:dyDescent="0.25">
      <c r="A763" s="34"/>
      <c r="B763" s="7"/>
      <c r="C763" s="19"/>
      <c r="D763" s="7"/>
      <c r="E763" s="7"/>
      <c r="F763" s="7"/>
      <c r="G763" s="7"/>
      <c r="H763" s="6"/>
      <c r="I763" s="7"/>
      <c r="J763" s="7"/>
      <c r="K763" s="7"/>
      <c r="L763" s="7"/>
      <c r="M763" s="52"/>
      <c r="N763" s="7"/>
      <c r="O763" s="7"/>
      <c r="P763" s="47"/>
      <c r="Q763" s="47"/>
      <c r="R763" s="7"/>
      <c r="S763" s="51"/>
      <c r="T763" s="51"/>
      <c r="U763" s="7"/>
      <c r="V763" s="57"/>
      <c r="W763" s="57"/>
      <c r="X763" s="57"/>
    </row>
    <row r="764" spans="1:24" ht="12.5" x14ac:dyDescent="0.25">
      <c r="A764" s="34"/>
      <c r="B764" s="7"/>
      <c r="C764" s="19"/>
      <c r="D764" s="7"/>
      <c r="E764" s="7"/>
      <c r="F764" s="7"/>
      <c r="G764" s="7"/>
      <c r="H764" s="6"/>
      <c r="I764" s="7"/>
      <c r="J764" s="7"/>
      <c r="K764" s="7"/>
      <c r="L764" s="7"/>
      <c r="M764" s="52"/>
      <c r="N764" s="7"/>
      <c r="O764" s="7"/>
      <c r="P764" s="47"/>
      <c r="Q764" s="47"/>
      <c r="R764" s="7"/>
      <c r="S764" s="51"/>
      <c r="T764" s="51"/>
      <c r="U764" s="7"/>
      <c r="V764" s="57"/>
      <c r="W764" s="57"/>
      <c r="X764" s="57"/>
    </row>
    <row r="765" spans="1:24" ht="12.5" x14ac:dyDescent="0.25">
      <c r="A765" s="34"/>
      <c r="B765" s="7"/>
      <c r="C765" s="19"/>
      <c r="D765" s="7"/>
      <c r="E765" s="7"/>
      <c r="F765" s="7"/>
      <c r="G765" s="7"/>
      <c r="H765" s="6"/>
      <c r="I765" s="7"/>
      <c r="J765" s="7"/>
      <c r="K765" s="7"/>
      <c r="L765" s="7"/>
      <c r="M765" s="52"/>
      <c r="N765" s="7"/>
      <c r="O765" s="7"/>
      <c r="P765" s="47"/>
      <c r="Q765" s="47"/>
      <c r="R765" s="7"/>
      <c r="S765" s="51"/>
      <c r="T765" s="51"/>
      <c r="U765" s="7"/>
      <c r="V765" s="57"/>
      <c r="W765" s="57"/>
      <c r="X765" s="57"/>
    </row>
    <row r="766" spans="1:24" ht="12.5" x14ac:dyDescent="0.25">
      <c r="A766" s="34"/>
      <c r="B766" s="7"/>
      <c r="C766" s="19"/>
      <c r="D766" s="7"/>
      <c r="E766" s="7"/>
      <c r="F766" s="7"/>
      <c r="G766" s="7"/>
      <c r="H766" s="6"/>
      <c r="I766" s="7"/>
      <c r="J766" s="7"/>
      <c r="K766" s="7"/>
      <c r="L766" s="7"/>
      <c r="M766" s="52"/>
      <c r="N766" s="7"/>
      <c r="O766" s="7"/>
      <c r="P766" s="47"/>
      <c r="Q766" s="47"/>
      <c r="R766" s="7"/>
      <c r="S766" s="51"/>
      <c r="T766" s="51"/>
      <c r="U766" s="7"/>
      <c r="V766" s="57"/>
      <c r="W766" s="57"/>
      <c r="X766" s="57"/>
    </row>
    <row r="767" spans="1:24" ht="12.5" x14ac:dyDescent="0.25">
      <c r="A767" s="34"/>
      <c r="B767" s="7"/>
      <c r="C767" s="19"/>
      <c r="D767" s="7"/>
      <c r="E767" s="7"/>
      <c r="F767" s="7"/>
      <c r="G767" s="7"/>
      <c r="H767" s="6"/>
      <c r="I767" s="7"/>
      <c r="J767" s="7"/>
      <c r="K767" s="7"/>
      <c r="L767" s="7"/>
      <c r="M767" s="52"/>
      <c r="N767" s="7"/>
      <c r="O767" s="7"/>
      <c r="P767" s="47"/>
      <c r="Q767" s="47"/>
      <c r="R767" s="7"/>
      <c r="S767" s="51"/>
      <c r="T767" s="51"/>
      <c r="U767" s="7"/>
      <c r="V767" s="57"/>
      <c r="W767" s="57"/>
      <c r="X767" s="57"/>
    </row>
    <row r="768" spans="1:24" ht="12.5" x14ac:dyDescent="0.25">
      <c r="A768" s="34"/>
      <c r="B768" s="7"/>
      <c r="C768" s="19"/>
      <c r="D768" s="7"/>
      <c r="E768" s="7"/>
      <c r="F768" s="7"/>
      <c r="G768" s="7"/>
      <c r="H768" s="6"/>
      <c r="I768" s="7"/>
      <c r="J768" s="7"/>
      <c r="K768" s="7"/>
      <c r="L768" s="7"/>
      <c r="M768" s="52"/>
      <c r="N768" s="7"/>
      <c r="O768" s="7"/>
      <c r="P768" s="47"/>
      <c r="Q768" s="47"/>
      <c r="R768" s="7"/>
      <c r="S768" s="51"/>
      <c r="T768" s="51"/>
      <c r="U768" s="7"/>
      <c r="V768" s="57"/>
      <c r="W768" s="57"/>
      <c r="X768" s="57"/>
    </row>
    <row r="769" spans="1:24" ht="12.5" x14ac:dyDescent="0.25">
      <c r="A769" s="34"/>
      <c r="B769" s="7"/>
      <c r="C769" s="19"/>
      <c r="D769" s="7"/>
      <c r="E769" s="7"/>
      <c r="F769" s="7"/>
      <c r="G769" s="7"/>
      <c r="H769" s="6"/>
      <c r="I769" s="7"/>
      <c r="J769" s="7"/>
      <c r="K769" s="7"/>
      <c r="L769" s="7"/>
      <c r="M769" s="52"/>
      <c r="N769" s="7"/>
      <c r="O769" s="7"/>
      <c r="P769" s="47"/>
      <c r="Q769" s="47"/>
      <c r="R769" s="7"/>
      <c r="S769" s="51"/>
      <c r="T769" s="51"/>
      <c r="U769" s="7"/>
      <c r="V769" s="57"/>
      <c r="W769" s="57"/>
      <c r="X769" s="57"/>
    </row>
    <row r="770" spans="1:24" ht="12.5" x14ac:dyDescent="0.25">
      <c r="A770" s="34"/>
      <c r="B770" s="7"/>
      <c r="C770" s="19"/>
      <c r="D770" s="7"/>
      <c r="E770" s="7"/>
      <c r="F770" s="7"/>
      <c r="G770" s="7"/>
      <c r="H770" s="6"/>
      <c r="I770" s="7"/>
      <c r="J770" s="7"/>
      <c r="K770" s="7"/>
      <c r="L770" s="7"/>
      <c r="M770" s="52"/>
      <c r="N770" s="7"/>
      <c r="O770" s="7"/>
      <c r="P770" s="47"/>
      <c r="Q770" s="47"/>
      <c r="R770" s="7"/>
      <c r="S770" s="51"/>
      <c r="T770" s="51"/>
      <c r="U770" s="7"/>
      <c r="V770" s="57"/>
      <c r="W770" s="57"/>
      <c r="X770" s="57"/>
    </row>
    <row r="771" spans="1:24" ht="12.5" x14ac:dyDescent="0.25">
      <c r="A771" s="34"/>
      <c r="B771" s="7"/>
      <c r="C771" s="19"/>
      <c r="D771" s="7"/>
      <c r="E771" s="7"/>
      <c r="F771" s="7"/>
      <c r="G771" s="7"/>
      <c r="H771" s="6"/>
      <c r="I771" s="7"/>
      <c r="J771" s="7"/>
      <c r="K771" s="7"/>
      <c r="L771" s="7"/>
      <c r="M771" s="52"/>
      <c r="N771" s="7"/>
      <c r="O771" s="7"/>
      <c r="P771" s="47"/>
      <c r="Q771" s="47"/>
      <c r="R771" s="7"/>
      <c r="S771" s="51"/>
      <c r="T771" s="51"/>
      <c r="U771" s="7"/>
      <c r="V771" s="57"/>
      <c r="W771" s="57"/>
      <c r="X771" s="57"/>
    </row>
    <row r="772" spans="1:24" ht="12.5" x14ac:dyDescent="0.25">
      <c r="A772" s="34"/>
      <c r="B772" s="7"/>
      <c r="C772" s="19"/>
      <c r="D772" s="7"/>
      <c r="E772" s="7"/>
      <c r="F772" s="7"/>
      <c r="G772" s="7"/>
      <c r="H772" s="6"/>
      <c r="I772" s="7"/>
      <c r="J772" s="7"/>
      <c r="K772" s="7"/>
      <c r="L772" s="7"/>
      <c r="M772" s="52"/>
      <c r="N772" s="7"/>
      <c r="O772" s="7"/>
      <c r="P772" s="47"/>
      <c r="Q772" s="47"/>
      <c r="R772" s="7"/>
      <c r="S772" s="51"/>
      <c r="T772" s="51"/>
      <c r="U772" s="7"/>
      <c r="V772" s="57"/>
      <c r="W772" s="57"/>
      <c r="X772" s="57"/>
    </row>
    <row r="773" spans="1:24" ht="12.5" x14ac:dyDescent="0.25">
      <c r="A773" s="34"/>
      <c r="B773" s="7"/>
      <c r="C773" s="19"/>
      <c r="D773" s="7"/>
      <c r="E773" s="7"/>
      <c r="F773" s="7"/>
      <c r="G773" s="7"/>
      <c r="H773" s="6"/>
      <c r="I773" s="7"/>
      <c r="J773" s="7"/>
      <c r="K773" s="7"/>
      <c r="L773" s="7"/>
      <c r="M773" s="52"/>
      <c r="N773" s="7"/>
      <c r="O773" s="7"/>
      <c r="P773" s="47"/>
      <c r="Q773" s="47"/>
      <c r="R773" s="7"/>
      <c r="S773" s="51"/>
      <c r="T773" s="51"/>
      <c r="U773" s="7"/>
      <c r="V773" s="57"/>
      <c r="W773" s="57"/>
      <c r="X773" s="57"/>
    </row>
    <row r="774" spans="1:24" ht="12.5" x14ac:dyDescent="0.25">
      <c r="A774" s="34"/>
      <c r="B774" s="7"/>
      <c r="C774" s="19"/>
      <c r="D774" s="7"/>
      <c r="E774" s="7"/>
      <c r="F774" s="7"/>
      <c r="G774" s="7"/>
      <c r="H774" s="6"/>
      <c r="I774" s="7"/>
      <c r="J774" s="7"/>
      <c r="K774" s="7"/>
      <c r="L774" s="7"/>
      <c r="M774" s="52"/>
      <c r="N774" s="7"/>
      <c r="O774" s="7"/>
      <c r="P774" s="47"/>
      <c r="Q774" s="47"/>
      <c r="R774" s="7"/>
      <c r="S774" s="51"/>
      <c r="T774" s="51"/>
      <c r="U774" s="7"/>
      <c r="V774" s="57"/>
      <c r="W774" s="57"/>
      <c r="X774" s="57"/>
    </row>
    <row r="775" spans="1:24" ht="12.5" x14ac:dyDescent="0.25">
      <c r="A775" s="34"/>
      <c r="B775" s="7"/>
      <c r="C775" s="19"/>
      <c r="D775" s="7"/>
      <c r="E775" s="7"/>
      <c r="F775" s="7"/>
      <c r="G775" s="7"/>
      <c r="H775" s="6"/>
      <c r="I775" s="7"/>
      <c r="J775" s="7"/>
      <c r="K775" s="7"/>
      <c r="L775" s="7"/>
      <c r="M775" s="52"/>
      <c r="N775" s="7"/>
      <c r="O775" s="7"/>
      <c r="P775" s="47"/>
      <c r="Q775" s="47"/>
      <c r="R775" s="7"/>
      <c r="S775" s="51"/>
      <c r="T775" s="51"/>
      <c r="U775" s="7"/>
      <c r="V775" s="57"/>
      <c r="W775" s="57"/>
      <c r="X775" s="57"/>
    </row>
    <row r="776" spans="1:24" ht="12.5" x14ac:dyDescent="0.25">
      <c r="A776" s="34"/>
      <c r="B776" s="7"/>
      <c r="C776" s="19"/>
      <c r="D776" s="7"/>
      <c r="E776" s="7"/>
      <c r="F776" s="7"/>
      <c r="G776" s="7"/>
      <c r="H776" s="6"/>
      <c r="I776" s="7"/>
      <c r="J776" s="7"/>
      <c r="K776" s="7"/>
      <c r="L776" s="7"/>
      <c r="M776" s="52"/>
      <c r="N776" s="7"/>
      <c r="O776" s="7"/>
      <c r="P776" s="47"/>
      <c r="Q776" s="47"/>
      <c r="R776" s="7"/>
      <c r="S776" s="51"/>
      <c r="T776" s="51"/>
      <c r="U776" s="7"/>
      <c r="V776" s="57"/>
      <c r="W776" s="57"/>
      <c r="X776" s="57"/>
    </row>
    <row r="777" spans="1:24" ht="12.5" x14ac:dyDescent="0.25">
      <c r="A777" s="34"/>
      <c r="B777" s="7"/>
      <c r="C777" s="19"/>
      <c r="D777" s="7"/>
      <c r="E777" s="7"/>
      <c r="F777" s="7"/>
      <c r="G777" s="7"/>
      <c r="H777" s="6"/>
      <c r="I777" s="7"/>
      <c r="J777" s="7"/>
      <c r="K777" s="7"/>
      <c r="L777" s="7"/>
      <c r="M777" s="52"/>
      <c r="N777" s="7"/>
      <c r="O777" s="7"/>
      <c r="P777" s="47"/>
      <c r="Q777" s="47"/>
      <c r="R777" s="7"/>
      <c r="S777" s="51"/>
      <c r="T777" s="51"/>
      <c r="U777" s="7"/>
      <c r="V777" s="57"/>
      <c r="W777" s="57"/>
      <c r="X777" s="57"/>
    </row>
    <row r="778" spans="1:24" ht="12.5" x14ac:dyDescent="0.25">
      <c r="A778" s="34"/>
      <c r="B778" s="7"/>
      <c r="C778" s="19"/>
      <c r="D778" s="7"/>
      <c r="E778" s="7"/>
      <c r="F778" s="7"/>
      <c r="G778" s="7"/>
      <c r="H778" s="6"/>
      <c r="I778" s="7"/>
      <c r="J778" s="7"/>
      <c r="K778" s="7"/>
      <c r="L778" s="7"/>
      <c r="M778" s="52"/>
      <c r="N778" s="7"/>
      <c r="O778" s="7"/>
      <c r="P778" s="47"/>
      <c r="Q778" s="47"/>
      <c r="R778" s="7"/>
      <c r="S778" s="51"/>
      <c r="T778" s="51"/>
      <c r="U778" s="7"/>
      <c r="V778" s="57"/>
      <c r="W778" s="57"/>
      <c r="X778" s="57"/>
    </row>
    <row r="779" spans="1:24" ht="12.5" x14ac:dyDescent="0.25">
      <c r="A779" s="34"/>
      <c r="B779" s="7"/>
      <c r="C779" s="19"/>
      <c r="D779" s="7"/>
      <c r="E779" s="7"/>
      <c r="F779" s="7"/>
      <c r="G779" s="7"/>
      <c r="H779" s="6"/>
      <c r="I779" s="7"/>
      <c r="J779" s="7"/>
      <c r="K779" s="7"/>
      <c r="L779" s="7"/>
      <c r="M779" s="52"/>
      <c r="N779" s="7"/>
      <c r="O779" s="7"/>
      <c r="P779" s="47"/>
      <c r="Q779" s="47"/>
      <c r="R779" s="7"/>
      <c r="S779" s="51"/>
      <c r="T779" s="51"/>
      <c r="U779" s="7"/>
      <c r="V779" s="57"/>
      <c r="W779" s="57"/>
      <c r="X779" s="57"/>
    </row>
    <row r="780" spans="1:24" ht="12.5" x14ac:dyDescent="0.25">
      <c r="A780" s="34"/>
      <c r="B780" s="7"/>
      <c r="C780" s="19"/>
      <c r="D780" s="7"/>
      <c r="E780" s="7"/>
      <c r="F780" s="7"/>
      <c r="G780" s="7"/>
      <c r="H780" s="6"/>
      <c r="I780" s="7"/>
      <c r="J780" s="7"/>
      <c r="K780" s="7"/>
      <c r="L780" s="7"/>
      <c r="M780" s="52"/>
      <c r="N780" s="7"/>
      <c r="O780" s="7"/>
      <c r="P780" s="47"/>
      <c r="Q780" s="47"/>
      <c r="R780" s="7"/>
      <c r="S780" s="51"/>
      <c r="T780" s="51"/>
      <c r="U780" s="7"/>
      <c r="V780" s="57"/>
      <c r="W780" s="57"/>
      <c r="X780" s="57"/>
    </row>
    <row r="781" spans="1:24" ht="12.5" x14ac:dyDescent="0.25">
      <c r="A781" s="34"/>
      <c r="B781" s="7"/>
      <c r="C781" s="19"/>
      <c r="D781" s="7"/>
      <c r="E781" s="7"/>
      <c r="F781" s="7"/>
      <c r="G781" s="7"/>
      <c r="H781" s="6"/>
      <c r="I781" s="7"/>
      <c r="J781" s="7"/>
      <c r="K781" s="7"/>
      <c r="L781" s="7"/>
      <c r="M781" s="52"/>
      <c r="N781" s="7"/>
      <c r="O781" s="7"/>
      <c r="P781" s="47"/>
      <c r="Q781" s="47"/>
      <c r="R781" s="7"/>
      <c r="S781" s="51"/>
      <c r="T781" s="51"/>
      <c r="U781" s="7"/>
      <c r="V781" s="57"/>
      <c r="W781" s="57"/>
      <c r="X781" s="57"/>
    </row>
    <row r="782" spans="1:24" ht="12.5" x14ac:dyDescent="0.25">
      <c r="A782" s="34"/>
      <c r="B782" s="7"/>
      <c r="C782" s="19"/>
      <c r="D782" s="7"/>
      <c r="E782" s="7"/>
      <c r="F782" s="7"/>
      <c r="G782" s="7"/>
      <c r="H782" s="6"/>
      <c r="I782" s="7"/>
      <c r="J782" s="7"/>
      <c r="K782" s="7"/>
      <c r="L782" s="7"/>
      <c r="M782" s="52"/>
      <c r="N782" s="7"/>
      <c r="O782" s="7"/>
      <c r="P782" s="47"/>
      <c r="Q782" s="47"/>
      <c r="R782" s="7"/>
      <c r="S782" s="51"/>
      <c r="T782" s="51"/>
      <c r="U782" s="7"/>
      <c r="V782" s="57"/>
      <c r="W782" s="57"/>
      <c r="X782" s="57"/>
    </row>
    <row r="783" spans="1:24" ht="12.5" x14ac:dyDescent="0.25">
      <c r="A783" s="34"/>
      <c r="B783" s="7"/>
      <c r="C783" s="19"/>
      <c r="D783" s="7"/>
      <c r="E783" s="7"/>
      <c r="F783" s="7"/>
      <c r="G783" s="7"/>
      <c r="H783" s="6"/>
      <c r="I783" s="7"/>
      <c r="J783" s="7"/>
      <c r="K783" s="7"/>
      <c r="L783" s="7"/>
      <c r="M783" s="52"/>
      <c r="N783" s="7"/>
      <c r="O783" s="7"/>
      <c r="P783" s="47"/>
      <c r="Q783" s="47"/>
      <c r="R783" s="7"/>
      <c r="S783" s="51"/>
      <c r="T783" s="51"/>
      <c r="U783" s="7"/>
      <c r="V783" s="57"/>
      <c r="W783" s="57"/>
      <c r="X783" s="57"/>
    </row>
    <row r="784" spans="1:24" ht="12.5" x14ac:dyDescent="0.25">
      <c r="A784" s="34"/>
      <c r="B784" s="7"/>
      <c r="C784" s="19"/>
      <c r="D784" s="7"/>
      <c r="E784" s="7"/>
      <c r="F784" s="7"/>
      <c r="G784" s="7"/>
      <c r="H784" s="6"/>
      <c r="I784" s="7"/>
      <c r="J784" s="7"/>
      <c r="K784" s="7"/>
      <c r="L784" s="7"/>
      <c r="M784" s="52"/>
      <c r="N784" s="7"/>
      <c r="O784" s="7"/>
      <c r="P784" s="47"/>
      <c r="Q784" s="47"/>
      <c r="R784" s="7"/>
      <c r="S784" s="51"/>
      <c r="T784" s="51"/>
      <c r="U784" s="7"/>
      <c r="V784" s="57"/>
      <c r="W784" s="57"/>
      <c r="X784" s="57"/>
    </row>
    <row r="785" spans="1:24" ht="12.5" x14ac:dyDescent="0.25">
      <c r="A785" s="34"/>
      <c r="B785" s="7"/>
      <c r="C785" s="19"/>
      <c r="D785" s="7"/>
      <c r="E785" s="7"/>
      <c r="F785" s="7"/>
      <c r="G785" s="7"/>
      <c r="H785" s="6"/>
      <c r="I785" s="7"/>
      <c r="J785" s="7"/>
      <c r="K785" s="7"/>
      <c r="L785" s="7"/>
      <c r="M785" s="52"/>
      <c r="N785" s="7"/>
      <c r="O785" s="7"/>
      <c r="P785" s="47"/>
      <c r="Q785" s="47"/>
      <c r="R785" s="7"/>
      <c r="S785" s="51"/>
      <c r="T785" s="51"/>
      <c r="U785" s="7"/>
      <c r="V785" s="57"/>
      <c r="W785" s="57"/>
      <c r="X785" s="57"/>
    </row>
    <row r="786" spans="1:24" ht="12.5" x14ac:dyDescent="0.25">
      <c r="A786" s="34"/>
      <c r="B786" s="7"/>
      <c r="C786" s="19"/>
      <c r="D786" s="7"/>
      <c r="E786" s="7"/>
      <c r="F786" s="7"/>
      <c r="G786" s="7"/>
      <c r="H786" s="6"/>
      <c r="I786" s="7"/>
      <c r="J786" s="7"/>
      <c r="K786" s="7"/>
      <c r="L786" s="7"/>
      <c r="M786" s="52"/>
      <c r="N786" s="7"/>
      <c r="O786" s="7"/>
      <c r="P786" s="47"/>
      <c r="Q786" s="47"/>
      <c r="R786" s="7"/>
      <c r="S786" s="51"/>
      <c r="T786" s="51"/>
      <c r="U786" s="7"/>
      <c r="V786" s="57"/>
      <c r="W786" s="57"/>
      <c r="X786" s="57"/>
    </row>
    <row r="787" spans="1:24" ht="12.5" x14ac:dyDescent="0.25">
      <c r="A787" s="34"/>
      <c r="B787" s="7"/>
      <c r="C787" s="19"/>
      <c r="D787" s="7"/>
      <c r="E787" s="7"/>
      <c r="F787" s="7"/>
      <c r="G787" s="7"/>
      <c r="H787" s="6"/>
      <c r="I787" s="7"/>
      <c r="J787" s="7"/>
      <c r="K787" s="7"/>
      <c r="L787" s="7"/>
      <c r="M787" s="52"/>
      <c r="N787" s="7"/>
      <c r="O787" s="7"/>
      <c r="P787" s="47"/>
      <c r="Q787" s="47"/>
      <c r="R787" s="7"/>
      <c r="S787" s="51"/>
      <c r="T787" s="51"/>
      <c r="U787" s="7"/>
      <c r="V787" s="57"/>
      <c r="W787" s="57"/>
      <c r="X787" s="57"/>
    </row>
    <row r="788" spans="1:24" ht="12.5" x14ac:dyDescent="0.25">
      <c r="A788" s="34"/>
      <c r="B788" s="7"/>
      <c r="C788" s="19"/>
      <c r="D788" s="7"/>
      <c r="E788" s="7"/>
      <c r="F788" s="7"/>
      <c r="G788" s="7"/>
      <c r="H788" s="6"/>
      <c r="I788" s="7"/>
      <c r="J788" s="7"/>
      <c r="K788" s="7"/>
      <c r="L788" s="7"/>
      <c r="M788" s="52"/>
      <c r="N788" s="7"/>
      <c r="O788" s="7"/>
      <c r="P788" s="47"/>
      <c r="Q788" s="47"/>
      <c r="R788" s="7"/>
      <c r="S788" s="51"/>
      <c r="T788" s="51"/>
      <c r="U788" s="7"/>
      <c r="V788" s="57"/>
      <c r="W788" s="57"/>
      <c r="X788" s="57"/>
    </row>
    <row r="789" spans="1:24" ht="12.5" x14ac:dyDescent="0.25">
      <c r="A789" s="34"/>
      <c r="B789" s="7"/>
      <c r="C789" s="19"/>
      <c r="D789" s="7"/>
      <c r="E789" s="7"/>
      <c r="F789" s="7"/>
      <c r="G789" s="7"/>
      <c r="H789" s="6"/>
      <c r="I789" s="7"/>
      <c r="J789" s="7"/>
      <c r="K789" s="7"/>
      <c r="L789" s="7"/>
      <c r="M789" s="52"/>
      <c r="N789" s="7"/>
      <c r="O789" s="7"/>
      <c r="P789" s="47"/>
      <c r="Q789" s="47"/>
      <c r="R789" s="7"/>
      <c r="S789" s="51"/>
      <c r="T789" s="51"/>
      <c r="U789" s="7"/>
      <c r="V789" s="57"/>
      <c r="W789" s="57"/>
      <c r="X789" s="57"/>
    </row>
    <row r="790" spans="1:24" ht="12.5" x14ac:dyDescent="0.25">
      <c r="A790" s="34"/>
      <c r="B790" s="7"/>
      <c r="C790" s="19"/>
      <c r="D790" s="7"/>
      <c r="E790" s="7"/>
      <c r="F790" s="7"/>
      <c r="G790" s="7"/>
      <c r="H790" s="6"/>
      <c r="I790" s="7"/>
      <c r="J790" s="7"/>
      <c r="K790" s="7"/>
      <c r="L790" s="7"/>
      <c r="M790" s="52"/>
      <c r="N790" s="7"/>
      <c r="O790" s="7"/>
      <c r="P790" s="47"/>
      <c r="Q790" s="47"/>
      <c r="R790" s="7"/>
      <c r="S790" s="51"/>
      <c r="T790" s="51"/>
      <c r="U790" s="7"/>
      <c r="V790" s="57"/>
      <c r="W790" s="57"/>
      <c r="X790" s="57"/>
    </row>
    <row r="791" spans="1:24" ht="12.5" x14ac:dyDescent="0.25">
      <c r="A791" s="34"/>
      <c r="B791" s="7"/>
      <c r="C791" s="19"/>
      <c r="D791" s="7"/>
      <c r="E791" s="7"/>
      <c r="F791" s="7"/>
      <c r="G791" s="7"/>
      <c r="H791" s="6"/>
      <c r="I791" s="7"/>
      <c r="J791" s="7"/>
      <c r="K791" s="7"/>
      <c r="L791" s="7"/>
      <c r="M791" s="52"/>
      <c r="N791" s="7"/>
      <c r="O791" s="7"/>
      <c r="P791" s="47"/>
      <c r="Q791" s="47"/>
      <c r="R791" s="7"/>
      <c r="S791" s="51"/>
      <c r="T791" s="51"/>
      <c r="U791" s="7"/>
      <c r="V791" s="57"/>
      <c r="W791" s="57"/>
      <c r="X791" s="57"/>
    </row>
    <row r="792" spans="1:24" ht="12.5" x14ac:dyDescent="0.25">
      <c r="A792" s="34"/>
      <c r="B792" s="7"/>
      <c r="C792" s="19"/>
      <c r="D792" s="7"/>
      <c r="E792" s="7"/>
      <c r="F792" s="7"/>
      <c r="G792" s="7"/>
      <c r="H792" s="6"/>
      <c r="I792" s="7"/>
      <c r="J792" s="7"/>
      <c r="K792" s="7"/>
      <c r="L792" s="7"/>
      <c r="M792" s="52"/>
      <c r="N792" s="7"/>
      <c r="O792" s="7"/>
      <c r="P792" s="47"/>
      <c r="Q792" s="47"/>
      <c r="R792" s="7"/>
      <c r="S792" s="51"/>
      <c r="T792" s="51"/>
      <c r="U792" s="7"/>
      <c r="V792" s="57"/>
      <c r="W792" s="57"/>
      <c r="X792" s="57"/>
    </row>
    <row r="793" spans="1:24" ht="12.5" x14ac:dyDescent="0.25">
      <c r="A793" s="34"/>
      <c r="B793" s="7"/>
      <c r="C793" s="19"/>
      <c r="D793" s="7"/>
      <c r="E793" s="7"/>
      <c r="F793" s="7"/>
      <c r="G793" s="7"/>
      <c r="H793" s="6"/>
      <c r="I793" s="7"/>
      <c r="J793" s="7"/>
      <c r="K793" s="7"/>
      <c r="L793" s="7"/>
      <c r="M793" s="52"/>
      <c r="N793" s="7"/>
      <c r="O793" s="7"/>
      <c r="P793" s="47"/>
      <c r="Q793" s="47"/>
      <c r="R793" s="7"/>
      <c r="S793" s="51"/>
      <c r="T793" s="51"/>
      <c r="U793" s="7"/>
      <c r="V793" s="57"/>
      <c r="W793" s="57"/>
      <c r="X793" s="57"/>
    </row>
    <row r="794" spans="1:24" ht="12.5" x14ac:dyDescent="0.25">
      <c r="A794" s="34"/>
      <c r="B794" s="7"/>
      <c r="C794" s="19"/>
      <c r="D794" s="7"/>
      <c r="E794" s="7"/>
      <c r="F794" s="7"/>
      <c r="G794" s="7"/>
      <c r="H794" s="6"/>
      <c r="I794" s="7"/>
      <c r="J794" s="7"/>
      <c r="K794" s="7"/>
      <c r="L794" s="7"/>
      <c r="M794" s="52"/>
      <c r="N794" s="7"/>
      <c r="O794" s="7"/>
      <c r="P794" s="47"/>
      <c r="Q794" s="47"/>
      <c r="R794" s="7"/>
      <c r="S794" s="51"/>
      <c r="T794" s="51"/>
      <c r="U794" s="7"/>
      <c r="V794" s="57"/>
      <c r="W794" s="57"/>
      <c r="X794" s="57"/>
    </row>
    <row r="795" spans="1:24" ht="12.5" x14ac:dyDescent="0.25">
      <c r="A795" s="34"/>
      <c r="B795" s="7"/>
      <c r="C795" s="19"/>
      <c r="D795" s="7"/>
      <c r="E795" s="7"/>
      <c r="F795" s="7"/>
      <c r="G795" s="7"/>
      <c r="H795" s="6"/>
      <c r="I795" s="7"/>
      <c r="J795" s="7"/>
      <c r="K795" s="7"/>
      <c r="L795" s="7"/>
      <c r="M795" s="52"/>
      <c r="N795" s="7"/>
      <c r="O795" s="7"/>
      <c r="P795" s="47"/>
      <c r="Q795" s="47"/>
      <c r="R795" s="7"/>
      <c r="S795" s="51"/>
      <c r="T795" s="51"/>
      <c r="U795" s="7"/>
      <c r="V795" s="57"/>
      <c r="W795" s="57"/>
      <c r="X795" s="57"/>
    </row>
    <row r="796" spans="1:24" ht="12.5" x14ac:dyDescent="0.25">
      <c r="A796" s="34"/>
      <c r="B796" s="7"/>
      <c r="C796" s="19"/>
      <c r="D796" s="7"/>
      <c r="E796" s="7"/>
      <c r="F796" s="7"/>
      <c r="G796" s="7"/>
      <c r="H796" s="6"/>
      <c r="I796" s="7"/>
      <c r="J796" s="7"/>
      <c r="K796" s="7"/>
      <c r="L796" s="7"/>
      <c r="M796" s="52"/>
      <c r="N796" s="7"/>
      <c r="O796" s="7"/>
      <c r="P796" s="47"/>
      <c r="Q796" s="47"/>
      <c r="R796" s="7"/>
      <c r="S796" s="51"/>
      <c r="T796" s="51"/>
      <c r="U796" s="7"/>
      <c r="V796" s="57"/>
      <c r="W796" s="57"/>
      <c r="X796" s="57"/>
    </row>
    <row r="797" spans="1:24" ht="12.5" x14ac:dyDescent="0.25">
      <c r="A797" s="34"/>
      <c r="B797" s="7"/>
      <c r="C797" s="19"/>
      <c r="D797" s="7"/>
      <c r="E797" s="7"/>
      <c r="F797" s="7"/>
      <c r="G797" s="7"/>
      <c r="H797" s="6"/>
      <c r="I797" s="7"/>
      <c r="J797" s="7"/>
      <c r="K797" s="7"/>
      <c r="L797" s="7"/>
      <c r="M797" s="52"/>
      <c r="N797" s="7"/>
      <c r="O797" s="7"/>
      <c r="P797" s="47"/>
      <c r="Q797" s="47"/>
      <c r="R797" s="7"/>
      <c r="S797" s="51"/>
      <c r="T797" s="51"/>
      <c r="U797" s="7"/>
      <c r="V797" s="57"/>
      <c r="W797" s="57"/>
      <c r="X797" s="57"/>
    </row>
    <row r="798" spans="1:24" ht="12.5" x14ac:dyDescent="0.25">
      <c r="A798" s="34"/>
      <c r="B798" s="7"/>
      <c r="C798" s="19"/>
      <c r="D798" s="7"/>
      <c r="E798" s="7"/>
      <c r="F798" s="7"/>
      <c r="G798" s="7"/>
      <c r="H798" s="6"/>
      <c r="I798" s="7"/>
      <c r="J798" s="7"/>
      <c r="K798" s="7"/>
      <c r="L798" s="7"/>
      <c r="M798" s="52"/>
      <c r="N798" s="7"/>
      <c r="O798" s="7"/>
      <c r="P798" s="47"/>
      <c r="Q798" s="47"/>
      <c r="R798" s="7"/>
      <c r="S798" s="51"/>
      <c r="T798" s="51"/>
      <c r="U798" s="7"/>
      <c r="V798" s="57"/>
      <c r="W798" s="57"/>
      <c r="X798" s="57"/>
    </row>
    <row r="799" spans="1:24" ht="12.5" x14ac:dyDescent="0.25">
      <c r="A799" s="34"/>
      <c r="B799" s="7"/>
      <c r="C799" s="19"/>
      <c r="D799" s="7"/>
      <c r="E799" s="7"/>
      <c r="F799" s="7"/>
      <c r="G799" s="7"/>
      <c r="H799" s="6"/>
      <c r="I799" s="7"/>
      <c r="J799" s="7"/>
      <c r="K799" s="7"/>
      <c r="L799" s="7"/>
      <c r="M799" s="52"/>
      <c r="N799" s="7"/>
      <c r="O799" s="7"/>
      <c r="P799" s="47"/>
      <c r="Q799" s="47"/>
      <c r="R799" s="7"/>
      <c r="S799" s="51"/>
      <c r="T799" s="51"/>
      <c r="U799" s="7"/>
      <c r="V799" s="57"/>
      <c r="W799" s="57"/>
      <c r="X799" s="57"/>
    </row>
    <row r="800" spans="1:24" ht="12.5" x14ac:dyDescent="0.25">
      <c r="A800" s="34"/>
      <c r="B800" s="7"/>
      <c r="C800" s="19"/>
      <c r="D800" s="7"/>
      <c r="E800" s="7"/>
      <c r="F800" s="7"/>
      <c r="G800" s="7"/>
      <c r="H800" s="6"/>
      <c r="I800" s="7"/>
      <c r="J800" s="7"/>
      <c r="K800" s="7"/>
      <c r="L800" s="7"/>
      <c r="M800" s="52"/>
      <c r="N800" s="7"/>
      <c r="O800" s="7"/>
      <c r="P800" s="47"/>
      <c r="Q800" s="47"/>
      <c r="R800" s="7"/>
      <c r="S800" s="51"/>
      <c r="T800" s="51"/>
      <c r="U800" s="7"/>
      <c r="V800" s="57"/>
      <c r="W800" s="57"/>
      <c r="X800" s="57"/>
    </row>
    <row r="801" spans="1:24" ht="12.5" x14ac:dyDescent="0.25">
      <c r="A801" s="34"/>
      <c r="B801" s="7"/>
      <c r="C801" s="19"/>
      <c r="D801" s="7"/>
      <c r="E801" s="7"/>
      <c r="F801" s="7"/>
      <c r="G801" s="7"/>
      <c r="H801" s="6"/>
      <c r="I801" s="7"/>
      <c r="J801" s="7"/>
      <c r="K801" s="7"/>
      <c r="L801" s="7"/>
      <c r="M801" s="52"/>
      <c r="N801" s="7"/>
      <c r="O801" s="7"/>
      <c r="P801" s="47"/>
      <c r="Q801" s="47"/>
      <c r="R801" s="7"/>
      <c r="S801" s="51"/>
      <c r="T801" s="51"/>
      <c r="U801" s="7"/>
      <c r="V801" s="57"/>
      <c r="W801" s="57"/>
      <c r="X801" s="57"/>
    </row>
    <row r="802" spans="1:24" ht="12.5" x14ac:dyDescent="0.25">
      <c r="A802" s="34"/>
      <c r="B802" s="7"/>
      <c r="C802" s="19"/>
      <c r="D802" s="7"/>
      <c r="E802" s="7"/>
      <c r="F802" s="7"/>
      <c r="G802" s="7"/>
      <c r="H802" s="6"/>
      <c r="I802" s="7"/>
      <c r="J802" s="7"/>
      <c r="K802" s="7"/>
      <c r="L802" s="7"/>
      <c r="M802" s="52"/>
      <c r="N802" s="7"/>
      <c r="O802" s="7"/>
      <c r="P802" s="47"/>
      <c r="Q802" s="47"/>
      <c r="R802" s="7"/>
      <c r="S802" s="51"/>
      <c r="T802" s="51"/>
      <c r="U802" s="7"/>
      <c r="V802" s="57"/>
      <c r="W802" s="57"/>
      <c r="X802" s="57"/>
    </row>
    <row r="803" spans="1:24" ht="12.5" x14ac:dyDescent="0.25">
      <c r="A803" s="34"/>
      <c r="B803" s="7"/>
      <c r="C803" s="19"/>
      <c r="D803" s="7"/>
      <c r="E803" s="7"/>
      <c r="F803" s="7"/>
      <c r="G803" s="7"/>
      <c r="H803" s="6"/>
      <c r="I803" s="7"/>
      <c r="J803" s="7"/>
      <c r="K803" s="7"/>
      <c r="L803" s="7"/>
      <c r="M803" s="52"/>
      <c r="N803" s="7"/>
      <c r="O803" s="7"/>
      <c r="P803" s="47"/>
      <c r="Q803" s="47"/>
      <c r="R803" s="7"/>
      <c r="S803" s="51"/>
      <c r="T803" s="51"/>
      <c r="U803" s="7"/>
      <c r="V803" s="57"/>
      <c r="W803" s="57"/>
      <c r="X803" s="57"/>
    </row>
    <row r="804" spans="1:24" ht="12.5" x14ac:dyDescent="0.25">
      <c r="A804" s="34"/>
      <c r="B804" s="7"/>
      <c r="C804" s="19"/>
      <c r="D804" s="7"/>
      <c r="E804" s="7"/>
      <c r="F804" s="7"/>
      <c r="G804" s="7"/>
      <c r="H804" s="6"/>
      <c r="I804" s="7"/>
      <c r="J804" s="7"/>
      <c r="K804" s="7"/>
      <c r="L804" s="7"/>
      <c r="M804" s="52"/>
      <c r="N804" s="7"/>
      <c r="O804" s="7"/>
      <c r="P804" s="47"/>
      <c r="Q804" s="47"/>
      <c r="R804" s="7"/>
      <c r="S804" s="51"/>
      <c r="T804" s="51"/>
      <c r="U804" s="7"/>
      <c r="V804" s="57"/>
      <c r="W804" s="57"/>
      <c r="X804" s="57"/>
    </row>
    <row r="805" spans="1:24" ht="12.5" x14ac:dyDescent="0.25">
      <c r="A805" s="34"/>
      <c r="B805" s="7"/>
      <c r="C805" s="19"/>
      <c r="D805" s="7"/>
      <c r="E805" s="7"/>
      <c r="F805" s="7"/>
      <c r="G805" s="7"/>
      <c r="H805" s="6"/>
      <c r="I805" s="7"/>
      <c r="J805" s="7"/>
      <c r="K805" s="7"/>
      <c r="L805" s="7"/>
      <c r="M805" s="52"/>
      <c r="N805" s="7"/>
      <c r="O805" s="7"/>
      <c r="P805" s="47"/>
      <c r="Q805" s="47"/>
      <c r="R805" s="7"/>
      <c r="S805" s="51"/>
      <c r="T805" s="51"/>
      <c r="U805" s="7"/>
      <c r="V805" s="57"/>
      <c r="W805" s="57"/>
      <c r="X805" s="57"/>
    </row>
    <row r="806" spans="1:24" ht="12.5" x14ac:dyDescent="0.25">
      <c r="A806" s="34"/>
      <c r="B806" s="7"/>
      <c r="C806" s="19"/>
      <c r="D806" s="7"/>
      <c r="E806" s="7"/>
      <c r="F806" s="7"/>
      <c r="G806" s="7"/>
      <c r="H806" s="6"/>
      <c r="I806" s="7"/>
      <c r="J806" s="7"/>
      <c r="K806" s="7"/>
      <c r="L806" s="7"/>
      <c r="M806" s="52"/>
      <c r="N806" s="7"/>
      <c r="O806" s="7"/>
      <c r="P806" s="47"/>
      <c r="Q806" s="47"/>
      <c r="R806" s="7"/>
      <c r="S806" s="51"/>
      <c r="T806" s="51"/>
      <c r="U806" s="7"/>
      <c r="V806" s="57"/>
      <c r="W806" s="57"/>
      <c r="X806" s="57"/>
    </row>
    <row r="807" spans="1:24" ht="12.5" x14ac:dyDescent="0.25">
      <c r="A807" s="34"/>
      <c r="B807" s="7"/>
      <c r="C807" s="19"/>
      <c r="D807" s="7"/>
      <c r="E807" s="7"/>
      <c r="F807" s="7"/>
      <c r="G807" s="7"/>
      <c r="H807" s="6"/>
      <c r="I807" s="7"/>
      <c r="J807" s="7"/>
      <c r="K807" s="7"/>
      <c r="L807" s="7"/>
      <c r="M807" s="52"/>
      <c r="N807" s="7"/>
      <c r="O807" s="7"/>
      <c r="P807" s="47"/>
      <c r="Q807" s="47"/>
      <c r="R807" s="7"/>
      <c r="S807" s="51"/>
      <c r="T807" s="51"/>
      <c r="U807" s="7"/>
      <c r="V807" s="57"/>
      <c r="W807" s="57"/>
      <c r="X807" s="57"/>
    </row>
    <row r="808" spans="1:24" ht="12.5" x14ac:dyDescent="0.25">
      <c r="A808" s="34"/>
      <c r="B808" s="7"/>
      <c r="C808" s="19"/>
      <c r="D808" s="7"/>
      <c r="E808" s="7"/>
      <c r="F808" s="7"/>
      <c r="G808" s="7"/>
      <c r="H808" s="6"/>
      <c r="I808" s="7"/>
      <c r="J808" s="7"/>
      <c r="K808" s="7"/>
      <c r="L808" s="7"/>
      <c r="M808" s="52"/>
      <c r="N808" s="7"/>
      <c r="O808" s="7"/>
      <c r="P808" s="47"/>
      <c r="Q808" s="47"/>
      <c r="R808" s="7"/>
      <c r="S808" s="51"/>
      <c r="T808" s="51"/>
      <c r="U808" s="7"/>
      <c r="V808" s="57"/>
      <c r="W808" s="57"/>
      <c r="X808" s="57"/>
    </row>
    <row r="809" spans="1:24" ht="12.5" x14ac:dyDescent="0.25">
      <c r="A809" s="34"/>
      <c r="B809" s="7"/>
      <c r="C809" s="19"/>
      <c r="D809" s="7"/>
      <c r="E809" s="7"/>
      <c r="F809" s="7"/>
      <c r="G809" s="7"/>
      <c r="H809" s="6"/>
      <c r="I809" s="7"/>
      <c r="J809" s="7"/>
      <c r="K809" s="7"/>
      <c r="L809" s="7"/>
      <c r="M809" s="52"/>
      <c r="N809" s="7"/>
      <c r="O809" s="7"/>
      <c r="P809" s="47"/>
      <c r="Q809" s="47"/>
      <c r="R809" s="7"/>
      <c r="S809" s="51"/>
      <c r="T809" s="51"/>
      <c r="U809" s="7"/>
      <c r="V809" s="57"/>
      <c r="W809" s="57"/>
      <c r="X809" s="57"/>
    </row>
    <row r="810" spans="1:24" ht="12.5" x14ac:dyDescent="0.25">
      <c r="A810" s="34"/>
      <c r="B810" s="7"/>
      <c r="C810" s="19"/>
      <c r="D810" s="7"/>
      <c r="E810" s="7"/>
      <c r="F810" s="7"/>
      <c r="G810" s="7"/>
      <c r="H810" s="6"/>
      <c r="I810" s="7"/>
      <c r="J810" s="7"/>
      <c r="K810" s="7"/>
      <c r="L810" s="7"/>
      <c r="M810" s="52"/>
      <c r="N810" s="7"/>
      <c r="O810" s="7"/>
      <c r="P810" s="47"/>
      <c r="Q810" s="47"/>
      <c r="R810" s="7"/>
      <c r="S810" s="51"/>
      <c r="T810" s="51"/>
      <c r="U810" s="7"/>
      <c r="V810" s="57"/>
      <c r="W810" s="57"/>
      <c r="X810" s="57"/>
    </row>
    <row r="811" spans="1:24" ht="12.5" x14ac:dyDescent="0.25">
      <c r="A811" s="34"/>
      <c r="B811" s="7"/>
      <c r="C811" s="19"/>
      <c r="D811" s="7"/>
      <c r="E811" s="7"/>
      <c r="F811" s="7"/>
      <c r="G811" s="7"/>
      <c r="H811" s="6"/>
      <c r="I811" s="7"/>
      <c r="J811" s="7"/>
      <c r="K811" s="7"/>
      <c r="L811" s="7"/>
      <c r="M811" s="52"/>
      <c r="N811" s="7"/>
      <c r="O811" s="7"/>
      <c r="P811" s="47"/>
      <c r="Q811" s="47"/>
      <c r="R811" s="7"/>
      <c r="S811" s="51"/>
      <c r="T811" s="51"/>
      <c r="U811" s="7"/>
      <c r="V811" s="57"/>
      <c r="W811" s="57"/>
      <c r="X811" s="57"/>
    </row>
    <row r="812" spans="1:24" ht="12.5" x14ac:dyDescent="0.25">
      <c r="A812" s="34"/>
      <c r="B812" s="7"/>
      <c r="C812" s="19"/>
      <c r="D812" s="7"/>
      <c r="E812" s="7"/>
      <c r="F812" s="7"/>
      <c r="G812" s="7"/>
      <c r="H812" s="6"/>
      <c r="I812" s="7"/>
      <c r="J812" s="7"/>
      <c r="K812" s="7"/>
      <c r="L812" s="7"/>
      <c r="M812" s="52"/>
      <c r="N812" s="7"/>
      <c r="O812" s="7"/>
      <c r="P812" s="47"/>
      <c r="Q812" s="47"/>
      <c r="R812" s="7"/>
      <c r="S812" s="51"/>
      <c r="T812" s="51"/>
      <c r="U812" s="7"/>
      <c r="V812" s="57"/>
      <c r="W812" s="57"/>
      <c r="X812" s="57"/>
    </row>
    <row r="813" spans="1:24" ht="12.5" x14ac:dyDescent="0.25">
      <c r="A813" s="34"/>
      <c r="B813" s="7"/>
      <c r="C813" s="19"/>
      <c r="D813" s="7"/>
      <c r="E813" s="7"/>
      <c r="F813" s="7"/>
      <c r="G813" s="7"/>
      <c r="H813" s="6"/>
      <c r="I813" s="7"/>
      <c r="J813" s="7"/>
      <c r="K813" s="7"/>
      <c r="L813" s="7"/>
      <c r="M813" s="52"/>
      <c r="N813" s="7"/>
      <c r="O813" s="7"/>
      <c r="P813" s="47"/>
      <c r="Q813" s="47"/>
      <c r="R813" s="7"/>
      <c r="S813" s="51"/>
      <c r="T813" s="51"/>
      <c r="U813" s="7"/>
      <c r="V813" s="57"/>
      <c r="W813" s="57"/>
      <c r="X813" s="57"/>
    </row>
    <row r="814" spans="1:24" ht="12.5" x14ac:dyDescent="0.25">
      <c r="A814" s="34"/>
      <c r="B814" s="7"/>
      <c r="C814" s="19"/>
      <c r="D814" s="7"/>
      <c r="E814" s="7"/>
      <c r="F814" s="7"/>
      <c r="G814" s="7"/>
      <c r="H814" s="6"/>
      <c r="I814" s="7"/>
      <c r="J814" s="7"/>
      <c r="K814" s="7"/>
      <c r="L814" s="7"/>
      <c r="M814" s="52"/>
      <c r="N814" s="7"/>
      <c r="O814" s="7"/>
      <c r="P814" s="47"/>
      <c r="Q814" s="47"/>
      <c r="R814" s="7"/>
      <c r="S814" s="51"/>
      <c r="T814" s="51"/>
      <c r="U814" s="7"/>
      <c r="V814" s="57"/>
      <c r="W814" s="57"/>
      <c r="X814" s="57"/>
    </row>
    <row r="815" spans="1:24" ht="12.5" x14ac:dyDescent="0.25">
      <c r="A815" s="34"/>
      <c r="B815" s="7"/>
      <c r="C815" s="19"/>
      <c r="D815" s="7"/>
      <c r="E815" s="7"/>
      <c r="F815" s="7"/>
      <c r="G815" s="7"/>
      <c r="H815" s="6"/>
      <c r="I815" s="7"/>
      <c r="J815" s="7"/>
      <c r="K815" s="7"/>
      <c r="L815" s="7"/>
      <c r="M815" s="52"/>
      <c r="N815" s="7"/>
      <c r="O815" s="7"/>
      <c r="P815" s="47"/>
      <c r="Q815" s="47"/>
      <c r="R815" s="7"/>
      <c r="S815" s="51"/>
      <c r="T815" s="51"/>
      <c r="U815" s="7"/>
      <c r="V815" s="57"/>
      <c r="W815" s="57"/>
      <c r="X815" s="57"/>
    </row>
    <row r="816" spans="1:24" ht="12.5" x14ac:dyDescent="0.25">
      <c r="A816" s="34"/>
      <c r="B816" s="7"/>
      <c r="C816" s="19"/>
      <c r="D816" s="7"/>
      <c r="E816" s="7"/>
      <c r="F816" s="7"/>
      <c r="G816" s="7"/>
      <c r="H816" s="6"/>
      <c r="I816" s="7"/>
      <c r="J816" s="7"/>
      <c r="K816" s="7"/>
      <c r="L816" s="7"/>
      <c r="M816" s="52"/>
      <c r="N816" s="7"/>
      <c r="O816" s="7"/>
      <c r="P816" s="47"/>
      <c r="Q816" s="47"/>
      <c r="R816" s="7"/>
      <c r="S816" s="51"/>
      <c r="T816" s="51"/>
      <c r="U816" s="7"/>
      <c r="V816" s="57"/>
      <c r="W816" s="57"/>
      <c r="X816" s="57"/>
    </row>
    <row r="817" spans="1:24" ht="12.5" x14ac:dyDescent="0.25">
      <c r="A817" s="34"/>
      <c r="B817" s="7"/>
      <c r="C817" s="19"/>
      <c r="D817" s="7"/>
      <c r="E817" s="7"/>
      <c r="F817" s="7"/>
      <c r="G817" s="7"/>
      <c r="H817" s="6"/>
      <c r="I817" s="7"/>
      <c r="J817" s="7"/>
      <c r="K817" s="7"/>
      <c r="L817" s="7"/>
      <c r="M817" s="52"/>
      <c r="N817" s="7"/>
      <c r="O817" s="7"/>
      <c r="P817" s="47"/>
      <c r="Q817" s="47"/>
      <c r="R817" s="7"/>
      <c r="S817" s="51"/>
      <c r="T817" s="51"/>
      <c r="U817" s="7"/>
      <c r="V817" s="57"/>
      <c r="W817" s="57"/>
      <c r="X817" s="57"/>
    </row>
    <row r="818" spans="1:24" ht="12.5" x14ac:dyDescent="0.25">
      <c r="A818" s="34"/>
      <c r="B818" s="7"/>
      <c r="C818" s="19"/>
      <c r="D818" s="7"/>
      <c r="E818" s="7"/>
      <c r="F818" s="7"/>
      <c r="G818" s="7"/>
      <c r="H818" s="6"/>
      <c r="I818" s="7"/>
      <c r="J818" s="7"/>
      <c r="K818" s="7"/>
      <c r="L818" s="7"/>
      <c r="M818" s="52"/>
      <c r="N818" s="7"/>
      <c r="O818" s="7"/>
      <c r="P818" s="47"/>
      <c r="Q818" s="47"/>
      <c r="R818" s="7"/>
      <c r="S818" s="51"/>
      <c r="T818" s="51"/>
      <c r="U818" s="7"/>
      <c r="V818" s="57"/>
      <c r="W818" s="57"/>
      <c r="X818" s="57"/>
    </row>
    <row r="819" spans="1:24" ht="12.5" x14ac:dyDescent="0.25">
      <c r="A819" s="34"/>
      <c r="B819" s="7"/>
      <c r="C819" s="19"/>
      <c r="D819" s="7"/>
      <c r="E819" s="7"/>
      <c r="F819" s="7"/>
      <c r="G819" s="7"/>
      <c r="H819" s="6"/>
      <c r="I819" s="7"/>
      <c r="J819" s="7"/>
      <c r="K819" s="7"/>
      <c r="L819" s="7"/>
      <c r="M819" s="52"/>
      <c r="N819" s="7"/>
      <c r="O819" s="7"/>
      <c r="P819" s="47"/>
      <c r="Q819" s="47"/>
      <c r="R819" s="7"/>
      <c r="S819" s="51"/>
      <c r="T819" s="51"/>
      <c r="U819" s="7"/>
      <c r="V819" s="57"/>
      <c r="W819" s="57"/>
      <c r="X819" s="57"/>
    </row>
    <row r="820" spans="1:24" ht="12.5" x14ac:dyDescent="0.25">
      <c r="A820" s="34"/>
      <c r="B820" s="7"/>
      <c r="C820" s="19"/>
      <c r="D820" s="7"/>
      <c r="E820" s="7"/>
      <c r="F820" s="7"/>
      <c r="G820" s="7"/>
      <c r="H820" s="6"/>
      <c r="I820" s="7"/>
      <c r="J820" s="7"/>
      <c r="K820" s="7"/>
      <c r="L820" s="7"/>
      <c r="M820" s="52"/>
      <c r="N820" s="7"/>
      <c r="O820" s="7"/>
      <c r="P820" s="47"/>
      <c r="Q820" s="47"/>
      <c r="R820" s="7"/>
      <c r="S820" s="51"/>
      <c r="T820" s="51"/>
      <c r="U820" s="7"/>
      <c r="V820" s="57"/>
      <c r="W820" s="57"/>
      <c r="X820" s="57"/>
    </row>
    <row r="821" spans="1:24" ht="12.5" x14ac:dyDescent="0.25">
      <c r="A821" s="34"/>
      <c r="B821" s="7"/>
      <c r="C821" s="19"/>
      <c r="D821" s="7"/>
      <c r="E821" s="7"/>
      <c r="F821" s="7"/>
      <c r="G821" s="7"/>
      <c r="H821" s="6"/>
      <c r="I821" s="7"/>
      <c r="J821" s="7"/>
      <c r="K821" s="7"/>
      <c r="L821" s="7"/>
      <c r="M821" s="52"/>
      <c r="N821" s="7"/>
      <c r="O821" s="7"/>
      <c r="P821" s="47"/>
      <c r="Q821" s="47"/>
      <c r="R821" s="7"/>
      <c r="S821" s="51"/>
      <c r="T821" s="51"/>
      <c r="U821" s="7"/>
      <c r="V821" s="57"/>
      <c r="W821" s="57"/>
      <c r="X821" s="57"/>
    </row>
    <row r="822" spans="1:24" ht="12.5" x14ac:dyDescent="0.25">
      <c r="A822" s="34"/>
      <c r="B822" s="7"/>
      <c r="C822" s="19"/>
      <c r="D822" s="7"/>
      <c r="E822" s="7"/>
      <c r="F822" s="7"/>
      <c r="G822" s="7"/>
      <c r="H822" s="6"/>
      <c r="I822" s="7"/>
      <c r="J822" s="7"/>
      <c r="K822" s="7"/>
      <c r="L822" s="7"/>
      <c r="M822" s="52"/>
      <c r="N822" s="7"/>
      <c r="O822" s="7"/>
      <c r="P822" s="47"/>
      <c r="Q822" s="47"/>
      <c r="R822" s="7"/>
      <c r="S822" s="51"/>
      <c r="T822" s="51"/>
      <c r="U822" s="7"/>
      <c r="V822" s="57"/>
      <c r="W822" s="57"/>
      <c r="X822" s="57"/>
    </row>
    <row r="823" spans="1:24" ht="12.5" x14ac:dyDescent="0.25">
      <c r="A823" s="34"/>
      <c r="B823" s="7"/>
      <c r="C823" s="19"/>
      <c r="D823" s="7"/>
      <c r="E823" s="7"/>
      <c r="F823" s="7"/>
      <c r="G823" s="7"/>
      <c r="H823" s="6"/>
      <c r="I823" s="7"/>
      <c r="J823" s="7"/>
      <c r="K823" s="7"/>
      <c r="L823" s="7"/>
      <c r="M823" s="52"/>
      <c r="N823" s="7"/>
      <c r="O823" s="7"/>
      <c r="P823" s="47"/>
      <c r="Q823" s="47"/>
      <c r="R823" s="7"/>
      <c r="S823" s="51"/>
      <c r="T823" s="51"/>
      <c r="U823" s="7"/>
      <c r="V823" s="57"/>
      <c r="W823" s="57"/>
      <c r="X823" s="57"/>
    </row>
    <row r="824" spans="1:24" ht="12.5" x14ac:dyDescent="0.25">
      <c r="A824" s="34"/>
      <c r="B824" s="7"/>
      <c r="C824" s="19"/>
      <c r="D824" s="7"/>
      <c r="E824" s="7"/>
      <c r="F824" s="7"/>
      <c r="G824" s="7"/>
      <c r="H824" s="6"/>
      <c r="I824" s="7"/>
      <c r="J824" s="7"/>
      <c r="K824" s="7"/>
      <c r="L824" s="7"/>
      <c r="M824" s="52"/>
      <c r="N824" s="7"/>
      <c r="O824" s="7"/>
      <c r="P824" s="47"/>
      <c r="Q824" s="47"/>
      <c r="R824" s="7"/>
      <c r="S824" s="51"/>
      <c r="T824" s="51"/>
      <c r="U824" s="7"/>
      <c r="V824" s="57"/>
      <c r="W824" s="57"/>
      <c r="X824" s="57"/>
    </row>
    <row r="825" spans="1:24" ht="12.5" x14ac:dyDescent="0.25">
      <c r="A825" s="34"/>
      <c r="B825" s="7"/>
      <c r="C825" s="19"/>
      <c r="D825" s="7"/>
      <c r="E825" s="7"/>
      <c r="F825" s="7"/>
      <c r="G825" s="7"/>
      <c r="H825" s="6"/>
      <c r="I825" s="7"/>
      <c r="J825" s="7"/>
      <c r="K825" s="7"/>
      <c r="L825" s="7"/>
      <c r="M825" s="52"/>
      <c r="N825" s="7"/>
      <c r="O825" s="7"/>
      <c r="P825" s="47"/>
      <c r="Q825" s="47"/>
      <c r="R825" s="7"/>
      <c r="S825" s="51"/>
      <c r="T825" s="51"/>
      <c r="U825" s="7"/>
      <c r="V825" s="57"/>
      <c r="W825" s="57"/>
      <c r="X825" s="57"/>
    </row>
    <row r="826" spans="1:24" ht="12.5" x14ac:dyDescent="0.25">
      <c r="A826" s="34"/>
      <c r="B826" s="7"/>
      <c r="C826" s="19"/>
      <c r="D826" s="7"/>
      <c r="E826" s="7"/>
      <c r="F826" s="7"/>
      <c r="G826" s="7"/>
      <c r="H826" s="6"/>
      <c r="I826" s="7"/>
      <c r="J826" s="7"/>
      <c r="K826" s="7"/>
      <c r="L826" s="7"/>
      <c r="M826" s="52"/>
      <c r="N826" s="7"/>
      <c r="O826" s="7"/>
      <c r="P826" s="47"/>
      <c r="Q826" s="47"/>
      <c r="R826" s="7"/>
      <c r="S826" s="51"/>
      <c r="T826" s="51"/>
      <c r="U826" s="7"/>
      <c r="V826" s="57"/>
      <c r="W826" s="57"/>
      <c r="X826" s="57"/>
    </row>
    <row r="827" spans="1:24" ht="12.5" x14ac:dyDescent="0.25">
      <c r="A827" s="34"/>
      <c r="B827" s="7"/>
      <c r="C827" s="19"/>
      <c r="D827" s="7"/>
      <c r="E827" s="7"/>
      <c r="F827" s="7"/>
      <c r="G827" s="7"/>
      <c r="H827" s="6"/>
      <c r="I827" s="7"/>
      <c r="J827" s="7"/>
      <c r="K827" s="7"/>
      <c r="L827" s="7"/>
      <c r="M827" s="52"/>
      <c r="N827" s="7"/>
      <c r="O827" s="7"/>
      <c r="P827" s="47"/>
      <c r="Q827" s="47"/>
      <c r="R827" s="7"/>
      <c r="S827" s="51"/>
      <c r="T827" s="51"/>
      <c r="U827" s="7"/>
      <c r="V827" s="57"/>
      <c r="W827" s="57"/>
      <c r="X827" s="57"/>
    </row>
    <row r="828" spans="1:24" ht="12.5" x14ac:dyDescent="0.25">
      <c r="A828" s="34"/>
      <c r="B828" s="7"/>
      <c r="C828" s="19"/>
      <c r="D828" s="7"/>
      <c r="E828" s="7"/>
      <c r="F828" s="7"/>
      <c r="G828" s="7"/>
      <c r="H828" s="6"/>
      <c r="I828" s="7"/>
      <c r="J828" s="7"/>
      <c r="K828" s="7"/>
      <c r="L828" s="7"/>
      <c r="M828" s="52"/>
      <c r="N828" s="7"/>
      <c r="O828" s="7"/>
      <c r="P828" s="47"/>
      <c r="Q828" s="47"/>
      <c r="R828" s="7"/>
      <c r="S828" s="51"/>
      <c r="T828" s="51"/>
      <c r="U828" s="7"/>
      <c r="V828" s="57"/>
      <c r="W828" s="57"/>
      <c r="X828" s="57"/>
    </row>
    <row r="829" spans="1:24" ht="12.5" x14ac:dyDescent="0.25">
      <c r="A829" s="34"/>
      <c r="B829" s="7"/>
      <c r="C829" s="19"/>
      <c r="D829" s="7"/>
      <c r="E829" s="7"/>
      <c r="F829" s="7"/>
      <c r="G829" s="7"/>
      <c r="H829" s="6"/>
      <c r="I829" s="7"/>
      <c r="J829" s="7"/>
      <c r="K829" s="7"/>
      <c r="L829" s="7"/>
      <c r="M829" s="52"/>
      <c r="N829" s="7"/>
      <c r="O829" s="7"/>
      <c r="P829" s="47"/>
      <c r="Q829" s="47"/>
      <c r="R829" s="7"/>
      <c r="S829" s="51"/>
      <c r="T829" s="51"/>
      <c r="U829" s="7"/>
      <c r="V829" s="57"/>
      <c r="W829" s="57"/>
      <c r="X829" s="57"/>
    </row>
    <row r="830" spans="1:24" ht="12.5" x14ac:dyDescent="0.25">
      <c r="A830" s="34"/>
      <c r="B830" s="7"/>
      <c r="C830" s="19"/>
      <c r="D830" s="7"/>
      <c r="E830" s="7"/>
      <c r="F830" s="7"/>
      <c r="G830" s="7"/>
      <c r="H830" s="6"/>
      <c r="I830" s="7"/>
      <c r="J830" s="7"/>
      <c r="K830" s="7"/>
      <c r="L830" s="7"/>
      <c r="M830" s="52"/>
      <c r="N830" s="7"/>
      <c r="O830" s="7"/>
      <c r="P830" s="47"/>
      <c r="Q830" s="47"/>
      <c r="R830" s="7"/>
      <c r="S830" s="51"/>
      <c r="T830" s="51"/>
      <c r="U830" s="7"/>
      <c r="V830" s="57"/>
      <c r="W830" s="57"/>
      <c r="X830" s="57"/>
    </row>
    <row r="831" spans="1:24" ht="12.5" x14ac:dyDescent="0.25">
      <c r="A831" s="34"/>
      <c r="B831" s="7"/>
      <c r="C831" s="19"/>
      <c r="D831" s="7"/>
      <c r="E831" s="7"/>
      <c r="F831" s="7"/>
      <c r="G831" s="7"/>
      <c r="H831" s="6"/>
      <c r="I831" s="7"/>
      <c r="J831" s="7"/>
      <c r="K831" s="7"/>
      <c r="L831" s="7"/>
      <c r="M831" s="52"/>
      <c r="N831" s="7"/>
      <c r="O831" s="7"/>
      <c r="P831" s="47"/>
      <c r="Q831" s="47"/>
      <c r="R831" s="7"/>
      <c r="S831" s="51"/>
      <c r="T831" s="51"/>
      <c r="U831" s="7"/>
      <c r="V831" s="57"/>
      <c r="W831" s="57"/>
      <c r="X831" s="57"/>
    </row>
    <row r="832" spans="1:24" ht="12.5" x14ac:dyDescent="0.25">
      <c r="A832" s="34"/>
      <c r="B832" s="7"/>
      <c r="C832" s="19"/>
      <c r="D832" s="7"/>
      <c r="E832" s="7"/>
      <c r="F832" s="7"/>
      <c r="G832" s="7"/>
      <c r="H832" s="6"/>
      <c r="I832" s="7"/>
      <c r="J832" s="7"/>
      <c r="K832" s="7"/>
      <c r="L832" s="7"/>
      <c r="M832" s="52"/>
      <c r="N832" s="7"/>
      <c r="O832" s="7"/>
      <c r="P832" s="47"/>
      <c r="Q832" s="47"/>
      <c r="R832" s="7"/>
      <c r="S832" s="51"/>
      <c r="T832" s="51"/>
      <c r="U832" s="7"/>
      <c r="V832" s="57"/>
      <c r="W832" s="57"/>
      <c r="X832" s="57"/>
    </row>
    <row r="833" spans="1:24" ht="12.5" x14ac:dyDescent="0.25">
      <c r="A833" s="34"/>
      <c r="B833" s="7"/>
      <c r="C833" s="19"/>
      <c r="D833" s="7"/>
      <c r="E833" s="7"/>
      <c r="F833" s="7"/>
      <c r="G833" s="7"/>
      <c r="H833" s="6"/>
      <c r="I833" s="7"/>
      <c r="J833" s="7"/>
      <c r="K833" s="7"/>
      <c r="L833" s="7"/>
      <c r="M833" s="52"/>
      <c r="N833" s="7"/>
      <c r="O833" s="7"/>
      <c r="P833" s="47"/>
      <c r="Q833" s="47"/>
      <c r="R833" s="7"/>
      <c r="S833" s="51"/>
      <c r="T833" s="51"/>
      <c r="U833" s="7"/>
      <c r="V833" s="57"/>
      <c r="W833" s="57"/>
      <c r="X833" s="57"/>
    </row>
    <row r="834" spans="1:24" ht="12.5" x14ac:dyDescent="0.25">
      <c r="A834" s="34"/>
      <c r="B834" s="7"/>
      <c r="C834" s="19"/>
      <c r="D834" s="7"/>
      <c r="E834" s="7"/>
      <c r="F834" s="7"/>
      <c r="G834" s="7"/>
      <c r="H834" s="6"/>
      <c r="I834" s="7"/>
      <c r="J834" s="7"/>
      <c r="K834" s="7"/>
      <c r="L834" s="7"/>
      <c r="M834" s="52"/>
      <c r="N834" s="7"/>
      <c r="O834" s="7"/>
      <c r="P834" s="47"/>
      <c r="Q834" s="47"/>
      <c r="R834" s="7"/>
      <c r="S834" s="51"/>
      <c r="T834" s="51"/>
      <c r="U834" s="7"/>
      <c r="V834" s="57"/>
      <c r="W834" s="57"/>
      <c r="X834" s="57"/>
    </row>
    <row r="835" spans="1:24" ht="12.5" x14ac:dyDescent="0.25">
      <c r="A835" s="34"/>
      <c r="B835" s="7"/>
      <c r="C835" s="19"/>
      <c r="D835" s="7"/>
      <c r="E835" s="7"/>
      <c r="F835" s="7"/>
      <c r="G835" s="7"/>
      <c r="H835" s="6"/>
      <c r="I835" s="7"/>
      <c r="J835" s="7"/>
      <c r="K835" s="7"/>
      <c r="L835" s="7"/>
      <c r="M835" s="52"/>
      <c r="N835" s="7"/>
      <c r="O835" s="7"/>
      <c r="P835" s="47"/>
      <c r="Q835" s="47"/>
      <c r="R835" s="7"/>
      <c r="S835" s="51"/>
      <c r="T835" s="51"/>
      <c r="U835" s="7"/>
      <c r="V835" s="57"/>
      <c r="W835" s="57"/>
      <c r="X835" s="57"/>
    </row>
    <row r="836" spans="1:24" ht="12.5" x14ac:dyDescent="0.25">
      <c r="A836" s="34"/>
      <c r="B836" s="7"/>
      <c r="C836" s="19"/>
      <c r="D836" s="7"/>
      <c r="E836" s="7"/>
      <c r="F836" s="7"/>
      <c r="G836" s="7"/>
      <c r="H836" s="6"/>
      <c r="I836" s="7"/>
      <c r="J836" s="7"/>
      <c r="K836" s="7"/>
      <c r="L836" s="7"/>
      <c r="M836" s="52"/>
      <c r="N836" s="7"/>
      <c r="O836" s="7"/>
      <c r="P836" s="47"/>
      <c r="Q836" s="47"/>
      <c r="R836" s="7"/>
      <c r="S836" s="51"/>
      <c r="T836" s="51"/>
      <c r="U836" s="7"/>
      <c r="V836" s="57"/>
      <c r="W836" s="57"/>
      <c r="X836" s="57"/>
    </row>
    <row r="837" spans="1:24" ht="12.5" x14ac:dyDescent="0.25">
      <c r="A837" s="34"/>
      <c r="B837" s="7"/>
      <c r="C837" s="19"/>
      <c r="D837" s="7"/>
      <c r="E837" s="7"/>
      <c r="F837" s="7"/>
      <c r="G837" s="7"/>
      <c r="H837" s="6"/>
      <c r="I837" s="7"/>
      <c r="J837" s="7"/>
      <c r="K837" s="7"/>
      <c r="L837" s="7"/>
      <c r="M837" s="52"/>
      <c r="N837" s="7"/>
      <c r="O837" s="7"/>
      <c r="P837" s="47"/>
      <c r="Q837" s="47"/>
      <c r="R837" s="7"/>
      <c r="S837" s="51"/>
      <c r="T837" s="51"/>
      <c r="U837" s="7"/>
      <c r="V837" s="57"/>
      <c r="W837" s="57"/>
      <c r="X837" s="57"/>
    </row>
    <row r="838" spans="1:24" ht="12.5" x14ac:dyDescent="0.25">
      <c r="A838" s="34"/>
      <c r="B838" s="7"/>
      <c r="C838" s="19"/>
      <c r="D838" s="7"/>
      <c r="E838" s="7"/>
      <c r="F838" s="7"/>
      <c r="G838" s="7"/>
      <c r="H838" s="6"/>
      <c r="I838" s="7"/>
      <c r="J838" s="7"/>
      <c r="K838" s="7"/>
      <c r="L838" s="7"/>
      <c r="M838" s="52"/>
      <c r="N838" s="7"/>
      <c r="O838" s="7"/>
      <c r="P838" s="47"/>
      <c r="Q838" s="47"/>
      <c r="R838" s="7"/>
      <c r="S838" s="51"/>
      <c r="T838" s="51"/>
      <c r="U838" s="7"/>
      <c r="V838" s="57"/>
      <c r="W838" s="57"/>
      <c r="X838" s="57"/>
    </row>
    <row r="839" spans="1:24" ht="12.5" x14ac:dyDescent="0.25">
      <c r="A839" s="34"/>
      <c r="B839" s="7"/>
      <c r="C839" s="19"/>
      <c r="D839" s="7"/>
      <c r="E839" s="7"/>
      <c r="F839" s="7"/>
      <c r="G839" s="7"/>
      <c r="H839" s="6"/>
      <c r="I839" s="7"/>
      <c r="J839" s="7"/>
      <c r="K839" s="7"/>
      <c r="L839" s="7"/>
      <c r="M839" s="52"/>
      <c r="N839" s="7"/>
      <c r="O839" s="7"/>
      <c r="P839" s="47"/>
      <c r="Q839" s="47"/>
      <c r="R839" s="7"/>
      <c r="S839" s="51"/>
      <c r="T839" s="51"/>
      <c r="U839" s="7"/>
      <c r="V839" s="57"/>
      <c r="W839" s="57"/>
      <c r="X839" s="57"/>
    </row>
    <row r="840" spans="1:24" ht="12.5" x14ac:dyDescent="0.25">
      <c r="A840" s="34"/>
      <c r="B840" s="7"/>
      <c r="C840" s="19"/>
      <c r="D840" s="7"/>
      <c r="E840" s="7"/>
      <c r="F840" s="7"/>
      <c r="G840" s="7"/>
      <c r="H840" s="6"/>
      <c r="I840" s="7"/>
      <c r="J840" s="7"/>
      <c r="K840" s="7"/>
      <c r="L840" s="7"/>
      <c r="M840" s="52"/>
      <c r="N840" s="7"/>
      <c r="O840" s="7"/>
      <c r="P840" s="47"/>
      <c r="Q840" s="47"/>
      <c r="R840" s="7"/>
      <c r="S840" s="51"/>
      <c r="T840" s="51"/>
      <c r="U840" s="7"/>
      <c r="V840" s="57"/>
      <c r="W840" s="57"/>
      <c r="X840" s="57"/>
    </row>
    <row r="841" spans="1:24" ht="12.5" x14ac:dyDescent="0.25">
      <c r="A841" s="34"/>
      <c r="B841" s="7"/>
      <c r="C841" s="19"/>
      <c r="D841" s="7"/>
      <c r="E841" s="7"/>
      <c r="F841" s="7"/>
      <c r="G841" s="7"/>
      <c r="H841" s="6"/>
      <c r="I841" s="7"/>
      <c r="J841" s="7"/>
      <c r="K841" s="7"/>
      <c r="L841" s="7"/>
      <c r="M841" s="52"/>
      <c r="N841" s="7"/>
      <c r="O841" s="7"/>
      <c r="P841" s="47"/>
      <c r="Q841" s="47"/>
      <c r="R841" s="7"/>
      <c r="S841" s="51"/>
      <c r="T841" s="51"/>
      <c r="U841" s="7"/>
      <c r="V841" s="57"/>
      <c r="W841" s="57"/>
      <c r="X841" s="57"/>
    </row>
    <row r="842" spans="1:24" ht="12.5" x14ac:dyDescent="0.25">
      <c r="A842" s="34"/>
      <c r="B842" s="7"/>
      <c r="C842" s="19"/>
      <c r="D842" s="7"/>
      <c r="E842" s="7"/>
      <c r="F842" s="7"/>
      <c r="G842" s="7"/>
      <c r="H842" s="6"/>
      <c r="I842" s="7"/>
      <c r="J842" s="7"/>
      <c r="K842" s="7"/>
      <c r="L842" s="7"/>
      <c r="M842" s="52"/>
      <c r="N842" s="7"/>
      <c r="O842" s="7"/>
      <c r="P842" s="47"/>
      <c r="Q842" s="47"/>
      <c r="R842" s="7"/>
      <c r="S842" s="51"/>
      <c r="T842" s="51"/>
      <c r="U842" s="7"/>
      <c r="V842" s="57"/>
      <c r="W842" s="57"/>
      <c r="X842" s="57"/>
    </row>
    <row r="843" spans="1:24" ht="12.5" x14ac:dyDescent="0.25">
      <c r="A843" s="34"/>
      <c r="B843" s="7"/>
      <c r="C843" s="19"/>
      <c r="D843" s="7"/>
      <c r="E843" s="7"/>
      <c r="F843" s="7"/>
      <c r="G843" s="7"/>
      <c r="H843" s="6"/>
      <c r="I843" s="7"/>
      <c r="J843" s="7"/>
      <c r="K843" s="7"/>
      <c r="L843" s="7"/>
      <c r="M843" s="52"/>
      <c r="N843" s="7"/>
      <c r="O843" s="7"/>
      <c r="P843" s="47"/>
      <c r="Q843" s="47"/>
      <c r="R843" s="7"/>
      <c r="S843" s="51"/>
      <c r="T843" s="51"/>
      <c r="U843" s="7"/>
      <c r="V843" s="57"/>
      <c r="W843" s="57"/>
      <c r="X843" s="57"/>
    </row>
    <row r="844" spans="1:24" ht="12.5" x14ac:dyDescent="0.25">
      <c r="A844" s="34"/>
      <c r="B844" s="7"/>
      <c r="C844" s="19"/>
      <c r="D844" s="7"/>
      <c r="E844" s="7"/>
      <c r="F844" s="7"/>
      <c r="G844" s="7"/>
      <c r="H844" s="6"/>
      <c r="I844" s="7"/>
      <c r="J844" s="7"/>
      <c r="K844" s="7"/>
      <c r="L844" s="7"/>
      <c r="M844" s="52"/>
      <c r="N844" s="7"/>
      <c r="O844" s="7"/>
      <c r="P844" s="47"/>
      <c r="Q844" s="47"/>
      <c r="R844" s="7"/>
      <c r="S844" s="51"/>
      <c r="T844" s="51"/>
      <c r="U844" s="7"/>
      <c r="V844" s="57"/>
      <c r="W844" s="57"/>
      <c r="X844" s="57"/>
    </row>
    <row r="845" spans="1:24" ht="12.5" x14ac:dyDescent="0.25">
      <c r="A845" s="34"/>
      <c r="B845" s="7"/>
      <c r="C845" s="19"/>
      <c r="D845" s="7"/>
      <c r="E845" s="7"/>
      <c r="F845" s="7"/>
      <c r="G845" s="7"/>
      <c r="H845" s="6"/>
      <c r="I845" s="7"/>
      <c r="J845" s="7"/>
      <c r="K845" s="7"/>
      <c r="L845" s="7"/>
      <c r="M845" s="52"/>
      <c r="N845" s="7"/>
      <c r="O845" s="7"/>
      <c r="P845" s="47"/>
      <c r="Q845" s="47"/>
      <c r="R845" s="7"/>
      <c r="S845" s="51"/>
      <c r="T845" s="51"/>
      <c r="U845" s="7"/>
      <c r="V845" s="57"/>
      <c r="W845" s="57"/>
      <c r="X845" s="57"/>
    </row>
    <row r="846" spans="1:24" ht="12.5" x14ac:dyDescent="0.25">
      <c r="A846" s="34"/>
      <c r="B846" s="7"/>
      <c r="C846" s="19"/>
      <c r="D846" s="7"/>
      <c r="E846" s="7"/>
      <c r="F846" s="7"/>
      <c r="G846" s="7"/>
      <c r="H846" s="6"/>
      <c r="I846" s="7"/>
      <c r="J846" s="7"/>
      <c r="K846" s="7"/>
      <c r="L846" s="7"/>
      <c r="M846" s="52"/>
      <c r="N846" s="7"/>
      <c r="O846" s="7"/>
      <c r="P846" s="47"/>
      <c r="Q846" s="47"/>
      <c r="R846" s="7"/>
      <c r="S846" s="51"/>
      <c r="T846" s="51"/>
      <c r="U846" s="7"/>
      <c r="V846" s="57"/>
      <c r="W846" s="57"/>
      <c r="X846" s="57"/>
    </row>
    <row r="847" spans="1:24" ht="12.5" x14ac:dyDescent="0.25">
      <c r="A847" s="34"/>
      <c r="B847" s="7"/>
      <c r="C847" s="19"/>
      <c r="D847" s="7"/>
      <c r="E847" s="7"/>
      <c r="F847" s="7"/>
      <c r="G847" s="7"/>
      <c r="H847" s="6"/>
      <c r="I847" s="7"/>
      <c r="J847" s="7"/>
      <c r="K847" s="7"/>
      <c r="L847" s="7"/>
      <c r="M847" s="52"/>
      <c r="N847" s="7"/>
      <c r="O847" s="7"/>
      <c r="P847" s="47"/>
      <c r="Q847" s="47"/>
      <c r="R847" s="7"/>
      <c r="S847" s="51"/>
      <c r="T847" s="51"/>
      <c r="U847" s="7"/>
      <c r="V847" s="57"/>
      <c r="W847" s="57"/>
      <c r="X847" s="57"/>
    </row>
    <row r="848" spans="1:24" ht="12.5" x14ac:dyDescent="0.25">
      <c r="A848" s="34"/>
      <c r="B848" s="7"/>
      <c r="C848" s="19"/>
      <c r="D848" s="7"/>
      <c r="E848" s="7"/>
      <c r="F848" s="7"/>
      <c r="G848" s="7"/>
      <c r="H848" s="6"/>
      <c r="I848" s="7"/>
      <c r="J848" s="7"/>
      <c r="K848" s="7"/>
      <c r="L848" s="7"/>
      <c r="M848" s="52"/>
      <c r="N848" s="7"/>
      <c r="O848" s="7"/>
      <c r="P848" s="47"/>
      <c r="Q848" s="47"/>
      <c r="R848" s="7"/>
      <c r="S848" s="51"/>
      <c r="T848" s="51"/>
      <c r="U848" s="7"/>
      <c r="V848" s="57"/>
      <c r="W848" s="57"/>
      <c r="X848" s="57"/>
    </row>
    <row r="849" spans="1:24" ht="12.5" x14ac:dyDescent="0.25">
      <c r="A849" s="34"/>
      <c r="B849" s="7"/>
      <c r="C849" s="19"/>
      <c r="D849" s="7"/>
      <c r="E849" s="7"/>
      <c r="F849" s="7"/>
      <c r="G849" s="7"/>
      <c r="H849" s="6"/>
      <c r="I849" s="7"/>
      <c r="J849" s="7"/>
      <c r="K849" s="7"/>
      <c r="L849" s="7"/>
      <c r="M849" s="52"/>
      <c r="N849" s="7"/>
      <c r="O849" s="7"/>
      <c r="P849" s="47"/>
      <c r="Q849" s="47"/>
      <c r="R849" s="7"/>
      <c r="S849" s="51"/>
      <c r="T849" s="51"/>
      <c r="U849" s="7"/>
      <c r="V849" s="57"/>
      <c r="W849" s="57"/>
      <c r="X849" s="57"/>
    </row>
    <row r="850" spans="1:24" ht="12.5" x14ac:dyDescent="0.25">
      <c r="A850" s="34"/>
      <c r="B850" s="7"/>
      <c r="C850" s="19"/>
      <c r="D850" s="7"/>
      <c r="E850" s="7"/>
      <c r="F850" s="7"/>
      <c r="G850" s="7"/>
      <c r="H850" s="6"/>
      <c r="I850" s="7"/>
      <c r="J850" s="7"/>
      <c r="K850" s="7"/>
      <c r="L850" s="7"/>
      <c r="M850" s="52"/>
      <c r="N850" s="7"/>
      <c r="O850" s="7"/>
      <c r="P850" s="47"/>
      <c r="Q850" s="47"/>
      <c r="R850" s="7"/>
      <c r="S850" s="51"/>
      <c r="T850" s="51"/>
      <c r="U850" s="7"/>
      <c r="V850" s="57"/>
      <c r="W850" s="57"/>
      <c r="X850" s="57"/>
    </row>
    <row r="851" spans="1:24" ht="12.5" x14ac:dyDescent="0.25">
      <c r="A851" s="34"/>
      <c r="B851" s="7"/>
      <c r="C851" s="19"/>
      <c r="D851" s="7"/>
      <c r="E851" s="7"/>
      <c r="F851" s="7"/>
      <c r="G851" s="7"/>
      <c r="H851" s="6"/>
      <c r="I851" s="7"/>
      <c r="J851" s="7"/>
      <c r="K851" s="7"/>
      <c r="L851" s="7"/>
      <c r="M851" s="52"/>
      <c r="N851" s="7"/>
      <c r="O851" s="7"/>
      <c r="P851" s="47"/>
      <c r="Q851" s="47"/>
      <c r="R851" s="7"/>
      <c r="S851" s="51"/>
      <c r="T851" s="51"/>
      <c r="U851" s="7"/>
      <c r="V851" s="57"/>
      <c r="W851" s="57"/>
      <c r="X851" s="57"/>
    </row>
    <row r="852" spans="1:24" ht="12.5" x14ac:dyDescent="0.25">
      <c r="A852" s="34"/>
      <c r="B852" s="7"/>
      <c r="C852" s="19"/>
      <c r="D852" s="7"/>
      <c r="E852" s="7"/>
      <c r="F852" s="7"/>
      <c r="G852" s="7"/>
      <c r="H852" s="6"/>
      <c r="I852" s="7"/>
      <c r="J852" s="7"/>
      <c r="K852" s="7"/>
      <c r="L852" s="7"/>
      <c r="M852" s="52"/>
      <c r="N852" s="7"/>
      <c r="O852" s="7"/>
      <c r="P852" s="47"/>
      <c r="Q852" s="47"/>
      <c r="R852" s="7"/>
      <c r="S852" s="51"/>
      <c r="T852" s="51"/>
      <c r="U852" s="7"/>
      <c r="V852" s="57"/>
      <c r="W852" s="57"/>
      <c r="X852" s="57"/>
    </row>
    <row r="853" spans="1:24" ht="12.5" x14ac:dyDescent="0.25">
      <c r="A853" s="34"/>
      <c r="B853" s="7"/>
      <c r="C853" s="19"/>
      <c r="D853" s="7"/>
      <c r="E853" s="7"/>
      <c r="F853" s="7"/>
      <c r="G853" s="7"/>
      <c r="H853" s="6"/>
      <c r="I853" s="7"/>
      <c r="J853" s="7"/>
      <c r="K853" s="7"/>
      <c r="L853" s="7"/>
      <c r="M853" s="52"/>
      <c r="N853" s="7"/>
      <c r="O853" s="7"/>
      <c r="P853" s="47"/>
      <c r="Q853" s="47"/>
      <c r="R853" s="7"/>
      <c r="S853" s="51"/>
      <c r="T853" s="51"/>
      <c r="U853" s="7"/>
      <c r="V853" s="57"/>
      <c r="W853" s="57"/>
      <c r="X853" s="57"/>
    </row>
    <row r="854" spans="1:24" ht="12.5" x14ac:dyDescent="0.25">
      <c r="A854" s="34"/>
      <c r="B854" s="7"/>
      <c r="C854" s="19"/>
      <c r="D854" s="7"/>
      <c r="E854" s="7"/>
      <c r="F854" s="7"/>
      <c r="G854" s="7"/>
      <c r="H854" s="6"/>
      <c r="I854" s="7"/>
      <c r="J854" s="7"/>
      <c r="K854" s="7"/>
      <c r="L854" s="7"/>
      <c r="M854" s="52"/>
      <c r="N854" s="7"/>
      <c r="O854" s="7"/>
      <c r="P854" s="47"/>
      <c r="Q854" s="47"/>
      <c r="R854" s="7"/>
      <c r="S854" s="51"/>
      <c r="T854" s="51"/>
      <c r="U854" s="7"/>
      <c r="V854" s="57"/>
      <c r="W854" s="57"/>
      <c r="X854" s="57"/>
    </row>
    <row r="855" spans="1:24" ht="12.5" x14ac:dyDescent="0.25">
      <c r="A855" s="34"/>
      <c r="B855" s="7"/>
      <c r="C855" s="19"/>
      <c r="D855" s="7"/>
      <c r="E855" s="7"/>
      <c r="F855" s="7"/>
      <c r="G855" s="7"/>
      <c r="H855" s="6"/>
      <c r="I855" s="7"/>
      <c r="J855" s="7"/>
      <c r="K855" s="7"/>
      <c r="L855" s="7"/>
      <c r="M855" s="52"/>
      <c r="N855" s="7"/>
      <c r="O855" s="7"/>
      <c r="P855" s="47"/>
      <c r="Q855" s="47"/>
      <c r="R855" s="7"/>
      <c r="S855" s="51"/>
      <c r="T855" s="51"/>
      <c r="U855" s="7"/>
      <c r="V855" s="57"/>
      <c r="W855" s="57"/>
      <c r="X855" s="57"/>
    </row>
    <row r="856" spans="1:24" ht="12.5" x14ac:dyDescent="0.25">
      <c r="A856" s="34"/>
      <c r="B856" s="7"/>
      <c r="C856" s="19"/>
      <c r="D856" s="7"/>
      <c r="E856" s="7"/>
      <c r="F856" s="7"/>
      <c r="G856" s="7"/>
      <c r="H856" s="6"/>
      <c r="I856" s="7"/>
      <c r="J856" s="7"/>
      <c r="K856" s="7"/>
      <c r="L856" s="7"/>
      <c r="M856" s="52"/>
      <c r="N856" s="7"/>
      <c r="O856" s="7"/>
      <c r="P856" s="47"/>
      <c r="Q856" s="47"/>
      <c r="R856" s="7"/>
      <c r="S856" s="51"/>
      <c r="T856" s="51"/>
      <c r="U856" s="7"/>
      <c r="V856" s="57"/>
      <c r="W856" s="57"/>
      <c r="X856" s="57"/>
    </row>
    <row r="857" spans="1:24" ht="12.5" x14ac:dyDescent="0.25">
      <c r="A857" s="34"/>
      <c r="B857" s="7"/>
      <c r="C857" s="19"/>
      <c r="D857" s="7"/>
      <c r="E857" s="7"/>
      <c r="F857" s="7"/>
      <c r="G857" s="7"/>
      <c r="H857" s="6"/>
      <c r="I857" s="7"/>
      <c r="J857" s="7"/>
      <c r="K857" s="7"/>
      <c r="L857" s="7"/>
      <c r="M857" s="52"/>
      <c r="N857" s="7"/>
      <c r="O857" s="7"/>
      <c r="P857" s="47"/>
      <c r="Q857" s="47"/>
      <c r="R857" s="7"/>
      <c r="S857" s="51"/>
      <c r="T857" s="51"/>
      <c r="U857" s="7"/>
      <c r="V857" s="57"/>
      <c r="W857" s="57"/>
      <c r="X857" s="57"/>
    </row>
    <row r="858" spans="1:24" ht="12.5" x14ac:dyDescent="0.25">
      <c r="A858" s="34"/>
      <c r="B858" s="7"/>
      <c r="C858" s="19"/>
      <c r="D858" s="7"/>
      <c r="E858" s="7"/>
      <c r="F858" s="7"/>
      <c r="G858" s="7"/>
      <c r="H858" s="6"/>
      <c r="I858" s="7"/>
      <c r="J858" s="7"/>
      <c r="K858" s="7"/>
      <c r="L858" s="7"/>
      <c r="M858" s="52"/>
      <c r="N858" s="7"/>
      <c r="O858" s="7"/>
      <c r="P858" s="47"/>
      <c r="Q858" s="47"/>
      <c r="R858" s="7"/>
      <c r="S858" s="51"/>
      <c r="T858" s="51"/>
      <c r="U858" s="7"/>
      <c r="V858" s="57"/>
      <c r="W858" s="57"/>
      <c r="X858" s="57"/>
    </row>
    <row r="859" spans="1:24" ht="12.5" x14ac:dyDescent="0.25">
      <c r="A859" s="34"/>
      <c r="B859" s="7"/>
      <c r="C859" s="19"/>
      <c r="D859" s="7"/>
      <c r="E859" s="7"/>
      <c r="F859" s="7"/>
      <c r="G859" s="7"/>
      <c r="H859" s="6"/>
      <c r="I859" s="7"/>
      <c r="J859" s="7"/>
      <c r="K859" s="7"/>
      <c r="L859" s="7"/>
      <c r="M859" s="52"/>
      <c r="N859" s="7"/>
      <c r="O859" s="7"/>
      <c r="P859" s="47"/>
      <c r="Q859" s="47"/>
      <c r="R859" s="7"/>
      <c r="S859" s="51"/>
      <c r="T859" s="51"/>
      <c r="U859" s="7"/>
      <c r="V859" s="57"/>
      <c r="W859" s="57"/>
      <c r="X859" s="57"/>
    </row>
    <row r="860" spans="1:24" ht="12.5" x14ac:dyDescent="0.25">
      <c r="A860" s="34"/>
      <c r="B860" s="7"/>
      <c r="C860" s="19"/>
      <c r="D860" s="7"/>
      <c r="E860" s="7"/>
      <c r="F860" s="7"/>
      <c r="G860" s="7"/>
      <c r="H860" s="6"/>
      <c r="I860" s="7"/>
      <c r="J860" s="7"/>
      <c r="K860" s="7"/>
      <c r="L860" s="7"/>
      <c r="M860" s="52"/>
      <c r="N860" s="7"/>
      <c r="O860" s="7"/>
      <c r="P860" s="47"/>
      <c r="Q860" s="47"/>
      <c r="R860" s="7"/>
      <c r="S860" s="51"/>
      <c r="T860" s="51"/>
      <c r="U860" s="7"/>
      <c r="V860" s="57"/>
      <c r="W860" s="57"/>
      <c r="X860" s="57"/>
    </row>
    <row r="861" spans="1:24" ht="12.5" x14ac:dyDescent="0.25">
      <c r="A861" s="34"/>
      <c r="B861" s="7"/>
      <c r="C861" s="19"/>
      <c r="D861" s="7"/>
      <c r="E861" s="7"/>
      <c r="F861" s="7"/>
      <c r="G861" s="7"/>
      <c r="H861" s="6"/>
      <c r="I861" s="7"/>
      <c r="J861" s="7"/>
      <c r="K861" s="7"/>
      <c r="L861" s="7"/>
      <c r="M861" s="52"/>
      <c r="N861" s="7"/>
      <c r="O861" s="7"/>
      <c r="P861" s="47"/>
      <c r="Q861" s="47"/>
      <c r="R861" s="7"/>
      <c r="S861" s="51"/>
      <c r="T861" s="51"/>
      <c r="U861" s="7"/>
      <c r="V861" s="57"/>
      <c r="W861" s="57"/>
      <c r="X861" s="57"/>
    </row>
    <row r="862" spans="1:24" ht="12.5" x14ac:dyDescent="0.25">
      <c r="A862" s="34"/>
      <c r="B862" s="7"/>
      <c r="C862" s="19"/>
      <c r="D862" s="7"/>
      <c r="E862" s="7"/>
      <c r="F862" s="7"/>
      <c r="G862" s="7"/>
      <c r="H862" s="6"/>
      <c r="I862" s="7"/>
      <c r="J862" s="7"/>
      <c r="K862" s="7"/>
      <c r="L862" s="7"/>
      <c r="M862" s="52"/>
      <c r="N862" s="7"/>
      <c r="O862" s="7"/>
      <c r="P862" s="47"/>
      <c r="Q862" s="47"/>
      <c r="R862" s="7"/>
      <c r="S862" s="51"/>
      <c r="T862" s="51"/>
      <c r="U862" s="7"/>
      <c r="V862" s="57"/>
      <c r="W862" s="57"/>
      <c r="X862" s="57"/>
    </row>
    <row r="863" spans="1:24" ht="12.5" x14ac:dyDescent="0.25">
      <c r="A863" s="34"/>
      <c r="B863" s="7"/>
      <c r="C863" s="19"/>
      <c r="D863" s="7"/>
      <c r="E863" s="7"/>
      <c r="F863" s="7"/>
      <c r="G863" s="7"/>
      <c r="H863" s="6"/>
      <c r="I863" s="7"/>
      <c r="J863" s="7"/>
      <c r="K863" s="7"/>
      <c r="L863" s="7"/>
      <c r="M863" s="52"/>
      <c r="N863" s="7"/>
      <c r="O863" s="7"/>
      <c r="P863" s="47"/>
      <c r="Q863" s="47"/>
      <c r="R863" s="7"/>
      <c r="S863" s="51"/>
      <c r="T863" s="51"/>
      <c r="U863" s="7"/>
      <c r="V863" s="57"/>
      <c r="W863" s="57"/>
      <c r="X863" s="57"/>
    </row>
    <row r="864" spans="1:24" ht="12.5" x14ac:dyDescent="0.25">
      <c r="A864" s="34"/>
      <c r="B864" s="7"/>
      <c r="C864" s="19"/>
      <c r="D864" s="7"/>
      <c r="E864" s="7"/>
      <c r="F864" s="7"/>
      <c r="G864" s="7"/>
      <c r="H864" s="6"/>
      <c r="I864" s="7"/>
      <c r="J864" s="7"/>
      <c r="K864" s="7"/>
      <c r="L864" s="7"/>
      <c r="M864" s="52"/>
      <c r="N864" s="7"/>
      <c r="O864" s="7"/>
      <c r="P864" s="47"/>
      <c r="Q864" s="47"/>
      <c r="R864" s="7"/>
      <c r="S864" s="51"/>
      <c r="T864" s="51"/>
      <c r="U864" s="7"/>
      <c r="V864" s="57"/>
      <c r="W864" s="57"/>
      <c r="X864" s="57"/>
    </row>
    <row r="865" spans="1:24" ht="12.5" x14ac:dyDescent="0.25">
      <c r="A865" s="34"/>
      <c r="B865" s="7"/>
      <c r="C865" s="19"/>
      <c r="D865" s="7"/>
      <c r="E865" s="7"/>
      <c r="F865" s="7"/>
      <c r="G865" s="7"/>
      <c r="H865" s="6"/>
      <c r="I865" s="7"/>
      <c r="J865" s="7"/>
      <c r="K865" s="7"/>
      <c r="L865" s="7"/>
      <c r="M865" s="52"/>
      <c r="N865" s="7"/>
      <c r="O865" s="7"/>
      <c r="P865" s="47"/>
      <c r="Q865" s="47"/>
      <c r="R865" s="7"/>
      <c r="S865" s="51"/>
      <c r="T865" s="51"/>
      <c r="U865" s="7"/>
      <c r="V865" s="57"/>
      <c r="W865" s="57"/>
      <c r="X865" s="57"/>
    </row>
    <row r="866" spans="1:24" ht="12.5" x14ac:dyDescent="0.25">
      <c r="A866" s="34"/>
      <c r="B866" s="7"/>
      <c r="C866" s="19"/>
      <c r="D866" s="7"/>
      <c r="E866" s="7"/>
      <c r="F866" s="7"/>
      <c r="G866" s="7"/>
      <c r="H866" s="6"/>
      <c r="I866" s="7"/>
      <c r="J866" s="7"/>
      <c r="K866" s="7"/>
      <c r="L866" s="7"/>
      <c r="M866" s="52"/>
      <c r="N866" s="7"/>
      <c r="O866" s="7"/>
      <c r="P866" s="47"/>
      <c r="Q866" s="47"/>
      <c r="R866" s="7"/>
      <c r="S866" s="51"/>
      <c r="T866" s="51"/>
      <c r="U866" s="7"/>
      <c r="V866" s="57"/>
      <c r="W866" s="57"/>
      <c r="X866" s="57"/>
    </row>
    <row r="867" spans="1:24" ht="12.5" x14ac:dyDescent="0.25">
      <c r="A867" s="34"/>
      <c r="B867" s="7"/>
      <c r="C867" s="19"/>
      <c r="D867" s="7"/>
      <c r="E867" s="7"/>
      <c r="F867" s="7"/>
      <c r="G867" s="7"/>
      <c r="H867" s="6"/>
      <c r="I867" s="7"/>
      <c r="J867" s="7"/>
      <c r="K867" s="7"/>
      <c r="L867" s="7"/>
      <c r="M867" s="52"/>
      <c r="N867" s="7"/>
      <c r="O867" s="7"/>
      <c r="P867" s="47"/>
      <c r="Q867" s="47"/>
      <c r="R867" s="7"/>
      <c r="S867" s="51"/>
      <c r="T867" s="51"/>
      <c r="U867" s="7"/>
      <c r="V867" s="57"/>
      <c r="W867" s="57"/>
      <c r="X867" s="57"/>
    </row>
    <row r="868" spans="1:24" ht="12.5" x14ac:dyDescent="0.25">
      <c r="A868" s="34"/>
      <c r="B868" s="7"/>
      <c r="C868" s="19"/>
      <c r="D868" s="7"/>
      <c r="E868" s="7"/>
      <c r="F868" s="7"/>
      <c r="G868" s="7"/>
      <c r="H868" s="6"/>
      <c r="I868" s="7"/>
      <c r="J868" s="7"/>
      <c r="K868" s="7"/>
      <c r="L868" s="7"/>
      <c r="M868" s="52"/>
      <c r="N868" s="7"/>
      <c r="O868" s="7"/>
      <c r="P868" s="47"/>
      <c r="Q868" s="47"/>
      <c r="R868" s="7"/>
      <c r="S868" s="51"/>
      <c r="T868" s="51"/>
      <c r="U868" s="7"/>
      <c r="V868" s="57"/>
      <c r="W868" s="57"/>
      <c r="X868" s="57"/>
    </row>
    <row r="869" spans="1:24" ht="12.5" x14ac:dyDescent="0.25">
      <c r="A869" s="34"/>
      <c r="B869" s="7"/>
      <c r="C869" s="19"/>
      <c r="D869" s="7"/>
      <c r="E869" s="7"/>
      <c r="F869" s="7"/>
      <c r="G869" s="7"/>
      <c r="H869" s="6"/>
      <c r="I869" s="7"/>
      <c r="J869" s="7"/>
      <c r="K869" s="7"/>
      <c r="L869" s="7"/>
      <c r="M869" s="52"/>
      <c r="N869" s="7"/>
      <c r="O869" s="7"/>
      <c r="P869" s="47"/>
      <c r="Q869" s="47"/>
      <c r="R869" s="7"/>
      <c r="S869" s="51"/>
      <c r="T869" s="51"/>
      <c r="U869" s="7"/>
      <c r="V869" s="57"/>
      <c r="W869" s="57"/>
      <c r="X869" s="57"/>
    </row>
    <row r="870" spans="1:24" ht="12.5" x14ac:dyDescent="0.25">
      <c r="A870" s="34"/>
      <c r="B870" s="7"/>
      <c r="C870" s="19"/>
      <c r="D870" s="7"/>
      <c r="E870" s="7"/>
      <c r="F870" s="7"/>
      <c r="G870" s="7"/>
      <c r="H870" s="6"/>
      <c r="I870" s="7"/>
      <c r="J870" s="7"/>
      <c r="K870" s="7"/>
      <c r="L870" s="7"/>
      <c r="M870" s="52"/>
      <c r="N870" s="7"/>
      <c r="O870" s="7"/>
      <c r="P870" s="47"/>
      <c r="Q870" s="47"/>
      <c r="R870" s="7"/>
      <c r="S870" s="51"/>
      <c r="T870" s="51"/>
      <c r="U870" s="7"/>
      <c r="V870" s="57"/>
      <c r="W870" s="57"/>
      <c r="X870" s="57"/>
    </row>
    <row r="871" spans="1:24" ht="12.5" x14ac:dyDescent="0.25">
      <c r="A871" s="34"/>
      <c r="B871" s="7"/>
      <c r="C871" s="19"/>
      <c r="D871" s="7"/>
      <c r="E871" s="7"/>
      <c r="F871" s="7"/>
      <c r="G871" s="7"/>
      <c r="H871" s="6"/>
      <c r="I871" s="7"/>
      <c r="J871" s="7"/>
      <c r="K871" s="7"/>
      <c r="L871" s="7"/>
      <c r="M871" s="52"/>
      <c r="N871" s="7"/>
      <c r="O871" s="7"/>
      <c r="P871" s="47"/>
      <c r="Q871" s="47"/>
      <c r="R871" s="7"/>
      <c r="S871" s="51"/>
      <c r="T871" s="51"/>
      <c r="U871" s="7"/>
      <c r="V871" s="57"/>
      <c r="W871" s="57"/>
      <c r="X871" s="57"/>
    </row>
    <row r="872" spans="1:24" ht="12.5" x14ac:dyDescent="0.25">
      <c r="A872" s="34"/>
      <c r="B872" s="7"/>
      <c r="C872" s="19"/>
      <c r="D872" s="7"/>
      <c r="E872" s="7"/>
      <c r="F872" s="7"/>
      <c r="G872" s="7"/>
      <c r="H872" s="6"/>
      <c r="I872" s="7"/>
      <c r="J872" s="7"/>
      <c r="K872" s="7"/>
      <c r="L872" s="7"/>
      <c r="M872" s="52"/>
      <c r="N872" s="7"/>
      <c r="O872" s="7"/>
      <c r="P872" s="47"/>
      <c r="Q872" s="47"/>
      <c r="R872" s="7"/>
      <c r="S872" s="51"/>
      <c r="T872" s="51"/>
      <c r="U872" s="7"/>
      <c r="V872" s="57"/>
      <c r="W872" s="57"/>
      <c r="X872" s="57"/>
    </row>
    <row r="873" spans="1:24" ht="12.5" x14ac:dyDescent="0.25">
      <c r="A873" s="34"/>
      <c r="B873" s="7"/>
      <c r="C873" s="19"/>
      <c r="D873" s="7"/>
      <c r="E873" s="7"/>
      <c r="F873" s="7"/>
      <c r="G873" s="7"/>
      <c r="H873" s="6"/>
      <c r="I873" s="7"/>
      <c r="J873" s="7"/>
      <c r="K873" s="7"/>
      <c r="L873" s="7"/>
      <c r="M873" s="52"/>
      <c r="N873" s="7"/>
      <c r="O873" s="7"/>
      <c r="P873" s="47"/>
      <c r="Q873" s="47"/>
      <c r="R873" s="7"/>
      <c r="S873" s="51"/>
      <c r="T873" s="51"/>
      <c r="U873" s="7"/>
      <c r="V873" s="57"/>
      <c r="W873" s="57"/>
      <c r="X873" s="57"/>
    </row>
    <row r="874" spans="1:24" ht="12.5" x14ac:dyDescent="0.25">
      <c r="A874" s="34"/>
      <c r="B874" s="7"/>
      <c r="C874" s="19"/>
      <c r="D874" s="7"/>
      <c r="E874" s="7"/>
      <c r="F874" s="7"/>
      <c r="G874" s="7"/>
      <c r="H874" s="6"/>
      <c r="I874" s="7"/>
      <c r="J874" s="7"/>
      <c r="K874" s="7"/>
      <c r="L874" s="7"/>
      <c r="M874" s="52"/>
      <c r="N874" s="7"/>
      <c r="O874" s="7"/>
      <c r="P874" s="47"/>
      <c r="Q874" s="47"/>
      <c r="R874" s="7"/>
      <c r="S874" s="51"/>
      <c r="T874" s="51"/>
      <c r="U874" s="7"/>
      <c r="V874" s="57"/>
      <c r="W874" s="57"/>
      <c r="X874" s="57"/>
    </row>
    <row r="875" spans="1:24" ht="12.5" x14ac:dyDescent="0.25">
      <c r="A875" s="34"/>
      <c r="B875" s="7"/>
      <c r="C875" s="19"/>
      <c r="D875" s="7"/>
      <c r="E875" s="7"/>
      <c r="F875" s="7"/>
      <c r="G875" s="7"/>
      <c r="H875" s="6"/>
      <c r="I875" s="7"/>
      <c r="J875" s="7"/>
      <c r="K875" s="7"/>
      <c r="L875" s="7"/>
      <c r="M875" s="52"/>
      <c r="N875" s="7"/>
      <c r="O875" s="7"/>
      <c r="P875" s="47"/>
      <c r="Q875" s="47"/>
      <c r="R875" s="7"/>
      <c r="S875" s="51"/>
      <c r="T875" s="51"/>
      <c r="U875" s="7"/>
      <c r="V875" s="57"/>
      <c r="W875" s="57"/>
      <c r="X875" s="57"/>
    </row>
    <row r="876" spans="1:24" ht="12.5" x14ac:dyDescent="0.25">
      <c r="A876" s="34"/>
      <c r="B876" s="7"/>
      <c r="C876" s="19"/>
      <c r="D876" s="7"/>
      <c r="E876" s="7"/>
      <c r="F876" s="7"/>
      <c r="G876" s="7"/>
      <c r="H876" s="6"/>
      <c r="I876" s="7"/>
      <c r="J876" s="7"/>
      <c r="K876" s="7"/>
      <c r="L876" s="7"/>
      <c r="M876" s="52"/>
      <c r="N876" s="7"/>
      <c r="O876" s="7"/>
      <c r="P876" s="47"/>
      <c r="Q876" s="47"/>
      <c r="R876" s="7"/>
      <c r="S876" s="51"/>
      <c r="T876" s="51"/>
      <c r="U876" s="7"/>
      <c r="V876" s="57"/>
      <c r="W876" s="57"/>
      <c r="X876" s="57"/>
    </row>
    <row r="877" spans="1:24" ht="12.5" x14ac:dyDescent="0.25">
      <c r="A877" s="34"/>
      <c r="B877" s="7"/>
      <c r="C877" s="19"/>
      <c r="D877" s="7"/>
      <c r="E877" s="7"/>
      <c r="F877" s="7"/>
      <c r="G877" s="7"/>
      <c r="H877" s="6"/>
      <c r="I877" s="7"/>
      <c r="J877" s="7"/>
      <c r="K877" s="7"/>
      <c r="L877" s="7"/>
      <c r="M877" s="52"/>
      <c r="N877" s="7"/>
      <c r="O877" s="7"/>
      <c r="P877" s="47"/>
      <c r="Q877" s="47"/>
      <c r="R877" s="7"/>
      <c r="S877" s="51"/>
      <c r="T877" s="51"/>
      <c r="U877" s="7"/>
      <c r="V877" s="57"/>
      <c r="W877" s="57"/>
      <c r="X877" s="57"/>
    </row>
    <row r="878" spans="1:24" ht="12.5" x14ac:dyDescent="0.25">
      <c r="A878" s="34"/>
      <c r="B878" s="7"/>
      <c r="C878" s="19"/>
      <c r="D878" s="7"/>
      <c r="E878" s="7"/>
      <c r="F878" s="7"/>
      <c r="G878" s="7"/>
      <c r="H878" s="6"/>
      <c r="I878" s="7"/>
      <c r="J878" s="7"/>
      <c r="K878" s="7"/>
      <c r="L878" s="7"/>
      <c r="M878" s="52"/>
      <c r="N878" s="7"/>
      <c r="O878" s="7"/>
      <c r="P878" s="47"/>
      <c r="Q878" s="47"/>
      <c r="R878" s="7"/>
      <c r="S878" s="51"/>
      <c r="T878" s="51"/>
      <c r="U878" s="7"/>
      <c r="V878" s="57"/>
      <c r="W878" s="57"/>
      <c r="X878" s="57"/>
    </row>
    <row r="879" spans="1:24" ht="12.5" x14ac:dyDescent="0.25">
      <c r="A879" s="34"/>
      <c r="B879" s="7"/>
      <c r="C879" s="19"/>
      <c r="D879" s="7"/>
      <c r="E879" s="7"/>
      <c r="F879" s="7"/>
      <c r="G879" s="7"/>
      <c r="H879" s="6"/>
      <c r="I879" s="7"/>
      <c r="J879" s="7"/>
      <c r="K879" s="7"/>
      <c r="L879" s="7"/>
      <c r="M879" s="52"/>
      <c r="N879" s="7"/>
      <c r="O879" s="7"/>
      <c r="P879" s="47"/>
      <c r="Q879" s="47"/>
      <c r="R879" s="7"/>
      <c r="S879" s="51"/>
      <c r="T879" s="51"/>
      <c r="U879" s="7"/>
      <c r="V879" s="57"/>
      <c r="W879" s="57"/>
      <c r="X879" s="57"/>
    </row>
    <row r="880" spans="1:24" ht="12.5" x14ac:dyDescent="0.25">
      <c r="A880" s="34"/>
      <c r="B880" s="7"/>
      <c r="C880" s="19"/>
      <c r="D880" s="7"/>
      <c r="E880" s="7"/>
      <c r="F880" s="7"/>
      <c r="G880" s="7"/>
      <c r="H880" s="6"/>
      <c r="I880" s="7"/>
      <c r="J880" s="7"/>
      <c r="K880" s="7"/>
      <c r="L880" s="7"/>
      <c r="M880" s="52"/>
      <c r="N880" s="7"/>
      <c r="O880" s="7"/>
      <c r="P880" s="47"/>
      <c r="Q880" s="47"/>
      <c r="R880" s="7"/>
      <c r="S880" s="51"/>
      <c r="T880" s="51"/>
      <c r="U880" s="7"/>
      <c r="V880" s="57"/>
      <c r="W880" s="57"/>
      <c r="X880" s="57"/>
    </row>
    <row r="881" spans="1:24" ht="12.5" x14ac:dyDescent="0.25">
      <c r="A881" s="34"/>
      <c r="B881" s="7"/>
      <c r="C881" s="19"/>
      <c r="D881" s="7"/>
      <c r="E881" s="7"/>
      <c r="F881" s="7"/>
      <c r="G881" s="7"/>
      <c r="H881" s="6"/>
      <c r="I881" s="7"/>
      <c r="J881" s="7"/>
      <c r="K881" s="7"/>
      <c r="L881" s="7"/>
      <c r="M881" s="52"/>
      <c r="N881" s="7"/>
      <c r="O881" s="7"/>
      <c r="P881" s="47"/>
      <c r="Q881" s="47"/>
      <c r="R881" s="7"/>
      <c r="S881" s="51"/>
      <c r="T881" s="51"/>
      <c r="U881" s="7"/>
      <c r="V881" s="57"/>
      <c r="W881" s="57"/>
      <c r="X881" s="57"/>
    </row>
    <row r="882" spans="1:24" ht="12.5" x14ac:dyDescent="0.25">
      <c r="A882" s="34"/>
      <c r="B882" s="7"/>
      <c r="C882" s="19"/>
      <c r="D882" s="7"/>
      <c r="E882" s="7"/>
      <c r="F882" s="7"/>
      <c r="G882" s="7"/>
      <c r="H882" s="6"/>
      <c r="I882" s="7"/>
      <c r="J882" s="7"/>
      <c r="K882" s="7"/>
      <c r="L882" s="7"/>
      <c r="M882" s="52"/>
      <c r="N882" s="7"/>
      <c r="O882" s="7"/>
      <c r="P882" s="47"/>
      <c r="Q882" s="47"/>
      <c r="R882" s="7"/>
      <c r="S882" s="51"/>
      <c r="T882" s="51"/>
      <c r="U882" s="7"/>
      <c r="V882" s="57"/>
      <c r="W882" s="57"/>
      <c r="X882" s="57"/>
    </row>
    <row r="883" spans="1:24" ht="12.5" x14ac:dyDescent="0.25">
      <c r="A883" s="34"/>
      <c r="B883" s="7"/>
      <c r="C883" s="19"/>
      <c r="D883" s="7"/>
      <c r="E883" s="7"/>
      <c r="F883" s="7"/>
      <c r="G883" s="7"/>
      <c r="H883" s="6"/>
      <c r="I883" s="7"/>
      <c r="J883" s="7"/>
      <c r="K883" s="7"/>
      <c r="L883" s="7"/>
      <c r="M883" s="52"/>
      <c r="N883" s="7"/>
      <c r="O883" s="7"/>
      <c r="P883" s="47"/>
      <c r="Q883" s="47"/>
      <c r="R883" s="7"/>
      <c r="S883" s="51"/>
      <c r="T883" s="51"/>
      <c r="U883" s="7"/>
      <c r="V883" s="57"/>
      <c r="W883" s="57"/>
      <c r="X883" s="57"/>
    </row>
    <row r="884" spans="1:24" ht="12.5" x14ac:dyDescent="0.25">
      <c r="A884" s="34"/>
      <c r="B884" s="7"/>
      <c r="C884" s="19"/>
      <c r="D884" s="7"/>
      <c r="E884" s="7"/>
      <c r="F884" s="7"/>
      <c r="G884" s="7"/>
      <c r="H884" s="6"/>
      <c r="I884" s="7"/>
      <c r="J884" s="7"/>
      <c r="K884" s="7"/>
      <c r="L884" s="7"/>
      <c r="M884" s="52"/>
      <c r="N884" s="7"/>
      <c r="O884" s="7"/>
      <c r="P884" s="47"/>
      <c r="Q884" s="47"/>
      <c r="R884" s="7"/>
      <c r="S884" s="51"/>
      <c r="T884" s="51"/>
      <c r="U884" s="7"/>
      <c r="V884" s="57"/>
      <c r="W884" s="57"/>
      <c r="X884" s="57"/>
    </row>
    <row r="885" spans="1:24" ht="12.5" x14ac:dyDescent="0.25">
      <c r="A885" s="34"/>
      <c r="B885" s="7"/>
      <c r="C885" s="19"/>
      <c r="D885" s="7"/>
      <c r="E885" s="7"/>
      <c r="F885" s="7"/>
      <c r="G885" s="7"/>
      <c r="H885" s="6"/>
      <c r="I885" s="7"/>
      <c r="J885" s="7"/>
      <c r="K885" s="7"/>
      <c r="L885" s="7"/>
      <c r="M885" s="52"/>
      <c r="N885" s="7"/>
      <c r="O885" s="7"/>
      <c r="P885" s="47"/>
      <c r="Q885" s="47"/>
      <c r="R885" s="7"/>
      <c r="S885" s="51"/>
      <c r="T885" s="51"/>
      <c r="U885" s="7"/>
      <c r="V885" s="57"/>
      <c r="W885" s="57"/>
      <c r="X885" s="57"/>
    </row>
    <row r="886" spans="1:24" ht="12.5" x14ac:dyDescent="0.25">
      <c r="A886" s="34"/>
      <c r="B886" s="7"/>
      <c r="C886" s="19"/>
      <c r="D886" s="7"/>
      <c r="E886" s="7"/>
      <c r="F886" s="7"/>
      <c r="G886" s="7"/>
      <c r="H886" s="6"/>
      <c r="I886" s="7"/>
      <c r="J886" s="7"/>
      <c r="K886" s="7"/>
      <c r="L886" s="7"/>
      <c r="M886" s="52"/>
      <c r="N886" s="7"/>
      <c r="O886" s="7"/>
      <c r="P886" s="47"/>
      <c r="Q886" s="47"/>
      <c r="R886" s="7"/>
      <c r="S886" s="51"/>
      <c r="T886" s="51"/>
      <c r="U886" s="7"/>
      <c r="V886" s="57"/>
      <c r="W886" s="57"/>
      <c r="X886" s="57"/>
    </row>
    <row r="887" spans="1:24" ht="12.5" x14ac:dyDescent="0.25">
      <c r="A887" s="34"/>
      <c r="B887" s="7"/>
      <c r="C887" s="19"/>
      <c r="D887" s="7"/>
      <c r="E887" s="7"/>
      <c r="F887" s="7"/>
      <c r="G887" s="7"/>
      <c r="H887" s="6"/>
      <c r="I887" s="7"/>
      <c r="J887" s="7"/>
      <c r="K887" s="7"/>
      <c r="L887" s="7"/>
      <c r="M887" s="52"/>
      <c r="N887" s="7"/>
      <c r="O887" s="7"/>
      <c r="P887" s="47"/>
      <c r="Q887" s="47"/>
      <c r="R887" s="7"/>
      <c r="S887" s="51"/>
      <c r="T887" s="51"/>
      <c r="U887" s="7"/>
      <c r="V887" s="57"/>
      <c r="W887" s="57"/>
      <c r="X887" s="57"/>
    </row>
    <row r="888" spans="1:24" ht="12.5" x14ac:dyDescent="0.25">
      <c r="A888" s="34"/>
      <c r="B888" s="7"/>
      <c r="C888" s="19"/>
      <c r="D888" s="7"/>
      <c r="E888" s="7"/>
      <c r="F888" s="7"/>
      <c r="G888" s="7"/>
      <c r="H888" s="6"/>
      <c r="I888" s="7"/>
      <c r="J888" s="7"/>
      <c r="K888" s="7"/>
      <c r="L888" s="7"/>
      <c r="M888" s="52"/>
      <c r="N888" s="7"/>
      <c r="O888" s="7"/>
      <c r="P888" s="47"/>
      <c r="Q888" s="47"/>
      <c r="R888" s="7"/>
      <c r="S888" s="51"/>
      <c r="T888" s="51"/>
      <c r="U888" s="7"/>
      <c r="V888" s="57"/>
      <c r="W888" s="57"/>
      <c r="X888" s="57"/>
    </row>
    <row r="889" spans="1:24" ht="12.5" x14ac:dyDescent="0.25">
      <c r="A889" s="34"/>
      <c r="B889" s="7"/>
      <c r="C889" s="19"/>
      <c r="D889" s="7"/>
      <c r="E889" s="7"/>
      <c r="F889" s="7"/>
      <c r="G889" s="7"/>
      <c r="H889" s="6"/>
      <c r="I889" s="7"/>
      <c r="J889" s="7"/>
      <c r="K889" s="7"/>
      <c r="L889" s="7"/>
      <c r="M889" s="52"/>
      <c r="N889" s="7"/>
      <c r="O889" s="7"/>
      <c r="P889" s="47"/>
      <c r="Q889" s="47"/>
      <c r="R889" s="7"/>
      <c r="S889" s="51"/>
      <c r="T889" s="51"/>
      <c r="U889" s="7"/>
      <c r="V889" s="57"/>
      <c r="W889" s="57"/>
      <c r="X889" s="57"/>
    </row>
    <row r="890" spans="1:24" ht="12.5" x14ac:dyDescent="0.25">
      <c r="A890" s="34"/>
      <c r="B890" s="7"/>
      <c r="C890" s="19"/>
      <c r="D890" s="7"/>
      <c r="E890" s="7"/>
      <c r="F890" s="7"/>
      <c r="G890" s="7"/>
      <c r="H890" s="6"/>
      <c r="I890" s="7"/>
      <c r="J890" s="7"/>
      <c r="K890" s="7"/>
      <c r="L890" s="7"/>
      <c r="M890" s="52"/>
      <c r="N890" s="7"/>
      <c r="O890" s="7"/>
      <c r="P890" s="47"/>
      <c r="Q890" s="47"/>
      <c r="R890" s="7"/>
      <c r="S890" s="51"/>
      <c r="T890" s="51"/>
      <c r="U890" s="7"/>
      <c r="V890" s="57"/>
      <c r="W890" s="57"/>
      <c r="X890" s="57"/>
    </row>
    <row r="891" spans="1:24" ht="12.5" x14ac:dyDescent="0.25">
      <c r="A891" s="34"/>
      <c r="B891" s="7"/>
      <c r="C891" s="19"/>
      <c r="D891" s="7"/>
      <c r="E891" s="7"/>
      <c r="F891" s="7"/>
      <c r="G891" s="7"/>
      <c r="H891" s="6"/>
      <c r="I891" s="7"/>
      <c r="J891" s="7"/>
      <c r="K891" s="7"/>
      <c r="L891" s="7"/>
      <c r="M891" s="52"/>
      <c r="N891" s="7"/>
      <c r="O891" s="7"/>
      <c r="P891" s="47"/>
      <c r="Q891" s="47"/>
      <c r="R891" s="7"/>
      <c r="S891" s="51"/>
      <c r="T891" s="51"/>
      <c r="U891" s="7"/>
      <c r="V891" s="57"/>
      <c r="W891" s="57"/>
      <c r="X891" s="57"/>
    </row>
    <row r="892" spans="1:24" ht="12.5" x14ac:dyDescent="0.25">
      <c r="A892" s="34"/>
      <c r="B892" s="7"/>
      <c r="C892" s="19"/>
      <c r="D892" s="7"/>
      <c r="E892" s="7"/>
      <c r="F892" s="7"/>
      <c r="G892" s="7"/>
      <c r="H892" s="6"/>
      <c r="I892" s="7"/>
      <c r="J892" s="7"/>
      <c r="K892" s="7"/>
      <c r="L892" s="7"/>
      <c r="M892" s="52"/>
      <c r="N892" s="7"/>
      <c r="O892" s="7"/>
      <c r="P892" s="47"/>
      <c r="Q892" s="47"/>
      <c r="R892" s="7"/>
      <c r="S892" s="51"/>
      <c r="T892" s="51"/>
      <c r="U892" s="7"/>
      <c r="V892" s="57"/>
      <c r="W892" s="57"/>
      <c r="X892" s="57"/>
    </row>
    <row r="893" spans="1:24" ht="12.5" x14ac:dyDescent="0.25">
      <c r="A893" s="34"/>
      <c r="B893" s="7"/>
      <c r="C893" s="19"/>
      <c r="D893" s="7"/>
      <c r="E893" s="7"/>
      <c r="F893" s="7"/>
      <c r="G893" s="7"/>
      <c r="H893" s="6"/>
      <c r="I893" s="7"/>
      <c r="J893" s="7"/>
      <c r="K893" s="7"/>
      <c r="L893" s="7"/>
      <c r="M893" s="52"/>
      <c r="N893" s="7"/>
      <c r="O893" s="7"/>
      <c r="P893" s="47"/>
      <c r="Q893" s="47"/>
      <c r="R893" s="7"/>
      <c r="S893" s="51"/>
      <c r="T893" s="51"/>
      <c r="U893" s="7"/>
      <c r="V893" s="57"/>
      <c r="W893" s="57"/>
      <c r="X893" s="57"/>
    </row>
    <row r="894" spans="1:24" ht="12.5" x14ac:dyDescent="0.25">
      <c r="A894" s="34"/>
      <c r="B894" s="7"/>
      <c r="C894" s="19"/>
      <c r="D894" s="7"/>
      <c r="E894" s="7"/>
      <c r="F894" s="7"/>
      <c r="G894" s="7"/>
      <c r="H894" s="6"/>
      <c r="I894" s="7"/>
      <c r="J894" s="7"/>
      <c r="K894" s="7"/>
      <c r="L894" s="7"/>
      <c r="M894" s="52"/>
      <c r="N894" s="7"/>
      <c r="O894" s="7"/>
      <c r="P894" s="47"/>
      <c r="Q894" s="47"/>
      <c r="R894" s="7"/>
      <c r="S894" s="51"/>
      <c r="T894" s="51"/>
      <c r="U894" s="7"/>
      <c r="V894" s="57"/>
      <c r="W894" s="57"/>
      <c r="X894" s="57"/>
    </row>
    <row r="895" spans="1:24" ht="12.5" x14ac:dyDescent="0.25">
      <c r="A895" s="34"/>
      <c r="B895" s="7"/>
      <c r="C895" s="19"/>
      <c r="D895" s="7"/>
      <c r="E895" s="7"/>
      <c r="F895" s="7"/>
      <c r="G895" s="7"/>
      <c r="H895" s="6"/>
      <c r="I895" s="7"/>
      <c r="J895" s="7"/>
      <c r="K895" s="7"/>
      <c r="L895" s="7"/>
      <c r="M895" s="52"/>
      <c r="N895" s="7"/>
      <c r="O895" s="7"/>
      <c r="P895" s="47"/>
      <c r="Q895" s="47"/>
      <c r="R895" s="7"/>
      <c r="S895" s="51"/>
      <c r="T895" s="51"/>
      <c r="U895" s="7"/>
      <c r="V895" s="57"/>
      <c r="W895" s="57"/>
      <c r="X895" s="57"/>
    </row>
    <row r="896" spans="1:24" ht="12.5" x14ac:dyDescent="0.25">
      <c r="A896" s="34"/>
      <c r="B896" s="7"/>
      <c r="C896" s="19"/>
      <c r="D896" s="7"/>
      <c r="E896" s="7"/>
      <c r="F896" s="7"/>
      <c r="G896" s="7"/>
      <c r="H896" s="6"/>
      <c r="I896" s="7"/>
      <c r="J896" s="7"/>
      <c r="K896" s="7"/>
      <c r="L896" s="7"/>
      <c r="M896" s="52"/>
      <c r="N896" s="7"/>
      <c r="O896" s="7"/>
      <c r="P896" s="47"/>
      <c r="Q896" s="47"/>
      <c r="R896" s="7"/>
      <c r="S896" s="51"/>
      <c r="T896" s="51"/>
      <c r="U896" s="7"/>
      <c r="V896" s="57"/>
      <c r="W896" s="57"/>
      <c r="X896" s="57"/>
    </row>
    <row r="897" spans="1:24" ht="12.5" x14ac:dyDescent="0.25">
      <c r="A897" s="34"/>
      <c r="B897" s="7"/>
      <c r="C897" s="19"/>
      <c r="D897" s="7"/>
      <c r="E897" s="7"/>
      <c r="F897" s="7"/>
      <c r="G897" s="7"/>
      <c r="H897" s="6"/>
      <c r="I897" s="7"/>
      <c r="J897" s="7"/>
      <c r="K897" s="7"/>
      <c r="L897" s="7"/>
      <c r="M897" s="52"/>
      <c r="N897" s="7"/>
      <c r="O897" s="7"/>
      <c r="P897" s="47"/>
      <c r="Q897" s="47"/>
      <c r="R897" s="7"/>
      <c r="S897" s="51"/>
      <c r="T897" s="51"/>
      <c r="U897" s="7"/>
      <c r="V897" s="57"/>
      <c r="W897" s="57"/>
      <c r="X897" s="57"/>
    </row>
    <row r="898" spans="1:24" ht="12.5" x14ac:dyDescent="0.25">
      <c r="A898" s="34"/>
      <c r="B898" s="7"/>
      <c r="C898" s="19"/>
      <c r="D898" s="7"/>
      <c r="E898" s="7"/>
      <c r="F898" s="7"/>
      <c r="G898" s="7"/>
      <c r="H898" s="6"/>
      <c r="I898" s="7"/>
      <c r="J898" s="7"/>
      <c r="K898" s="7"/>
      <c r="L898" s="7"/>
      <c r="M898" s="52"/>
      <c r="N898" s="7"/>
      <c r="O898" s="7"/>
      <c r="P898" s="47"/>
      <c r="Q898" s="47"/>
      <c r="R898" s="7"/>
      <c r="S898" s="51"/>
      <c r="T898" s="51"/>
      <c r="U898" s="7"/>
      <c r="V898" s="57"/>
      <c r="W898" s="57"/>
      <c r="X898" s="57"/>
    </row>
    <row r="899" spans="1:24" ht="12.5" x14ac:dyDescent="0.25">
      <c r="A899" s="34"/>
      <c r="B899" s="7"/>
      <c r="C899" s="19"/>
      <c r="D899" s="7"/>
      <c r="E899" s="7"/>
      <c r="F899" s="7"/>
      <c r="G899" s="7"/>
      <c r="H899" s="6"/>
      <c r="I899" s="7"/>
      <c r="J899" s="7"/>
      <c r="K899" s="7"/>
      <c r="L899" s="7"/>
      <c r="M899" s="52"/>
      <c r="N899" s="7"/>
      <c r="O899" s="7"/>
      <c r="P899" s="47"/>
      <c r="Q899" s="47"/>
      <c r="R899" s="7"/>
      <c r="S899" s="51"/>
      <c r="T899" s="51"/>
      <c r="U899" s="7"/>
      <c r="V899" s="57"/>
      <c r="W899" s="57"/>
      <c r="X899" s="57"/>
    </row>
    <row r="900" spans="1:24" ht="12.5" x14ac:dyDescent="0.25">
      <c r="A900" s="34"/>
      <c r="B900" s="7"/>
      <c r="C900" s="19"/>
      <c r="D900" s="7"/>
      <c r="E900" s="7"/>
      <c r="F900" s="7"/>
      <c r="G900" s="7"/>
      <c r="H900" s="6"/>
      <c r="I900" s="7"/>
      <c r="J900" s="7"/>
      <c r="K900" s="7"/>
      <c r="L900" s="7"/>
      <c r="M900" s="52"/>
      <c r="N900" s="7"/>
      <c r="O900" s="7"/>
      <c r="P900" s="47"/>
      <c r="Q900" s="47"/>
      <c r="R900" s="7"/>
      <c r="S900" s="51"/>
      <c r="T900" s="51"/>
      <c r="U900" s="7"/>
      <c r="V900" s="57"/>
      <c r="W900" s="57"/>
      <c r="X900" s="57"/>
    </row>
    <row r="901" spans="1:24" ht="12.5" x14ac:dyDescent="0.25">
      <c r="A901" s="34"/>
      <c r="B901" s="7"/>
      <c r="C901" s="19"/>
      <c r="D901" s="7"/>
      <c r="E901" s="7"/>
      <c r="F901" s="7"/>
      <c r="G901" s="7"/>
      <c r="H901" s="6"/>
      <c r="I901" s="7"/>
      <c r="J901" s="7"/>
      <c r="K901" s="7"/>
      <c r="L901" s="7"/>
      <c r="M901" s="52"/>
      <c r="N901" s="7"/>
      <c r="O901" s="7"/>
      <c r="P901" s="47"/>
      <c r="Q901" s="47"/>
      <c r="R901" s="7"/>
      <c r="S901" s="51"/>
      <c r="T901" s="51"/>
      <c r="U901" s="7"/>
      <c r="V901" s="57"/>
      <c r="W901" s="57"/>
      <c r="X901" s="57"/>
    </row>
    <row r="902" spans="1:24" ht="12.5" x14ac:dyDescent="0.25">
      <c r="A902" s="34"/>
      <c r="B902" s="7"/>
      <c r="C902" s="19"/>
      <c r="D902" s="7"/>
      <c r="E902" s="7"/>
      <c r="F902" s="7"/>
      <c r="G902" s="7"/>
      <c r="H902" s="6"/>
      <c r="I902" s="7"/>
      <c r="J902" s="7"/>
      <c r="K902" s="7"/>
      <c r="L902" s="7"/>
      <c r="M902" s="52"/>
      <c r="N902" s="7"/>
      <c r="O902" s="7"/>
      <c r="P902" s="47"/>
      <c r="Q902" s="47"/>
      <c r="R902" s="7"/>
      <c r="S902" s="51"/>
      <c r="T902" s="51"/>
      <c r="U902" s="7"/>
      <c r="V902" s="57"/>
      <c r="W902" s="57"/>
      <c r="X902" s="57"/>
    </row>
    <row r="903" spans="1:24" ht="12.5" x14ac:dyDescent="0.25">
      <c r="A903" s="34"/>
      <c r="B903" s="7"/>
      <c r="C903" s="19"/>
      <c r="D903" s="7"/>
      <c r="E903" s="7"/>
      <c r="F903" s="7"/>
      <c r="G903" s="7"/>
      <c r="H903" s="6"/>
      <c r="I903" s="7"/>
      <c r="J903" s="7"/>
      <c r="K903" s="7"/>
      <c r="L903" s="7"/>
      <c r="M903" s="52"/>
      <c r="N903" s="7"/>
      <c r="O903" s="7"/>
      <c r="P903" s="47"/>
      <c r="Q903" s="47"/>
      <c r="R903" s="7"/>
      <c r="S903" s="51"/>
      <c r="T903" s="51"/>
      <c r="U903" s="7"/>
      <c r="V903" s="57"/>
      <c r="W903" s="57"/>
      <c r="X903" s="57"/>
    </row>
    <row r="904" spans="1:24" ht="12.5" x14ac:dyDescent="0.25">
      <c r="A904" s="34"/>
      <c r="B904" s="7"/>
      <c r="C904" s="19"/>
      <c r="D904" s="7"/>
      <c r="E904" s="7"/>
      <c r="F904" s="7"/>
      <c r="G904" s="7"/>
      <c r="H904" s="6"/>
      <c r="I904" s="7"/>
      <c r="J904" s="7"/>
      <c r="K904" s="7"/>
      <c r="L904" s="7"/>
      <c r="M904" s="52"/>
      <c r="N904" s="7"/>
      <c r="O904" s="7"/>
      <c r="P904" s="47"/>
      <c r="Q904" s="47"/>
      <c r="R904" s="7"/>
      <c r="S904" s="51"/>
      <c r="T904" s="51"/>
      <c r="U904" s="7"/>
      <c r="V904" s="57"/>
      <c r="W904" s="57"/>
      <c r="X904" s="57"/>
    </row>
    <row r="905" spans="1:24" ht="12.5" x14ac:dyDescent="0.25">
      <c r="A905" s="34"/>
      <c r="B905" s="7"/>
      <c r="C905" s="19"/>
      <c r="D905" s="7"/>
      <c r="E905" s="7"/>
      <c r="F905" s="7"/>
      <c r="G905" s="7"/>
      <c r="H905" s="6"/>
      <c r="I905" s="7"/>
      <c r="J905" s="7"/>
      <c r="K905" s="7"/>
      <c r="L905" s="7"/>
      <c r="M905" s="52"/>
      <c r="N905" s="7"/>
      <c r="O905" s="7"/>
      <c r="P905" s="47"/>
      <c r="Q905" s="47"/>
      <c r="R905" s="7"/>
      <c r="S905" s="51"/>
      <c r="T905" s="51"/>
      <c r="U905" s="7"/>
      <c r="V905" s="57"/>
      <c r="W905" s="57"/>
      <c r="X905" s="57"/>
    </row>
    <row r="906" spans="1:24" ht="12.5" x14ac:dyDescent="0.25">
      <c r="A906" s="34"/>
      <c r="B906" s="7"/>
      <c r="C906" s="19"/>
      <c r="D906" s="7"/>
      <c r="E906" s="7"/>
      <c r="F906" s="7"/>
      <c r="G906" s="7"/>
      <c r="H906" s="6"/>
      <c r="I906" s="7"/>
      <c r="J906" s="7"/>
      <c r="K906" s="7"/>
      <c r="L906" s="7"/>
      <c r="M906" s="52"/>
      <c r="N906" s="7"/>
      <c r="O906" s="7"/>
      <c r="P906" s="47"/>
      <c r="Q906" s="47"/>
      <c r="R906" s="7"/>
      <c r="S906" s="51"/>
      <c r="T906" s="51"/>
      <c r="U906" s="7"/>
      <c r="V906" s="57"/>
      <c r="W906" s="57"/>
      <c r="X906" s="57"/>
    </row>
    <row r="907" spans="1:24" ht="12.5" x14ac:dyDescent="0.25">
      <c r="A907" s="34"/>
      <c r="B907" s="7"/>
      <c r="C907" s="19"/>
      <c r="D907" s="7"/>
      <c r="E907" s="7"/>
      <c r="F907" s="7"/>
      <c r="G907" s="7"/>
      <c r="H907" s="6"/>
      <c r="I907" s="7"/>
      <c r="J907" s="7"/>
      <c r="K907" s="7"/>
      <c r="L907" s="7"/>
      <c r="M907" s="52"/>
      <c r="N907" s="7"/>
      <c r="O907" s="7"/>
      <c r="P907" s="47"/>
      <c r="Q907" s="47"/>
      <c r="R907" s="7"/>
      <c r="S907" s="51"/>
      <c r="T907" s="51"/>
      <c r="U907" s="7"/>
      <c r="V907" s="57"/>
      <c r="W907" s="57"/>
      <c r="X907" s="57"/>
    </row>
    <row r="908" spans="1:24" ht="12.5" x14ac:dyDescent="0.25">
      <c r="A908" s="34"/>
      <c r="B908" s="7"/>
      <c r="C908" s="19"/>
      <c r="D908" s="7"/>
      <c r="E908" s="7"/>
      <c r="F908" s="7"/>
      <c r="G908" s="7"/>
      <c r="H908" s="6"/>
      <c r="I908" s="7"/>
      <c r="J908" s="7"/>
      <c r="K908" s="7"/>
      <c r="L908" s="7"/>
      <c r="M908" s="52"/>
      <c r="N908" s="7"/>
      <c r="O908" s="7"/>
      <c r="P908" s="47"/>
      <c r="Q908" s="47"/>
      <c r="R908" s="7"/>
      <c r="S908" s="51"/>
      <c r="T908" s="51"/>
      <c r="U908" s="7"/>
      <c r="V908" s="57"/>
      <c r="W908" s="57"/>
      <c r="X908" s="57"/>
    </row>
    <row r="909" spans="1:24" ht="12.5" x14ac:dyDescent="0.25">
      <c r="A909" s="34"/>
      <c r="B909" s="7"/>
      <c r="C909" s="19"/>
      <c r="D909" s="7"/>
      <c r="E909" s="7"/>
      <c r="F909" s="7"/>
      <c r="G909" s="7"/>
      <c r="H909" s="6"/>
      <c r="I909" s="7"/>
      <c r="J909" s="7"/>
      <c r="K909" s="7"/>
      <c r="L909" s="7"/>
      <c r="M909" s="52"/>
      <c r="N909" s="7"/>
      <c r="O909" s="7"/>
      <c r="P909" s="47"/>
      <c r="Q909" s="47"/>
      <c r="R909" s="7"/>
      <c r="S909" s="51"/>
      <c r="T909" s="51"/>
      <c r="U909" s="7"/>
      <c r="V909" s="57"/>
      <c r="W909" s="57"/>
      <c r="X909" s="57"/>
    </row>
    <row r="910" spans="1:24" ht="12.5" x14ac:dyDescent="0.25">
      <c r="A910" s="34"/>
      <c r="B910" s="7"/>
      <c r="C910" s="19"/>
      <c r="D910" s="7"/>
      <c r="E910" s="7"/>
      <c r="F910" s="7"/>
      <c r="G910" s="7"/>
      <c r="H910" s="6"/>
      <c r="I910" s="7"/>
      <c r="J910" s="7"/>
      <c r="K910" s="7"/>
      <c r="L910" s="7"/>
      <c r="M910" s="52"/>
      <c r="N910" s="7"/>
      <c r="O910" s="7"/>
      <c r="P910" s="47"/>
      <c r="Q910" s="47"/>
      <c r="R910" s="7"/>
      <c r="S910" s="51"/>
      <c r="T910" s="51"/>
      <c r="U910" s="7"/>
      <c r="V910" s="57"/>
      <c r="W910" s="57"/>
      <c r="X910" s="57"/>
    </row>
    <row r="911" spans="1:24" ht="12.5" x14ac:dyDescent="0.25">
      <c r="A911" s="34"/>
      <c r="B911" s="7"/>
      <c r="C911" s="19"/>
      <c r="D911" s="7"/>
      <c r="E911" s="7"/>
      <c r="F911" s="7"/>
      <c r="G911" s="7"/>
      <c r="H911" s="6"/>
      <c r="I911" s="7"/>
      <c r="J911" s="7"/>
      <c r="K911" s="7"/>
      <c r="L911" s="7"/>
      <c r="M911" s="52"/>
      <c r="N911" s="7"/>
      <c r="O911" s="7"/>
      <c r="P911" s="47"/>
      <c r="Q911" s="47"/>
      <c r="R911" s="7"/>
      <c r="S911" s="51"/>
      <c r="T911" s="51"/>
      <c r="U911" s="7"/>
      <c r="V911" s="57"/>
      <c r="W911" s="57"/>
      <c r="X911" s="57"/>
    </row>
    <row r="912" spans="1:24" ht="12.5" x14ac:dyDescent="0.25">
      <c r="A912" s="34"/>
      <c r="B912" s="7"/>
      <c r="C912" s="19"/>
      <c r="D912" s="7"/>
      <c r="E912" s="7"/>
      <c r="F912" s="7"/>
      <c r="G912" s="7"/>
      <c r="H912" s="6"/>
      <c r="I912" s="7"/>
      <c r="J912" s="7"/>
      <c r="K912" s="7"/>
      <c r="L912" s="7"/>
      <c r="M912" s="52"/>
      <c r="N912" s="7"/>
      <c r="O912" s="7"/>
      <c r="P912" s="47"/>
      <c r="Q912" s="47"/>
      <c r="R912" s="7"/>
      <c r="S912" s="51"/>
      <c r="T912" s="51"/>
      <c r="U912" s="7"/>
      <c r="V912" s="57"/>
      <c r="W912" s="57"/>
      <c r="X912" s="57"/>
    </row>
    <row r="913" spans="1:24" ht="12.5" x14ac:dyDescent="0.25">
      <c r="A913" s="34"/>
      <c r="B913" s="7"/>
      <c r="C913" s="19"/>
      <c r="D913" s="7"/>
      <c r="E913" s="7"/>
      <c r="F913" s="7"/>
      <c r="G913" s="7"/>
      <c r="H913" s="6"/>
      <c r="I913" s="7"/>
      <c r="J913" s="7"/>
      <c r="K913" s="7"/>
      <c r="L913" s="7"/>
      <c r="M913" s="52"/>
      <c r="N913" s="7"/>
      <c r="O913" s="7"/>
      <c r="P913" s="47"/>
      <c r="Q913" s="47"/>
      <c r="R913" s="7"/>
      <c r="S913" s="51"/>
      <c r="T913" s="51"/>
      <c r="U913" s="7"/>
      <c r="V913" s="57"/>
      <c r="W913" s="57"/>
      <c r="X913" s="57"/>
    </row>
    <row r="914" spans="1:24" ht="12.5" x14ac:dyDescent="0.25">
      <c r="A914" s="34"/>
      <c r="B914" s="7"/>
      <c r="C914" s="19"/>
      <c r="D914" s="7"/>
      <c r="E914" s="7"/>
      <c r="F914" s="7"/>
      <c r="G914" s="7"/>
      <c r="H914" s="6"/>
      <c r="I914" s="7"/>
      <c r="J914" s="7"/>
      <c r="K914" s="7"/>
      <c r="L914" s="7"/>
      <c r="M914" s="52"/>
      <c r="N914" s="7"/>
      <c r="O914" s="7"/>
      <c r="P914" s="47"/>
      <c r="Q914" s="47"/>
      <c r="R914" s="7"/>
      <c r="S914" s="51"/>
      <c r="T914" s="51"/>
      <c r="U914" s="7"/>
      <c r="V914" s="57"/>
      <c r="W914" s="57"/>
      <c r="X914" s="57"/>
    </row>
    <row r="915" spans="1:24" ht="12.5" x14ac:dyDescent="0.25">
      <c r="A915" s="34"/>
      <c r="B915" s="7"/>
      <c r="C915" s="19"/>
      <c r="D915" s="7"/>
      <c r="E915" s="7"/>
      <c r="F915" s="7"/>
      <c r="G915" s="7"/>
      <c r="H915" s="6"/>
      <c r="I915" s="7"/>
      <c r="J915" s="7"/>
      <c r="K915" s="7"/>
      <c r="L915" s="7"/>
      <c r="M915" s="52"/>
      <c r="N915" s="7"/>
      <c r="O915" s="7"/>
      <c r="P915" s="47"/>
      <c r="Q915" s="47"/>
      <c r="R915" s="7"/>
      <c r="S915" s="51"/>
      <c r="T915" s="51"/>
      <c r="U915" s="7"/>
      <c r="V915" s="57"/>
      <c r="W915" s="57"/>
      <c r="X915" s="57"/>
    </row>
    <row r="916" spans="1:24" ht="12.5" x14ac:dyDescent="0.25">
      <c r="A916" s="34"/>
      <c r="B916" s="7"/>
      <c r="C916" s="19"/>
      <c r="D916" s="7"/>
      <c r="E916" s="7"/>
      <c r="F916" s="7"/>
      <c r="G916" s="7"/>
      <c r="H916" s="6"/>
      <c r="I916" s="7"/>
      <c r="J916" s="7"/>
      <c r="K916" s="7"/>
      <c r="L916" s="7"/>
      <c r="M916" s="52"/>
      <c r="N916" s="7"/>
      <c r="O916" s="7"/>
      <c r="P916" s="47"/>
      <c r="Q916" s="47"/>
      <c r="R916" s="7"/>
      <c r="S916" s="51"/>
      <c r="T916" s="51"/>
      <c r="U916" s="7"/>
      <c r="V916" s="57"/>
      <c r="W916" s="57"/>
      <c r="X916" s="57"/>
    </row>
    <row r="917" spans="1:24" ht="12.5" x14ac:dyDescent="0.25">
      <c r="A917" s="34"/>
      <c r="B917" s="7"/>
      <c r="C917" s="19"/>
      <c r="D917" s="7"/>
      <c r="E917" s="7"/>
      <c r="F917" s="7"/>
      <c r="G917" s="7"/>
      <c r="H917" s="6"/>
      <c r="I917" s="7"/>
      <c r="J917" s="7"/>
      <c r="K917" s="7"/>
      <c r="L917" s="7"/>
      <c r="M917" s="52"/>
      <c r="N917" s="7"/>
      <c r="O917" s="7"/>
      <c r="P917" s="47"/>
      <c r="Q917" s="47"/>
      <c r="R917" s="7"/>
      <c r="S917" s="51"/>
      <c r="T917" s="51"/>
      <c r="U917" s="7"/>
      <c r="V917" s="57"/>
      <c r="W917" s="57"/>
      <c r="X917" s="57"/>
    </row>
    <row r="918" spans="1:24" ht="12.5" x14ac:dyDescent="0.25">
      <c r="A918" s="34"/>
      <c r="B918" s="7"/>
      <c r="C918" s="19"/>
      <c r="D918" s="7"/>
      <c r="E918" s="7"/>
      <c r="F918" s="7"/>
      <c r="G918" s="7"/>
      <c r="H918" s="6"/>
      <c r="I918" s="7"/>
      <c r="J918" s="7"/>
      <c r="K918" s="7"/>
      <c r="L918" s="7"/>
      <c r="M918" s="52"/>
      <c r="N918" s="7"/>
      <c r="O918" s="7"/>
      <c r="P918" s="47"/>
      <c r="Q918" s="47"/>
      <c r="R918" s="7"/>
      <c r="S918" s="51"/>
      <c r="T918" s="51"/>
      <c r="U918" s="7"/>
      <c r="V918" s="57"/>
      <c r="W918" s="57"/>
      <c r="X918" s="57"/>
    </row>
    <row r="919" spans="1:24" ht="12.5" x14ac:dyDescent="0.25">
      <c r="A919" s="34"/>
      <c r="B919" s="7"/>
      <c r="C919" s="19"/>
      <c r="D919" s="7"/>
      <c r="E919" s="7"/>
      <c r="F919" s="7"/>
      <c r="G919" s="7"/>
      <c r="H919" s="6"/>
      <c r="I919" s="7"/>
      <c r="J919" s="7"/>
      <c r="K919" s="7"/>
      <c r="L919" s="7"/>
      <c r="M919" s="52"/>
      <c r="N919" s="7"/>
      <c r="O919" s="7"/>
      <c r="P919" s="47"/>
      <c r="Q919" s="47"/>
      <c r="R919" s="7"/>
      <c r="S919" s="51"/>
      <c r="T919" s="51"/>
      <c r="U919" s="7"/>
      <c r="V919" s="57"/>
      <c r="W919" s="57"/>
      <c r="X919" s="57"/>
    </row>
    <row r="920" spans="1:24" ht="12.5" x14ac:dyDescent="0.25">
      <c r="A920" s="34"/>
      <c r="B920" s="7"/>
      <c r="C920" s="19"/>
      <c r="D920" s="7"/>
      <c r="E920" s="7"/>
      <c r="F920" s="7"/>
      <c r="G920" s="7"/>
      <c r="H920" s="6"/>
      <c r="I920" s="7"/>
      <c r="J920" s="7"/>
      <c r="K920" s="7"/>
      <c r="L920" s="7"/>
      <c r="M920" s="52"/>
      <c r="N920" s="7"/>
      <c r="O920" s="7"/>
      <c r="P920" s="47"/>
      <c r="Q920" s="47"/>
      <c r="R920" s="7"/>
      <c r="S920" s="51"/>
      <c r="T920" s="51"/>
      <c r="U920" s="7"/>
      <c r="V920" s="57"/>
      <c r="W920" s="57"/>
      <c r="X920" s="57"/>
    </row>
    <row r="921" spans="1:24" ht="12.5" x14ac:dyDescent="0.25">
      <c r="A921" s="34"/>
      <c r="B921" s="7"/>
      <c r="C921" s="19"/>
      <c r="D921" s="7"/>
      <c r="E921" s="7"/>
      <c r="F921" s="7"/>
      <c r="G921" s="7"/>
      <c r="H921" s="6"/>
      <c r="I921" s="7"/>
      <c r="J921" s="7"/>
      <c r="K921" s="7"/>
      <c r="L921" s="7"/>
      <c r="M921" s="52"/>
      <c r="N921" s="7"/>
      <c r="O921" s="7"/>
      <c r="P921" s="47"/>
      <c r="Q921" s="47"/>
      <c r="R921" s="7"/>
      <c r="S921" s="51"/>
      <c r="T921" s="51"/>
      <c r="U921" s="7"/>
      <c r="V921" s="57"/>
      <c r="W921" s="57"/>
      <c r="X921" s="57"/>
    </row>
    <row r="922" spans="1:24" ht="12.5" x14ac:dyDescent="0.25">
      <c r="A922" s="34"/>
      <c r="B922" s="7"/>
      <c r="C922" s="19"/>
      <c r="D922" s="7"/>
      <c r="E922" s="7"/>
      <c r="F922" s="7"/>
      <c r="G922" s="7"/>
      <c r="H922" s="6"/>
      <c r="I922" s="7"/>
      <c r="J922" s="7"/>
      <c r="K922" s="7"/>
      <c r="L922" s="7"/>
      <c r="M922" s="52"/>
      <c r="N922" s="7"/>
      <c r="O922" s="7"/>
      <c r="P922" s="47"/>
      <c r="Q922" s="47"/>
      <c r="R922" s="7"/>
      <c r="S922" s="51"/>
      <c r="T922" s="51"/>
      <c r="U922" s="7"/>
      <c r="V922" s="57"/>
      <c r="W922" s="57"/>
      <c r="X922" s="57"/>
    </row>
    <row r="923" spans="1:24" ht="12.5" x14ac:dyDescent="0.25">
      <c r="A923" s="34"/>
      <c r="B923" s="7"/>
      <c r="C923" s="19"/>
      <c r="D923" s="7"/>
      <c r="E923" s="7"/>
      <c r="F923" s="7"/>
      <c r="G923" s="7"/>
      <c r="H923" s="6"/>
      <c r="I923" s="7"/>
      <c r="J923" s="7"/>
      <c r="K923" s="7"/>
      <c r="L923" s="7"/>
      <c r="M923" s="52"/>
      <c r="N923" s="7"/>
      <c r="O923" s="7"/>
      <c r="P923" s="47"/>
      <c r="Q923" s="47"/>
      <c r="R923" s="7"/>
      <c r="S923" s="51"/>
      <c r="T923" s="51"/>
      <c r="U923" s="7"/>
      <c r="V923" s="57"/>
      <c r="W923" s="57"/>
      <c r="X923" s="57"/>
    </row>
    <row r="924" spans="1:24" ht="12.5" x14ac:dyDescent="0.25">
      <c r="A924" s="34"/>
      <c r="B924" s="7"/>
      <c r="C924" s="19"/>
      <c r="D924" s="7"/>
      <c r="E924" s="7"/>
      <c r="F924" s="7"/>
      <c r="G924" s="7"/>
      <c r="H924" s="6"/>
      <c r="I924" s="7"/>
      <c r="J924" s="7"/>
      <c r="K924" s="7"/>
      <c r="L924" s="7"/>
      <c r="M924" s="52"/>
      <c r="N924" s="7"/>
      <c r="O924" s="7"/>
      <c r="P924" s="47"/>
      <c r="Q924" s="47"/>
      <c r="R924" s="7"/>
      <c r="S924" s="51"/>
      <c r="T924" s="51"/>
      <c r="U924" s="7"/>
      <c r="V924" s="57"/>
      <c r="W924" s="57"/>
      <c r="X924" s="57"/>
    </row>
    <row r="925" spans="1:24" ht="12.5" x14ac:dyDescent="0.25">
      <c r="A925" s="34"/>
      <c r="B925" s="7"/>
      <c r="C925" s="19"/>
      <c r="D925" s="7"/>
      <c r="E925" s="7"/>
      <c r="F925" s="7"/>
      <c r="G925" s="7"/>
      <c r="H925" s="6"/>
      <c r="I925" s="7"/>
      <c r="J925" s="7"/>
      <c r="K925" s="7"/>
      <c r="L925" s="7"/>
      <c r="M925" s="52"/>
      <c r="N925" s="7"/>
      <c r="O925" s="7"/>
      <c r="P925" s="47"/>
      <c r="Q925" s="47"/>
      <c r="R925" s="7"/>
      <c r="S925" s="51"/>
      <c r="T925" s="51"/>
      <c r="U925" s="7"/>
      <c r="V925" s="57"/>
      <c r="W925" s="57"/>
      <c r="X925" s="57"/>
    </row>
    <row r="926" spans="1:24" ht="12.5" x14ac:dyDescent="0.25">
      <c r="A926" s="34"/>
      <c r="B926" s="7"/>
      <c r="C926" s="19"/>
      <c r="D926" s="7"/>
      <c r="E926" s="7"/>
      <c r="F926" s="7"/>
      <c r="G926" s="7"/>
      <c r="H926" s="6"/>
      <c r="I926" s="7"/>
      <c r="J926" s="7"/>
      <c r="K926" s="7"/>
      <c r="L926" s="7"/>
      <c r="M926" s="52"/>
      <c r="N926" s="7"/>
      <c r="O926" s="7"/>
      <c r="P926" s="47"/>
      <c r="Q926" s="47"/>
      <c r="R926" s="7"/>
      <c r="S926" s="51"/>
      <c r="T926" s="51"/>
      <c r="U926" s="7"/>
      <c r="V926" s="57"/>
      <c r="W926" s="57"/>
      <c r="X926" s="57"/>
    </row>
    <row r="927" spans="1:24" ht="12.5" x14ac:dyDescent="0.25">
      <c r="A927" s="34"/>
      <c r="B927" s="7"/>
      <c r="C927" s="19"/>
      <c r="D927" s="7"/>
      <c r="E927" s="7"/>
      <c r="F927" s="7"/>
      <c r="G927" s="7"/>
      <c r="H927" s="6"/>
      <c r="I927" s="7"/>
      <c r="J927" s="7"/>
      <c r="K927" s="7"/>
      <c r="L927" s="7"/>
      <c r="M927" s="52"/>
      <c r="N927" s="7"/>
      <c r="O927" s="7"/>
      <c r="P927" s="47"/>
      <c r="Q927" s="47"/>
      <c r="R927" s="7"/>
      <c r="S927" s="51"/>
      <c r="T927" s="51"/>
      <c r="U927" s="7"/>
      <c r="V927" s="57"/>
      <c r="W927" s="57"/>
      <c r="X927" s="57"/>
    </row>
    <row r="928" spans="1:24" ht="12.5" x14ac:dyDescent="0.25">
      <c r="A928" s="34"/>
      <c r="B928" s="7"/>
      <c r="C928" s="19"/>
      <c r="D928" s="7"/>
      <c r="E928" s="7"/>
      <c r="F928" s="7"/>
      <c r="G928" s="7"/>
      <c r="H928" s="6"/>
      <c r="I928" s="7"/>
      <c r="J928" s="7"/>
      <c r="K928" s="7"/>
      <c r="L928" s="7"/>
      <c r="M928" s="52"/>
      <c r="N928" s="7"/>
      <c r="O928" s="7"/>
      <c r="P928" s="47"/>
      <c r="Q928" s="47"/>
      <c r="R928" s="7"/>
      <c r="S928" s="51"/>
      <c r="T928" s="51"/>
      <c r="U928" s="7"/>
      <c r="V928" s="57"/>
      <c r="W928" s="57"/>
      <c r="X928" s="57"/>
    </row>
    <row r="929" spans="1:24" ht="12.5" x14ac:dyDescent="0.25">
      <c r="A929" s="34"/>
      <c r="B929" s="7"/>
      <c r="C929" s="19"/>
      <c r="D929" s="7"/>
      <c r="E929" s="7"/>
      <c r="F929" s="7"/>
      <c r="G929" s="7"/>
      <c r="H929" s="6"/>
      <c r="I929" s="7"/>
      <c r="J929" s="7"/>
      <c r="K929" s="7"/>
      <c r="L929" s="7"/>
      <c r="M929" s="52"/>
      <c r="N929" s="7"/>
      <c r="O929" s="7"/>
      <c r="P929" s="47"/>
      <c r="Q929" s="47"/>
      <c r="R929" s="7"/>
      <c r="S929" s="51"/>
      <c r="T929" s="51"/>
      <c r="U929" s="7"/>
      <c r="V929" s="57"/>
      <c r="W929" s="57"/>
      <c r="X929" s="57"/>
    </row>
    <row r="930" spans="1:24" ht="12.5" x14ac:dyDescent="0.25">
      <c r="A930" s="34"/>
      <c r="B930" s="7"/>
      <c r="C930" s="19"/>
      <c r="D930" s="7"/>
      <c r="E930" s="7"/>
      <c r="F930" s="7"/>
      <c r="G930" s="7"/>
      <c r="H930" s="6"/>
      <c r="I930" s="7"/>
      <c r="J930" s="7"/>
      <c r="K930" s="7"/>
      <c r="L930" s="7"/>
      <c r="M930" s="52"/>
      <c r="N930" s="7"/>
      <c r="O930" s="7"/>
      <c r="P930" s="47"/>
      <c r="Q930" s="47"/>
      <c r="R930" s="7"/>
      <c r="S930" s="51"/>
      <c r="T930" s="51"/>
      <c r="U930" s="7"/>
      <c r="V930" s="57"/>
      <c r="W930" s="57"/>
      <c r="X930" s="57"/>
    </row>
    <row r="931" spans="1:24" ht="12.5" x14ac:dyDescent="0.25">
      <c r="A931" s="34"/>
      <c r="B931" s="7"/>
      <c r="C931" s="19"/>
      <c r="D931" s="7"/>
      <c r="E931" s="7"/>
      <c r="F931" s="7"/>
      <c r="G931" s="7"/>
      <c r="H931" s="6"/>
      <c r="I931" s="7"/>
      <c r="J931" s="7"/>
      <c r="K931" s="7"/>
      <c r="L931" s="7"/>
      <c r="M931" s="52"/>
      <c r="N931" s="7"/>
      <c r="O931" s="7"/>
      <c r="P931" s="47"/>
      <c r="Q931" s="47"/>
      <c r="R931" s="7"/>
      <c r="S931" s="51"/>
      <c r="T931" s="51"/>
      <c r="U931" s="7"/>
      <c r="V931" s="57"/>
      <c r="W931" s="57"/>
      <c r="X931" s="57"/>
    </row>
    <row r="932" spans="1:24" ht="12.5" x14ac:dyDescent="0.25">
      <c r="A932" s="34"/>
      <c r="B932" s="7"/>
      <c r="C932" s="19"/>
      <c r="D932" s="7"/>
      <c r="E932" s="7"/>
      <c r="F932" s="7"/>
      <c r="G932" s="7"/>
      <c r="H932" s="6"/>
      <c r="I932" s="7"/>
      <c r="J932" s="7"/>
      <c r="K932" s="7"/>
      <c r="L932" s="7"/>
      <c r="M932" s="52"/>
      <c r="N932" s="7"/>
      <c r="O932" s="7"/>
      <c r="P932" s="47"/>
      <c r="Q932" s="47"/>
      <c r="R932" s="7"/>
      <c r="S932" s="51"/>
      <c r="T932" s="51"/>
      <c r="U932" s="7"/>
      <c r="V932" s="57"/>
      <c r="W932" s="57"/>
      <c r="X932" s="57"/>
    </row>
    <row r="933" spans="1:24" ht="12.5" x14ac:dyDescent="0.25">
      <c r="A933" s="34"/>
      <c r="B933" s="7"/>
      <c r="C933" s="19"/>
      <c r="D933" s="7"/>
      <c r="E933" s="7"/>
      <c r="F933" s="7"/>
      <c r="G933" s="7"/>
      <c r="H933" s="6"/>
      <c r="I933" s="7"/>
      <c r="J933" s="7"/>
      <c r="K933" s="7"/>
      <c r="L933" s="7"/>
      <c r="M933" s="52"/>
      <c r="N933" s="7"/>
      <c r="O933" s="7"/>
      <c r="P933" s="47"/>
      <c r="Q933" s="47"/>
      <c r="R933" s="7"/>
      <c r="S933" s="51"/>
      <c r="T933" s="51"/>
      <c r="U933" s="7"/>
      <c r="V933" s="57"/>
      <c r="W933" s="57"/>
      <c r="X933" s="57"/>
    </row>
    <row r="934" spans="1:24" ht="12.5" x14ac:dyDescent="0.25">
      <c r="A934" s="34"/>
      <c r="B934" s="7"/>
      <c r="C934" s="19"/>
      <c r="D934" s="7"/>
      <c r="E934" s="7"/>
      <c r="F934" s="7"/>
      <c r="G934" s="7"/>
      <c r="H934" s="6"/>
      <c r="I934" s="7"/>
      <c r="J934" s="7"/>
      <c r="K934" s="7"/>
      <c r="L934" s="7"/>
      <c r="M934" s="52"/>
      <c r="N934" s="7"/>
      <c r="O934" s="7"/>
      <c r="P934" s="47"/>
      <c r="Q934" s="47"/>
      <c r="R934" s="7"/>
      <c r="S934" s="51"/>
      <c r="T934" s="51"/>
      <c r="U934" s="7"/>
      <c r="V934" s="57"/>
      <c r="W934" s="57"/>
      <c r="X934" s="57"/>
    </row>
    <row r="935" spans="1:24" ht="12.5" x14ac:dyDescent="0.25">
      <c r="A935" s="34"/>
      <c r="B935" s="7"/>
      <c r="C935" s="19"/>
      <c r="D935" s="7"/>
      <c r="E935" s="7"/>
      <c r="F935" s="7"/>
      <c r="G935" s="7"/>
      <c r="H935" s="6"/>
      <c r="I935" s="7"/>
      <c r="J935" s="7"/>
      <c r="K935" s="7"/>
      <c r="L935" s="7"/>
      <c r="M935" s="52"/>
      <c r="N935" s="7"/>
      <c r="O935" s="7"/>
      <c r="P935" s="47"/>
      <c r="Q935" s="47"/>
      <c r="R935" s="7"/>
      <c r="S935" s="51"/>
      <c r="T935" s="51"/>
      <c r="U935" s="7"/>
      <c r="V935" s="57"/>
      <c r="W935" s="57"/>
      <c r="X935" s="57"/>
    </row>
    <row r="936" spans="1:24" ht="12.5" x14ac:dyDescent="0.25">
      <c r="A936" s="34"/>
      <c r="B936" s="7"/>
      <c r="C936" s="19"/>
      <c r="D936" s="7"/>
      <c r="E936" s="7"/>
      <c r="F936" s="7"/>
      <c r="G936" s="7"/>
      <c r="H936" s="6"/>
      <c r="I936" s="7"/>
      <c r="J936" s="7"/>
      <c r="K936" s="7"/>
      <c r="L936" s="7"/>
      <c r="M936" s="52"/>
      <c r="N936" s="7"/>
      <c r="O936" s="7"/>
      <c r="P936" s="47"/>
      <c r="Q936" s="47"/>
      <c r="R936" s="7"/>
      <c r="S936" s="51"/>
      <c r="T936" s="51"/>
      <c r="U936" s="7"/>
      <c r="V936" s="57"/>
      <c r="W936" s="57"/>
      <c r="X936" s="57"/>
    </row>
    <row r="937" spans="1:24" ht="12.5" x14ac:dyDescent="0.25">
      <c r="A937" s="34"/>
      <c r="B937" s="7"/>
      <c r="C937" s="19"/>
      <c r="D937" s="7"/>
      <c r="E937" s="7"/>
      <c r="F937" s="7"/>
      <c r="G937" s="7"/>
      <c r="H937" s="6"/>
      <c r="I937" s="7"/>
      <c r="J937" s="7"/>
      <c r="K937" s="7"/>
      <c r="L937" s="7"/>
      <c r="M937" s="52"/>
      <c r="N937" s="7"/>
      <c r="O937" s="7"/>
      <c r="P937" s="47"/>
      <c r="Q937" s="47"/>
      <c r="R937" s="7"/>
      <c r="S937" s="51"/>
      <c r="T937" s="51"/>
      <c r="U937" s="7"/>
      <c r="V937" s="57"/>
      <c r="W937" s="57"/>
      <c r="X937" s="57"/>
    </row>
    <row r="938" spans="1:24" ht="12.5" x14ac:dyDescent="0.25">
      <c r="A938" s="34"/>
      <c r="B938" s="7"/>
      <c r="C938" s="19"/>
      <c r="D938" s="7"/>
      <c r="E938" s="7"/>
      <c r="F938" s="7"/>
      <c r="G938" s="7"/>
      <c r="H938" s="6"/>
      <c r="I938" s="7"/>
      <c r="J938" s="7"/>
      <c r="K938" s="7"/>
      <c r="L938" s="7"/>
      <c r="M938" s="52"/>
      <c r="N938" s="7"/>
      <c r="O938" s="7"/>
      <c r="P938" s="47"/>
      <c r="Q938" s="47"/>
      <c r="R938" s="7"/>
      <c r="S938" s="51"/>
      <c r="T938" s="51"/>
      <c r="U938" s="7"/>
      <c r="V938" s="57"/>
      <c r="W938" s="57"/>
      <c r="X938" s="57"/>
    </row>
    <row r="939" spans="1:24" ht="12.5" x14ac:dyDescent="0.25">
      <c r="A939" s="34"/>
      <c r="B939" s="7"/>
      <c r="C939" s="19"/>
      <c r="D939" s="7"/>
      <c r="E939" s="7"/>
      <c r="F939" s="7"/>
      <c r="G939" s="7"/>
      <c r="H939" s="6"/>
      <c r="I939" s="7"/>
      <c r="J939" s="7"/>
      <c r="K939" s="7"/>
      <c r="L939" s="7"/>
      <c r="M939" s="52"/>
      <c r="N939" s="7"/>
      <c r="O939" s="7"/>
      <c r="P939" s="47"/>
      <c r="Q939" s="47"/>
      <c r="R939" s="7"/>
      <c r="S939" s="51"/>
      <c r="T939" s="51"/>
      <c r="U939" s="7"/>
      <c r="V939" s="57"/>
      <c r="W939" s="57"/>
      <c r="X939" s="57"/>
    </row>
    <row r="940" spans="1:24" ht="12.5" x14ac:dyDescent="0.25">
      <c r="A940" s="34"/>
      <c r="B940" s="7"/>
      <c r="C940" s="19"/>
      <c r="D940" s="7"/>
      <c r="E940" s="7"/>
      <c r="F940" s="7"/>
      <c r="G940" s="7"/>
      <c r="H940" s="6"/>
      <c r="I940" s="7"/>
      <c r="J940" s="7"/>
      <c r="K940" s="7"/>
      <c r="L940" s="7"/>
      <c r="M940" s="52"/>
      <c r="N940" s="7"/>
      <c r="O940" s="7"/>
      <c r="P940" s="47"/>
      <c r="Q940" s="47"/>
      <c r="R940" s="7"/>
      <c r="S940" s="51"/>
      <c r="T940" s="51"/>
      <c r="U940" s="7"/>
      <c r="V940" s="57"/>
      <c r="W940" s="57"/>
      <c r="X940" s="57"/>
    </row>
    <row r="941" spans="1:24" ht="12.5" x14ac:dyDescent="0.25">
      <c r="A941" s="34"/>
      <c r="B941" s="7"/>
      <c r="C941" s="19"/>
      <c r="D941" s="7"/>
      <c r="E941" s="7"/>
      <c r="F941" s="7"/>
      <c r="G941" s="7"/>
      <c r="H941" s="6"/>
      <c r="I941" s="7"/>
      <c r="J941" s="7"/>
      <c r="K941" s="7"/>
      <c r="L941" s="7"/>
      <c r="M941" s="52"/>
      <c r="N941" s="7"/>
      <c r="O941" s="7"/>
      <c r="P941" s="47"/>
      <c r="Q941" s="47"/>
      <c r="R941" s="7"/>
      <c r="S941" s="51"/>
      <c r="T941" s="51"/>
      <c r="U941" s="7"/>
      <c r="V941" s="57"/>
      <c r="W941" s="57"/>
      <c r="X941" s="57"/>
    </row>
    <row r="942" spans="1:24" ht="12.5" x14ac:dyDescent="0.25">
      <c r="A942" s="34"/>
      <c r="B942" s="7"/>
      <c r="C942" s="19"/>
      <c r="D942" s="7"/>
      <c r="E942" s="7"/>
      <c r="F942" s="7"/>
      <c r="G942" s="7"/>
      <c r="H942" s="6"/>
      <c r="I942" s="7"/>
      <c r="J942" s="7"/>
      <c r="K942" s="7"/>
      <c r="L942" s="7"/>
      <c r="M942" s="52"/>
      <c r="N942" s="7"/>
      <c r="O942" s="7"/>
      <c r="P942" s="47"/>
      <c r="Q942" s="47"/>
      <c r="R942" s="7"/>
      <c r="S942" s="51"/>
      <c r="T942" s="51"/>
      <c r="U942" s="7"/>
      <c r="V942" s="57"/>
      <c r="W942" s="57"/>
      <c r="X942" s="57"/>
    </row>
    <row r="943" spans="1:24" ht="12.5" x14ac:dyDescent="0.25">
      <c r="A943" s="34"/>
      <c r="B943" s="7"/>
      <c r="C943" s="19"/>
      <c r="D943" s="7"/>
      <c r="E943" s="7"/>
      <c r="F943" s="7"/>
      <c r="G943" s="7"/>
      <c r="H943" s="6"/>
      <c r="I943" s="7"/>
      <c r="J943" s="7"/>
      <c r="K943" s="7"/>
      <c r="L943" s="7"/>
      <c r="M943" s="52"/>
      <c r="N943" s="7"/>
      <c r="O943" s="7"/>
      <c r="P943" s="47"/>
      <c r="Q943" s="47"/>
      <c r="R943" s="7"/>
      <c r="S943" s="51"/>
      <c r="T943" s="51"/>
      <c r="U943" s="7"/>
      <c r="V943" s="57"/>
      <c r="W943" s="57"/>
      <c r="X943" s="57"/>
    </row>
    <row r="944" spans="1:24" ht="12.5" x14ac:dyDescent="0.25">
      <c r="A944" s="34"/>
      <c r="B944" s="7"/>
      <c r="C944" s="19"/>
      <c r="D944" s="7"/>
      <c r="E944" s="7"/>
      <c r="F944" s="7"/>
      <c r="G944" s="7"/>
      <c r="H944" s="6"/>
      <c r="I944" s="7"/>
      <c r="J944" s="7"/>
      <c r="K944" s="7"/>
      <c r="L944" s="7"/>
      <c r="M944" s="52"/>
      <c r="N944" s="7"/>
      <c r="O944" s="7"/>
      <c r="P944" s="47"/>
      <c r="Q944" s="47"/>
      <c r="R944" s="7"/>
      <c r="S944" s="51"/>
      <c r="T944" s="51"/>
      <c r="U944" s="7"/>
      <c r="V944" s="57"/>
      <c r="W944" s="57"/>
      <c r="X944" s="57"/>
    </row>
    <row r="945" spans="1:24" ht="12.5" x14ac:dyDescent="0.25">
      <c r="A945" s="34"/>
      <c r="B945" s="7"/>
      <c r="C945" s="19"/>
      <c r="D945" s="7"/>
      <c r="E945" s="7"/>
      <c r="F945" s="7"/>
      <c r="G945" s="7"/>
      <c r="H945" s="6"/>
      <c r="I945" s="7"/>
      <c r="J945" s="7"/>
      <c r="K945" s="7"/>
      <c r="L945" s="7"/>
      <c r="M945" s="52"/>
      <c r="N945" s="7"/>
      <c r="O945" s="7"/>
      <c r="P945" s="47"/>
      <c r="Q945" s="47"/>
      <c r="R945" s="7"/>
      <c r="S945" s="51"/>
      <c r="T945" s="51"/>
      <c r="U945" s="7"/>
      <c r="V945" s="57"/>
      <c r="W945" s="57"/>
      <c r="X945" s="57"/>
    </row>
    <row r="946" spans="1:24" ht="12.5" x14ac:dyDescent="0.25">
      <c r="A946" s="34"/>
      <c r="B946" s="7"/>
      <c r="C946" s="19"/>
      <c r="D946" s="7"/>
      <c r="E946" s="7"/>
      <c r="F946" s="7"/>
      <c r="G946" s="7"/>
      <c r="H946" s="6"/>
      <c r="I946" s="7"/>
      <c r="J946" s="7"/>
      <c r="K946" s="7"/>
      <c r="L946" s="7"/>
      <c r="M946" s="52"/>
      <c r="N946" s="7"/>
      <c r="O946" s="7"/>
      <c r="P946" s="47"/>
      <c r="Q946" s="47"/>
      <c r="R946" s="7"/>
      <c r="S946" s="51"/>
      <c r="T946" s="51"/>
      <c r="U946" s="7"/>
      <c r="V946" s="57"/>
      <c r="W946" s="57"/>
      <c r="X946" s="57"/>
    </row>
    <row r="947" spans="1:24" ht="12.5" x14ac:dyDescent="0.25">
      <c r="A947" s="34"/>
      <c r="B947" s="7"/>
      <c r="C947" s="19"/>
      <c r="D947" s="7"/>
      <c r="E947" s="7"/>
      <c r="F947" s="7"/>
      <c r="G947" s="7"/>
      <c r="H947" s="6"/>
      <c r="I947" s="7"/>
      <c r="J947" s="7"/>
      <c r="K947" s="7"/>
      <c r="L947" s="7"/>
      <c r="M947" s="52"/>
      <c r="N947" s="7"/>
      <c r="O947" s="7"/>
      <c r="P947" s="47"/>
      <c r="Q947" s="47"/>
      <c r="R947" s="7"/>
      <c r="S947" s="51"/>
      <c r="T947" s="51"/>
      <c r="U947" s="7"/>
      <c r="V947" s="57"/>
      <c r="W947" s="57"/>
      <c r="X947" s="57"/>
    </row>
    <row r="948" spans="1:24" ht="12.5" x14ac:dyDescent="0.25">
      <c r="A948" s="34"/>
      <c r="B948" s="7"/>
      <c r="C948" s="19"/>
      <c r="D948" s="7"/>
      <c r="E948" s="7"/>
      <c r="F948" s="7"/>
      <c r="G948" s="7"/>
      <c r="H948" s="6"/>
      <c r="I948" s="7"/>
      <c r="J948" s="7"/>
      <c r="K948" s="7"/>
      <c r="L948" s="7"/>
      <c r="M948" s="52"/>
      <c r="N948" s="7"/>
      <c r="O948" s="7"/>
      <c r="P948" s="47"/>
      <c r="Q948" s="47"/>
      <c r="R948" s="7"/>
      <c r="S948" s="51"/>
      <c r="T948" s="51"/>
      <c r="U948" s="7"/>
      <c r="V948" s="57"/>
      <c r="W948" s="57"/>
      <c r="X948" s="57"/>
    </row>
    <row r="949" spans="1:24" ht="12.5" x14ac:dyDescent="0.25">
      <c r="A949" s="34"/>
      <c r="B949" s="7"/>
      <c r="C949" s="19"/>
      <c r="D949" s="7"/>
      <c r="E949" s="7"/>
      <c r="F949" s="7"/>
      <c r="G949" s="7"/>
      <c r="H949" s="6"/>
      <c r="I949" s="7"/>
      <c r="J949" s="7"/>
      <c r="K949" s="7"/>
      <c r="L949" s="7"/>
      <c r="M949" s="52"/>
      <c r="N949" s="7"/>
      <c r="O949" s="7"/>
      <c r="P949" s="47"/>
      <c r="Q949" s="47"/>
      <c r="R949" s="7"/>
      <c r="S949" s="51"/>
      <c r="T949" s="51"/>
      <c r="U949" s="7"/>
      <c r="V949" s="57"/>
      <c r="W949" s="57"/>
      <c r="X949" s="57"/>
    </row>
    <row r="950" spans="1:24" ht="12.5" x14ac:dyDescent="0.25">
      <c r="A950" s="34"/>
      <c r="B950" s="7"/>
      <c r="C950" s="19"/>
      <c r="D950" s="7"/>
      <c r="E950" s="7"/>
      <c r="F950" s="7"/>
      <c r="G950" s="7"/>
      <c r="H950" s="6"/>
      <c r="I950" s="7"/>
      <c r="J950" s="7"/>
      <c r="K950" s="7"/>
      <c r="L950" s="7"/>
      <c r="M950" s="52"/>
      <c r="N950" s="7"/>
      <c r="O950" s="7"/>
      <c r="P950" s="47"/>
      <c r="Q950" s="47"/>
      <c r="R950" s="7"/>
      <c r="S950" s="51"/>
      <c r="T950" s="51"/>
      <c r="U950" s="7"/>
      <c r="V950" s="57"/>
      <c r="W950" s="57"/>
      <c r="X950" s="57"/>
    </row>
    <row r="951" spans="1:24" ht="12.5" x14ac:dyDescent="0.25">
      <c r="A951" s="34"/>
      <c r="B951" s="7"/>
      <c r="C951" s="19"/>
      <c r="D951" s="7"/>
      <c r="E951" s="7"/>
      <c r="F951" s="7"/>
      <c r="G951" s="7"/>
      <c r="H951" s="6"/>
      <c r="I951" s="7"/>
      <c r="J951" s="7"/>
      <c r="K951" s="7"/>
      <c r="L951" s="7"/>
      <c r="M951" s="52"/>
      <c r="N951" s="7"/>
      <c r="O951" s="7"/>
      <c r="P951" s="47"/>
      <c r="Q951" s="47"/>
      <c r="R951" s="7"/>
      <c r="S951" s="51"/>
      <c r="T951" s="51"/>
      <c r="U951" s="7"/>
      <c r="V951" s="57"/>
      <c r="W951" s="57"/>
      <c r="X951" s="57"/>
    </row>
    <row r="952" spans="1:24" ht="12.5" x14ac:dyDescent="0.25">
      <c r="A952" s="34"/>
      <c r="B952" s="7"/>
      <c r="C952" s="19"/>
      <c r="D952" s="7"/>
      <c r="E952" s="7"/>
      <c r="F952" s="7"/>
      <c r="G952" s="7"/>
      <c r="H952" s="6"/>
      <c r="I952" s="7"/>
      <c r="J952" s="7"/>
      <c r="K952" s="7"/>
      <c r="L952" s="7"/>
      <c r="M952" s="52"/>
      <c r="N952" s="7"/>
      <c r="O952" s="7"/>
      <c r="P952" s="47"/>
      <c r="Q952" s="47"/>
      <c r="R952" s="7"/>
      <c r="S952" s="51"/>
      <c r="T952" s="51"/>
      <c r="U952" s="7"/>
      <c r="V952" s="57"/>
      <c r="W952" s="57"/>
      <c r="X952" s="57"/>
    </row>
    <row r="953" spans="1:24" ht="12.5" x14ac:dyDescent="0.25">
      <c r="A953" s="34"/>
      <c r="B953" s="7"/>
      <c r="C953" s="19"/>
      <c r="D953" s="7"/>
      <c r="E953" s="7"/>
      <c r="F953" s="7"/>
      <c r="G953" s="7"/>
      <c r="H953" s="6"/>
      <c r="I953" s="7"/>
      <c r="J953" s="7"/>
      <c r="K953" s="7"/>
      <c r="L953" s="7"/>
      <c r="M953" s="52"/>
      <c r="N953" s="7"/>
      <c r="O953" s="7"/>
      <c r="P953" s="47"/>
      <c r="Q953" s="47"/>
      <c r="R953" s="7"/>
      <c r="S953" s="51"/>
      <c r="T953" s="51"/>
      <c r="U953" s="7"/>
      <c r="V953" s="57"/>
      <c r="W953" s="57"/>
      <c r="X953" s="57"/>
    </row>
    <row r="954" spans="1:24" ht="12.5" x14ac:dyDescent="0.25">
      <c r="A954" s="34"/>
      <c r="B954" s="7"/>
      <c r="C954" s="19"/>
      <c r="D954" s="7"/>
      <c r="E954" s="7"/>
      <c r="F954" s="7"/>
      <c r="G954" s="7"/>
      <c r="H954" s="6"/>
      <c r="I954" s="7"/>
      <c r="J954" s="7"/>
      <c r="K954" s="7"/>
      <c r="L954" s="7"/>
      <c r="M954" s="52"/>
      <c r="N954" s="7"/>
      <c r="O954" s="7"/>
      <c r="P954" s="47"/>
      <c r="Q954" s="47"/>
      <c r="R954" s="7"/>
      <c r="S954" s="51"/>
      <c r="T954" s="51"/>
      <c r="U954" s="7"/>
      <c r="V954" s="57"/>
      <c r="W954" s="57"/>
      <c r="X954" s="57"/>
    </row>
    <row r="955" spans="1:24" ht="12.5" x14ac:dyDescent="0.25">
      <c r="A955" s="34"/>
      <c r="B955" s="7"/>
      <c r="C955" s="19"/>
      <c r="D955" s="7"/>
      <c r="E955" s="7"/>
      <c r="F955" s="7"/>
      <c r="G955" s="7"/>
      <c r="H955" s="6"/>
      <c r="I955" s="7"/>
      <c r="J955" s="7"/>
      <c r="K955" s="7"/>
      <c r="L955" s="7"/>
      <c r="M955" s="52"/>
      <c r="N955" s="7"/>
      <c r="O955" s="7"/>
      <c r="P955" s="47"/>
      <c r="Q955" s="47"/>
      <c r="R955" s="7"/>
      <c r="S955" s="51"/>
      <c r="T955" s="51"/>
      <c r="U955" s="7"/>
      <c r="V955" s="57"/>
      <c r="W955" s="57"/>
      <c r="X955" s="57"/>
    </row>
    <row r="956" spans="1:24" ht="12.5" x14ac:dyDescent="0.25">
      <c r="A956" s="34"/>
      <c r="B956" s="7"/>
      <c r="C956" s="19"/>
      <c r="D956" s="7"/>
      <c r="E956" s="7"/>
      <c r="F956" s="7"/>
      <c r="G956" s="7"/>
      <c r="H956" s="6"/>
      <c r="I956" s="7"/>
      <c r="J956" s="7"/>
      <c r="K956" s="7"/>
      <c r="L956" s="7"/>
      <c r="M956" s="52"/>
      <c r="N956" s="7"/>
      <c r="O956" s="7"/>
      <c r="P956" s="47"/>
      <c r="Q956" s="47"/>
      <c r="R956" s="7"/>
      <c r="S956" s="51"/>
      <c r="T956" s="51"/>
      <c r="U956" s="7"/>
      <c r="V956" s="57"/>
      <c r="W956" s="57"/>
      <c r="X956" s="57"/>
    </row>
    <row r="957" spans="1:24" ht="12.5" x14ac:dyDescent="0.25">
      <c r="A957" s="34"/>
      <c r="B957" s="7"/>
      <c r="C957" s="19"/>
      <c r="D957" s="7"/>
      <c r="E957" s="7"/>
      <c r="F957" s="7"/>
      <c r="G957" s="7"/>
      <c r="H957" s="6"/>
      <c r="I957" s="7"/>
      <c r="J957" s="7"/>
      <c r="K957" s="7"/>
      <c r="L957" s="7"/>
      <c r="M957" s="52"/>
      <c r="N957" s="7"/>
      <c r="O957" s="7"/>
      <c r="P957" s="47"/>
      <c r="Q957" s="47"/>
      <c r="R957" s="7"/>
      <c r="S957" s="51"/>
      <c r="T957" s="51"/>
      <c r="U957" s="7"/>
      <c r="V957" s="57"/>
      <c r="W957" s="57"/>
      <c r="X957" s="57"/>
    </row>
    <row r="958" spans="1:24" ht="12.5" x14ac:dyDescent="0.25">
      <c r="A958" s="34"/>
      <c r="B958" s="7"/>
      <c r="C958" s="19"/>
      <c r="D958" s="7"/>
      <c r="E958" s="7"/>
      <c r="F958" s="7"/>
      <c r="G958" s="7"/>
      <c r="H958" s="6"/>
      <c r="I958" s="7"/>
      <c r="J958" s="7"/>
      <c r="K958" s="7"/>
      <c r="L958" s="7"/>
      <c r="M958" s="52"/>
      <c r="N958" s="7"/>
      <c r="O958" s="7"/>
      <c r="P958" s="47"/>
      <c r="Q958" s="47"/>
      <c r="R958" s="7"/>
      <c r="S958" s="51"/>
      <c r="T958" s="51"/>
      <c r="U958" s="7"/>
      <c r="V958" s="57"/>
      <c r="W958" s="57"/>
      <c r="X958" s="57"/>
    </row>
    <row r="959" spans="1:24" ht="12.5" x14ac:dyDescent="0.25">
      <c r="A959" s="34"/>
      <c r="B959" s="7"/>
      <c r="C959" s="19"/>
      <c r="D959" s="7"/>
      <c r="E959" s="7"/>
      <c r="F959" s="7"/>
      <c r="G959" s="7"/>
      <c r="H959" s="6"/>
      <c r="I959" s="7"/>
      <c r="J959" s="7"/>
      <c r="K959" s="7"/>
      <c r="L959" s="7"/>
      <c r="M959" s="52"/>
      <c r="N959" s="7"/>
      <c r="O959" s="7"/>
      <c r="P959" s="47"/>
      <c r="Q959" s="47"/>
      <c r="R959" s="7"/>
      <c r="S959" s="51"/>
      <c r="T959" s="51"/>
      <c r="U959" s="7"/>
      <c r="V959" s="57"/>
      <c r="W959" s="57"/>
      <c r="X959" s="57"/>
    </row>
    <row r="960" spans="1:24" ht="12.5" x14ac:dyDescent="0.25">
      <c r="A960" s="34"/>
      <c r="B960" s="7"/>
      <c r="C960" s="19"/>
      <c r="D960" s="7"/>
      <c r="E960" s="7"/>
      <c r="F960" s="7"/>
      <c r="G960" s="7"/>
      <c r="H960" s="6"/>
      <c r="I960" s="7"/>
      <c r="J960" s="7"/>
      <c r="K960" s="7"/>
      <c r="L960" s="7"/>
      <c r="M960" s="52"/>
      <c r="N960" s="7"/>
      <c r="O960" s="7"/>
      <c r="P960" s="47"/>
      <c r="Q960" s="47"/>
      <c r="R960" s="7"/>
      <c r="S960" s="51"/>
      <c r="T960" s="51"/>
      <c r="U960" s="7"/>
      <c r="V960" s="57"/>
      <c r="W960" s="57"/>
      <c r="X960" s="57"/>
    </row>
    <row r="961" spans="1:24" ht="12.5" x14ac:dyDescent="0.25">
      <c r="A961" s="34"/>
      <c r="B961" s="7"/>
      <c r="C961" s="19"/>
      <c r="D961" s="7"/>
      <c r="E961" s="7"/>
      <c r="F961" s="7"/>
      <c r="G961" s="7"/>
      <c r="H961" s="6"/>
      <c r="I961" s="7"/>
      <c r="J961" s="7"/>
      <c r="K961" s="7"/>
      <c r="L961" s="7"/>
      <c r="M961" s="52"/>
      <c r="N961" s="7"/>
      <c r="O961" s="7"/>
      <c r="P961" s="47"/>
      <c r="Q961" s="47"/>
      <c r="R961" s="7"/>
      <c r="S961" s="51"/>
      <c r="T961" s="51"/>
      <c r="U961" s="7"/>
      <c r="V961" s="57"/>
      <c r="W961" s="57"/>
      <c r="X961" s="57"/>
    </row>
    <row r="962" spans="1:24" ht="12.5" x14ac:dyDescent="0.25">
      <c r="A962" s="34"/>
      <c r="B962" s="7"/>
      <c r="C962" s="19"/>
      <c r="D962" s="7"/>
      <c r="E962" s="7"/>
      <c r="F962" s="7"/>
      <c r="G962" s="7"/>
      <c r="H962" s="6"/>
      <c r="I962" s="7"/>
      <c r="J962" s="7"/>
      <c r="K962" s="7"/>
      <c r="L962" s="7"/>
      <c r="M962" s="52"/>
      <c r="N962" s="7"/>
      <c r="O962" s="7"/>
      <c r="P962" s="47"/>
      <c r="Q962" s="47"/>
      <c r="R962" s="7"/>
      <c r="S962" s="51"/>
      <c r="T962" s="51"/>
      <c r="U962" s="7"/>
      <c r="V962" s="57"/>
      <c r="W962" s="57"/>
      <c r="X962" s="57"/>
    </row>
    <row r="963" spans="1:24" ht="12.5" x14ac:dyDescent="0.25">
      <c r="A963" s="34"/>
      <c r="B963" s="7"/>
      <c r="C963" s="19"/>
      <c r="D963" s="7"/>
      <c r="E963" s="7"/>
      <c r="F963" s="7"/>
      <c r="G963" s="7"/>
      <c r="H963" s="6"/>
      <c r="I963" s="7"/>
      <c r="J963" s="7"/>
      <c r="K963" s="7"/>
      <c r="L963" s="7"/>
      <c r="M963" s="52"/>
      <c r="N963" s="7"/>
      <c r="O963" s="7"/>
      <c r="P963" s="47"/>
      <c r="Q963" s="47"/>
      <c r="R963" s="7"/>
      <c r="S963" s="51"/>
      <c r="T963" s="51"/>
      <c r="U963" s="7"/>
      <c r="V963" s="57"/>
      <c r="W963" s="57"/>
      <c r="X963" s="57"/>
    </row>
    <row r="964" spans="1:24" ht="12.5" x14ac:dyDescent="0.25">
      <c r="A964" s="34"/>
      <c r="B964" s="7"/>
      <c r="C964" s="19"/>
      <c r="D964" s="7"/>
      <c r="E964" s="7"/>
      <c r="F964" s="7"/>
      <c r="G964" s="7"/>
      <c r="H964" s="6"/>
      <c r="I964" s="7"/>
      <c r="J964" s="7"/>
      <c r="K964" s="7"/>
      <c r="L964" s="7"/>
      <c r="M964" s="52"/>
      <c r="N964" s="7"/>
      <c r="O964" s="7"/>
      <c r="P964" s="47"/>
      <c r="Q964" s="47"/>
      <c r="R964" s="7"/>
      <c r="S964" s="51"/>
      <c r="T964" s="51"/>
      <c r="U964" s="7"/>
      <c r="V964" s="57"/>
      <c r="W964" s="57"/>
      <c r="X964" s="57"/>
    </row>
    <row r="965" spans="1:24" ht="12.5" x14ac:dyDescent="0.25">
      <c r="A965" s="34"/>
      <c r="B965" s="7"/>
      <c r="C965" s="19"/>
      <c r="D965" s="7"/>
      <c r="E965" s="7"/>
      <c r="F965" s="7"/>
      <c r="G965" s="7"/>
      <c r="H965" s="6"/>
      <c r="I965" s="7"/>
      <c r="J965" s="7"/>
      <c r="K965" s="7"/>
      <c r="L965" s="7"/>
      <c r="M965" s="52"/>
      <c r="N965" s="7"/>
      <c r="O965" s="7"/>
      <c r="P965" s="47"/>
      <c r="Q965" s="47"/>
      <c r="R965" s="7"/>
      <c r="S965" s="51"/>
      <c r="T965" s="51"/>
      <c r="U965" s="7"/>
      <c r="V965" s="57"/>
      <c r="W965" s="57"/>
      <c r="X965" s="57"/>
    </row>
    <row r="966" spans="1:24" ht="12.5" x14ac:dyDescent="0.25">
      <c r="A966" s="34"/>
      <c r="B966" s="7"/>
      <c r="C966" s="19"/>
      <c r="D966" s="7"/>
      <c r="E966" s="7"/>
      <c r="F966" s="7"/>
      <c r="G966" s="7"/>
      <c r="H966" s="6"/>
      <c r="I966" s="7"/>
      <c r="J966" s="7"/>
      <c r="K966" s="7"/>
      <c r="L966" s="7"/>
      <c r="M966" s="52"/>
      <c r="N966" s="7"/>
      <c r="O966" s="7"/>
      <c r="P966" s="47"/>
      <c r="Q966" s="47"/>
      <c r="R966" s="7"/>
      <c r="S966" s="51"/>
      <c r="T966" s="51"/>
      <c r="U966" s="7"/>
      <c r="V966" s="57"/>
      <c r="W966" s="57"/>
      <c r="X966" s="57"/>
    </row>
    <row r="967" spans="1:24" ht="12.5" x14ac:dyDescent="0.25">
      <c r="A967" s="34"/>
      <c r="B967" s="7"/>
      <c r="C967" s="19"/>
      <c r="D967" s="7"/>
      <c r="E967" s="7"/>
      <c r="F967" s="7"/>
      <c r="G967" s="7"/>
      <c r="H967" s="6"/>
      <c r="I967" s="7"/>
      <c r="J967" s="7"/>
      <c r="K967" s="7"/>
      <c r="L967" s="7"/>
      <c r="M967" s="52"/>
      <c r="N967" s="7"/>
      <c r="O967" s="7"/>
      <c r="P967" s="47"/>
      <c r="Q967" s="47"/>
      <c r="R967" s="7"/>
      <c r="S967" s="51"/>
      <c r="T967" s="51"/>
      <c r="U967" s="7"/>
      <c r="V967" s="57"/>
      <c r="W967" s="57"/>
      <c r="X967" s="57"/>
    </row>
    <row r="968" spans="1:24" ht="12.5" x14ac:dyDescent="0.25">
      <c r="A968" s="34"/>
      <c r="B968" s="7"/>
      <c r="C968" s="19"/>
      <c r="D968" s="7"/>
      <c r="E968" s="7"/>
      <c r="F968" s="7"/>
      <c r="G968" s="7"/>
      <c r="H968" s="6"/>
      <c r="I968" s="7"/>
      <c r="J968" s="7"/>
      <c r="K968" s="7"/>
      <c r="L968" s="7"/>
      <c r="M968" s="52"/>
      <c r="N968" s="7"/>
      <c r="O968" s="7"/>
      <c r="P968" s="47"/>
      <c r="Q968" s="47"/>
      <c r="R968" s="7"/>
      <c r="S968" s="51"/>
      <c r="T968" s="51"/>
      <c r="U968" s="7"/>
      <c r="V968" s="57"/>
      <c r="W968" s="57"/>
      <c r="X968" s="57"/>
    </row>
    <row r="969" spans="1:24" ht="12.5" x14ac:dyDescent="0.25">
      <c r="A969" s="34"/>
      <c r="B969" s="7"/>
      <c r="C969" s="19"/>
      <c r="D969" s="7"/>
      <c r="E969" s="7"/>
      <c r="F969" s="7"/>
      <c r="G969" s="7"/>
      <c r="H969" s="6"/>
      <c r="I969" s="7"/>
      <c r="J969" s="7"/>
      <c r="K969" s="7"/>
      <c r="L969" s="7"/>
      <c r="M969" s="52"/>
      <c r="N969" s="7"/>
      <c r="O969" s="7"/>
      <c r="P969" s="47"/>
      <c r="Q969" s="47"/>
      <c r="R969" s="7"/>
      <c r="S969" s="51"/>
      <c r="T969" s="51"/>
      <c r="U969" s="7"/>
      <c r="V969" s="57"/>
      <c r="W969" s="57"/>
      <c r="X969" s="57"/>
    </row>
    <row r="970" spans="1:24" ht="12.5" x14ac:dyDescent="0.25">
      <c r="A970" s="34"/>
      <c r="B970" s="7"/>
      <c r="C970" s="19"/>
      <c r="D970" s="7"/>
      <c r="E970" s="7"/>
      <c r="F970" s="7"/>
      <c r="G970" s="7"/>
      <c r="H970" s="6"/>
      <c r="I970" s="7"/>
      <c r="J970" s="7"/>
      <c r="K970" s="7"/>
      <c r="L970" s="7"/>
      <c r="M970" s="52"/>
      <c r="N970" s="7"/>
      <c r="O970" s="7"/>
      <c r="P970" s="47"/>
      <c r="Q970" s="47"/>
      <c r="R970" s="7"/>
      <c r="S970" s="51"/>
      <c r="T970" s="51"/>
      <c r="U970" s="7"/>
      <c r="V970" s="57"/>
      <c r="W970" s="57"/>
      <c r="X970" s="57"/>
    </row>
    <row r="971" spans="1:24" ht="12.5" x14ac:dyDescent="0.25">
      <c r="A971" s="34"/>
      <c r="B971" s="7"/>
      <c r="C971" s="19"/>
      <c r="D971" s="7"/>
      <c r="E971" s="7"/>
      <c r="F971" s="7"/>
      <c r="G971" s="7"/>
      <c r="H971" s="6"/>
      <c r="I971" s="7"/>
      <c r="J971" s="7"/>
      <c r="K971" s="7"/>
      <c r="L971" s="7"/>
      <c r="M971" s="52"/>
      <c r="N971" s="7"/>
      <c r="O971" s="7"/>
      <c r="P971" s="47"/>
      <c r="Q971" s="47"/>
      <c r="R971" s="7"/>
      <c r="S971" s="51"/>
      <c r="T971" s="51"/>
      <c r="U971" s="7"/>
      <c r="V971" s="57"/>
      <c r="W971" s="57"/>
      <c r="X971" s="57"/>
    </row>
    <row r="972" spans="1:24" ht="12.5" x14ac:dyDescent="0.25">
      <c r="A972" s="34"/>
      <c r="B972" s="7"/>
      <c r="C972" s="19"/>
      <c r="D972" s="7"/>
      <c r="E972" s="7"/>
      <c r="F972" s="7"/>
      <c r="G972" s="7"/>
      <c r="H972" s="6"/>
      <c r="I972" s="7"/>
      <c r="J972" s="7"/>
      <c r="K972" s="7"/>
      <c r="L972" s="7"/>
      <c r="M972" s="52"/>
      <c r="N972" s="7"/>
      <c r="O972" s="7"/>
      <c r="P972" s="47"/>
      <c r="Q972" s="47"/>
      <c r="R972" s="7"/>
      <c r="S972" s="51"/>
      <c r="T972" s="51"/>
      <c r="U972" s="7"/>
      <c r="V972" s="57"/>
      <c r="W972" s="57"/>
      <c r="X972" s="57"/>
    </row>
    <row r="973" spans="1:24" ht="12.5" x14ac:dyDescent="0.25">
      <c r="A973" s="34"/>
      <c r="B973" s="7"/>
      <c r="C973" s="19"/>
      <c r="D973" s="7"/>
      <c r="E973" s="7"/>
      <c r="F973" s="7"/>
      <c r="G973" s="7"/>
      <c r="H973" s="6"/>
      <c r="I973" s="7"/>
      <c r="J973" s="7"/>
      <c r="K973" s="7"/>
      <c r="L973" s="7"/>
      <c r="M973" s="52"/>
      <c r="N973" s="7"/>
      <c r="O973" s="7"/>
      <c r="P973" s="47"/>
      <c r="Q973" s="47"/>
      <c r="R973" s="7"/>
      <c r="S973" s="51"/>
      <c r="T973" s="51"/>
      <c r="U973" s="7"/>
      <c r="V973" s="57"/>
      <c r="W973" s="57"/>
      <c r="X973" s="57"/>
    </row>
    <row r="974" spans="1:24" ht="12.5" x14ac:dyDescent="0.25">
      <c r="A974" s="34"/>
      <c r="B974" s="7"/>
      <c r="C974" s="19"/>
      <c r="D974" s="7"/>
      <c r="E974" s="7"/>
      <c r="F974" s="7"/>
      <c r="G974" s="7"/>
      <c r="H974" s="6"/>
      <c r="I974" s="7"/>
      <c r="J974" s="7"/>
      <c r="K974" s="7"/>
      <c r="L974" s="7"/>
      <c r="M974" s="52"/>
      <c r="N974" s="7"/>
      <c r="O974" s="7"/>
      <c r="P974" s="47"/>
      <c r="Q974" s="47"/>
      <c r="R974" s="7"/>
      <c r="S974" s="51"/>
      <c r="T974" s="51"/>
      <c r="U974" s="7"/>
      <c r="V974" s="57"/>
      <c r="W974" s="57"/>
      <c r="X974" s="57"/>
    </row>
    <row r="975" spans="1:24" ht="12.5" x14ac:dyDescent="0.25">
      <c r="A975" s="34"/>
      <c r="B975" s="7"/>
      <c r="C975" s="19"/>
      <c r="D975" s="7"/>
      <c r="E975" s="7"/>
      <c r="F975" s="7"/>
      <c r="G975" s="7"/>
      <c r="H975" s="6"/>
      <c r="I975" s="7"/>
      <c r="J975" s="7"/>
      <c r="K975" s="7"/>
      <c r="L975" s="7"/>
      <c r="M975" s="52"/>
      <c r="N975" s="7"/>
      <c r="O975" s="7"/>
      <c r="P975" s="47"/>
      <c r="Q975" s="47"/>
      <c r="R975" s="7"/>
      <c r="S975" s="51"/>
      <c r="T975" s="51"/>
      <c r="U975" s="7"/>
      <c r="V975" s="57"/>
      <c r="W975" s="57"/>
      <c r="X975" s="57"/>
    </row>
    <row r="976" spans="1:24" ht="12.5" x14ac:dyDescent="0.25">
      <c r="A976" s="34"/>
      <c r="B976" s="7"/>
      <c r="C976" s="19"/>
      <c r="D976" s="7"/>
      <c r="E976" s="7"/>
      <c r="F976" s="7"/>
      <c r="G976" s="7"/>
      <c r="H976" s="6"/>
      <c r="I976" s="7"/>
      <c r="J976" s="7"/>
      <c r="K976" s="7"/>
      <c r="L976" s="7"/>
      <c r="M976" s="52"/>
      <c r="N976" s="7"/>
      <c r="O976" s="7"/>
      <c r="P976" s="47"/>
      <c r="Q976" s="47"/>
      <c r="R976" s="7"/>
      <c r="S976" s="51"/>
      <c r="T976" s="51"/>
      <c r="U976" s="7"/>
      <c r="V976" s="57"/>
      <c r="W976" s="57"/>
      <c r="X976" s="57"/>
    </row>
    <row r="977" spans="1:24" ht="12.5" x14ac:dyDescent="0.25">
      <c r="A977" s="34"/>
      <c r="B977" s="7"/>
      <c r="C977" s="19"/>
      <c r="D977" s="7"/>
      <c r="E977" s="7"/>
      <c r="F977" s="7"/>
      <c r="G977" s="7"/>
      <c r="H977" s="6"/>
      <c r="I977" s="7"/>
      <c r="J977" s="7"/>
      <c r="K977" s="7"/>
      <c r="L977" s="7"/>
      <c r="M977" s="52"/>
      <c r="N977" s="7"/>
      <c r="O977" s="7"/>
      <c r="P977" s="47"/>
      <c r="Q977" s="47"/>
      <c r="R977" s="7"/>
      <c r="S977" s="51"/>
      <c r="T977" s="51"/>
      <c r="U977" s="7"/>
      <c r="V977" s="57"/>
      <c r="W977" s="57"/>
      <c r="X977" s="57"/>
    </row>
    <row r="978" spans="1:24" ht="12.5" x14ac:dyDescent="0.25">
      <c r="A978" s="34"/>
      <c r="B978" s="7"/>
      <c r="C978" s="19"/>
      <c r="D978" s="7"/>
      <c r="E978" s="7"/>
      <c r="F978" s="7"/>
      <c r="G978" s="7"/>
      <c r="H978" s="6"/>
      <c r="I978" s="7"/>
      <c r="J978" s="7"/>
      <c r="K978" s="7"/>
      <c r="L978" s="7"/>
      <c r="M978" s="52"/>
      <c r="N978" s="7"/>
      <c r="O978" s="7"/>
      <c r="P978" s="47"/>
      <c r="Q978" s="47"/>
      <c r="R978" s="7"/>
      <c r="S978" s="51"/>
      <c r="T978" s="51"/>
      <c r="U978" s="7"/>
      <c r="V978" s="57"/>
      <c r="W978" s="57"/>
      <c r="X978" s="57"/>
    </row>
    <row r="979" spans="1:24" ht="12.5" x14ac:dyDescent="0.25">
      <c r="A979" s="34"/>
      <c r="B979" s="7"/>
      <c r="C979" s="19"/>
      <c r="D979" s="7"/>
      <c r="E979" s="7"/>
      <c r="F979" s="7"/>
      <c r="G979" s="7"/>
      <c r="H979" s="6"/>
      <c r="I979" s="7"/>
      <c r="J979" s="7"/>
      <c r="K979" s="7"/>
      <c r="L979" s="7"/>
      <c r="M979" s="52"/>
      <c r="N979" s="7"/>
      <c r="O979" s="7"/>
      <c r="P979" s="47"/>
      <c r="Q979" s="47"/>
      <c r="R979" s="7"/>
      <c r="S979" s="51"/>
      <c r="T979" s="51"/>
      <c r="U979" s="7"/>
      <c r="V979" s="57"/>
      <c r="W979" s="57"/>
      <c r="X979" s="57"/>
    </row>
    <row r="980" spans="1:24" ht="12.5" x14ac:dyDescent="0.25">
      <c r="A980" s="34"/>
      <c r="B980" s="7"/>
      <c r="C980" s="19"/>
      <c r="D980" s="7"/>
      <c r="E980" s="7"/>
      <c r="F980" s="7"/>
      <c r="G980" s="7"/>
      <c r="H980" s="6"/>
      <c r="I980" s="7"/>
      <c r="J980" s="7"/>
      <c r="K980" s="7"/>
      <c r="L980" s="7"/>
      <c r="M980" s="52"/>
      <c r="N980" s="7"/>
      <c r="O980" s="7"/>
      <c r="P980" s="47"/>
      <c r="Q980" s="47"/>
      <c r="R980" s="7"/>
      <c r="S980" s="51"/>
      <c r="T980" s="51"/>
      <c r="U980" s="7"/>
      <c r="V980" s="57"/>
      <c r="W980" s="57"/>
      <c r="X980" s="57"/>
    </row>
    <row r="981" spans="1:24" ht="12.5" x14ac:dyDescent="0.25">
      <c r="A981" s="34"/>
      <c r="B981" s="7"/>
      <c r="C981" s="19"/>
      <c r="D981" s="7"/>
      <c r="E981" s="7"/>
      <c r="F981" s="7"/>
      <c r="G981" s="7"/>
      <c r="H981" s="6"/>
      <c r="I981" s="7"/>
      <c r="J981" s="7"/>
      <c r="K981" s="7"/>
      <c r="L981" s="7"/>
      <c r="M981" s="52"/>
      <c r="N981" s="7"/>
      <c r="O981" s="7"/>
      <c r="P981" s="47"/>
      <c r="Q981" s="47"/>
      <c r="R981" s="7"/>
      <c r="S981" s="51"/>
      <c r="T981" s="51"/>
      <c r="U981" s="7"/>
      <c r="V981" s="57"/>
      <c r="W981" s="57"/>
      <c r="X981" s="57"/>
    </row>
    <row r="982" spans="1:24" ht="12.5" x14ac:dyDescent="0.25">
      <c r="A982" s="34"/>
      <c r="B982" s="7"/>
      <c r="C982" s="19"/>
      <c r="D982" s="7"/>
      <c r="E982" s="7"/>
      <c r="F982" s="7"/>
      <c r="G982" s="7"/>
      <c r="H982" s="6"/>
      <c r="I982" s="7"/>
      <c r="J982" s="7"/>
      <c r="K982" s="7"/>
      <c r="L982" s="7"/>
      <c r="M982" s="52"/>
      <c r="N982" s="7"/>
      <c r="O982" s="7"/>
      <c r="P982" s="47"/>
      <c r="Q982" s="47"/>
      <c r="R982" s="7"/>
      <c r="S982" s="51"/>
      <c r="T982" s="51"/>
      <c r="U982" s="7"/>
      <c r="V982" s="57"/>
      <c r="W982" s="57"/>
      <c r="X982" s="57"/>
    </row>
    <row r="983" spans="1:24" ht="12.5" x14ac:dyDescent="0.25">
      <c r="A983" s="34"/>
      <c r="B983" s="7"/>
      <c r="C983" s="19"/>
      <c r="D983" s="7"/>
      <c r="E983" s="7"/>
      <c r="F983" s="7"/>
      <c r="G983" s="7"/>
      <c r="H983" s="6"/>
      <c r="I983" s="7"/>
      <c r="J983" s="7"/>
      <c r="K983" s="7"/>
      <c r="L983" s="7"/>
      <c r="M983" s="52"/>
      <c r="N983" s="7"/>
      <c r="O983" s="7"/>
      <c r="P983" s="47"/>
      <c r="Q983" s="47"/>
      <c r="R983" s="7"/>
      <c r="S983" s="51"/>
      <c r="T983" s="51"/>
      <c r="U983" s="7"/>
      <c r="V983" s="57"/>
      <c r="W983" s="57"/>
      <c r="X983" s="57"/>
    </row>
    <row r="984" spans="1:24" ht="12.5" x14ac:dyDescent="0.25">
      <c r="A984" s="34"/>
      <c r="B984" s="7"/>
      <c r="C984" s="19"/>
      <c r="D984" s="7"/>
      <c r="E984" s="7"/>
      <c r="F984" s="7"/>
      <c r="G984" s="7"/>
      <c r="H984" s="6"/>
      <c r="I984" s="7"/>
      <c r="J984" s="7"/>
      <c r="K984" s="7"/>
      <c r="L984" s="7"/>
      <c r="M984" s="52"/>
      <c r="N984" s="7"/>
      <c r="O984" s="7"/>
      <c r="P984" s="47"/>
      <c r="Q984" s="47"/>
      <c r="R984" s="7"/>
      <c r="S984" s="51"/>
      <c r="T984" s="51"/>
      <c r="U984" s="7"/>
      <c r="V984" s="57"/>
      <c r="W984" s="57"/>
      <c r="X984" s="57"/>
    </row>
    <row r="985" spans="1:24" ht="12.5" x14ac:dyDescent="0.25">
      <c r="A985" s="34"/>
      <c r="B985" s="7"/>
      <c r="C985" s="19"/>
      <c r="D985" s="7"/>
      <c r="E985" s="7"/>
      <c r="F985" s="7"/>
      <c r="G985" s="7"/>
      <c r="H985" s="6"/>
      <c r="I985" s="7"/>
      <c r="J985" s="7"/>
      <c r="K985" s="7"/>
      <c r="L985" s="7"/>
      <c r="M985" s="52"/>
      <c r="N985" s="7"/>
      <c r="O985" s="7"/>
      <c r="P985" s="47"/>
      <c r="Q985" s="47"/>
      <c r="R985" s="7"/>
      <c r="S985" s="51"/>
      <c r="T985" s="51"/>
      <c r="U985" s="7"/>
      <c r="V985" s="57"/>
      <c r="W985" s="57"/>
      <c r="X985" s="57"/>
    </row>
    <row r="986" spans="1:24" ht="12.5" x14ac:dyDescent="0.25">
      <c r="A986" s="34"/>
      <c r="B986" s="7"/>
      <c r="C986" s="19"/>
      <c r="D986" s="7"/>
      <c r="E986" s="7"/>
      <c r="F986" s="7"/>
      <c r="G986" s="7"/>
      <c r="H986" s="6"/>
      <c r="I986" s="7"/>
      <c r="J986" s="7"/>
      <c r="K986" s="7"/>
      <c r="L986" s="7"/>
      <c r="M986" s="52"/>
      <c r="N986" s="7"/>
      <c r="O986" s="7"/>
      <c r="P986" s="47"/>
      <c r="Q986" s="47"/>
      <c r="R986" s="7"/>
      <c r="S986" s="51"/>
      <c r="T986" s="51"/>
      <c r="U986" s="7"/>
      <c r="V986" s="57"/>
      <c r="W986" s="57"/>
      <c r="X986" s="57"/>
    </row>
    <row r="987" spans="1:24" ht="12.5" x14ac:dyDescent="0.25">
      <c r="A987" s="34"/>
      <c r="B987" s="7"/>
      <c r="C987" s="19"/>
      <c r="D987" s="7"/>
      <c r="E987" s="7"/>
      <c r="F987" s="7"/>
      <c r="G987" s="7"/>
      <c r="H987" s="6"/>
      <c r="I987" s="7"/>
      <c r="J987" s="7"/>
      <c r="K987" s="7"/>
      <c r="L987" s="7"/>
      <c r="M987" s="52"/>
      <c r="N987" s="7"/>
      <c r="O987" s="7"/>
      <c r="P987" s="47"/>
      <c r="Q987" s="47"/>
      <c r="R987" s="7"/>
      <c r="S987" s="51"/>
      <c r="T987" s="51"/>
      <c r="U987" s="7"/>
      <c r="V987" s="57"/>
      <c r="W987" s="57"/>
      <c r="X987" s="57"/>
    </row>
    <row r="988" spans="1:24" ht="12.5" x14ac:dyDescent="0.25">
      <c r="A988" s="34"/>
      <c r="B988" s="7"/>
      <c r="C988" s="19"/>
      <c r="D988" s="7"/>
      <c r="E988" s="7"/>
      <c r="F988" s="7"/>
      <c r="G988" s="7"/>
      <c r="H988" s="6"/>
      <c r="I988" s="7"/>
      <c r="J988" s="7"/>
      <c r="K988" s="7"/>
      <c r="L988" s="7"/>
      <c r="M988" s="52"/>
      <c r="N988" s="7"/>
      <c r="O988" s="7"/>
      <c r="P988" s="47"/>
      <c r="Q988" s="47"/>
      <c r="R988" s="7"/>
      <c r="S988" s="51"/>
      <c r="T988" s="51"/>
      <c r="U988" s="7"/>
      <c r="V988" s="57"/>
      <c r="W988" s="57"/>
      <c r="X988" s="57"/>
    </row>
    <row r="989" spans="1:24" ht="12.5" x14ac:dyDescent="0.25">
      <c r="A989" s="34"/>
      <c r="B989" s="7"/>
      <c r="C989" s="19"/>
      <c r="D989" s="7"/>
      <c r="E989" s="7"/>
      <c r="F989" s="7"/>
      <c r="G989" s="7"/>
      <c r="H989" s="6"/>
      <c r="I989" s="7"/>
      <c r="J989" s="7"/>
      <c r="K989" s="7"/>
      <c r="L989" s="7"/>
      <c r="M989" s="52"/>
      <c r="N989" s="7"/>
      <c r="O989" s="7"/>
      <c r="P989" s="47"/>
      <c r="Q989" s="47"/>
      <c r="R989" s="7"/>
      <c r="S989" s="51"/>
      <c r="T989" s="51"/>
      <c r="U989" s="7"/>
      <c r="V989" s="57"/>
      <c r="W989" s="57"/>
      <c r="X989" s="57"/>
    </row>
    <row r="990" spans="1:24" ht="12.5" x14ac:dyDescent="0.25">
      <c r="A990" s="34"/>
      <c r="B990" s="7"/>
      <c r="C990" s="19"/>
      <c r="D990" s="7"/>
      <c r="E990" s="7"/>
      <c r="F990" s="7"/>
      <c r="G990" s="7"/>
      <c r="H990" s="6"/>
      <c r="I990" s="7"/>
      <c r="J990" s="7"/>
      <c r="K990" s="7"/>
      <c r="L990" s="7"/>
      <c r="M990" s="52"/>
      <c r="N990" s="7"/>
      <c r="O990" s="7"/>
      <c r="P990" s="47"/>
      <c r="Q990" s="47"/>
      <c r="R990" s="7"/>
      <c r="S990" s="51"/>
      <c r="T990" s="51"/>
      <c r="U990" s="7"/>
      <c r="V990" s="57"/>
      <c r="W990" s="57"/>
      <c r="X990" s="57"/>
    </row>
    <row r="991" spans="1:24" ht="12.5" x14ac:dyDescent="0.25">
      <c r="A991" s="34"/>
      <c r="B991" s="7"/>
      <c r="C991" s="19"/>
      <c r="D991" s="7"/>
      <c r="E991" s="7"/>
      <c r="F991" s="7"/>
      <c r="G991" s="7"/>
      <c r="H991" s="6"/>
      <c r="I991" s="7"/>
      <c r="J991" s="7"/>
      <c r="K991" s="7"/>
      <c r="L991" s="7"/>
      <c r="M991" s="52"/>
      <c r="N991" s="7"/>
      <c r="O991" s="7"/>
      <c r="P991" s="47"/>
      <c r="Q991" s="47"/>
      <c r="R991" s="7"/>
      <c r="S991" s="51"/>
      <c r="T991" s="51"/>
      <c r="U991" s="7"/>
      <c r="V991" s="57"/>
      <c r="W991" s="57"/>
      <c r="X991" s="57"/>
    </row>
    <row r="992" spans="1:24" ht="12.5" x14ac:dyDescent="0.25">
      <c r="A992" s="34"/>
      <c r="B992" s="7"/>
      <c r="C992" s="19"/>
      <c r="D992" s="7"/>
      <c r="E992" s="7"/>
      <c r="F992" s="7"/>
      <c r="G992" s="7"/>
      <c r="H992" s="6"/>
      <c r="I992" s="7"/>
      <c r="J992" s="7"/>
      <c r="K992" s="7"/>
      <c r="L992" s="7"/>
      <c r="M992" s="52"/>
      <c r="N992" s="7"/>
      <c r="O992" s="7"/>
      <c r="P992" s="47"/>
      <c r="Q992" s="47"/>
      <c r="R992" s="7"/>
      <c r="S992" s="51"/>
      <c r="T992" s="51"/>
      <c r="U992" s="7"/>
      <c r="V992" s="57"/>
      <c r="W992" s="57"/>
      <c r="X992" s="57"/>
    </row>
    <row r="993" spans="1:24" ht="12.5" x14ac:dyDescent="0.25">
      <c r="A993" s="34"/>
      <c r="B993" s="7"/>
      <c r="C993" s="19"/>
      <c r="D993" s="7"/>
      <c r="E993" s="7"/>
      <c r="F993" s="7"/>
      <c r="G993" s="7"/>
      <c r="H993" s="6"/>
      <c r="I993" s="7"/>
      <c r="J993" s="7"/>
      <c r="K993" s="7"/>
      <c r="L993" s="7"/>
      <c r="M993" s="52"/>
      <c r="N993" s="7"/>
      <c r="O993" s="7"/>
      <c r="P993" s="47"/>
      <c r="Q993" s="47"/>
      <c r="R993" s="7"/>
      <c r="S993" s="51"/>
      <c r="T993" s="51"/>
      <c r="U993" s="7"/>
      <c r="V993" s="57"/>
      <c r="W993" s="57"/>
      <c r="X993" s="57"/>
    </row>
    <row r="994" spans="1:24" ht="12.5" x14ac:dyDescent="0.25">
      <c r="A994" s="34"/>
      <c r="B994" s="7"/>
      <c r="C994" s="19"/>
      <c r="D994" s="7"/>
      <c r="E994" s="7"/>
      <c r="F994" s="7"/>
      <c r="G994" s="7"/>
      <c r="H994" s="6"/>
      <c r="I994" s="7"/>
      <c r="J994" s="7"/>
      <c r="K994" s="7"/>
      <c r="L994" s="7"/>
      <c r="M994" s="52"/>
      <c r="N994" s="7"/>
      <c r="O994" s="7"/>
      <c r="P994" s="47"/>
      <c r="Q994" s="47"/>
      <c r="R994" s="7"/>
      <c r="S994" s="51"/>
      <c r="T994" s="51"/>
      <c r="U994" s="7"/>
      <c r="V994" s="57"/>
      <c r="W994" s="57"/>
      <c r="X994" s="57"/>
    </row>
    <row r="995" spans="1:24" ht="12.5" x14ac:dyDescent="0.25">
      <c r="A995" s="34"/>
      <c r="B995" s="7"/>
      <c r="C995" s="19"/>
      <c r="D995" s="7"/>
      <c r="E995" s="7"/>
      <c r="F995" s="7"/>
      <c r="G995" s="7"/>
      <c r="H995" s="6"/>
      <c r="I995" s="7"/>
      <c r="J995" s="7"/>
      <c r="K995" s="7"/>
      <c r="L995" s="7"/>
      <c r="M995" s="52"/>
      <c r="N995" s="7"/>
      <c r="O995" s="7"/>
      <c r="P995" s="47"/>
      <c r="Q995" s="47"/>
      <c r="R995" s="7"/>
      <c r="S995" s="51"/>
      <c r="T995" s="51"/>
      <c r="U995" s="7"/>
      <c r="V995" s="57"/>
      <c r="W995" s="57"/>
      <c r="X995" s="57"/>
    </row>
    <row r="996" spans="1:24" ht="12.5" x14ac:dyDescent="0.25">
      <c r="A996" s="34"/>
      <c r="B996" s="7"/>
      <c r="C996" s="19"/>
      <c r="D996" s="7"/>
      <c r="E996" s="7"/>
      <c r="F996" s="7"/>
      <c r="G996" s="7"/>
      <c r="H996" s="6"/>
      <c r="I996" s="7"/>
      <c r="J996" s="7"/>
      <c r="K996" s="7"/>
      <c r="L996" s="7"/>
      <c r="M996" s="52"/>
      <c r="N996" s="7"/>
      <c r="O996" s="7"/>
      <c r="P996" s="47"/>
      <c r="Q996" s="47"/>
      <c r="R996" s="7"/>
      <c r="S996" s="51"/>
      <c r="T996" s="51"/>
      <c r="U996" s="7"/>
      <c r="V996" s="57"/>
      <c r="W996" s="57"/>
      <c r="X996" s="57"/>
    </row>
    <row r="997" spans="1:24" ht="12.5" x14ac:dyDescent="0.25">
      <c r="A997" s="34"/>
      <c r="B997" s="7"/>
      <c r="C997" s="19"/>
      <c r="D997" s="7"/>
      <c r="E997" s="7"/>
      <c r="F997" s="7"/>
      <c r="G997" s="7"/>
      <c r="H997" s="6"/>
      <c r="I997" s="7"/>
      <c r="J997" s="7"/>
      <c r="K997" s="7"/>
      <c r="L997" s="7"/>
      <c r="M997" s="52"/>
      <c r="N997" s="7"/>
      <c r="O997" s="7"/>
      <c r="P997" s="47"/>
      <c r="Q997" s="47"/>
      <c r="R997" s="7"/>
      <c r="S997" s="51"/>
      <c r="T997" s="51"/>
      <c r="U997" s="7"/>
      <c r="V997" s="57"/>
      <c r="W997" s="57"/>
      <c r="X997" s="57"/>
    </row>
    <row r="998" spans="1:24" ht="12.5" x14ac:dyDescent="0.25">
      <c r="A998" s="34"/>
      <c r="B998" s="7"/>
      <c r="C998" s="19"/>
      <c r="D998" s="7"/>
      <c r="E998" s="7"/>
      <c r="F998" s="7"/>
      <c r="G998" s="7"/>
      <c r="H998" s="6"/>
      <c r="I998" s="7"/>
      <c r="J998" s="7"/>
      <c r="K998" s="7"/>
      <c r="L998" s="7"/>
      <c r="M998" s="52"/>
      <c r="N998" s="7"/>
      <c r="O998" s="7"/>
      <c r="P998" s="47"/>
      <c r="Q998" s="47"/>
      <c r="R998" s="7"/>
      <c r="S998" s="51"/>
      <c r="T998" s="51"/>
      <c r="U998" s="7"/>
      <c r="V998" s="57"/>
      <c r="W998" s="57"/>
      <c r="X998" s="57"/>
    </row>
    <row r="999" spans="1:24" ht="12.5" x14ac:dyDescent="0.25">
      <c r="A999" s="34"/>
      <c r="B999" s="7"/>
      <c r="C999" s="19"/>
      <c r="D999" s="7"/>
      <c r="E999" s="7"/>
      <c r="F999" s="7"/>
      <c r="G999" s="7"/>
      <c r="H999" s="6"/>
      <c r="I999" s="7"/>
      <c r="J999" s="7"/>
      <c r="K999" s="7"/>
      <c r="L999" s="7"/>
      <c r="M999" s="52"/>
      <c r="N999" s="7"/>
      <c r="O999" s="7"/>
      <c r="P999" s="47"/>
      <c r="Q999" s="47"/>
      <c r="R999" s="7"/>
      <c r="S999" s="51"/>
      <c r="T999" s="51"/>
      <c r="U999" s="7"/>
      <c r="V999" s="57"/>
      <c r="W999" s="57"/>
      <c r="X999" s="57"/>
    </row>
    <row r="1000" spans="1:24" ht="12.5" x14ac:dyDescent="0.25">
      <c r="A1000" s="34"/>
      <c r="B1000" s="7"/>
      <c r="C1000" s="19"/>
      <c r="D1000" s="7"/>
      <c r="E1000" s="7"/>
      <c r="F1000" s="7"/>
      <c r="G1000" s="7"/>
      <c r="H1000" s="6"/>
      <c r="I1000" s="7"/>
      <c r="J1000" s="7"/>
      <c r="K1000" s="7"/>
      <c r="L1000" s="7"/>
      <c r="M1000" s="52"/>
      <c r="N1000" s="7"/>
      <c r="O1000" s="7"/>
      <c r="P1000" s="47"/>
      <c r="Q1000" s="47"/>
      <c r="R1000" s="7"/>
      <c r="S1000" s="51"/>
      <c r="T1000" s="51"/>
      <c r="U1000" s="7"/>
      <c r="V1000" s="57"/>
      <c r="W1000" s="57"/>
      <c r="X1000" s="57"/>
    </row>
    <row r="1001" spans="1:24" ht="12.5" x14ac:dyDescent="0.25">
      <c r="A1001" s="34"/>
      <c r="B1001" s="7"/>
      <c r="C1001" s="19"/>
      <c r="D1001" s="7"/>
      <c r="E1001" s="7"/>
      <c r="F1001" s="7"/>
      <c r="G1001" s="7"/>
      <c r="H1001" s="6"/>
      <c r="I1001" s="7"/>
      <c r="J1001" s="7"/>
      <c r="K1001" s="7"/>
      <c r="L1001" s="7"/>
      <c r="M1001" s="52"/>
      <c r="N1001" s="7"/>
      <c r="O1001" s="7"/>
      <c r="P1001" s="47"/>
      <c r="Q1001" s="47"/>
      <c r="R1001" s="7"/>
      <c r="S1001" s="51"/>
      <c r="T1001" s="51"/>
      <c r="U1001" s="7"/>
      <c r="V1001" s="57"/>
      <c r="W1001" s="57"/>
      <c r="X1001" s="57"/>
    </row>
    <row r="1002" spans="1:24" ht="12.5" x14ac:dyDescent="0.25">
      <c r="A1002" s="34"/>
      <c r="B1002" s="7"/>
      <c r="C1002" s="19"/>
      <c r="D1002" s="7"/>
      <c r="E1002" s="7"/>
      <c r="F1002" s="7"/>
      <c r="G1002" s="7"/>
      <c r="H1002" s="6"/>
      <c r="I1002" s="7"/>
      <c r="J1002" s="7"/>
      <c r="K1002" s="7"/>
      <c r="L1002" s="7"/>
      <c r="M1002" s="52"/>
      <c r="N1002" s="7"/>
      <c r="O1002" s="7"/>
      <c r="P1002" s="47"/>
      <c r="Q1002" s="47"/>
      <c r="R1002" s="7"/>
      <c r="S1002" s="51"/>
      <c r="T1002" s="51"/>
      <c r="U1002" s="7"/>
      <c r="V1002" s="57"/>
      <c r="W1002" s="57"/>
      <c r="X1002" s="57"/>
    </row>
    <row r="1003" spans="1:24" ht="12.5" x14ac:dyDescent="0.25">
      <c r="A1003" s="34"/>
      <c r="B1003" s="7"/>
      <c r="C1003" s="19"/>
      <c r="D1003" s="7"/>
      <c r="E1003" s="7"/>
      <c r="F1003" s="7"/>
      <c r="G1003" s="7"/>
      <c r="H1003" s="6"/>
      <c r="I1003" s="7"/>
      <c r="J1003" s="7"/>
      <c r="K1003" s="7"/>
      <c r="L1003" s="7"/>
      <c r="M1003" s="52"/>
      <c r="N1003" s="7"/>
      <c r="O1003" s="7"/>
      <c r="P1003" s="47"/>
      <c r="Q1003" s="47"/>
      <c r="R1003" s="7"/>
      <c r="S1003" s="51"/>
      <c r="T1003" s="51"/>
      <c r="U1003" s="7"/>
      <c r="V1003" s="57"/>
      <c r="W1003" s="57"/>
      <c r="X1003" s="57"/>
    </row>
    <row r="1004" spans="1:24" ht="12.5" x14ac:dyDescent="0.25">
      <c r="A1004" s="34"/>
      <c r="B1004" s="7"/>
      <c r="C1004" s="19"/>
      <c r="D1004" s="7"/>
      <c r="E1004" s="7"/>
      <c r="F1004" s="7"/>
      <c r="G1004" s="7"/>
      <c r="H1004" s="6"/>
      <c r="I1004" s="7"/>
      <c r="J1004" s="7"/>
      <c r="K1004" s="7"/>
      <c r="L1004" s="7"/>
      <c r="M1004" s="52"/>
      <c r="N1004" s="7"/>
      <c r="O1004" s="7"/>
      <c r="P1004" s="47"/>
      <c r="Q1004" s="47"/>
      <c r="R1004" s="7"/>
      <c r="S1004" s="51"/>
      <c r="T1004" s="51"/>
      <c r="U1004" s="7"/>
      <c r="V1004" s="57"/>
      <c r="W1004" s="57"/>
      <c r="X1004" s="57"/>
    </row>
    <row r="1005" spans="1:24" ht="12.5" x14ac:dyDescent="0.25">
      <c r="A1005" s="34"/>
      <c r="B1005" s="7"/>
      <c r="C1005" s="19"/>
      <c r="D1005" s="7"/>
      <c r="E1005" s="7"/>
      <c r="F1005" s="7"/>
      <c r="G1005" s="7"/>
      <c r="H1005" s="6"/>
      <c r="I1005" s="7"/>
      <c r="J1005" s="7"/>
      <c r="K1005" s="7"/>
      <c r="L1005" s="7"/>
      <c r="M1005" s="52"/>
      <c r="N1005" s="7"/>
      <c r="O1005" s="7"/>
      <c r="P1005" s="47"/>
      <c r="Q1005" s="47"/>
      <c r="R1005" s="7"/>
      <c r="S1005" s="51"/>
      <c r="T1005" s="51"/>
      <c r="U1005" s="7"/>
      <c r="V1005" s="57"/>
      <c r="W1005" s="57"/>
      <c r="X1005" s="57"/>
    </row>
    <row r="1006" spans="1:24" ht="12.5" x14ac:dyDescent="0.25">
      <c r="A1006" s="34"/>
      <c r="B1006" s="7"/>
      <c r="C1006" s="19"/>
      <c r="D1006" s="7"/>
      <c r="E1006" s="7"/>
      <c r="F1006" s="7"/>
      <c r="G1006" s="7"/>
      <c r="H1006" s="6"/>
      <c r="I1006" s="7"/>
      <c r="J1006" s="7"/>
      <c r="K1006" s="7"/>
      <c r="L1006" s="7"/>
      <c r="M1006" s="52"/>
      <c r="N1006" s="7"/>
      <c r="O1006" s="7"/>
      <c r="P1006" s="47"/>
      <c r="Q1006" s="47"/>
      <c r="R1006" s="7"/>
      <c r="S1006" s="51"/>
      <c r="T1006" s="51"/>
      <c r="U1006" s="7"/>
      <c r="V1006" s="57"/>
      <c r="W1006" s="57"/>
      <c r="X1006" s="57"/>
    </row>
    <row r="1007" spans="1:24" ht="12.5" x14ac:dyDescent="0.25">
      <c r="A1007" s="34"/>
      <c r="B1007" s="7"/>
      <c r="C1007" s="19"/>
      <c r="D1007" s="7"/>
      <c r="E1007" s="7"/>
      <c r="F1007" s="7"/>
      <c r="G1007" s="7"/>
      <c r="H1007" s="6"/>
      <c r="I1007" s="7"/>
      <c r="J1007" s="7"/>
      <c r="K1007" s="7"/>
      <c r="L1007" s="7"/>
      <c r="M1007" s="52"/>
      <c r="N1007" s="7"/>
      <c r="O1007" s="7"/>
      <c r="P1007" s="47"/>
      <c r="Q1007" s="47"/>
      <c r="R1007" s="7"/>
      <c r="S1007" s="51"/>
      <c r="T1007" s="51"/>
      <c r="U1007" s="7"/>
      <c r="V1007" s="57"/>
      <c r="W1007" s="57"/>
      <c r="X1007" s="57"/>
    </row>
    <row r="1008" spans="1:24" ht="12.5" x14ac:dyDescent="0.25">
      <c r="A1008" s="34"/>
      <c r="B1008" s="7"/>
      <c r="C1008" s="19"/>
      <c r="D1008" s="7"/>
      <c r="E1008" s="7"/>
      <c r="F1008" s="7"/>
      <c r="G1008" s="7"/>
      <c r="H1008" s="6"/>
      <c r="I1008" s="7"/>
      <c r="J1008" s="7"/>
      <c r="K1008" s="7"/>
      <c r="L1008" s="7"/>
      <c r="M1008" s="52"/>
      <c r="N1008" s="7"/>
      <c r="O1008" s="7"/>
      <c r="P1008" s="47"/>
      <c r="Q1008" s="47"/>
      <c r="R1008" s="7"/>
      <c r="S1008" s="51"/>
      <c r="T1008" s="51"/>
      <c r="U1008" s="7"/>
      <c r="V1008" s="57"/>
      <c r="W1008" s="57"/>
      <c r="X1008" s="57"/>
    </row>
    <row r="1009" spans="1:24" ht="12.5" x14ac:dyDescent="0.25">
      <c r="A1009" s="34"/>
      <c r="B1009" s="7"/>
      <c r="C1009" s="19"/>
      <c r="D1009" s="7"/>
      <c r="E1009" s="7"/>
      <c r="F1009" s="7"/>
      <c r="G1009" s="7"/>
      <c r="H1009" s="6"/>
      <c r="I1009" s="7"/>
      <c r="J1009" s="7"/>
      <c r="K1009" s="7"/>
      <c r="L1009" s="7"/>
      <c r="M1009" s="52"/>
      <c r="N1009" s="7"/>
      <c r="O1009" s="7"/>
      <c r="P1009" s="47"/>
      <c r="Q1009" s="47"/>
      <c r="R1009" s="7"/>
      <c r="S1009" s="51"/>
      <c r="T1009" s="51"/>
      <c r="U1009" s="7"/>
      <c r="V1009" s="57"/>
      <c r="W1009" s="57"/>
      <c r="X1009" s="57"/>
    </row>
    <row r="1010" spans="1:24" ht="12.5" x14ac:dyDescent="0.25">
      <c r="A1010" s="34"/>
      <c r="B1010" s="7"/>
      <c r="C1010" s="19"/>
      <c r="D1010" s="7"/>
      <c r="E1010" s="7"/>
      <c r="F1010" s="7"/>
      <c r="G1010" s="7"/>
      <c r="H1010" s="6"/>
      <c r="I1010" s="7"/>
      <c r="J1010" s="7"/>
      <c r="K1010" s="7"/>
      <c r="L1010" s="7"/>
      <c r="M1010" s="52"/>
      <c r="N1010" s="7"/>
      <c r="O1010" s="7"/>
      <c r="P1010" s="47"/>
      <c r="Q1010" s="47"/>
      <c r="R1010" s="7"/>
      <c r="S1010" s="51"/>
      <c r="T1010" s="51"/>
      <c r="U1010" s="7"/>
      <c r="V1010" s="57"/>
      <c r="W1010" s="57"/>
      <c r="X1010" s="57"/>
    </row>
    <row r="1011" spans="1:24" ht="12.5" x14ac:dyDescent="0.25">
      <c r="A1011" s="34"/>
      <c r="B1011" s="7"/>
      <c r="C1011" s="19"/>
      <c r="D1011" s="7"/>
      <c r="E1011" s="7"/>
      <c r="F1011" s="7"/>
      <c r="G1011" s="7"/>
      <c r="H1011" s="6"/>
      <c r="I1011" s="7"/>
      <c r="J1011" s="7"/>
      <c r="K1011" s="7"/>
      <c r="L1011" s="7"/>
      <c r="M1011" s="52"/>
      <c r="N1011" s="7"/>
      <c r="O1011" s="7"/>
      <c r="P1011" s="47"/>
      <c r="Q1011" s="47"/>
      <c r="R1011" s="7"/>
      <c r="S1011" s="51"/>
      <c r="T1011" s="51"/>
      <c r="U1011" s="7"/>
      <c r="V1011" s="57"/>
      <c r="W1011" s="57"/>
      <c r="X1011" s="57"/>
    </row>
    <row r="1012" spans="1:24" ht="12.5" x14ac:dyDescent="0.25">
      <c r="A1012" s="34"/>
      <c r="B1012" s="7"/>
      <c r="C1012" s="19"/>
      <c r="D1012" s="7"/>
      <c r="E1012" s="7"/>
      <c r="F1012" s="7"/>
      <c r="G1012" s="7"/>
      <c r="H1012" s="6"/>
      <c r="I1012" s="7"/>
      <c r="J1012" s="7"/>
      <c r="K1012" s="7"/>
      <c r="L1012" s="7"/>
      <c r="M1012" s="52"/>
      <c r="N1012" s="7"/>
      <c r="O1012" s="7"/>
      <c r="P1012" s="47"/>
      <c r="Q1012" s="47"/>
      <c r="R1012" s="7"/>
      <c r="S1012" s="51"/>
      <c r="T1012" s="51"/>
      <c r="U1012" s="7"/>
      <c r="V1012" s="57"/>
      <c r="W1012" s="57"/>
      <c r="X1012" s="57"/>
    </row>
    <row r="1013" spans="1:24" ht="12.5" x14ac:dyDescent="0.25">
      <c r="A1013" s="34"/>
      <c r="B1013" s="7"/>
      <c r="C1013" s="19"/>
      <c r="D1013" s="7"/>
      <c r="E1013" s="7"/>
      <c r="F1013" s="7"/>
      <c r="G1013" s="7"/>
      <c r="H1013" s="6"/>
      <c r="I1013" s="7"/>
      <c r="J1013" s="7"/>
      <c r="K1013" s="7"/>
      <c r="L1013" s="7"/>
      <c r="M1013" s="52"/>
      <c r="N1013" s="7"/>
      <c r="O1013" s="7"/>
      <c r="P1013" s="47"/>
      <c r="Q1013" s="47"/>
      <c r="R1013" s="7"/>
      <c r="S1013" s="51"/>
      <c r="T1013" s="51"/>
      <c r="U1013" s="7"/>
      <c r="V1013" s="57"/>
      <c r="W1013" s="57"/>
      <c r="X1013" s="57"/>
    </row>
    <row r="1014" spans="1:24" ht="12.5" x14ac:dyDescent="0.25">
      <c r="A1014" s="34"/>
      <c r="B1014" s="7"/>
      <c r="C1014" s="19"/>
      <c r="D1014" s="7"/>
      <c r="E1014" s="7"/>
      <c r="F1014" s="7"/>
      <c r="G1014" s="7"/>
      <c r="H1014" s="6"/>
      <c r="I1014" s="7"/>
      <c r="J1014" s="7"/>
      <c r="K1014" s="7"/>
      <c r="L1014" s="7"/>
      <c r="M1014" s="52"/>
      <c r="N1014" s="7"/>
      <c r="O1014" s="7"/>
      <c r="P1014" s="47"/>
      <c r="Q1014" s="47"/>
      <c r="R1014" s="7"/>
      <c r="S1014" s="51"/>
      <c r="T1014" s="51"/>
      <c r="U1014" s="7"/>
      <c r="V1014" s="57"/>
      <c r="W1014" s="57"/>
      <c r="X1014" s="57"/>
    </row>
    <row r="1015" spans="1:24" ht="12.5" x14ac:dyDescent="0.25">
      <c r="A1015" s="34"/>
      <c r="B1015" s="7"/>
      <c r="C1015" s="19"/>
      <c r="D1015" s="7"/>
      <c r="E1015" s="7"/>
      <c r="F1015" s="7"/>
      <c r="G1015" s="7"/>
      <c r="H1015" s="6"/>
      <c r="I1015" s="7"/>
      <c r="J1015" s="7"/>
      <c r="K1015" s="7"/>
      <c r="L1015" s="7"/>
      <c r="M1015" s="52"/>
      <c r="N1015" s="7"/>
      <c r="O1015" s="7"/>
      <c r="P1015" s="47"/>
      <c r="Q1015" s="47"/>
      <c r="R1015" s="7"/>
      <c r="S1015" s="51"/>
      <c r="T1015" s="51"/>
      <c r="U1015" s="7"/>
      <c r="V1015" s="57"/>
      <c r="W1015" s="57"/>
      <c r="X1015" s="57"/>
    </row>
    <row r="1016" spans="1:24" ht="12.5" x14ac:dyDescent="0.25">
      <c r="A1016" s="34"/>
      <c r="B1016" s="7"/>
      <c r="C1016" s="19"/>
      <c r="D1016" s="7"/>
      <c r="E1016" s="7"/>
      <c r="F1016" s="7"/>
      <c r="G1016" s="7"/>
      <c r="H1016" s="6"/>
      <c r="I1016" s="7"/>
      <c r="J1016" s="7"/>
      <c r="K1016" s="7"/>
      <c r="L1016" s="7"/>
      <c r="M1016" s="52"/>
      <c r="N1016" s="7"/>
      <c r="O1016" s="7"/>
      <c r="P1016" s="47"/>
      <c r="Q1016" s="47"/>
      <c r="R1016" s="7"/>
      <c r="S1016" s="51"/>
      <c r="T1016" s="51"/>
      <c r="U1016" s="7"/>
      <c r="V1016" s="57"/>
      <c r="W1016" s="57"/>
      <c r="X1016" s="57"/>
    </row>
    <row r="1017" spans="1:24" ht="12.5" x14ac:dyDescent="0.25">
      <c r="A1017" s="34"/>
      <c r="B1017" s="7"/>
      <c r="C1017" s="19"/>
      <c r="D1017" s="7"/>
      <c r="E1017" s="7"/>
      <c r="F1017" s="7"/>
      <c r="G1017" s="7"/>
      <c r="H1017" s="6"/>
      <c r="I1017" s="7"/>
      <c r="J1017" s="7"/>
      <c r="K1017" s="7"/>
      <c r="L1017" s="7"/>
      <c r="M1017" s="52"/>
      <c r="N1017" s="7"/>
      <c r="O1017" s="7"/>
      <c r="P1017" s="47"/>
      <c r="Q1017" s="47"/>
      <c r="R1017" s="7"/>
      <c r="S1017" s="51"/>
      <c r="T1017" s="51"/>
      <c r="U1017" s="7"/>
      <c r="V1017" s="57"/>
      <c r="W1017" s="57"/>
      <c r="X1017" s="57"/>
    </row>
    <row r="1018" spans="1:24" ht="12.5" x14ac:dyDescent="0.25">
      <c r="A1018" s="34"/>
      <c r="B1018" s="7"/>
      <c r="C1018" s="19"/>
      <c r="D1018" s="7"/>
      <c r="E1018" s="7"/>
      <c r="F1018" s="7"/>
      <c r="G1018" s="7"/>
      <c r="H1018" s="6"/>
      <c r="I1018" s="7"/>
      <c r="J1018" s="7"/>
      <c r="K1018" s="7"/>
      <c r="L1018" s="7"/>
      <c r="M1018" s="52"/>
      <c r="N1018" s="7"/>
      <c r="O1018" s="7"/>
      <c r="P1018" s="47"/>
      <c r="Q1018" s="47"/>
      <c r="R1018" s="7"/>
      <c r="S1018" s="51"/>
      <c r="T1018" s="51"/>
      <c r="U1018" s="7"/>
      <c r="V1018" s="57"/>
      <c r="W1018" s="57"/>
      <c r="X1018" s="57"/>
    </row>
    <row r="1019" spans="1:24" ht="12.5" x14ac:dyDescent="0.25">
      <c r="A1019" s="34"/>
      <c r="B1019" s="7"/>
      <c r="C1019" s="19"/>
      <c r="D1019" s="7"/>
      <c r="E1019" s="7"/>
      <c r="F1019" s="7"/>
      <c r="G1019" s="7"/>
      <c r="H1019" s="6"/>
      <c r="I1019" s="7"/>
      <c r="J1019" s="7"/>
      <c r="K1019" s="7"/>
      <c r="L1019" s="7"/>
      <c r="M1019" s="52"/>
      <c r="N1019" s="7"/>
      <c r="O1019" s="7"/>
      <c r="P1019" s="47"/>
      <c r="Q1019" s="47"/>
      <c r="R1019" s="7"/>
      <c r="S1019" s="51"/>
      <c r="T1019" s="51"/>
      <c r="U1019" s="7"/>
      <c r="V1019" s="57"/>
      <c r="W1019" s="57"/>
      <c r="X1019" s="57"/>
    </row>
    <row r="1020" spans="1:24" ht="12.5" x14ac:dyDescent="0.25">
      <c r="A1020" s="34"/>
      <c r="B1020" s="7"/>
      <c r="C1020" s="19"/>
      <c r="D1020" s="7"/>
      <c r="E1020" s="7"/>
      <c r="F1020" s="7"/>
      <c r="G1020" s="7"/>
      <c r="H1020" s="6"/>
      <c r="I1020" s="7"/>
      <c r="J1020" s="7"/>
      <c r="K1020" s="7"/>
      <c r="L1020" s="7"/>
      <c r="M1020" s="52"/>
      <c r="N1020" s="7"/>
      <c r="O1020" s="7"/>
      <c r="P1020" s="47"/>
      <c r="Q1020" s="47"/>
      <c r="R1020" s="7"/>
      <c r="S1020" s="51"/>
      <c r="T1020" s="51"/>
      <c r="U1020" s="7"/>
      <c r="V1020" s="57"/>
      <c r="W1020" s="57"/>
      <c r="X1020" s="57"/>
    </row>
    <row r="1021" spans="1:24" ht="12.5" x14ac:dyDescent="0.25">
      <c r="A1021" s="34"/>
      <c r="B1021" s="7"/>
      <c r="C1021" s="19"/>
      <c r="D1021" s="7"/>
      <c r="E1021" s="7"/>
      <c r="F1021" s="7"/>
      <c r="G1021" s="7"/>
      <c r="H1021" s="6"/>
      <c r="I1021" s="7"/>
      <c r="J1021" s="7"/>
      <c r="K1021" s="7"/>
      <c r="L1021" s="7"/>
      <c r="M1021" s="52"/>
      <c r="N1021" s="7"/>
      <c r="O1021" s="7"/>
      <c r="P1021" s="47"/>
      <c r="Q1021" s="47"/>
      <c r="R1021" s="7"/>
      <c r="S1021" s="51"/>
      <c r="T1021" s="51"/>
      <c r="U1021" s="7"/>
      <c r="V1021" s="57"/>
      <c r="W1021" s="57"/>
      <c r="X1021" s="57"/>
    </row>
    <row r="1022" spans="1:24" ht="12.5" x14ac:dyDescent="0.25">
      <c r="A1022" s="34"/>
      <c r="B1022" s="7"/>
      <c r="C1022" s="19"/>
      <c r="D1022" s="7"/>
      <c r="E1022" s="7"/>
      <c r="F1022" s="7"/>
      <c r="G1022" s="7"/>
      <c r="H1022" s="6"/>
      <c r="I1022" s="7"/>
      <c r="J1022" s="7"/>
      <c r="K1022" s="7"/>
      <c r="L1022" s="7"/>
      <c r="M1022" s="52"/>
      <c r="N1022" s="7"/>
      <c r="O1022" s="7"/>
      <c r="P1022" s="47"/>
      <c r="Q1022" s="47"/>
      <c r="R1022" s="7"/>
      <c r="S1022" s="51"/>
      <c r="T1022" s="51"/>
      <c r="U1022" s="7"/>
      <c r="V1022" s="57"/>
      <c r="W1022" s="57"/>
      <c r="X1022" s="57"/>
    </row>
    <row r="1023" spans="1:24" ht="12.5" x14ac:dyDescent="0.25">
      <c r="A1023" s="34"/>
      <c r="B1023" s="7"/>
      <c r="C1023" s="19"/>
      <c r="D1023" s="7"/>
      <c r="E1023" s="7"/>
      <c r="F1023" s="7"/>
      <c r="G1023" s="7"/>
      <c r="H1023" s="6"/>
      <c r="I1023" s="7"/>
      <c r="J1023" s="7"/>
      <c r="K1023" s="7"/>
      <c r="L1023" s="7"/>
      <c r="M1023" s="52"/>
      <c r="N1023" s="7"/>
      <c r="O1023" s="7"/>
      <c r="P1023" s="47"/>
      <c r="Q1023" s="47"/>
      <c r="R1023" s="7"/>
      <c r="S1023" s="51"/>
      <c r="T1023" s="51"/>
      <c r="U1023" s="7"/>
      <c r="V1023" s="57"/>
      <c r="W1023" s="57"/>
      <c r="X1023" s="57"/>
    </row>
    <row r="1024" spans="1:24" ht="12.5" x14ac:dyDescent="0.25">
      <c r="A1024" s="34"/>
      <c r="B1024" s="7"/>
      <c r="C1024" s="19"/>
      <c r="D1024" s="7"/>
      <c r="E1024" s="7"/>
      <c r="F1024" s="7"/>
      <c r="G1024" s="7"/>
      <c r="H1024" s="6"/>
      <c r="I1024" s="7"/>
      <c r="J1024" s="7"/>
      <c r="K1024" s="7"/>
      <c r="L1024" s="7"/>
      <c r="M1024" s="52"/>
      <c r="N1024" s="7"/>
      <c r="O1024" s="7"/>
      <c r="P1024" s="47"/>
      <c r="Q1024" s="47"/>
      <c r="R1024" s="7"/>
      <c r="S1024" s="51"/>
      <c r="T1024" s="51"/>
      <c r="U1024" s="7"/>
      <c r="V1024" s="57"/>
      <c r="W1024" s="57"/>
      <c r="X1024" s="57"/>
    </row>
    <row r="1025" spans="1:24" ht="12.5" x14ac:dyDescent="0.25">
      <c r="A1025" s="34"/>
      <c r="B1025" s="7"/>
      <c r="C1025" s="19"/>
      <c r="D1025" s="7"/>
      <c r="E1025" s="7"/>
      <c r="F1025" s="7"/>
      <c r="G1025" s="7"/>
      <c r="H1025" s="6"/>
      <c r="I1025" s="7"/>
      <c r="J1025" s="7"/>
      <c r="K1025" s="7"/>
      <c r="L1025" s="7"/>
      <c r="M1025" s="52"/>
      <c r="N1025" s="7"/>
      <c r="O1025" s="7"/>
      <c r="P1025" s="47"/>
      <c r="Q1025" s="47"/>
      <c r="R1025" s="7"/>
      <c r="S1025" s="51"/>
      <c r="T1025" s="51"/>
      <c r="U1025" s="7"/>
      <c r="V1025" s="57"/>
      <c r="W1025" s="57"/>
      <c r="X1025" s="57"/>
    </row>
    <row r="1026" spans="1:24" ht="12.5" x14ac:dyDescent="0.25">
      <c r="A1026" s="34"/>
      <c r="B1026" s="7"/>
      <c r="C1026" s="19"/>
      <c r="D1026" s="7"/>
      <c r="E1026" s="7"/>
      <c r="F1026" s="7"/>
      <c r="G1026" s="7"/>
      <c r="H1026" s="6"/>
      <c r="I1026" s="7"/>
      <c r="J1026" s="7"/>
      <c r="K1026" s="7"/>
      <c r="L1026" s="7"/>
      <c r="M1026" s="52"/>
      <c r="N1026" s="7"/>
      <c r="O1026" s="7"/>
      <c r="P1026" s="47"/>
      <c r="Q1026" s="47"/>
      <c r="R1026" s="7"/>
      <c r="S1026" s="51"/>
      <c r="T1026" s="51"/>
      <c r="U1026" s="7"/>
      <c r="V1026" s="57"/>
      <c r="W1026" s="57"/>
      <c r="X1026" s="57"/>
    </row>
    <row r="1027" spans="1:24" ht="12.5" x14ac:dyDescent="0.25">
      <c r="A1027" s="34"/>
      <c r="B1027" s="7"/>
      <c r="C1027" s="19"/>
      <c r="D1027" s="7"/>
      <c r="E1027" s="7"/>
      <c r="F1027" s="7"/>
      <c r="G1027" s="7"/>
      <c r="H1027" s="6"/>
      <c r="I1027" s="7"/>
      <c r="J1027" s="7"/>
      <c r="K1027" s="7"/>
      <c r="L1027" s="7"/>
      <c r="M1027" s="52"/>
      <c r="N1027" s="7"/>
      <c r="O1027" s="7"/>
      <c r="P1027" s="47"/>
      <c r="Q1027" s="47"/>
      <c r="R1027" s="7"/>
      <c r="S1027" s="51"/>
      <c r="T1027" s="51"/>
      <c r="U1027" s="7"/>
      <c r="V1027" s="57"/>
      <c r="W1027" s="57"/>
      <c r="X1027" s="57"/>
    </row>
    <row r="1028" spans="1:24" ht="12.5" x14ac:dyDescent="0.25">
      <c r="A1028" s="34"/>
      <c r="B1028" s="7"/>
      <c r="C1028" s="19"/>
      <c r="D1028" s="7"/>
      <c r="E1028" s="7"/>
      <c r="F1028" s="7"/>
      <c r="G1028" s="7"/>
      <c r="H1028" s="6"/>
      <c r="I1028" s="7"/>
      <c r="J1028" s="7"/>
      <c r="K1028" s="7"/>
      <c r="L1028" s="7"/>
      <c r="M1028" s="52"/>
      <c r="N1028" s="7"/>
      <c r="O1028" s="7"/>
      <c r="P1028" s="47"/>
      <c r="Q1028" s="47"/>
      <c r="R1028" s="7"/>
      <c r="S1028" s="51"/>
      <c r="T1028" s="51"/>
      <c r="U1028" s="7"/>
      <c r="V1028" s="57"/>
      <c r="W1028" s="57"/>
      <c r="X1028" s="57"/>
    </row>
    <row r="1029" spans="1:24" ht="12.5" x14ac:dyDescent="0.25">
      <c r="A1029" s="34"/>
      <c r="B1029" s="7"/>
      <c r="C1029" s="19"/>
      <c r="D1029" s="7"/>
      <c r="E1029" s="7"/>
      <c r="F1029" s="7"/>
      <c r="G1029" s="7"/>
      <c r="H1029" s="6"/>
      <c r="I1029" s="7"/>
      <c r="J1029" s="7"/>
      <c r="K1029" s="7"/>
      <c r="L1029" s="7"/>
      <c r="M1029" s="52"/>
      <c r="N1029" s="7"/>
      <c r="O1029" s="7"/>
      <c r="P1029" s="47"/>
      <c r="Q1029" s="47"/>
      <c r="R1029" s="7"/>
      <c r="S1029" s="51"/>
      <c r="T1029" s="51"/>
      <c r="U1029" s="7"/>
      <c r="V1029" s="57"/>
      <c r="W1029" s="57"/>
      <c r="X1029" s="5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Quickview Ref</vt:lpstr>
      <vt:lpstr>Player Profile Ref</vt:lpstr>
      <vt:lpstr>Team Wellness Ref</vt:lpstr>
      <vt:lpstr>Team Prac Ref</vt:lpstr>
      <vt:lpstr>Wellness Responses</vt:lpstr>
      <vt:lpstr>Control_Panel</vt:lpstr>
      <vt:lpstr>Team Comp Ref</vt:lpstr>
      <vt:lpstr>listNames</vt:lpstr>
      <vt:lpstr>TBL_Name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Brasher, John</dc:creator>
  <cp:lastModifiedBy>Loaner</cp:lastModifiedBy>
  <dcterms:created xsi:type="dcterms:W3CDTF">2023-02-17T19:29:47Z</dcterms:created>
  <dcterms:modified xsi:type="dcterms:W3CDTF">2023-04-05T23:53:14Z</dcterms:modified>
</cp:coreProperties>
</file>